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8_{5A211344-0608-45F5-B2DE-030F431B13B7}" xr6:coauthVersionLast="47" xr6:coauthVersionMax="47" xr10:uidLastSave="{00000000-0000-0000-0000-000000000000}"/>
  <bookViews>
    <workbookView xWindow="-120" yWindow="-120" windowWidth="29040" windowHeight="15840" tabRatio="878" firstSheet="14" activeTab="15"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305" l="1"/>
  <c r="L19" i="225" l="1"/>
  <c r="H11" i="202"/>
  <c r="G11" i="202"/>
  <c r="I22" i="202" l="1"/>
  <c r="F11" i="202"/>
  <c r="F27" i="202"/>
  <c r="F19" i="202" s="1"/>
  <c r="I13" i="202"/>
  <c r="I12" i="202"/>
  <c r="H27" i="202"/>
  <c r="H19" i="202" s="1"/>
  <c r="H33" i="202" l="1"/>
  <c r="G16" i="202"/>
  <c r="G18" i="202" s="1"/>
  <c r="G27" i="202"/>
  <c r="G19" i="202" s="1"/>
  <c r="F16" i="202"/>
  <c r="F18" i="202" s="1"/>
  <c r="F21" i="202" s="1"/>
  <c r="H16" i="202"/>
  <c r="H18" i="202" s="1"/>
  <c r="H21" i="202" s="1"/>
  <c r="I18" i="202"/>
  <c r="J18" i="202" s="1"/>
  <c r="J22" i="202"/>
  <c r="G21" i="202" l="1"/>
  <c r="I21" i="202" s="1"/>
  <c r="J21" i="202" s="1"/>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17" i="324" l="1"/>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D3614" i="324"/>
  <c r="C3614" i="324"/>
  <c r="G3613" i="324"/>
  <c r="D3613" i="324"/>
  <c r="C3613" i="324"/>
  <c r="G3612" i="324"/>
  <c r="D3612" i="324"/>
  <c r="C3612" i="324"/>
  <c r="G3611" i="324"/>
  <c r="D3611" i="324"/>
  <c r="C3611" i="324"/>
  <c r="G3610" i="324"/>
  <c r="D3610" i="324"/>
  <c r="C3610" i="324"/>
  <c r="G3609" i="324"/>
  <c r="D3609" i="324"/>
  <c r="C3609"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D1544" i="324"/>
  <c r="C1544" i="324"/>
  <c r="D1543" i="324"/>
  <c r="C1543" i="324"/>
  <c r="D1542" i="324"/>
  <c r="C1542" i="324"/>
  <c r="D1541" i="324"/>
  <c r="C1541" i="324"/>
  <c r="D1540" i="324"/>
  <c r="C1540"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D1475" i="324"/>
  <c r="C1475" i="324"/>
  <c r="D1474" i="324"/>
  <c r="C1474" i="324"/>
  <c r="D1473" i="324"/>
  <c r="C1473" i="324"/>
  <c r="D1472" i="324"/>
  <c r="C1472" i="324"/>
  <c r="D1471" i="324"/>
  <c r="C1471"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G1237"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B910" i="269"/>
  <c r="F909" i="269"/>
  <c r="B909" i="269"/>
  <c r="F908" i="269"/>
  <c r="B908" i="269"/>
  <c r="F907" i="269"/>
  <c r="B907" i="269"/>
  <c r="F906" i="269"/>
  <c r="B906" i="269"/>
  <c r="F905" i="269"/>
  <c r="B905" i="269"/>
  <c r="F904" i="269"/>
  <c r="B904" i="269"/>
  <c r="F903" i="269"/>
  <c r="B903" i="269"/>
  <c r="F902" i="269"/>
  <c r="B902" i="269"/>
  <c r="B901" i="269"/>
  <c r="F900" i="269"/>
  <c r="B900" i="269"/>
  <c r="F899" i="269"/>
  <c r="B899" i="269"/>
  <c r="F898" i="269"/>
  <c r="B898" i="269"/>
  <c r="F897" i="269"/>
  <c r="B897" i="269"/>
  <c r="F896" i="269"/>
  <c r="B896" i="269"/>
  <c r="F895" i="269"/>
  <c r="B895" i="269"/>
  <c r="F894" i="269"/>
  <c r="B894" i="269"/>
  <c r="F893" i="269"/>
  <c r="B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G100" i="235"/>
  <c r="G3052" i="324" s="1"/>
  <c r="H100" i="235"/>
  <c r="G3053" i="324" s="1"/>
  <c r="I100" i="235"/>
  <c r="G3054" i="324" s="1"/>
  <c r="J100" i="235"/>
  <c r="G3055" i="324" s="1"/>
  <c r="K100" i="235"/>
  <c r="G3056" i="324" s="1"/>
  <c r="L100" i="235"/>
  <c r="G3057" i="324" s="1"/>
  <c r="M100" i="235"/>
  <c r="G3058" i="324" s="1"/>
  <c r="F100" i="235"/>
  <c r="G3051" i="324" s="1"/>
  <c r="G99" i="235"/>
  <c r="G3043" i="324" s="1"/>
  <c r="H99" i="235"/>
  <c r="G3044" i="324" s="1"/>
  <c r="I99" i="235"/>
  <c r="G3045" i="324" s="1"/>
  <c r="J99" i="235"/>
  <c r="G3046" i="324" s="1"/>
  <c r="K99" i="235"/>
  <c r="G3047" i="324" s="1"/>
  <c r="L99" i="235"/>
  <c r="G3048" i="324" s="1"/>
  <c r="M99" i="235"/>
  <c r="F99"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s="1"/>
  <c r="S28" i="248"/>
  <c r="R28" i="248"/>
  <c r="O28" i="248" s="1"/>
  <c r="S27" i="248"/>
  <c r="O27" i="248"/>
  <c r="S26" i="248"/>
  <c r="R26" i="248"/>
  <c r="S23" i="248"/>
  <c r="O23" i="248" s="1"/>
  <c r="R22" i="248"/>
  <c r="O22" i="248" s="1"/>
  <c r="S22" i="248"/>
  <c r="S21" i="248"/>
  <c r="O21" i="248" s="1"/>
  <c r="S20" i="248"/>
  <c r="R20" i="248"/>
  <c r="I33" i="235"/>
  <c r="G2118" i="324" s="1"/>
  <c r="O30" i="235"/>
  <c r="G2106" i="324" s="1"/>
  <c r="F30" i="235"/>
  <c r="G2097" i="324" s="1"/>
  <c r="N32" i="235"/>
  <c r="W32" i="235"/>
  <c r="W31" i="235"/>
  <c r="N29" i="235"/>
  <c r="N26" i="235"/>
  <c r="G2069" i="324" s="1"/>
  <c r="F33" i="235"/>
  <c r="N33" i="235" s="1"/>
  <c r="G2123" i="324" s="1"/>
  <c r="G33" i="235"/>
  <c r="G2116" i="324" s="1"/>
  <c r="H33" i="235"/>
  <c r="G2117" i="324" s="1"/>
  <c r="J33" i="235"/>
  <c r="G2119" i="324" s="1"/>
  <c r="K33" i="235"/>
  <c r="G2120" i="324" s="1"/>
  <c r="L33" i="235"/>
  <c r="G2121" i="324" s="1"/>
  <c r="M33" i="235"/>
  <c r="G2122" i="324" s="1"/>
  <c r="O33" i="235"/>
  <c r="G2124" i="324" s="1"/>
  <c r="P33" i="235"/>
  <c r="Q33" i="235"/>
  <c r="G2126" i="324" s="1"/>
  <c r="R33" i="235"/>
  <c r="G2127" i="324" s="1"/>
  <c r="S33" i="235"/>
  <c r="G2128" i="324" s="1"/>
  <c r="T33" i="235"/>
  <c r="G2129" i="324" s="1"/>
  <c r="U33" i="235"/>
  <c r="G2130" i="324" s="1"/>
  <c r="V33" i="235"/>
  <c r="G2131" i="324" s="1"/>
  <c r="G30" i="235"/>
  <c r="G2098" i="324" s="1"/>
  <c r="H30" i="235"/>
  <c r="I30" i="235"/>
  <c r="G2100" i="324" s="1"/>
  <c r="J30" i="235"/>
  <c r="G2101" i="324" s="1"/>
  <c r="K30" i="235"/>
  <c r="G2102" i="324" s="1"/>
  <c r="L30" i="235"/>
  <c r="M30" i="235"/>
  <c r="G2104" i="324" s="1"/>
  <c r="P30" i="235"/>
  <c r="G2107" i="324" s="1"/>
  <c r="Q30" i="235"/>
  <c r="G2108" i="324" s="1"/>
  <c r="R30" i="235"/>
  <c r="G2109" i="324" s="1"/>
  <c r="S30" i="235"/>
  <c r="G2110" i="324" s="1"/>
  <c r="T30" i="235"/>
  <c r="G2111" i="324" s="1"/>
  <c r="U30" i="235"/>
  <c r="U34" i="235" s="1"/>
  <c r="G2148" i="324" s="1"/>
  <c r="V30" i="235"/>
  <c r="G2113" i="324" s="1"/>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G3112" i="324" s="1"/>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Q29" i="313"/>
  <c r="P29" i="313"/>
  <c r="N29" i="313" s="1"/>
  <c r="R28" i="313"/>
  <c r="Q28" i="313"/>
  <c r="P28" i="313"/>
  <c r="R27" i="313"/>
  <c r="Q27" i="313"/>
  <c r="P27" i="313"/>
  <c r="N27" i="313" s="1"/>
  <c r="R24" i="313"/>
  <c r="Q24" i="313"/>
  <c r="P24" i="313"/>
  <c r="R22" i="313"/>
  <c r="Q22" i="313"/>
  <c r="P22" i="313"/>
  <c r="R21" i="313"/>
  <c r="Q21" i="313"/>
  <c r="P21" i="313"/>
  <c r="N21" i="313" s="1"/>
  <c r="R20" i="313"/>
  <c r="Q20" i="313"/>
  <c r="P20" i="313"/>
  <c r="R17" i="313"/>
  <c r="Q17" i="313"/>
  <c r="P17" i="313"/>
  <c r="R16" i="313"/>
  <c r="Q16" i="313"/>
  <c r="P16" i="313"/>
  <c r="N16" i="313" s="1"/>
  <c r="R14" i="313"/>
  <c r="Q14" i="313"/>
  <c r="P14" i="313"/>
  <c r="N14" i="313" s="1"/>
  <c r="R13" i="313"/>
  <c r="Q13" i="313"/>
  <c r="P13" i="313"/>
  <c r="N13" i="313" s="1"/>
  <c r="R10" i="313"/>
  <c r="Q10" i="313"/>
  <c r="P10" i="313"/>
  <c r="N10" i="313" s="1"/>
  <c r="R9" i="313"/>
  <c r="Q9" i="313"/>
  <c r="P9" i="313"/>
  <c r="N9" i="313" s="1"/>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L90" i="234"/>
  <c r="N30" i="313"/>
  <c r="N22" i="313"/>
  <c r="N28" i="313"/>
  <c r="N17" i="313"/>
  <c r="N24" i="313"/>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E14" i="315"/>
  <c r="G4042" i="324" s="1"/>
  <c r="O13" i="315"/>
  <c r="N13" i="315"/>
  <c r="E13" i="315"/>
  <c r="G4039" i="324" s="1"/>
  <c r="O11" i="315"/>
  <c r="N11" i="315"/>
  <c r="E11" i="315"/>
  <c r="G4033" i="324" s="1"/>
  <c r="F11" i="206"/>
  <c r="F26" i="206" s="1"/>
  <c r="N106" i="246"/>
  <c r="L106" i="246" s="1"/>
  <c r="N105" i="246"/>
  <c r="L105" i="246"/>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c r="N67" i="246"/>
  <c r="L67" i="246" s="1"/>
  <c r="N68" i="246"/>
  <c r="L68" i="246" s="1"/>
  <c r="N56" i="246"/>
  <c r="L56" i="246" s="1"/>
  <c r="N57" i="246"/>
  <c r="L57" i="246" s="1"/>
  <c r="N58" i="246"/>
  <c r="L58" i="246"/>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c r="N42" i="246"/>
  <c r="L42" i="246" s="1"/>
  <c r="N43" i="246"/>
  <c r="L43" i="246" s="1"/>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R136" i="231" s="1"/>
  <c r="V136" i="231"/>
  <c r="W136" i="231"/>
  <c r="Y136" i="231"/>
  <c r="Z136" i="231"/>
  <c r="G147" i="231"/>
  <c r="G636" i="324" s="1"/>
  <c r="T147" i="231"/>
  <c r="U147" i="231"/>
  <c r="V147" i="231"/>
  <c r="R147" i="231" s="1"/>
  <c r="W147" i="231"/>
  <c r="Y147" i="231"/>
  <c r="Z147" i="231"/>
  <c r="AA147" i="231"/>
  <c r="AB147" i="231"/>
  <c r="G148" i="231"/>
  <c r="G645" i="324" s="1"/>
  <c r="T148" i="231"/>
  <c r="U148" i="231"/>
  <c r="R148" i="231" s="1"/>
  <c r="V148" i="231"/>
  <c r="W148" i="231"/>
  <c r="Y148" i="231"/>
  <c r="Z148" i="231"/>
  <c r="AA148" i="231"/>
  <c r="AB148" i="231"/>
  <c r="G149" i="231"/>
  <c r="G654" i="324" s="1"/>
  <c r="T149" i="231"/>
  <c r="R149" i="231" s="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R152" i="231" s="1"/>
  <c r="AA152" i="231"/>
  <c r="AB152" i="231"/>
  <c r="G153" i="231"/>
  <c r="G690" i="324" s="1"/>
  <c r="T153" i="231"/>
  <c r="U153" i="231"/>
  <c r="V153" i="231"/>
  <c r="W153" i="231"/>
  <c r="Y153" i="231"/>
  <c r="R153" i="231" s="1"/>
  <c r="Z153" i="231"/>
  <c r="AA153" i="231"/>
  <c r="AB153" i="231"/>
  <c r="C154" i="231"/>
  <c r="G695" i="324" s="1"/>
  <c r="D154" i="231"/>
  <c r="G696" i="324" s="1"/>
  <c r="E154" i="231"/>
  <c r="G697" i="324" s="1"/>
  <c r="F154" i="231"/>
  <c r="G698" i="324" s="1"/>
  <c r="H154" i="231"/>
  <c r="I154" i="231"/>
  <c r="G701" i="324" s="1"/>
  <c r="G157" i="231"/>
  <c r="G706" i="324" s="1"/>
  <c r="T157" i="231"/>
  <c r="R157" i="231" s="1"/>
  <c r="U157" i="231"/>
  <c r="V157" i="231"/>
  <c r="W157" i="231"/>
  <c r="Y157" i="231"/>
  <c r="Z157" i="231"/>
  <c r="G158" i="231"/>
  <c r="G713" i="324" s="1"/>
  <c r="T158" i="231"/>
  <c r="U158" i="231"/>
  <c r="R158" i="231" s="1"/>
  <c r="V158" i="231"/>
  <c r="W158" i="231"/>
  <c r="Y158" i="231"/>
  <c r="Z158" i="231"/>
  <c r="G159" i="231"/>
  <c r="G720" i="324" s="1"/>
  <c r="T159" i="231"/>
  <c r="R159" i="231" s="1"/>
  <c r="U159" i="231"/>
  <c r="V159" i="231"/>
  <c r="W159" i="231"/>
  <c r="Y159" i="231"/>
  <c r="Z159" i="231"/>
  <c r="G160" i="231"/>
  <c r="G727" i="324" s="1"/>
  <c r="T160" i="231"/>
  <c r="U160" i="231"/>
  <c r="V160" i="231"/>
  <c r="W160" i="231"/>
  <c r="Y160" i="231"/>
  <c r="Z160" i="231"/>
  <c r="C161" i="231"/>
  <c r="G730" i="324" s="1"/>
  <c r="D161" i="231"/>
  <c r="G731" i="324" s="1"/>
  <c r="E161" i="231"/>
  <c r="F161" i="231"/>
  <c r="G733" i="324" s="1"/>
  <c r="H161" i="231"/>
  <c r="G735" i="324" s="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R166" i="231" s="1"/>
  <c r="G167" i="231"/>
  <c r="G762" i="324" s="1"/>
  <c r="T167" i="231"/>
  <c r="U167" i="231"/>
  <c r="R167" i="231" s="1"/>
  <c r="V167" i="231"/>
  <c r="W167" i="231"/>
  <c r="Y167" i="231"/>
  <c r="Z167" i="231"/>
  <c r="C168" i="231"/>
  <c r="D168" i="231"/>
  <c r="E168" i="231"/>
  <c r="G767" i="324" s="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R174" i="231" s="1"/>
  <c r="Z174" i="231"/>
  <c r="G175" i="231"/>
  <c r="G804" i="324" s="1"/>
  <c r="T175" i="231"/>
  <c r="U175" i="231"/>
  <c r="V175" i="231"/>
  <c r="W175" i="231"/>
  <c r="Y175" i="231"/>
  <c r="Z175" i="231"/>
  <c r="R175" i="231" s="1"/>
  <c r="G176" i="231"/>
  <c r="G811" i="324" s="1"/>
  <c r="T176" i="231"/>
  <c r="U176" i="231"/>
  <c r="R176" i="231" s="1"/>
  <c r="V176" i="231"/>
  <c r="W176" i="231"/>
  <c r="Y176" i="231"/>
  <c r="Z176" i="231"/>
  <c r="G177" i="231"/>
  <c r="G818" i="324" s="1"/>
  <c r="T177" i="231"/>
  <c r="R177" i="231" s="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R181" i="231" s="1"/>
  <c r="W181" i="231"/>
  <c r="Y181" i="231"/>
  <c r="Z181" i="231"/>
  <c r="G192" i="231"/>
  <c r="G846" i="324" s="1"/>
  <c r="T192" i="231"/>
  <c r="U192" i="231"/>
  <c r="V192" i="231"/>
  <c r="W192" i="231"/>
  <c r="R192" i="231" s="1"/>
  <c r="Y192" i="231"/>
  <c r="Z192" i="231"/>
  <c r="AA192" i="231"/>
  <c r="AB192" i="231"/>
  <c r="G193" i="231"/>
  <c r="G855" i="324" s="1"/>
  <c r="T193" i="231"/>
  <c r="U193" i="231"/>
  <c r="V193" i="231"/>
  <c r="R193" i="231" s="1"/>
  <c r="W193" i="231"/>
  <c r="Y193" i="231"/>
  <c r="Z193" i="231"/>
  <c r="AA193" i="231"/>
  <c r="AB193" i="231"/>
  <c r="G194" i="231"/>
  <c r="G864" i="324" s="1"/>
  <c r="T194" i="231"/>
  <c r="U194" i="231"/>
  <c r="R194" i="231" s="1"/>
  <c r="V194" i="231"/>
  <c r="W194" i="231"/>
  <c r="Y194" i="231"/>
  <c r="Z194" i="231"/>
  <c r="AA194" i="231"/>
  <c r="AB194" i="231"/>
  <c r="G195" i="231"/>
  <c r="G873" i="324" s="1"/>
  <c r="T195" i="231"/>
  <c r="R195" i="231" s="1"/>
  <c r="U195" i="231"/>
  <c r="V195" i="231"/>
  <c r="W195" i="231"/>
  <c r="Y195" i="231"/>
  <c r="Z195" i="231"/>
  <c r="AA195" i="231"/>
  <c r="AB195" i="231"/>
  <c r="G196" i="231"/>
  <c r="G882" i="324" s="1"/>
  <c r="T196" i="231"/>
  <c r="R196" i="231" s="1"/>
  <c r="U196" i="231"/>
  <c r="V196" i="231"/>
  <c r="W196" i="231"/>
  <c r="Y196" i="231"/>
  <c r="Z196" i="231"/>
  <c r="AA196" i="231"/>
  <c r="AB196" i="231"/>
  <c r="G197" i="231"/>
  <c r="G891" i="324" s="1"/>
  <c r="T197" i="231"/>
  <c r="U197" i="231"/>
  <c r="R197" i="231" s="1"/>
  <c r="V197" i="231"/>
  <c r="W197" i="231"/>
  <c r="Y197" i="231"/>
  <c r="Z197" i="231"/>
  <c r="AA197" i="231"/>
  <c r="AB197" i="231"/>
  <c r="G198" i="231"/>
  <c r="G900" i="324" s="1"/>
  <c r="T198" i="231"/>
  <c r="R198" i="231" s="1"/>
  <c r="U198" i="231"/>
  <c r="V198" i="231"/>
  <c r="W198" i="231"/>
  <c r="Y198" i="231"/>
  <c r="Z198" i="231"/>
  <c r="AA198" i="231"/>
  <c r="AB198" i="231"/>
  <c r="C199" i="231"/>
  <c r="G905" i="324" s="1"/>
  <c r="D199" i="231"/>
  <c r="G906" i="324" s="1"/>
  <c r="E199" i="231"/>
  <c r="G907" i="324" s="1"/>
  <c r="F199" i="231"/>
  <c r="G908" i="324" s="1"/>
  <c r="H199" i="231"/>
  <c r="G910" i="324" s="1"/>
  <c r="I199" i="231"/>
  <c r="G202" i="231"/>
  <c r="G916" i="324" s="1"/>
  <c r="T202" i="231"/>
  <c r="U202" i="231"/>
  <c r="V202" i="231"/>
  <c r="W202" i="231"/>
  <c r="Y202" i="231"/>
  <c r="Z202" i="231"/>
  <c r="G203" i="231"/>
  <c r="G923" i="324" s="1"/>
  <c r="T203" i="231"/>
  <c r="R203" i="231" s="1"/>
  <c r="U203" i="231"/>
  <c r="V203" i="231"/>
  <c r="W203" i="231"/>
  <c r="Y203" i="231"/>
  <c r="Z203" i="231"/>
  <c r="G204" i="231"/>
  <c r="G930" i="324" s="1"/>
  <c r="T204" i="231"/>
  <c r="R204" i="231" s="1"/>
  <c r="U204" i="231"/>
  <c r="V204" i="231"/>
  <c r="W204" i="231"/>
  <c r="Y204" i="231"/>
  <c r="Z204" i="231"/>
  <c r="G205" i="231"/>
  <c r="G937" i="324" s="1"/>
  <c r="T205" i="231"/>
  <c r="U205" i="231"/>
  <c r="R205" i="231" s="1"/>
  <c r="V205" i="231"/>
  <c r="W205" i="231"/>
  <c r="Y205" i="231"/>
  <c r="Z205" i="231"/>
  <c r="C206" i="231"/>
  <c r="G940" i="324" s="1"/>
  <c r="D206" i="231"/>
  <c r="G941" i="324" s="1"/>
  <c r="E206" i="231"/>
  <c r="G942" i="324" s="1"/>
  <c r="F206" i="23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R222" i="231" s="1"/>
  <c r="U222" i="231"/>
  <c r="V222" i="231"/>
  <c r="W222" i="231"/>
  <c r="Y222" i="231"/>
  <c r="Z222" i="231"/>
  <c r="C223" i="231"/>
  <c r="D223" i="231"/>
  <c r="G1032" i="324" s="1"/>
  <c r="E223" i="231"/>
  <c r="G1033" i="324" s="1"/>
  <c r="F223" i="231"/>
  <c r="G1034" i="324" s="1"/>
  <c r="H223" i="231"/>
  <c r="G1036" i="324" s="1"/>
  <c r="I223" i="231"/>
  <c r="G1037" i="324" s="1"/>
  <c r="G226" i="231"/>
  <c r="G1042" i="324" s="1"/>
  <c r="T226" i="231"/>
  <c r="U226" i="231"/>
  <c r="V226" i="231"/>
  <c r="W226" i="231"/>
  <c r="Y226" i="231"/>
  <c r="Z226" i="231"/>
  <c r="G126" i="231"/>
  <c r="G566" i="324" s="1"/>
  <c r="T126" i="231"/>
  <c r="U126" i="231"/>
  <c r="V126" i="231"/>
  <c r="W126" i="231"/>
  <c r="Y126" i="231"/>
  <c r="R126" i="231" s="1"/>
  <c r="Z126" i="231"/>
  <c r="G127" i="231"/>
  <c r="G573" i="324" s="1"/>
  <c r="T127" i="231"/>
  <c r="R127" i="231" s="1"/>
  <c r="U127" i="231"/>
  <c r="V127" i="231"/>
  <c r="W127" i="231"/>
  <c r="Y127" i="231"/>
  <c r="Z127" i="231"/>
  <c r="G128" i="231"/>
  <c r="G580" i="324" s="1"/>
  <c r="T128" i="231"/>
  <c r="U128" i="231"/>
  <c r="R128" i="231" s="1"/>
  <c r="V128" i="231"/>
  <c r="W128" i="231"/>
  <c r="Y128" i="231"/>
  <c r="Z128" i="231"/>
  <c r="G129" i="231"/>
  <c r="G587" i="324" s="1"/>
  <c r="T129" i="231"/>
  <c r="R129" i="231" s="1"/>
  <c r="U129" i="231"/>
  <c r="V129" i="231"/>
  <c r="W129" i="231"/>
  <c r="Y129" i="231"/>
  <c r="Z129" i="231"/>
  <c r="G130" i="231"/>
  <c r="G594" i="324" s="1"/>
  <c r="T130" i="231"/>
  <c r="R130" i="231" s="1"/>
  <c r="U130" i="231"/>
  <c r="V130" i="231"/>
  <c r="W130" i="231"/>
  <c r="Y130" i="231"/>
  <c r="Z130" i="231"/>
  <c r="G131" i="231"/>
  <c r="G601" i="324" s="1"/>
  <c r="T131" i="231"/>
  <c r="U131" i="231"/>
  <c r="R131" i="231" s="1"/>
  <c r="V131" i="231"/>
  <c r="W131" i="231"/>
  <c r="Y131" i="231"/>
  <c r="Z131" i="231"/>
  <c r="G132" i="231"/>
  <c r="G608" i="324" s="1"/>
  <c r="T132" i="231"/>
  <c r="U132" i="231"/>
  <c r="V132" i="231"/>
  <c r="R132" i="231" s="1"/>
  <c r="W132" i="231"/>
  <c r="Y132" i="231"/>
  <c r="Z132" i="23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R119" i="231" s="1"/>
  <c r="G120" i="231"/>
  <c r="G538" i="324" s="1"/>
  <c r="T120" i="231"/>
  <c r="U120" i="231"/>
  <c r="R120" i="231" s="1"/>
  <c r="V120" i="231"/>
  <c r="W120" i="231"/>
  <c r="Y120" i="231"/>
  <c r="Z120" i="231"/>
  <c r="G121" i="231"/>
  <c r="G545" i="324" s="1"/>
  <c r="T121" i="231"/>
  <c r="R121" i="231" s="1"/>
  <c r="U121" i="231"/>
  <c r="V121" i="231"/>
  <c r="W121" i="231"/>
  <c r="Y121" i="231"/>
  <c r="Z121" i="231"/>
  <c r="G122" i="231"/>
  <c r="G552" i="324" s="1"/>
  <c r="T122" i="231"/>
  <c r="R122" i="231" s="1"/>
  <c r="U122" i="231"/>
  <c r="V122" i="231"/>
  <c r="W122" i="231"/>
  <c r="Y122" i="231"/>
  <c r="Z122" i="231"/>
  <c r="C123" i="231"/>
  <c r="G555" i="324" s="1"/>
  <c r="D123" i="231"/>
  <c r="G556" i="324" s="1"/>
  <c r="E123" i="231"/>
  <c r="F123" i="231"/>
  <c r="G558" i="324" s="1"/>
  <c r="H123" i="231"/>
  <c r="G560" i="324" s="1"/>
  <c r="I123" i="231"/>
  <c r="G561" i="324" s="1"/>
  <c r="G112" i="231"/>
  <c r="G496" i="324" s="1"/>
  <c r="T112" i="231"/>
  <c r="U112" i="231"/>
  <c r="V112" i="231"/>
  <c r="W112" i="231"/>
  <c r="R112" i="231" s="1"/>
  <c r="Y112" i="231"/>
  <c r="Z112" i="231"/>
  <c r="G113" i="231"/>
  <c r="G503" i="324" s="1"/>
  <c r="T113" i="231"/>
  <c r="U113" i="231"/>
  <c r="V113" i="231"/>
  <c r="W113" i="231"/>
  <c r="Y113" i="231"/>
  <c r="R113" i="231" s="1"/>
  <c r="Z113" i="231"/>
  <c r="G114" i="231"/>
  <c r="G510" i="324" s="1"/>
  <c r="T114" i="231"/>
  <c r="U114" i="231"/>
  <c r="V114" i="231"/>
  <c r="W114" i="231"/>
  <c r="Y114" i="231"/>
  <c r="Z114" i="231"/>
  <c r="R114" i="231" s="1"/>
  <c r="G115" i="231"/>
  <c r="G517" i="324" s="1"/>
  <c r="T115" i="231"/>
  <c r="U115" i="231"/>
  <c r="R115" i="231" s="1"/>
  <c r="V115" i="231"/>
  <c r="W115" i="231"/>
  <c r="Y115" i="231"/>
  <c r="Z115" i="231"/>
  <c r="C116" i="231"/>
  <c r="G116" i="231" s="1"/>
  <c r="G524" i="324" s="1"/>
  <c r="D116" i="231"/>
  <c r="G521" i="324" s="1"/>
  <c r="E116" i="231"/>
  <c r="G522" i="324" s="1"/>
  <c r="F116" i="231"/>
  <c r="G523" i="324" s="1"/>
  <c r="H116" i="231"/>
  <c r="G525" i="324" s="1"/>
  <c r="I116" i="231"/>
  <c r="G526" i="324" s="1"/>
  <c r="G102" i="231"/>
  <c r="G426" i="324" s="1"/>
  <c r="T102" i="231"/>
  <c r="U102" i="231"/>
  <c r="R102" i="231" s="1"/>
  <c r="V102" i="231"/>
  <c r="W102" i="231"/>
  <c r="Y102" i="231"/>
  <c r="Z102" i="231"/>
  <c r="AA102" i="231"/>
  <c r="AB102" i="231"/>
  <c r="G103" i="231"/>
  <c r="G435" i="324" s="1"/>
  <c r="T103" i="231"/>
  <c r="R103" i="231" s="1"/>
  <c r="U103" i="231"/>
  <c r="V103" i="231"/>
  <c r="W103" i="231"/>
  <c r="Y103" i="231"/>
  <c r="Z103" i="231"/>
  <c r="AA103" i="231"/>
  <c r="AB103" i="231"/>
  <c r="G104" i="231"/>
  <c r="G444" i="324" s="1"/>
  <c r="T104" i="231"/>
  <c r="R104" i="231" s="1"/>
  <c r="U104" i="231"/>
  <c r="V104" i="231"/>
  <c r="W104" i="231"/>
  <c r="Y104" i="231"/>
  <c r="Z104" i="231"/>
  <c r="AA104" i="231"/>
  <c r="AB104" i="231"/>
  <c r="G105" i="231"/>
  <c r="G453" i="324" s="1"/>
  <c r="T105" i="231"/>
  <c r="U105" i="231"/>
  <c r="V105" i="231"/>
  <c r="W105" i="231"/>
  <c r="Y105" i="231"/>
  <c r="Z105" i="231"/>
  <c r="AA105" i="231"/>
  <c r="R105" i="231" s="1"/>
  <c r="AB105" i="231"/>
  <c r="G106" i="231"/>
  <c r="G462" i="324" s="1"/>
  <c r="T106" i="231"/>
  <c r="R106" i="231" s="1"/>
  <c r="U106" i="231"/>
  <c r="V106" i="231"/>
  <c r="W106" i="231"/>
  <c r="Y106" i="231"/>
  <c r="Z106" i="231"/>
  <c r="AA106" i="231"/>
  <c r="AB106" i="231"/>
  <c r="G107" i="231"/>
  <c r="G471" i="324" s="1"/>
  <c r="T107" i="231"/>
  <c r="U107" i="231"/>
  <c r="V107" i="231"/>
  <c r="W107" i="231"/>
  <c r="Y107" i="231"/>
  <c r="R107" i="231" s="1"/>
  <c r="Z107" i="231"/>
  <c r="AA107" i="231"/>
  <c r="AB107" i="231"/>
  <c r="G108" i="231"/>
  <c r="G480" i="324" s="1"/>
  <c r="T108" i="231"/>
  <c r="U108" i="231"/>
  <c r="V108" i="231"/>
  <c r="W108" i="231"/>
  <c r="R108" i="231" s="1"/>
  <c r="Y108" i="231"/>
  <c r="Z108" i="231"/>
  <c r="AA108" i="231"/>
  <c r="AB108" i="231"/>
  <c r="C109" i="231"/>
  <c r="G485" i="324" s="1"/>
  <c r="D109" i="231"/>
  <c r="G486" i="324" s="1"/>
  <c r="E109" i="231"/>
  <c r="G487" i="324" s="1"/>
  <c r="F109" i="231"/>
  <c r="H109" i="231"/>
  <c r="G490" i="324" s="1"/>
  <c r="I109" i="231"/>
  <c r="G491" i="324" s="1"/>
  <c r="G91" i="231"/>
  <c r="G412" i="324" s="1"/>
  <c r="T91" i="231"/>
  <c r="U91" i="231"/>
  <c r="V91" i="231"/>
  <c r="W91" i="231"/>
  <c r="Y91" i="231"/>
  <c r="Z91" i="231"/>
  <c r="G81" i="231"/>
  <c r="G356" i="324" s="1"/>
  <c r="T81" i="231"/>
  <c r="U81" i="231"/>
  <c r="V81" i="231"/>
  <c r="W81" i="231"/>
  <c r="Y81" i="231"/>
  <c r="Z81" i="231"/>
  <c r="G82" i="231"/>
  <c r="T82" i="231"/>
  <c r="U82" i="231"/>
  <c r="V82" i="231"/>
  <c r="W82" i="231"/>
  <c r="Y82" i="231"/>
  <c r="Z82" i="231"/>
  <c r="G83" i="231"/>
  <c r="G370" i="324" s="1"/>
  <c r="T83" i="231"/>
  <c r="R83" i="231" s="1"/>
  <c r="U83" i="231"/>
  <c r="V83" i="231"/>
  <c r="W83" i="231"/>
  <c r="Y83" i="231"/>
  <c r="Z83" i="231"/>
  <c r="G84" i="231"/>
  <c r="G377" i="324" s="1"/>
  <c r="T84" i="231"/>
  <c r="R84" i="231" s="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D88" i="231"/>
  <c r="G402" i="324" s="1"/>
  <c r="E88" i="231"/>
  <c r="G403" i="324" s="1"/>
  <c r="F88" i="231"/>
  <c r="G404" i="324" s="1"/>
  <c r="H88" i="231"/>
  <c r="I88" i="231"/>
  <c r="G407" i="324" s="1"/>
  <c r="G74" i="231"/>
  <c r="G321" i="324" s="1"/>
  <c r="T74" i="231"/>
  <c r="U74" i="231"/>
  <c r="V74" i="231"/>
  <c r="W74" i="231"/>
  <c r="Y74" i="231"/>
  <c r="Z74" i="231"/>
  <c r="G75" i="231"/>
  <c r="G328" i="324" s="1"/>
  <c r="T75" i="231"/>
  <c r="R75" i="231" s="1"/>
  <c r="U75" i="231"/>
  <c r="V75" i="231"/>
  <c r="W75" i="231"/>
  <c r="Y75" i="231"/>
  <c r="Z75" i="231"/>
  <c r="G76" i="231"/>
  <c r="G335" i="324" s="1"/>
  <c r="T76" i="231"/>
  <c r="R76" i="231" s="1"/>
  <c r="U76" i="231"/>
  <c r="V76" i="231"/>
  <c r="W76" i="231"/>
  <c r="Y76" i="231"/>
  <c r="Z76" i="231"/>
  <c r="G77" i="231"/>
  <c r="G342" i="324" s="1"/>
  <c r="T77" i="231"/>
  <c r="U77" i="231"/>
  <c r="V77" i="231"/>
  <c r="W77" i="231"/>
  <c r="Y77" i="231"/>
  <c r="Z77" i="231"/>
  <c r="D78" i="231"/>
  <c r="G346" i="324" s="1"/>
  <c r="E78" i="231"/>
  <c r="G347" i="324" s="1"/>
  <c r="F78" i="231"/>
  <c r="G78" i="231" s="1"/>
  <c r="G349" i="324" s="1"/>
  <c r="H78" i="231"/>
  <c r="G350" i="324" s="1"/>
  <c r="I78" i="231"/>
  <c r="G351" i="324" s="1"/>
  <c r="T67" i="231"/>
  <c r="U67" i="231"/>
  <c r="V67" i="231"/>
  <c r="W67" i="231"/>
  <c r="Y67" i="231"/>
  <c r="Z67" i="231"/>
  <c r="G68" i="231"/>
  <c r="G293" i="324" s="1"/>
  <c r="T68" i="231"/>
  <c r="R68" i="231" s="1"/>
  <c r="U68" i="231"/>
  <c r="V68" i="231"/>
  <c r="W68" i="231"/>
  <c r="Y68" i="231"/>
  <c r="Z68" i="231"/>
  <c r="G69" i="231"/>
  <c r="G300" i="324" s="1"/>
  <c r="T69" i="231"/>
  <c r="R69" i="231" s="1"/>
  <c r="U69" i="231"/>
  <c r="V69" i="231"/>
  <c r="W69" i="231"/>
  <c r="Y69" i="231"/>
  <c r="Z69" i="231"/>
  <c r="G70" i="231"/>
  <c r="G307" i="324" s="1"/>
  <c r="T70" i="231"/>
  <c r="U70" i="231"/>
  <c r="V70" i="231"/>
  <c r="W70" i="231"/>
  <c r="Y70" i="231"/>
  <c r="Z70" i="231"/>
  <c r="D71" i="231"/>
  <c r="G311" i="324" s="1"/>
  <c r="E71" i="231"/>
  <c r="G312" i="324" s="1"/>
  <c r="F71" i="231"/>
  <c r="G313" i="324" s="1"/>
  <c r="I71" i="231"/>
  <c r="G57" i="231"/>
  <c r="G216" i="324" s="1"/>
  <c r="T57" i="231"/>
  <c r="U57" i="231"/>
  <c r="V57" i="231"/>
  <c r="W57" i="231"/>
  <c r="Y57" i="231"/>
  <c r="Z57" i="231"/>
  <c r="AA57" i="231"/>
  <c r="AB57" i="231"/>
  <c r="G58" i="231"/>
  <c r="G225" i="324" s="1"/>
  <c r="T58" i="231"/>
  <c r="R58" i="231" s="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R62" i="231" s="1"/>
  <c r="V62" i="231"/>
  <c r="W62" i="231"/>
  <c r="Y62" i="231"/>
  <c r="Z62" i="231"/>
  <c r="AA62" i="231"/>
  <c r="AB62" i="231"/>
  <c r="G63" i="231"/>
  <c r="G270" i="324" s="1"/>
  <c r="T63" i="231"/>
  <c r="R63" i="231" s="1"/>
  <c r="U63" i="231"/>
  <c r="V63" i="231"/>
  <c r="W63" i="231"/>
  <c r="Y63" i="231"/>
  <c r="Z63" i="231"/>
  <c r="AA63" i="231"/>
  <c r="AB63" i="231"/>
  <c r="D64" i="231"/>
  <c r="E64" i="231"/>
  <c r="G277" i="324" s="1"/>
  <c r="F64" i="231"/>
  <c r="G278" i="324" s="1"/>
  <c r="H64" i="231"/>
  <c r="G280" i="324" s="1"/>
  <c r="I64" i="231"/>
  <c r="G281" i="324" s="1"/>
  <c r="G11" i="206"/>
  <c r="G26" i="206" s="1"/>
  <c r="H11" i="206"/>
  <c r="H26" i="206" s="1"/>
  <c r="J72" i="234"/>
  <c r="K72" i="234" s="1"/>
  <c r="K71" i="234"/>
  <c r="K70" i="234"/>
  <c r="J69" i="234"/>
  <c r="G1406" i="324" s="1"/>
  <c r="AG68" i="234"/>
  <c r="AA68" i="234" s="1"/>
  <c r="K68" i="234"/>
  <c r="G1405" i="324" s="1"/>
  <c r="AT67" i="234"/>
  <c r="AG67" i="234"/>
  <c r="AA67" i="234" s="1"/>
  <c r="K67" i="234"/>
  <c r="G1403" i="324" s="1"/>
  <c r="K61" i="234"/>
  <c r="G1228" i="324" s="1"/>
  <c r="K62" i="234"/>
  <c r="G1240" i="324" s="1"/>
  <c r="J63" i="234"/>
  <c r="G1394" i="324" s="1"/>
  <c r="K63" i="234"/>
  <c r="G1395" i="324" s="1"/>
  <c r="K64" i="234"/>
  <c r="G1397" i="324" s="1"/>
  <c r="K65" i="234"/>
  <c r="G1399" i="324" s="1"/>
  <c r="J66" i="234"/>
  <c r="G1400" i="324" s="1"/>
  <c r="G199" i="231"/>
  <c r="G909" i="324" s="1"/>
  <c r="G154" i="231"/>
  <c r="G699" i="324" s="1"/>
  <c r="R150" i="231"/>
  <c r="G133" i="231"/>
  <c r="G615" i="324" s="1"/>
  <c r="R202" i="231"/>
  <c r="R151" i="231"/>
  <c r="H228" i="231"/>
  <c r="G1050" i="324" s="1"/>
  <c r="I138" i="231"/>
  <c r="G631" i="324" s="1"/>
  <c r="E93" i="231"/>
  <c r="G417" i="324" s="1"/>
  <c r="G88" i="231"/>
  <c r="G405" i="324" s="1"/>
  <c r="S14" i="314"/>
  <c r="S12" i="248"/>
  <c r="R12" i="248"/>
  <c r="Q12" i="248"/>
  <c r="O12" i="248"/>
  <c r="L84" i="234"/>
  <c r="Q84" i="234"/>
  <c r="G107" i="234"/>
  <c r="G1663" i="324" s="1"/>
  <c r="H107" i="234"/>
  <c r="G1664" i="324" s="1"/>
  <c r="I107" i="234"/>
  <c r="J107" i="234"/>
  <c r="F107" i="234"/>
  <c r="G1662" i="324" s="1"/>
  <c r="G106" i="234"/>
  <c r="G1657" i="324" s="1"/>
  <c r="H106" i="234"/>
  <c r="G1658" i="324" s="1"/>
  <c r="I106" i="234"/>
  <c r="G1659" i="324" s="1"/>
  <c r="J106" i="234"/>
  <c r="F106" i="234"/>
  <c r="G1656" i="324" s="1"/>
  <c r="K97" i="234"/>
  <c r="G1598" i="324" s="1"/>
  <c r="K98" i="234"/>
  <c r="G1604" i="324" s="1"/>
  <c r="K100" i="234"/>
  <c r="G1619" i="324" s="1"/>
  <c r="K101" i="234"/>
  <c r="G1625" i="324" s="1"/>
  <c r="J102" i="234"/>
  <c r="G1630" i="324" s="1"/>
  <c r="I102" i="234"/>
  <c r="G1629" i="324" s="1"/>
  <c r="H102" i="234"/>
  <c r="G1628" i="324" s="1"/>
  <c r="G102" i="234"/>
  <c r="F102" i="234"/>
  <c r="G1626" i="324" s="1"/>
  <c r="G99" i="234"/>
  <c r="G1606" i="324" s="1"/>
  <c r="H99" i="234"/>
  <c r="G1607" i="324" s="1"/>
  <c r="I99" i="234"/>
  <c r="G1608" i="324" s="1"/>
  <c r="J99" i="234"/>
  <c r="G1609" i="324" s="1"/>
  <c r="F99" i="234"/>
  <c r="G1605" i="324" s="1"/>
  <c r="F84" i="234"/>
  <c r="G1470" i="324" s="1"/>
  <c r="F89" i="234"/>
  <c r="G1527" i="324" s="1"/>
  <c r="F88" i="234"/>
  <c r="G1515" i="324" s="1"/>
  <c r="F87" i="234"/>
  <c r="G1503" i="324" s="1"/>
  <c r="G89" i="234"/>
  <c r="G1528" i="324" s="1"/>
  <c r="H89" i="234"/>
  <c r="G1529" i="324" s="1"/>
  <c r="I89" i="234"/>
  <c r="G1530" i="324" s="1"/>
  <c r="AF89" i="234"/>
  <c r="J89" i="234"/>
  <c r="G88" i="234"/>
  <c r="G1516" i="324" s="1"/>
  <c r="H88" i="234"/>
  <c r="H90" i="234" s="1"/>
  <c r="G1541" i="324" s="1"/>
  <c r="I88" i="234"/>
  <c r="G1518" i="324" s="1"/>
  <c r="I90" i="234"/>
  <c r="G1542" i="324" s="1"/>
  <c r="J88" i="234"/>
  <c r="G1519" i="324" s="1"/>
  <c r="AQ84" i="234"/>
  <c r="AP84" i="234"/>
  <c r="AA84" i="234" s="1"/>
  <c r="AO84" i="234"/>
  <c r="P84" i="234"/>
  <c r="O84" i="234"/>
  <c r="N84" i="234"/>
  <c r="M84" i="234"/>
  <c r="J84" i="234"/>
  <c r="G1474" i="324" s="1"/>
  <c r="I84" i="234"/>
  <c r="G1473" i="324" s="1"/>
  <c r="H84" i="234"/>
  <c r="G1472" i="324" s="1"/>
  <c r="G84" i="234"/>
  <c r="G1471" i="324" s="1"/>
  <c r="AG83" i="234"/>
  <c r="AF83" i="234"/>
  <c r="AE83" i="234"/>
  <c r="AD83" i="234"/>
  <c r="AC83" i="234"/>
  <c r="Q83" i="234"/>
  <c r="K83" i="234"/>
  <c r="G1463" i="324" s="1"/>
  <c r="AG82" i="234"/>
  <c r="AF82" i="234"/>
  <c r="AE82" i="234"/>
  <c r="AD82" i="234"/>
  <c r="AC82" i="234"/>
  <c r="AA82" i="234" s="1"/>
  <c r="Q82" i="234"/>
  <c r="K82" i="234"/>
  <c r="G1451" i="324" s="1"/>
  <c r="K85" i="234"/>
  <c r="G1488" i="324" s="1"/>
  <c r="Q85" i="234"/>
  <c r="AC85" i="234"/>
  <c r="AA85" i="234" s="1"/>
  <c r="AD85" i="234"/>
  <c r="AE85" i="234"/>
  <c r="AF85" i="234"/>
  <c r="AG85" i="234"/>
  <c r="Q86" i="234"/>
  <c r="AC86" i="234"/>
  <c r="AD86" i="234"/>
  <c r="AE86" i="234"/>
  <c r="AF86" i="234"/>
  <c r="AG86" i="234"/>
  <c r="G87" i="234"/>
  <c r="G1504" i="324" s="1"/>
  <c r="H87" i="234"/>
  <c r="G1505" i="324" s="1"/>
  <c r="I87" i="234"/>
  <c r="G1506" i="324" s="1"/>
  <c r="J87" i="234"/>
  <c r="G1507" i="324" s="1"/>
  <c r="L87" i="234"/>
  <c r="M87" i="234"/>
  <c r="N87" i="234"/>
  <c r="O87" i="234"/>
  <c r="P87" i="234"/>
  <c r="AO87" i="234"/>
  <c r="AP87" i="234"/>
  <c r="AA87" i="234" s="1"/>
  <c r="AQ87" i="234"/>
  <c r="AQ105" i="234"/>
  <c r="AP105" i="234"/>
  <c r="AO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Q89" i="234"/>
  <c r="AE89" i="234"/>
  <c r="M90" i="234"/>
  <c r="N90" i="234"/>
  <c r="O90" i="234"/>
  <c r="P90" i="234"/>
  <c r="AO90" i="234"/>
  <c r="AP90" i="234"/>
  <c r="AA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G2199" i="324" s="1"/>
  <c r="Y56" i="235"/>
  <c r="G2482" i="324" s="1"/>
  <c r="Z56" i="235"/>
  <c r="G2483" i="324" s="1"/>
  <c r="F27" i="235"/>
  <c r="W28" i="235"/>
  <c r="N31" i="235"/>
  <c r="N28" i="235"/>
  <c r="W26" i="235"/>
  <c r="G2078" i="324" s="1"/>
  <c r="V27" i="235"/>
  <c r="G2095" i="324" s="1"/>
  <c r="U27" i="235"/>
  <c r="G2094" i="324" s="1"/>
  <c r="T27" i="235"/>
  <c r="G2093" i="324" s="1"/>
  <c r="S27" i="235"/>
  <c r="G2092" i="324" s="1"/>
  <c r="R27" i="235"/>
  <c r="G2091" i="324" s="1"/>
  <c r="Q27" i="235"/>
  <c r="G2090" i="324" s="1"/>
  <c r="P27" i="235"/>
  <c r="G2089" i="324" s="1"/>
  <c r="O27" i="235"/>
  <c r="W27" i="235" s="1"/>
  <c r="G2096"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G4019" i="324" s="1"/>
  <c r="P27" i="234"/>
  <c r="G1191" i="324" s="1"/>
  <c r="O27" i="234"/>
  <c r="G1190" i="324" s="1"/>
  <c r="N27" i="234"/>
  <c r="G1189" i="324" s="1"/>
  <c r="M27" i="234"/>
  <c r="G1188" i="324" s="1"/>
  <c r="L27" i="234"/>
  <c r="Q26" i="234"/>
  <c r="G1180" i="324" s="1"/>
  <c r="Q25" i="234"/>
  <c r="G1168" i="324" s="1"/>
  <c r="Q31" i="234"/>
  <c r="G1216" i="324" s="1"/>
  <c r="Q32" i="234"/>
  <c r="L33" i="234"/>
  <c r="G1235" i="324" s="1"/>
  <c r="P33" i="234"/>
  <c r="O33" i="234"/>
  <c r="G1238" i="324" s="1"/>
  <c r="N33" i="234"/>
  <c r="M33" i="234"/>
  <c r="G1236" i="324" s="1"/>
  <c r="N35" i="246"/>
  <c r="L35" i="246" s="1"/>
  <c r="N44" i="246"/>
  <c r="L44" i="246" s="1"/>
  <c r="N35" i="254"/>
  <c r="L35" i="254" s="1"/>
  <c r="N36" i="254"/>
  <c r="L36" i="254" s="1"/>
  <c r="N33" i="254"/>
  <c r="L33" i="254" s="1"/>
  <c r="N34" i="254"/>
  <c r="L34" i="254" s="1"/>
  <c r="N32" i="254"/>
  <c r="L32" i="254" s="1"/>
  <c r="N21" i="254"/>
  <c r="L21" i="254" s="1"/>
  <c r="N29" i="254"/>
  <c r="L29" i="254" s="1"/>
  <c r="F23" i="238"/>
  <c r="G3113" i="324" s="1"/>
  <c r="G23" i="238"/>
  <c r="F22" i="238"/>
  <c r="G3109" i="324" s="1"/>
  <c r="G22" i="238"/>
  <c r="G3110" i="324" s="1"/>
  <c r="Q22" i="238"/>
  <c r="F21" i="238"/>
  <c r="R21" i="238" s="1"/>
  <c r="G21" i="238"/>
  <c r="S21" i="238" s="1"/>
  <c r="Q23" i="238"/>
  <c r="G11" i="238"/>
  <c r="G3086" i="324" s="1"/>
  <c r="F11" i="238"/>
  <c r="G3085" i="324" s="1"/>
  <c r="E11" i="238"/>
  <c r="G3084" i="324" s="1"/>
  <c r="S10" i="238"/>
  <c r="R10" i="238"/>
  <c r="Q10" i="238"/>
  <c r="O10" i="238" s="1"/>
  <c r="H10" i="238"/>
  <c r="G3083" i="324" s="1"/>
  <c r="S9" i="238"/>
  <c r="O9" i="238" s="1"/>
  <c r="R9" i="238"/>
  <c r="Q9" i="238"/>
  <c r="H9" i="238"/>
  <c r="G3079" i="324" s="1"/>
  <c r="S8" i="238"/>
  <c r="R8" i="238"/>
  <c r="Q8" i="238"/>
  <c r="H8" i="238"/>
  <c r="G3075" i="324" s="1"/>
  <c r="G18" i="238"/>
  <c r="H18" i="238" s="1"/>
  <c r="G3103" i="324" s="1"/>
  <c r="F18" i="238"/>
  <c r="G3101" i="324" s="1"/>
  <c r="E18" i="238"/>
  <c r="G3100" i="324" s="1"/>
  <c r="S17" i="238"/>
  <c r="R17" i="238"/>
  <c r="Q17" i="238"/>
  <c r="O17" i="238" s="1"/>
  <c r="H17" i="238"/>
  <c r="G3099" i="324" s="1"/>
  <c r="S16" i="238"/>
  <c r="R16" i="238"/>
  <c r="Q16" i="238"/>
  <c r="H16" i="238"/>
  <c r="G3095" i="324" s="1"/>
  <c r="S15" i="238"/>
  <c r="R15" i="238"/>
  <c r="Q15" i="238"/>
  <c r="O15" i="238" s="1"/>
  <c r="H15" i="238"/>
  <c r="G3091" i="324" s="1"/>
  <c r="N23" i="254"/>
  <c r="L23" i="254" s="1"/>
  <c r="N24" i="254"/>
  <c r="L24" i="254" s="1"/>
  <c r="N25" i="254"/>
  <c r="L25" i="254" s="1"/>
  <c r="N26" i="254"/>
  <c r="L26" i="254" s="1"/>
  <c r="N27" i="254"/>
  <c r="L27" i="254" s="1"/>
  <c r="N28" i="254"/>
  <c r="L28" i="254" s="1"/>
  <c r="N30" i="254"/>
  <c r="L30" i="254" s="1"/>
  <c r="N31" i="254"/>
  <c r="L31" i="254" s="1"/>
  <c r="N22" i="254"/>
  <c r="L22" i="254" s="1"/>
  <c r="N20" i="254"/>
  <c r="L20" i="254" s="1"/>
  <c r="X19" i="261"/>
  <c r="V19" i="261"/>
  <c r="Q90" i="234"/>
  <c r="AG88" i="234"/>
  <c r="AF88" i="234"/>
  <c r="Q87" i="234"/>
  <c r="N13" i="305"/>
  <c r="H13" i="305"/>
  <c r="H24" i="305" s="1"/>
  <c r="H36" i="305" s="1"/>
  <c r="I19" i="231"/>
  <c r="G71" i="324" s="1"/>
  <c r="H19" i="231"/>
  <c r="G70" i="324" s="1"/>
  <c r="F19" i="231"/>
  <c r="E19" i="231"/>
  <c r="G67" i="324" s="1"/>
  <c r="D19" i="231"/>
  <c r="G66" i="324" s="1"/>
  <c r="G25" i="263"/>
  <c r="G18" i="263"/>
  <c r="D29" i="262"/>
  <c r="G22" i="262"/>
  <c r="I23" i="237"/>
  <c r="F999" i="269" s="1"/>
  <c r="H23" i="237"/>
  <c r="F998" i="269" s="1"/>
  <c r="G23" i="237"/>
  <c r="F997" i="269" s="1"/>
  <c r="F23" i="237"/>
  <c r="F996" i="269" s="1"/>
  <c r="E23" i="237"/>
  <c r="F995" i="269" s="1"/>
  <c r="I15" i="237"/>
  <c r="F963" i="269" s="1"/>
  <c r="H15" i="237"/>
  <c r="G15" i="237"/>
  <c r="F961" i="269" s="1"/>
  <c r="F15" i="237"/>
  <c r="F960" i="269" s="1"/>
  <c r="E15" i="237"/>
  <c r="F959" i="269" s="1"/>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AI173" i="284" s="1"/>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AI165" i="284" s="1"/>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AI157" i="284" s="1"/>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AI149" i="284" s="1"/>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AI141" i="284" s="1"/>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AI133" i="284" s="1"/>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I180" i="284" s="1"/>
  <c r="AP180" i="284"/>
  <c r="AO180" i="284"/>
  <c r="AN180" i="284"/>
  <c r="AM180" i="284"/>
  <c r="AL180" i="284"/>
  <c r="AK180" i="284"/>
  <c r="AQ179" i="284"/>
  <c r="AP179" i="284"/>
  <c r="AI179" i="284" s="1"/>
  <c r="AO179" i="284"/>
  <c r="AN179" i="284"/>
  <c r="AM179" i="284"/>
  <c r="AL179" i="284"/>
  <c r="AK179" i="284"/>
  <c r="AQ178" i="284"/>
  <c r="AP178" i="284"/>
  <c r="AO178" i="284"/>
  <c r="AI178" i="284" s="1"/>
  <c r="AN178" i="284"/>
  <c r="AM178" i="284"/>
  <c r="AL178" i="284"/>
  <c r="AK178" i="284"/>
  <c r="AQ177" i="284"/>
  <c r="AP177" i="284"/>
  <c r="AO177" i="284"/>
  <c r="AN177" i="284"/>
  <c r="AI177" i="284" s="1"/>
  <c r="AM177" i="284"/>
  <c r="AL177" i="284"/>
  <c r="AK177" i="284"/>
  <c r="AQ176" i="284"/>
  <c r="AP176" i="284"/>
  <c r="AO176" i="284"/>
  <c r="AN176" i="284"/>
  <c r="AM176" i="284"/>
  <c r="AI176" i="284" s="1"/>
  <c r="AL176" i="284"/>
  <c r="AK176" i="284"/>
  <c r="AQ175" i="284"/>
  <c r="AP175" i="284"/>
  <c r="AO175" i="284"/>
  <c r="AN175" i="284"/>
  <c r="AM175" i="284"/>
  <c r="AL175" i="284"/>
  <c r="AI175" i="284" s="1"/>
  <c r="AK175" i="284"/>
  <c r="AQ174" i="284"/>
  <c r="AP174" i="284"/>
  <c r="AO174" i="284"/>
  <c r="AN174" i="284"/>
  <c r="AM174" i="284"/>
  <c r="AL174" i="284"/>
  <c r="AK174" i="284"/>
  <c r="AI174" i="284" s="1"/>
  <c r="AQ173" i="284"/>
  <c r="AP173" i="284"/>
  <c r="AO173" i="284"/>
  <c r="AN173" i="284"/>
  <c r="AM173" i="284"/>
  <c r="AL173" i="284"/>
  <c r="AK173" i="284"/>
  <c r="AQ172" i="284"/>
  <c r="AI172" i="284" s="1"/>
  <c r="AP172" i="284"/>
  <c r="AO172" i="284"/>
  <c r="AN172" i="284"/>
  <c r="AM172" i="284"/>
  <c r="AL172" i="284"/>
  <c r="AK172" i="284"/>
  <c r="AQ171" i="284"/>
  <c r="AP171" i="284"/>
  <c r="AI171" i="284" s="1"/>
  <c r="AO171" i="284"/>
  <c r="AN171" i="284"/>
  <c r="AM171" i="284"/>
  <c r="AL171" i="284"/>
  <c r="AK171" i="284"/>
  <c r="AQ170" i="284"/>
  <c r="AP170" i="284"/>
  <c r="AO170" i="284"/>
  <c r="AI170" i="284" s="1"/>
  <c r="AN170" i="284"/>
  <c r="AM170" i="284"/>
  <c r="AL170" i="284"/>
  <c r="AK170" i="284"/>
  <c r="AQ169" i="284"/>
  <c r="AP169" i="284"/>
  <c r="AO169" i="284"/>
  <c r="AN169" i="284"/>
  <c r="AI169" i="284" s="1"/>
  <c r="AM169" i="284"/>
  <c r="AL169" i="284"/>
  <c r="AK169" i="284"/>
  <c r="AQ168" i="284"/>
  <c r="AP168" i="284"/>
  <c r="AO168" i="284"/>
  <c r="AN168" i="284"/>
  <c r="AM168" i="284"/>
  <c r="AI168" i="284" s="1"/>
  <c r="AL168" i="284"/>
  <c r="AK168" i="284"/>
  <c r="AQ167" i="284"/>
  <c r="AP167" i="284"/>
  <c r="AO167" i="284"/>
  <c r="AN167" i="284"/>
  <c r="AM167" i="284"/>
  <c r="AL167" i="284"/>
  <c r="AI167" i="284" s="1"/>
  <c r="AK167" i="284"/>
  <c r="AQ166" i="284"/>
  <c r="AP166" i="284"/>
  <c r="AO166" i="284"/>
  <c r="AN166" i="284"/>
  <c r="AM166" i="284"/>
  <c r="AL166" i="284"/>
  <c r="AK166" i="284"/>
  <c r="AI166" i="284" s="1"/>
  <c r="AQ165" i="284"/>
  <c r="AP165" i="284"/>
  <c r="AO165" i="284"/>
  <c r="AN165" i="284"/>
  <c r="AM165" i="284"/>
  <c r="AL165" i="284"/>
  <c r="AK165" i="284"/>
  <c r="AQ164" i="284"/>
  <c r="AI164" i="284" s="1"/>
  <c r="AP164" i="284"/>
  <c r="AO164" i="284"/>
  <c r="AN164" i="284"/>
  <c r="AM164" i="284"/>
  <c r="AL164" i="284"/>
  <c r="AK164" i="284"/>
  <c r="AQ163" i="284"/>
  <c r="AP163" i="284"/>
  <c r="AI163" i="284" s="1"/>
  <c r="AO163" i="284"/>
  <c r="AN163" i="284"/>
  <c r="AM163" i="284"/>
  <c r="AL163" i="284"/>
  <c r="AK163" i="284"/>
  <c r="AQ162" i="284"/>
  <c r="AP162" i="284"/>
  <c r="AO162" i="284"/>
  <c r="AI162" i="284" s="1"/>
  <c r="AN162" i="284"/>
  <c r="AM162" i="284"/>
  <c r="AL162" i="284"/>
  <c r="AK162" i="284"/>
  <c r="AQ161" i="284"/>
  <c r="AP161" i="284"/>
  <c r="AO161" i="284"/>
  <c r="AN161" i="284"/>
  <c r="AI161" i="284" s="1"/>
  <c r="AM161" i="284"/>
  <c r="AL161" i="284"/>
  <c r="AK161" i="284"/>
  <c r="AQ160" i="284"/>
  <c r="AP160" i="284"/>
  <c r="AO160" i="284"/>
  <c r="AN160" i="284"/>
  <c r="AM160" i="284"/>
  <c r="AI160" i="284" s="1"/>
  <c r="AL160" i="284"/>
  <c r="AK160" i="284"/>
  <c r="AQ159" i="284"/>
  <c r="AP159" i="284"/>
  <c r="AO159" i="284"/>
  <c r="AN159" i="284"/>
  <c r="AM159" i="284"/>
  <c r="AL159" i="284"/>
  <c r="AI159" i="284" s="1"/>
  <c r="AK159" i="284"/>
  <c r="AQ158" i="284"/>
  <c r="AP158" i="284"/>
  <c r="AO158" i="284"/>
  <c r="AN158" i="284"/>
  <c r="AM158" i="284"/>
  <c r="AL158" i="284"/>
  <c r="AK158" i="284"/>
  <c r="AQ157" i="284"/>
  <c r="AP157" i="284"/>
  <c r="AO157" i="284"/>
  <c r="AN157" i="284"/>
  <c r="AM157" i="284"/>
  <c r="AL157" i="284"/>
  <c r="AK157" i="284"/>
  <c r="AQ156" i="284"/>
  <c r="AI156" i="284" s="1"/>
  <c r="AP156" i="284"/>
  <c r="AO156" i="284"/>
  <c r="AN156" i="284"/>
  <c r="AM156" i="284"/>
  <c r="AL156" i="284"/>
  <c r="AK156" i="284"/>
  <c r="AQ155" i="284"/>
  <c r="AP155" i="284"/>
  <c r="AI155" i="284" s="1"/>
  <c r="AO155" i="284"/>
  <c r="AN155" i="284"/>
  <c r="AM155" i="284"/>
  <c r="AL155" i="284"/>
  <c r="AK155" i="284"/>
  <c r="AQ154" i="284"/>
  <c r="AP154" i="284"/>
  <c r="AO154" i="284"/>
  <c r="AI154" i="284" s="1"/>
  <c r="AN154" i="284"/>
  <c r="AM154" i="284"/>
  <c r="AL154" i="284"/>
  <c r="AK154" i="284"/>
  <c r="AQ153" i="284"/>
  <c r="AP153" i="284"/>
  <c r="AO153" i="284"/>
  <c r="AN153" i="284"/>
  <c r="AI153" i="284" s="1"/>
  <c r="AM153" i="284"/>
  <c r="AL153" i="284"/>
  <c r="AK153" i="284"/>
  <c r="AQ152" i="284"/>
  <c r="AP152" i="284"/>
  <c r="AO152" i="284"/>
  <c r="AN152" i="284"/>
  <c r="AM152" i="284"/>
  <c r="AI152" i="284" s="1"/>
  <c r="AL152" i="284"/>
  <c r="AK152" i="284"/>
  <c r="AQ151" i="284"/>
  <c r="AP151" i="284"/>
  <c r="AO151" i="284"/>
  <c r="AN151" i="284"/>
  <c r="AM151" i="284"/>
  <c r="AL151" i="284"/>
  <c r="AI151" i="284" s="1"/>
  <c r="AK151" i="284"/>
  <c r="AQ150" i="284"/>
  <c r="AP150" i="284"/>
  <c r="AO150" i="284"/>
  <c r="AN150" i="284"/>
  <c r="AM150" i="284"/>
  <c r="AL150" i="284"/>
  <c r="AK150" i="284"/>
  <c r="AI150" i="284" s="1"/>
  <c r="AQ149" i="284"/>
  <c r="AP149" i="284"/>
  <c r="AO149" i="284"/>
  <c r="AN149" i="284"/>
  <c r="AM149" i="284"/>
  <c r="AL149" i="284"/>
  <c r="AK149" i="284"/>
  <c r="AQ148" i="284"/>
  <c r="AI148" i="284" s="1"/>
  <c r="AP148" i="284"/>
  <c r="AO148" i="284"/>
  <c r="AN148" i="284"/>
  <c r="AM148" i="284"/>
  <c r="AL148" i="284"/>
  <c r="AK148" i="284"/>
  <c r="AQ147" i="284"/>
  <c r="AP147" i="284"/>
  <c r="AI147" i="284" s="1"/>
  <c r="AO147" i="284"/>
  <c r="AN147" i="284"/>
  <c r="AM147" i="284"/>
  <c r="AL147" i="284"/>
  <c r="AK147" i="284"/>
  <c r="AQ146" i="284"/>
  <c r="AP146" i="284"/>
  <c r="AO146" i="284"/>
  <c r="AI146" i="284" s="1"/>
  <c r="AN146" i="284"/>
  <c r="AM146" i="284"/>
  <c r="AL146" i="284"/>
  <c r="AK146" i="284"/>
  <c r="AQ145" i="284"/>
  <c r="AP145" i="284"/>
  <c r="AO145" i="284"/>
  <c r="AN145" i="284"/>
  <c r="AI145" i="284" s="1"/>
  <c r="AM145" i="284"/>
  <c r="AL145" i="284"/>
  <c r="AK145" i="284"/>
  <c r="AQ144" i="284"/>
  <c r="AP144" i="284"/>
  <c r="AO144" i="284"/>
  <c r="AN144" i="284"/>
  <c r="AM144" i="284"/>
  <c r="AI144" i="284" s="1"/>
  <c r="AL144" i="284"/>
  <c r="AK144" i="284"/>
  <c r="AQ143" i="284"/>
  <c r="AP143" i="284"/>
  <c r="AO143" i="284"/>
  <c r="AN143" i="284"/>
  <c r="AM143" i="284"/>
  <c r="AL143" i="284"/>
  <c r="AI143" i="284" s="1"/>
  <c r="AK143" i="284"/>
  <c r="AQ142" i="284"/>
  <c r="AP142" i="284"/>
  <c r="AO142" i="284"/>
  <c r="AN142" i="284"/>
  <c r="AM142" i="284"/>
  <c r="AL142" i="284"/>
  <c r="AK142" i="284"/>
  <c r="AI142" i="284" s="1"/>
  <c r="AQ141" i="284"/>
  <c r="AP141" i="284"/>
  <c r="AO141" i="284"/>
  <c r="AN141" i="284"/>
  <c r="AM141" i="284"/>
  <c r="AL141" i="284"/>
  <c r="AK141" i="284"/>
  <c r="AQ140" i="284"/>
  <c r="AI140" i="284" s="1"/>
  <c r="AP140" i="284"/>
  <c r="AO140" i="284"/>
  <c r="AN140" i="284"/>
  <c r="AM140" i="284"/>
  <c r="AL140" i="284"/>
  <c r="AK140" i="284"/>
  <c r="AQ139" i="284"/>
  <c r="AP139" i="284"/>
  <c r="AI139" i="284" s="1"/>
  <c r="AO139" i="284"/>
  <c r="AN139" i="284"/>
  <c r="AM139" i="284"/>
  <c r="AL139" i="284"/>
  <c r="AK139" i="284"/>
  <c r="AQ138" i="284"/>
  <c r="AP138" i="284"/>
  <c r="AO138" i="284"/>
  <c r="AI138" i="284" s="1"/>
  <c r="AN138" i="284"/>
  <c r="AM138" i="284"/>
  <c r="AL138" i="284"/>
  <c r="AK138" i="284"/>
  <c r="AQ137" i="284"/>
  <c r="AP137" i="284"/>
  <c r="AO137" i="284"/>
  <c r="AN137" i="284"/>
  <c r="AI137" i="284" s="1"/>
  <c r="AM137" i="284"/>
  <c r="AL137" i="284"/>
  <c r="AK137" i="284"/>
  <c r="AQ136" i="284"/>
  <c r="AP136" i="284"/>
  <c r="AO136" i="284"/>
  <c r="AN136" i="284"/>
  <c r="AM136" i="284"/>
  <c r="AI136" i="284" s="1"/>
  <c r="AL136" i="284"/>
  <c r="AK136" i="284"/>
  <c r="AQ135" i="284"/>
  <c r="AP135" i="284"/>
  <c r="AO135" i="284"/>
  <c r="AN135" i="284"/>
  <c r="AM135" i="284"/>
  <c r="AL135" i="284"/>
  <c r="AI135" i="284" s="1"/>
  <c r="AK135" i="284"/>
  <c r="AQ134" i="284"/>
  <c r="AP134" i="284"/>
  <c r="AO134" i="284"/>
  <c r="AN134" i="284"/>
  <c r="AM134" i="284"/>
  <c r="AL134" i="284"/>
  <c r="AK134" i="284"/>
  <c r="AI134" i="284" s="1"/>
  <c r="AQ133" i="284"/>
  <c r="AP133" i="284"/>
  <c r="AO133" i="284"/>
  <c r="AN133" i="284"/>
  <c r="AM133" i="284"/>
  <c r="AL133" i="284"/>
  <c r="AK133" i="284"/>
  <c r="AQ132" i="284"/>
  <c r="AI132" i="284" s="1"/>
  <c r="AP132" i="284"/>
  <c r="AO132" i="284"/>
  <c r="AN132" i="284"/>
  <c r="AM132" i="284"/>
  <c r="AL132" i="284"/>
  <c r="AK132" i="284"/>
  <c r="AQ131" i="284"/>
  <c r="AP131" i="284"/>
  <c r="AI131" i="284" s="1"/>
  <c r="AO131" i="284"/>
  <c r="AN131" i="284"/>
  <c r="AM131" i="284"/>
  <c r="AL131" i="284"/>
  <c r="AK131" i="284"/>
  <c r="AQ130" i="284"/>
  <c r="AP130" i="284"/>
  <c r="AO130" i="284"/>
  <c r="AI130" i="284" s="1"/>
  <c r="AN130" i="284"/>
  <c r="AM130" i="284"/>
  <c r="AL130" i="284"/>
  <c r="AK130" i="284"/>
  <c r="AQ129" i="284"/>
  <c r="AP129" i="284"/>
  <c r="AO129" i="284"/>
  <c r="AN129" i="284"/>
  <c r="AI129" i="284" s="1"/>
  <c r="AM129" i="284"/>
  <c r="AL129" i="284"/>
  <c r="AK129" i="284"/>
  <c r="AQ128" i="284"/>
  <c r="AP128" i="284"/>
  <c r="AO128" i="284"/>
  <c r="AN128" i="284"/>
  <c r="AM128" i="284"/>
  <c r="AI128" i="284" s="1"/>
  <c r="AL128" i="284"/>
  <c r="AK128" i="284"/>
  <c r="AQ127" i="284"/>
  <c r="AP127" i="284"/>
  <c r="AO127" i="284"/>
  <c r="AN127" i="284"/>
  <c r="AM127" i="284"/>
  <c r="AL127" i="284"/>
  <c r="AI127" i="284" s="1"/>
  <c r="AK127" i="284"/>
  <c r="AQ126" i="284"/>
  <c r="AP126" i="284"/>
  <c r="AO126" i="284"/>
  <c r="AN126" i="284"/>
  <c r="AM126" i="284"/>
  <c r="AL126" i="284"/>
  <c r="AK126" i="284"/>
  <c r="AI126" i="284" s="1"/>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7" i="324" s="1"/>
  <c r="J25" i="261"/>
  <c r="G3830" i="324" s="1"/>
  <c r="G26" i="261"/>
  <c r="G3840" i="324" s="1"/>
  <c r="J26" i="261"/>
  <c r="G3843" i="324" s="1"/>
  <c r="G27" i="261"/>
  <c r="G3853" i="324" s="1"/>
  <c r="J27" i="261"/>
  <c r="G3856" i="324" s="1"/>
  <c r="G28" i="261"/>
  <c r="G3866" i="324" s="1"/>
  <c r="J28" i="261"/>
  <c r="G3869" i="324" s="1"/>
  <c r="G29" i="261"/>
  <c r="G3879" i="324" s="1"/>
  <c r="J29" i="261"/>
  <c r="G3882" i="324" s="1"/>
  <c r="G30" i="261"/>
  <c r="G3892" i="324" s="1"/>
  <c r="J30" i="261"/>
  <c r="G3895" i="324" s="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F22" i="221" s="1"/>
  <c r="F967" i="268" s="1"/>
  <c r="G13" i="221"/>
  <c r="G22" i="221" s="1"/>
  <c r="F968" i="268" s="1"/>
  <c r="H13" i="221"/>
  <c r="I13" i="221"/>
  <c r="J13" i="221"/>
  <c r="K13" i="221"/>
  <c r="L16" i="221"/>
  <c r="L17" i="221"/>
  <c r="L18" i="221"/>
  <c r="F949" i="268" s="1"/>
  <c r="L19" i="221"/>
  <c r="F957" i="268" s="1"/>
  <c r="E20" i="221"/>
  <c r="F20" i="221"/>
  <c r="G20" i="221"/>
  <c r="H20" i="221"/>
  <c r="I20" i="221"/>
  <c r="J20" i="221"/>
  <c r="J22" i="221" s="1"/>
  <c r="F971" i="268" s="1"/>
  <c r="K20" i="221"/>
  <c r="H22" i="221"/>
  <c r="I22" i="221"/>
  <c r="E24" i="221"/>
  <c r="F24" i="221"/>
  <c r="F975" i="268" s="1"/>
  <c r="G24" i="221"/>
  <c r="H24" i="221"/>
  <c r="I24" i="221"/>
  <c r="F978" i="268" s="1"/>
  <c r="J24" i="221"/>
  <c r="K24" i="221"/>
  <c r="L27" i="221"/>
  <c r="L28" i="221"/>
  <c r="E29" i="221"/>
  <c r="F29" i="221"/>
  <c r="G29" i="221"/>
  <c r="H29" i="221"/>
  <c r="F1001" i="268" s="1"/>
  <c r="I29" i="221"/>
  <c r="J29" i="221"/>
  <c r="K29" i="221"/>
  <c r="F1004" i="268" s="1"/>
  <c r="I17" i="219"/>
  <c r="I20" i="219" s="1"/>
  <c r="H17" i="219"/>
  <c r="H20" i="219" s="1"/>
  <c r="G17" i="219"/>
  <c r="G20" i="219" s="1"/>
  <c r="F17" i="219"/>
  <c r="F20" i="219" s="1"/>
  <c r="E17" i="219"/>
  <c r="J16" i="219"/>
  <c r="J15" i="219"/>
  <c r="J14" i="219"/>
  <c r="J13" i="219"/>
  <c r="E8" i="219"/>
  <c r="G9" i="217"/>
  <c r="F791" i="268" s="1"/>
  <c r="G13" i="217"/>
  <c r="F797" i="268" s="1"/>
  <c r="F18" i="216"/>
  <c r="E18" i="216"/>
  <c r="F15" i="217" s="1"/>
  <c r="F799" i="268" s="1"/>
  <c r="F11" i="216"/>
  <c r="E11" i="216"/>
  <c r="E15" i="217" s="1"/>
  <c r="F798" i="268" s="1"/>
  <c r="G8" i="215"/>
  <c r="J8" i="215"/>
  <c r="G9" i="215"/>
  <c r="F677" i="268" s="1"/>
  <c r="J9" i="215"/>
  <c r="G10" i="215"/>
  <c r="J10" i="215"/>
  <c r="E11" i="215"/>
  <c r="F687" i="268" s="1"/>
  <c r="F11" i="215"/>
  <c r="F688" i="268" s="1"/>
  <c r="H11" i="215"/>
  <c r="I11" i="215"/>
  <c r="G16" i="215"/>
  <c r="F695" i="268" s="1"/>
  <c r="J16" i="215"/>
  <c r="G17" i="215"/>
  <c r="J17" i="215"/>
  <c r="G18" i="215"/>
  <c r="F707" i="268" s="1"/>
  <c r="J18" i="215"/>
  <c r="G19" i="215"/>
  <c r="F713" i="268" s="1"/>
  <c r="J19" i="215"/>
  <c r="F716" i="268" s="1"/>
  <c r="G20" i="215"/>
  <c r="J20" i="215"/>
  <c r="G21" i="215"/>
  <c r="J21" i="215"/>
  <c r="G22" i="215"/>
  <c r="F731" i="268" s="1"/>
  <c r="J22" i="215"/>
  <c r="E23" i="215"/>
  <c r="F735" i="268" s="1"/>
  <c r="F23" i="215"/>
  <c r="F736" i="268" s="1"/>
  <c r="H23" i="215"/>
  <c r="G8" i="219" s="1"/>
  <c r="I23" i="215"/>
  <c r="H8" i="219" s="1"/>
  <c r="H10" i="219" s="1"/>
  <c r="H21" i="219" s="1"/>
  <c r="G26" i="215"/>
  <c r="G27" i="215"/>
  <c r="E28" i="215"/>
  <c r="F28" i="215"/>
  <c r="G33" i="215"/>
  <c r="G34" i="215"/>
  <c r="G35" i="215"/>
  <c r="F761" i="268" s="1"/>
  <c r="E36" i="215"/>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C25" i="214" s="1"/>
  <c r="F548" i="268" s="1"/>
  <c r="C11" i="214"/>
  <c r="H54" i="213"/>
  <c r="F536" i="268" s="1"/>
  <c r="H52" i="213"/>
  <c r="F531" i="268" s="1"/>
  <c r="H47" i="213"/>
  <c r="H44" i="213"/>
  <c r="H43" i="213"/>
  <c r="H42" i="213"/>
  <c r="H40" i="213"/>
  <c r="G39" i="213"/>
  <c r="F39" i="213"/>
  <c r="F41" i="213" s="1"/>
  <c r="F45" i="213" s="1"/>
  <c r="F522" i="268" s="1"/>
  <c r="E39" i="213"/>
  <c r="E41" i="213"/>
  <c r="F505" i="268" s="1"/>
  <c r="H38" i="213"/>
  <c r="H37" i="213"/>
  <c r="H36" i="213"/>
  <c r="F8" i="217" s="1"/>
  <c r="H35" i="213"/>
  <c r="H32" i="213"/>
  <c r="H29" i="213"/>
  <c r="H28" i="213"/>
  <c r="H27" i="213"/>
  <c r="F465" i="268" s="1"/>
  <c r="H25" i="213"/>
  <c r="G24" i="213"/>
  <c r="G26" i="213" s="1"/>
  <c r="F24" i="213"/>
  <c r="F26" i="213" s="1"/>
  <c r="E24" i="213"/>
  <c r="H24" i="213" s="1"/>
  <c r="F453" i="268" s="1"/>
  <c r="H23" i="213"/>
  <c r="H22" i="213"/>
  <c r="H21" i="213"/>
  <c r="H20" i="213"/>
  <c r="E8" i="217" s="1"/>
  <c r="H19" i="213"/>
  <c r="F433" i="268" s="1"/>
  <c r="H16" i="213"/>
  <c r="G14" i="213"/>
  <c r="H13" i="213"/>
  <c r="H12" i="213"/>
  <c r="H11" i="213"/>
  <c r="G10" i="213"/>
  <c r="F10" i="213"/>
  <c r="H10" i="213" s="1"/>
  <c r="E10" i="213"/>
  <c r="E14" i="213" s="1"/>
  <c r="H9" i="213"/>
  <c r="H8" i="213"/>
  <c r="F402" i="268" s="1"/>
  <c r="K29" i="212"/>
  <c r="F397" i="268" s="1"/>
  <c r="J29" i="212"/>
  <c r="I29" i="212"/>
  <c r="F395" i="268" s="1"/>
  <c r="H29" i="212"/>
  <c r="G29" i="212"/>
  <c r="F29" i="212"/>
  <c r="E29" i="212"/>
  <c r="L28" i="212"/>
  <c r="F390" i="268" s="1"/>
  <c r="L27" i="212"/>
  <c r="F382" i="268" s="1"/>
  <c r="K24" i="212"/>
  <c r="F373" i="268" s="1"/>
  <c r="J24" i="212"/>
  <c r="I24" i="212"/>
  <c r="F371" i="268" s="1"/>
  <c r="H24" i="212"/>
  <c r="G24" i="212"/>
  <c r="F24" i="212"/>
  <c r="E24" i="212"/>
  <c r="K20" i="212"/>
  <c r="J20" i="212"/>
  <c r="F356" i="268" s="1"/>
  <c r="I20" i="212"/>
  <c r="H20" i="212"/>
  <c r="G20" i="212"/>
  <c r="F20" i="212"/>
  <c r="E20" i="212"/>
  <c r="F351" i="268" s="1"/>
  <c r="L19" i="212"/>
  <c r="L18" i="212"/>
  <c r="F342" i="268" s="1"/>
  <c r="L17" i="212"/>
  <c r="F334" i="268" s="1"/>
  <c r="L16" i="212"/>
  <c r="K13" i="212"/>
  <c r="F317" i="268" s="1"/>
  <c r="J13" i="212"/>
  <c r="I13" i="212"/>
  <c r="I22" i="212"/>
  <c r="F363" i="268" s="1"/>
  <c r="H13" i="212"/>
  <c r="H22" i="212" s="1"/>
  <c r="F362" i="268" s="1"/>
  <c r="G13" i="212"/>
  <c r="F313" i="268" s="1"/>
  <c r="F13" i="212"/>
  <c r="F22" i="212" s="1"/>
  <c r="F360" i="268" s="1"/>
  <c r="E13" i="212"/>
  <c r="L12" i="212"/>
  <c r="F310" i="268" s="1"/>
  <c r="L11" i="212"/>
  <c r="F302" i="268" s="1"/>
  <c r="L10" i="212"/>
  <c r="L9" i="212"/>
  <c r="F286" i="268" s="1"/>
  <c r="L8" i="212"/>
  <c r="G41" i="307"/>
  <c r="G40" i="307"/>
  <c r="G39" i="307"/>
  <c r="F41" i="307"/>
  <c r="F40" i="307"/>
  <c r="F39" i="307"/>
  <c r="E50" i="211"/>
  <c r="F267" i="268" s="1"/>
  <c r="E46" i="211"/>
  <c r="G41" i="211"/>
  <c r="G38" i="211"/>
  <c r="G33" i="211"/>
  <c r="G32" i="211"/>
  <c r="F249" i="268" s="1"/>
  <c r="F28" i="211"/>
  <c r="F242" i="268" s="1"/>
  <c r="E28" i="211"/>
  <c r="G27" i="211"/>
  <c r="F240" i="268" s="1"/>
  <c r="G26" i="211"/>
  <c r="G25" i="211"/>
  <c r="G24" i="211"/>
  <c r="G21" i="211"/>
  <c r="G20" i="211"/>
  <c r="F225" i="268" s="1"/>
  <c r="G19" i="211"/>
  <c r="F222" i="268" s="1"/>
  <c r="G18" i="211"/>
  <c r="F219" i="268" s="1"/>
  <c r="F15" i="211"/>
  <c r="F30" i="211" s="1"/>
  <c r="E15" i="211"/>
  <c r="E30" i="211" s="1"/>
  <c r="G14" i="211"/>
  <c r="G13" i="211"/>
  <c r="G12" i="211"/>
  <c r="G11" i="211"/>
  <c r="F206" i="268" s="1"/>
  <c r="G10" i="211"/>
  <c r="F203" i="268" s="1"/>
  <c r="G9" i="211"/>
  <c r="G8" i="211"/>
  <c r="F197" i="268" s="1"/>
  <c r="H43" i="210"/>
  <c r="G43" i="210"/>
  <c r="F43" i="210"/>
  <c r="E43" i="210"/>
  <c r="H42" i="210"/>
  <c r="G42" i="210"/>
  <c r="F42" i="210"/>
  <c r="E42" i="210"/>
  <c r="H37" i="210"/>
  <c r="G37" i="210"/>
  <c r="F37" i="210"/>
  <c r="E37" i="210"/>
  <c r="H33" i="210"/>
  <c r="G33" i="210"/>
  <c r="F33" i="210"/>
  <c r="E33" i="210"/>
  <c r="I32" i="210"/>
  <c r="I34" i="210" s="1"/>
  <c r="F166" i="268" s="1"/>
  <c r="H31" i="210"/>
  <c r="G31" i="210"/>
  <c r="F31" i="210"/>
  <c r="E31" i="210"/>
  <c r="J31" i="210" s="1"/>
  <c r="H26" i="210"/>
  <c r="G26" i="210"/>
  <c r="F26" i="210"/>
  <c r="E26" i="210"/>
  <c r="H22" i="210"/>
  <c r="G22" i="210"/>
  <c r="F22" i="210"/>
  <c r="E22" i="210"/>
  <c r="J22" i="210" s="1"/>
  <c r="F124" i="268" s="1"/>
  <c r="H20" i="210"/>
  <c r="G20" i="210"/>
  <c r="F20" i="210"/>
  <c r="E20" i="210"/>
  <c r="I16" i="210"/>
  <c r="I21" i="210" s="1"/>
  <c r="H15" i="210"/>
  <c r="G15" i="210"/>
  <c r="F15" i="210"/>
  <c r="E15" i="210"/>
  <c r="H14" i="210"/>
  <c r="G14" i="210"/>
  <c r="F89" i="268" s="1"/>
  <c r="F14" i="210"/>
  <c r="E14" i="210"/>
  <c r="H13" i="210"/>
  <c r="G13" i="210"/>
  <c r="F13" i="210"/>
  <c r="E13" i="210"/>
  <c r="H12" i="210"/>
  <c r="G12" i="210"/>
  <c r="F78" i="268" s="1"/>
  <c r="F12" i="210"/>
  <c r="E12" i="210"/>
  <c r="H11" i="210"/>
  <c r="G11" i="210"/>
  <c r="F11" i="210"/>
  <c r="E11" i="210"/>
  <c r="H10" i="210"/>
  <c r="F69" i="268" s="1"/>
  <c r="G10" i="210"/>
  <c r="F68" i="268" s="1"/>
  <c r="F10" i="210"/>
  <c r="E10" i="210"/>
  <c r="F66" i="268" s="1"/>
  <c r="H9" i="210"/>
  <c r="G9" i="210"/>
  <c r="F9" i="210"/>
  <c r="F61" i="268" s="1"/>
  <c r="E9" i="210"/>
  <c r="H8" i="210"/>
  <c r="H16" i="210" s="1"/>
  <c r="G8" i="210"/>
  <c r="F57" i="268" s="1"/>
  <c r="F8" i="210"/>
  <c r="E8" i="210"/>
  <c r="J37" i="210"/>
  <c r="J26" i="210"/>
  <c r="F135" i="268" s="1"/>
  <c r="G13" i="263"/>
  <c r="E22" i="262"/>
  <c r="G17" i="262"/>
  <c r="E26" i="213"/>
  <c r="E30" i="213" s="1"/>
  <c r="F474"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29" i="220"/>
  <c r="F28" i="220"/>
  <c r="F22" i="305"/>
  <c r="F469" i="299" s="1"/>
  <c r="P54" i="305"/>
  <c r="J54" i="305"/>
  <c r="F614" i="299" s="1"/>
  <c r="O53" i="305"/>
  <c r="M53" i="305"/>
  <c r="F609" i="299" s="1"/>
  <c r="I53" i="305"/>
  <c r="G53" i="305"/>
  <c r="F606" i="299" s="1"/>
  <c r="O52" i="305"/>
  <c r="M52" i="305"/>
  <c r="I52" i="305"/>
  <c r="G52" i="305"/>
  <c r="O46" i="305"/>
  <c r="M46" i="305"/>
  <c r="F585" i="299" s="1"/>
  <c r="I46" i="305"/>
  <c r="F46" i="305" s="1"/>
  <c r="F581" i="299" s="1"/>
  <c r="G46" i="305"/>
  <c r="O45" i="305"/>
  <c r="L45" i="305" s="1"/>
  <c r="F577" i="299" s="1"/>
  <c r="N45" i="305"/>
  <c r="F579" i="299" s="1"/>
  <c r="M45" i="305"/>
  <c r="I45" i="305"/>
  <c r="H45" i="305"/>
  <c r="F574" i="299" s="1"/>
  <c r="G45" i="305"/>
  <c r="F573" i="299" s="1"/>
  <c r="O40" i="305"/>
  <c r="M40" i="305"/>
  <c r="F557" i="299"/>
  <c r="I40" i="305"/>
  <c r="G40" i="305"/>
  <c r="F554" i="299"/>
  <c r="N38" i="305"/>
  <c r="F550" i="299" s="1"/>
  <c r="M38" i="305"/>
  <c r="P38" i="305" s="1"/>
  <c r="F552" i="299" s="1"/>
  <c r="L38" i="305"/>
  <c r="H38" i="305"/>
  <c r="F546" i="299" s="1"/>
  <c r="G38" i="305"/>
  <c r="J38" i="305" s="1"/>
  <c r="F548" i="299" s="1"/>
  <c r="F38" i="305"/>
  <c r="I38" i="305" s="1"/>
  <c r="F547" i="299" s="1"/>
  <c r="P34" i="305"/>
  <c r="J34" i="305"/>
  <c r="F528" i="299" s="1"/>
  <c r="O33" i="305"/>
  <c r="M33" i="305"/>
  <c r="F523" i="299" s="1"/>
  <c r="I33" i="305"/>
  <c r="F33" i="305" s="1"/>
  <c r="F519" i="299" s="1"/>
  <c r="G33" i="305"/>
  <c r="F520" i="299" s="1"/>
  <c r="O32" i="305"/>
  <c r="L32" i="305" s="1"/>
  <c r="F516" i="299" s="1"/>
  <c r="M32" i="305"/>
  <c r="F517" i="299" s="1"/>
  <c r="I32" i="305"/>
  <c r="G32" i="305"/>
  <c r="F514" i="299" s="1"/>
  <c r="O31" i="305"/>
  <c r="L31" i="305" s="1"/>
  <c r="F510" i="299" s="1"/>
  <c r="M31" i="305"/>
  <c r="F511" i="299" s="1"/>
  <c r="I31" i="305"/>
  <c r="F31" i="305" s="1"/>
  <c r="F507" i="299" s="1"/>
  <c r="G31" i="305"/>
  <c r="F508" i="299" s="1"/>
  <c r="O30" i="305"/>
  <c r="L30" i="305" s="1"/>
  <c r="F504" i="299" s="1"/>
  <c r="M30" i="305"/>
  <c r="F505" i="299" s="1"/>
  <c r="I30" i="305"/>
  <c r="G30" i="305"/>
  <c r="O29" i="305"/>
  <c r="L29" i="305" s="1"/>
  <c r="F498" i="299" s="1"/>
  <c r="M29" i="305"/>
  <c r="F499" i="299" s="1"/>
  <c r="I29" i="305"/>
  <c r="F29" i="305" s="1"/>
  <c r="F495" i="299" s="1"/>
  <c r="G29" i="305"/>
  <c r="F496" i="299" s="1"/>
  <c r="O28" i="305"/>
  <c r="L28" i="305" s="1"/>
  <c r="F492" i="299" s="1"/>
  <c r="M28" i="305"/>
  <c r="I28" i="305"/>
  <c r="G28" i="305"/>
  <c r="K24" i="305"/>
  <c r="K36" i="305" s="1"/>
  <c r="E24" i="305"/>
  <c r="E36" i="305" s="1"/>
  <c r="E42" i="305" s="1"/>
  <c r="M22" i="305"/>
  <c r="F474" i="299" s="1"/>
  <c r="G22" i="305"/>
  <c r="F470" i="299" s="1"/>
  <c r="M21" i="305"/>
  <c r="F466" i="299" s="1"/>
  <c r="G21" i="305"/>
  <c r="F462" i="299" s="1"/>
  <c r="O20" i="305"/>
  <c r="M20" i="305"/>
  <c r="F459" i="299" s="1"/>
  <c r="I20" i="305"/>
  <c r="F20" i="305" s="1"/>
  <c r="F455" i="299" s="1"/>
  <c r="G20" i="305"/>
  <c r="F456" i="299" s="1"/>
  <c r="O19" i="305"/>
  <c r="L19" i="305" s="1"/>
  <c r="F452" i="299" s="1"/>
  <c r="M19" i="305"/>
  <c r="F453" i="299" s="1"/>
  <c r="G19" i="305"/>
  <c r="O18" i="305"/>
  <c r="M18" i="305"/>
  <c r="F447" i="299" s="1"/>
  <c r="I18" i="305"/>
  <c r="F18" i="305" s="1"/>
  <c r="F443" i="299" s="1"/>
  <c r="G18" i="305"/>
  <c r="F444" i="299" s="1"/>
  <c r="M17" i="305"/>
  <c r="G17" i="305"/>
  <c r="F436" i="299" s="1"/>
  <c r="M13" i="305"/>
  <c r="P13" i="305" s="1"/>
  <c r="G13" i="305"/>
  <c r="J13" i="305" s="1"/>
  <c r="L10" i="305"/>
  <c r="F578" i="299"/>
  <c r="F618" i="299"/>
  <c r="F582" i="299"/>
  <c r="S42" i="240"/>
  <c r="F1162" i="269" s="1"/>
  <c r="Y15" i="288"/>
  <c r="X15" i="288"/>
  <c r="B60" i="80"/>
  <c r="C1" i="269" s="1"/>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B62" i="268"/>
  <c r="F62" i="268"/>
  <c r="B63" i="268"/>
  <c r="F63" i="268"/>
  <c r="B64" i="268"/>
  <c r="F64" i="268"/>
  <c r="B65" i="268"/>
  <c r="B66" i="268"/>
  <c r="B67" i="268"/>
  <c r="F67" i="268"/>
  <c r="B68" i="268"/>
  <c r="B69" i="268"/>
  <c r="B70" i="268"/>
  <c r="F70" i="268"/>
  <c r="B71" i="268"/>
  <c r="B72" i="268"/>
  <c r="B73" i="268"/>
  <c r="F73" i="268"/>
  <c r="B74" i="268"/>
  <c r="F74" i="268"/>
  <c r="B75" i="268"/>
  <c r="F75" i="268"/>
  <c r="B76" i="268"/>
  <c r="B77" i="268"/>
  <c r="F77" i="268"/>
  <c r="B78" i="268"/>
  <c r="B79" i="268"/>
  <c r="F79" i="268"/>
  <c r="B80" i="268"/>
  <c r="F80" i="268"/>
  <c r="B81" i="268"/>
  <c r="B82" i="268"/>
  <c r="B83" i="268"/>
  <c r="F83" i="268"/>
  <c r="B84" i="268"/>
  <c r="F84" i="268"/>
  <c r="B85" i="268"/>
  <c r="F85" i="268"/>
  <c r="B86" i="268"/>
  <c r="B87" i="268"/>
  <c r="B88" i="268"/>
  <c r="F88" i="268"/>
  <c r="B89" i="268"/>
  <c r="B90" i="268"/>
  <c r="F90" i="268"/>
  <c r="B91" i="268"/>
  <c r="F91" i="268"/>
  <c r="B92" i="268"/>
  <c r="B93" i="268"/>
  <c r="B94" i="268"/>
  <c r="F94" i="268"/>
  <c r="B95" i="268"/>
  <c r="F95" i="268"/>
  <c r="B96" i="268"/>
  <c r="F96" i="268"/>
  <c r="B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B198" i="268"/>
  <c r="F198" i="268"/>
  <c r="B199" i="268"/>
  <c r="F199" i="268"/>
  <c r="B200" i="268"/>
  <c r="F200" i="268"/>
  <c r="B201" i="268"/>
  <c r="F201" i="268"/>
  <c r="B202" i="268"/>
  <c r="F202" i="268"/>
  <c r="B203" i="268"/>
  <c r="B204" i="268"/>
  <c r="F204" i="268"/>
  <c r="B205" i="268"/>
  <c r="F205" i="268"/>
  <c r="B206" i="268"/>
  <c r="B207" i="268"/>
  <c r="F207" i="268"/>
  <c r="B208" i="268"/>
  <c r="F208" i="268"/>
  <c r="B209" i="268"/>
  <c r="F209" i="268"/>
  <c r="B210" i="268"/>
  <c r="F210" i="268"/>
  <c r="B211" i="268"/>
  <c r="F211" i="268"/>
  <c r="B212" i="268"/>
  <c r="F212" i="268"/>
  <c r="B213" i="268"/>
  <c r="F213" i="268"/>
  <c r="B214" i="268"/>
  <c r="F214" i="268"/>
  <c r="B215" i="268"/>
  <c r="F215" i="268"/>
  <c r="B216" i="268"/>
  <c r="B217" i="268"/>
  <c r="F217" i="268"/>
  <c r="B218" i="268"/>
  <c r="F218" i="268"/>
  <c r="B219" i="268"/>
  <c r="B220" i="268"/>
  <c r="F220" i="268"/>
  <c r="B221" i="268"/>
  <c r="F221" i="268"/>
  <c r="B222" i="268"/>
  <c r="B223" i="268"/>
  <c r="F223" i="268"/>
  <c r="B224" i="268"/>
  <c r="F224" i="268"/>
  <c r="B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B241" i="268"/>
  <c r="F241" i="268"/>
  <c r="B242" i="268"/>
  <c r="B243" i="268"/>
  <c r="B244" i="268"/>
  <c r="B245" i="268"/>
  <c r="B246" i="268"/>
  <c r="B247" i="268"/>
  <c r="F247" i="268"/>
  <c r="B248" i="268"/>
  <c r="F248" i="268"/>
  <c r="B249" i="268"/>
  <c r="B250" i="268"/>
  <c r="F250" i="268"/>
  <c r="B251" i="268"/>
  <c r="F251" i="268"/>
  <c r="B252" i="268"/>
  <c r="F252" i="268"/>
  <c r="B253" i="268"/>
  <c r="B254" i="268"/>
  <c r="B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B311" i="268"/>
  <c r="F311" i="268"/>
  <c r="B312" i="268"/>
  <c r="F312" i="268"/>
  <c r="B313" i="268"/>
  <c r="B314" i="268"/>
  <c r="B315" i="268"/>
  <c r="F315" i="268"/>
  <c r="B316" i="268"/>
  <c r="F316" i="268"/>
  <c r="B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B343" i="268"/>
  <c r="F343" i="268"/>
  <c r="B344" i="268"/>
  <c r="F344" i="268"/>
  <c r="B345" i="268"/>
  <c r="F345" i="268"/>
  <c r="B346" i="268"/>
  <c r="F346" i="268"/>
  <c r="B347" i="268"/>
  <c r="F347" i="268"/>
  <c r="B348" i="268"/>
  <c r="F348" i="268"/>
  <c r="B349" i="268"/>
  <c r="F349" i="268"/>
  <c r="B350" i="268"/>
  <c r="F350" i="268"/>
  <c r="B351" i="268"/>
  <c r="B352" i="268"/>
  <c r="F352" i="268"/>
  <c r="B353" i="268"/>
  <c r="F353" i="268"/>
  <c r="B354" i="268"/>
  <c r="F354" i="268"/>
  <c r="B355" i="268"/>
  <c r="F355" i="268"/>
  <c r="B356" i="268"/>
  <c r="B357" i="268"/>
  <c r="F357" i="268"/>
  <c r="B358" i="268"/>
  <c r="B359" i="268"/>
  <c r="B360" i="268"/>
  <c r="B361" i="268"/>
  <c r="B362" i="268"/>
  <c r="B363" i="268"/>
  <c r="B364" i="268"/>
  <c r="B365" i="268"/>
  <c r="B366" i="268"/>
  <c r="B367" i="268"/>
  <c r="F367" i="268"/>
  <c r="B368" i="268"/>
  <c r="F368" i="268"/>
  <c r="B369" i="268"/>
  <c r="F369" i="268"/>
  <c r="B370" i="268"/>
  <c r="F370" i="268"/>
  <c r="B371" i="268"/>
  <c r="B372" i="268"/>
  <c r="F372" i="268"/>
  <c r="B373" i="268"/>
  <c r="B374" i="268"/>
  <c r="B375" i="268"/>
  <c r="F375" i="268"/>
  <c r="B376" i="268"/>
  <c r="F376" i="268"/>
  <c r="B377" i="268"/>
  <c r="F377" i="268"/>
  <c r="B378" i="268"/>
  <c r="F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B391" i="268"/>
  <c r="F391" i="268"/>
  <c r="B392" i="268"/>
  <c r="F392" i="268"/>
  <c r="B393" i="268"/>
  <c r="F393" i="268"/>
  <c r="B394" i="268"/>
  <c r="F394" i="268"/>
  <c r="B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B498" i="268"/>
  <c r="B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B537" i="268"/>
  <c r="B538" i="268"/>
  <c r="B539" i="268"/>
  <c r="B540" i="268"/>
  <c r="B541" i="268"/>
  <c r="B542" i="268"/>
  <c r="F542" i="268"/>
  <c r="B543" i="268"/>
  <c r="F543" i="268"/>
  <c r="B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B672" i="268"/>
  <c r="F672" i="268"/>
  <c r="B673" i="268"/>
  <c r="F673" i="268"/>
  <c r="B674" i="268"/>
  <c r="B675" i="268"/>
  <c r="F675" i="268"/>
  <c r="B676" i="268"/>
  <c r="F676" i="268"/>
  <c r="B677" i="268"/>
  <c r="B678" i="268"/>
  <c r="F678" i="268"/>
  <c r="B679" i="268"/>
  <c r="F679" i="268"/>
  <c r="B680" i="268"/>
  <c r="F680" i="268"/>
  <c r="B681" i="268"/>
  <c r="F681" i="268"/>
  <c r="B682" i="268"/>
  <c r="F682" i="268"/>
  <c r="B683" i="268"/>
  <c r="F683" i="268"/>
  <c r="B684" i="268"/>
  <c r="F684" i="268"/>
  <c r="B685" i="268"/>
  <c r="F685" i="268"/>
  <c r="B686" i="268"/>
  <c r="F686" i="268"/>
  <c r="B687" i="268"/>
  <c r="B688" i="268"/>
  <c r="B689" i="268"/>
  <c r="B690" i="268"/>
  <c r="F690" i="268"/>
  <c r="B691" i="268"/>
  <c r="B692" i="268"/>
  <c r="B693" i="268"/>
  <c r="F693" i="268"/>
  <c r="B694" i="268"/>
  <c r="F694" i="268"/>
  <c r="B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B708" i="268"/>
  <c r="F708" i="268"/>
  <c r="B709" i="268"/>
  <c r="F709" i="268"/>
  <c r="B710" i="268"/>
  <c r="F710" i="268"/>
  <c r="B711" i="268"/>
  <c r="F711" i="268"/>
  <c r="B712" i="268"/>
  <c r="F712" i="268"/>
  <c r="B713" i="268"/>
  <c r="B714" i="268"/>
  <c r="F714" i="268"/>
  <c r="B715" i="268"/>
  <c r="F715" i="268"/>
  <c r="B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B732" i="268"/>
  <c r="F732" i="268"/>
  <c r="B733" i="268"/>
  <c r="F733" i="268"/>
  <c r="B734" i="268"/>
  <c r="F734" i="268"/>
  <c r="B735" i="268"/>
  <c r="B736" i="268"/>
  <c r="B737" i="268"/>
  <c r="B738" i="268"/>
  <c r="B739" i="268"/>
  <c r="F739" i="268"/>
  <c r="B740" i="268"/>
  <c r="B741" i="268"/>
  <c r="F741" i="268"/>
  <c r="B742" i="268"/>
  <c r="F742" i="268"/>
  <c r="B743" i="268"/>
  <c r="F743" i="268"/>
  <c r="B744" i="268"/>
  <c r="F744" i="268"/>
  <c r="B745" i="268"/>
  <c r="F745" i="268"/>
  <c r="B746" i="268"/>
  <c r="B747" i="268"/>
  <c r="F747" i="268"/>
  <c r="B748" i="268"/>
  <c r="F748" i="268"/>
  <c r="B749" i="268"/>
  <c r="B750" i="268"/>
  <c r="B751" i="268"/>
  <c r="B752" i="268"/>
  <c r="B753" i="268"/>
  <c r="F753" i="268"/>
  <c r="B754" i="268"/>
  <c r="F754" i="268"/>
  <c r="B755" i="268"/>
  <c r="F755" i="268"/>
  <c r="B756" i="268"/>
  <c r="F756" i="268"/>
  <c r="B757" i="268"/>
  <c r="F757" i="268"/>
  <c r="B758" i="268"/>
  <c r="F758" i="268"/>
  <c r="B759" i="268"/>
  <c r="F759" i="268"/>
  <c r="B760" i="268"/>
  <c r="F760" i="268"/>
  <c r="B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B842" i="268"/>
  <c r="B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B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B958" i="268"/>
  <c r="F958" i="268"/>
  <c r="B959" i="268"/>
  <c r="F959" i="268"/>
  <c r="B960" i="268"/>
  <c r="F960" i="268"/>
  <c r="B961" i="268"/>
  <c r="F961" i="268"/>
  <c r="B962" i="268"/>
  <c r="F962" i="268"/>
  <c r="B963" i="268"/>
  <c r="F963" i="268"/>
  <c r="B964" i="268"/>
  <c r="B965" i="268"/>
  <c r="B966" i="268"/>
  <c r="B967" i="268"/>
  <c r="B968" i="268"/>
  <c r="B969" i="268"/>
  <c r="F969" i="268"/>
  <c r="B970" i="268"/>
  <c r="F970" i="268"/>
  <c r="B971" i="268"/>
  <c r="B972" i="268"/>
  <c r="B973" i="268"/>
  <c r="B974" i="268"/>
  <c r="B975" i="268"/>
  <c r="B976" i="268"/>
  <c r="F976" i="268"/>
  <c r="B977" i="268"/>
  <c r="F977" i="268"/>
  <c r="B978" i="268"/>
  <c r="B979" i="268"/>
  <c r="F979" i="268"/>
  <c r="B980" i="268"/>
  <c r="F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B999" i="268"/>
  <c r="F999" i="268"/>
  <c r="B1000" i="268"/>
  <c r="F1000" i="268"/>
  <c r="B1001" i="268"/>
  <c r="B1002" i="268"/>
  <c r="F1002" i="268"/>
  <c r="B1003" i="268"/>
  <c r="F1003" i="268"/>
  <c r="B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F21" i="299"/>
  <c r="B22" i="299"/>
  <c r="B23" i="299"/>
  <c r="B24" i="299"/>
  <c r="F24" i="299"/>
  <c r="B25" i="299"/>
  <c r="F25" i="299"/>
  <c r="B26" i="299"/>
  <c r="F26" i="299"/>
  <c r="B27" i="299"/>
  <c r="F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90" i="299"/>
  <c r="O38" i="305"/>
  <c r="F551" i="299" s="1"/>
  <c r="L40" i="305"/>
  <c r="F556" i="299" s="1"/>
  <c r="F19" i="305"/>
  <c r="F449" i="299" s="1"/>
  <c r="F28" i="305"/>
  <c r="F489" i="299" s="1"/>
  <c r="F32" i="305"/>
  <c r="F513" i="299" s="1"/>
  <c r="V15" i="288"/>
  <c r="L33" i="305"/>
  <c r="F522" i="299" s="1"/>
  <c r="L18" i="305"/>
  <c r="F446" i="299" s="1"/>
  <c r="L20" i="305"/>
  <c r="F458" i="299" s="1"/>
  <c r="F45" i="305"/>
  <c r="F572" i="299" s="1"/>
  <c r="N24" i="305"/>
  <c r="N36" i="305" s="1"/>
  <c r="L22" i="305"/>
  <c r="L46" i="305"/>
  <c r="F584" i="299" s="1"/>
  <c r="L53" i="305"/>
  <c r="F608" i="299" s="1"/>
  <c r="L21" i="305"/>
  <c r="F465" i="299" s="1"/>
  <c r="F40" i="305"/>
  <c r="F553" i="299" s="1"/>
  <c r="F52" i="305"/>
  <c r="F21" i="305"/>
  <c r="F461" i="299" s="1"/>
  <c r="F493" i="299"/>
  <c r="F433" i="299"/>
  <c r="F429" i="299"/>
  <c r="N81" i="235"/>
  <c r="G2822" i="324"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99"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W28" i="305" s="1"/>
  <c r="AC22" i="305"/>
  <c r="AC21" i="305"/>
  <c r="AJ22" i="305"/>
  <c r="AJ21" i="305"/>
  <c r="AJ20" i="305"/>
  <c r="AJ19" i="305"/>
  <c r="AJ18" i="305"/>
  <c r="AJ17" i="305"/>
  <c r="AD22" i="305"/>
  <c r="AD21" i="305"/>
  <c r="AD20" i="305"/>
  <c r="W20" i="305" s="1"/>
  <c r="AD19" i="305"/>
  <c r="AD18" i="305"/>
  <c r="AD17" i="305"/>
  <c r="Y13" i="305"/>
  <c r="AE13" i="305"/>
  <c r="AG10" i="305"/>
  <c r="AE10" i="305"/>
  <c r="AA10" i="305"/>
  <c r="Y10" i="305"/>
  <c r="W31" i="305"/>
  <c r="F94" i="299"/>
  <c r="F62" i="285"/>
  <c r="G62" i="285"/>
  <c r="H62" i="285"/>
  <c r="I62" i="285"/>
  <c r="J62" i="285"/>
  <c r="K62" i="285"/>
  <c r="M62" i="285"/>
  <c r="N62" i="285"/>
  <c r="O62" i="285"/>
  <c r="P62" i="285"/>
  <c r="Q62" i="285"/>
  <c r="R62" i="285"/>
  <c r="T62" i="285"/>
  <c r="U62" i="285"/>
  <c r="V62" i="285"/>
  <c r="W62" i="285"/>
  <c r="X62" i="285"/>
  <c r="Y62" i="285"/>
  <c r="AA62" i="285"/>
  <c r="AD62" i="285"/>
  <c r="AE62" i="285"/>
  <c r="K33" i="257"/>
  <c r="F125" i="273" s="1"/>
  <c r="J33" i="257"/>
  <c r="J35" i="257" s="1"/>
  <c r="F140" i="273" s="1"/>
  <c r="I33" i="257"/>
  <c r="I35" i="257" s="1"/>
  <c r="F139" i="273" s="1"/>
  <c r="H33" i="257"/>
  <c r="F122" i="273" s="1"/>
  <c r="G33" i="257"/>
  <c r="F121" i="273" s="1"/>
  <c r="F33" i="257"/>
  <c r="F120" i="273" s="1"/>
  <c r="E33" i="257"/>
  <c r="E35" i="257" s="1"/>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K586" i="293" s="1"/>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K567" i="293" s="1"/>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K551" i="293" s="1"/>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K546" i="293" s="1"/>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K537" i="293" s="1"/>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AK529" i="293" s="1"/>
  <c r="BO528" i="293"/>
  <c r="BN528" i="293"/>
  <c r="BM528" i="293"/>
  <c r="BL528" i="293"/>
  <c r="BK528" i="293"/>
  <c r="BJ528" i="293"/>
  <c r="AZ528" i="293"/>
  <c r="AY528" i="293"/>
  <c r="AK528" i="293" s="1"/>
  <c r="AX528" i="293"/>
  <c r="AW528" i="293"/>
  <c r="AV528" i="293"/>
  <c r="AU528" i="293"/>
  <c r="AT528" i="293"/>
  <c r="BO527" i="293"/>
  <c r="BN527" i="293"/>
  <c r="BM527" i="293"/>
  <c r="BL527" i="293"/>
  <c r="BK527" i="293"/>
  <c r="BJ527" i="293"/>
  <c r="AZ527" i="293"/>
  <c r="AY527" i="293"/>
  <c r="AX527" i="293"/>
  <c r="AW527" i="293"/>
  <c r="AV527" i="293"/>
  <c r="AK527" i="293" s="1"/>
  <c r="AU527" i="293"/>
  <c r="AT527" i="293"/>
  <c r="BO526" i="293"/>
  <c r="BN526" i="293"/>
  <c r="BM526" i="293"/>
  <c r="BL526" i="293"/>
  <c r="BK526" i="293"/>
  <c r="BJ526" i="293"/>
  <c r="AK526" i="293" s="1"/>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K522" i="293" s="1"/>
  <c r="AV522" i="293"/>
  <c r="AU522" i="293"/>
  <c r="AT522" i="293"/>
  <c r="BO521" i="293"/>
  <c r="BN521" i="293"/>
  <c r="BM521" i="293"/>
  <c r="BL521" i="293"/>
  <c r="BK521" i="293"/>
  <c r="BJ521" i="293"/>
  <c r="AZ521" i="293"/>
  <c r="AY521" i="293"/>
  <c r="AX521" i="293"/>
  <c r="AW521" i="293"/>
  <c r="AV521" i="293"/>
  <c r="AU521" i="293"/>
  <c r="AT521" i="293"/>
  <c r="AK521" i="293" s="1"/>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K519" i="293" s="1"/>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K517" i="293" s="1"/>
  <c r="AW517" i="293"/>
  <c r="AV517" i="293"/>
  <c r="AU517" i="293"/>
  <c r="AT517" i="293"/>
  <c r="BO516" i="293"/>
  <c r="BN516" i="293"/>
  <c r="BM516" i="293"/>
  <c r="BL516" i="293"/>
  <c r="BK516" i="293"/>
  <c r="BJ516" i="293"/>
  <c r="AZ516" i="293"/>
  <c r="AY516" i="293"/>
  <c r="AX516" i="293"/>
  <c r="AW516" i="293"/>
  <c r="AV516" i="293"/>
  <c r="AU516" i="293"/>
  <c r="AK516" i="293" s="1"/>
  <c r="AT516" i="293"/>
  <c r="BO515" i="293"/>
  <c r="BN515" i="293"/>
  <c r="BM515" i="293"/>
  <c r="BL515" i="293"/>
  <c r="BK515" i="293"/>
  <c r="BJ515" i="293"/>
  <c r="AZ515" i="293"/>
  <c r="AK515" i="293" s="1"/>
  <c r="AY515" i="293"/>
  <c r="AX515" i="293"/>
  <c r="AW515" i="293"/>
  <c r="AV515" i="293"/>
  <c r="AU515" i="293"/>
  <c r="AT515" i="293"/>
  <c r="BO514" i="293"/>
  <c r="BN514" i="293"/>
  <c r="BM514" i="293"/>
  <c r="BL514" i="293"/>
  <c r="BK514" i="293"/>
  <c r="BJ514" i="293"/>
  <c r="AZ514" i="293"/>
  <c r="AY514" i="293"/>
  <c r="AX514" i="293"/>
  <c r="AW514" i="293"/>
  <c r="AK514" i="293" s="1"/>
  <c r="AV514" i="293"/>
  <c r="AU514" i="293"/>
  <c r="AT514" i="293"/>
  <c r="BO513" i="293"/>
  <c r="BN513" i="293"/>
  <c r="BM513" i="293"/>
  <c r="BL513" i="293"/>
  <c r="BK513" i="293"/>
  <c r="BJ513" i="293"/>
  <c r="AZ513" i="293"/>
  <c r="AY513" i="293"/>
  <c r="AX513" i="293"/>
  <c r="AW513" i="293"/>
  <c r="AV513" i="293"/>
  <c r="AU513" i="293"/>
  <c r="AT513" i="293"/>
  <c r="AK513" i="293" s="1"/>
  <c r="BO512" i="293"/>
  <c r="BN512" i="293"/>
  <c r="BM512" i="293"/>
  <c r="BL512" i="293"/>
  <c r="BK512" i="293"/>
  <c r="BJ512" i="293"/>
  <c r="AZ512" i="293"/>
  <c r="AY512" i="293"/>
  <c r="AK512" i="293" s="1"/>
  <c r="AX512" i="293"/>
  <c r="AW512" i="293"/>
  <c r="AV512" i="293"/>
  <c r="AU512" i="293"/>
  <c r="AT512" i="293"/>
  <c r="BO511" i="293"/>
  <c r="BN511" i="293"/>
  <c r="BM511" i="293"/>
  <c r="BL511" i="293"/>
  <c r="BK511" i="293"/>
  <c r="BJ511" i="293"/>
  <c r="AZ511" i="293"/>
  <c r="AY511" i="293"/>
  <c r="AX511" i="293"/>
  <c r="AW511" i="293"/>
  <c r="AV511" i="293"/>
  <c r="AK511" i="293" s="1"/>
  <c r="AU511" i="293"/>
  <c r="AT511" i="293"/>
  <c r="BO510" i="293"/>
  <c r="BN510" i="293"/>
  <c r="BM510" i="293"/>
  <c r="BL510" i="293"/>
  <c r="BK510" i="293"/>
  <c r="BJ510" i="293"/>
  <c r="AK510" i="293" s="1"/>
  <c r="AZ510" i="293"/>
  <c r="AY510" i="293"/>
  <c r="AX510" i="293"/>
  <c r="AW510" i="293"/>
  <c r="AV510" i="293"/>
  <c r="AU510" i="293"/>
  <c r="AT510" i="293"/>
  <c r="BO509" i="293"/>
  <c r="BN509" i="293"/>
  <c r="BM509" i="293"/>
  <c r="BL509" i="293"/>
  <c r="BK509" i="293"/>
  <c r="BJ509" i="293"/>
  <c r="AZ509" i="293"/>
  <c r="AY509" i="293"/>
  <c r="AX509" i="293"/>
  <c r="AK509" i="293" s="1"/>
  <c r="AW509" i="293"/>
  <c r="AV509" i="293"/>
  <c r="AU509" i="293"/>
  <c r="AT509" i="293"/>
  <c r="BO508" i="293"/>
  <c r="BN508" i="293"/>
  <c r="BM508" i="293"/>
  <c r="BL508" i="293"/>
  <c r="BK508" i="293"/>
  <c r="BJ508" i="293"/>
  <c r="AZ508" i="293"/>
  <c r="AY508" i="293"/>
  <c r="AX508" i="293"/>
  <c r="AW508" i="293"/>
  <c r="AV508" i="293"/>
  <c r="AU508" i="293"/>
  <c r="AK508" i="293" s="1"/>
  <c r="AT508" i="293"/>
  <c r="BO507" i="293"/>
  <c r="BN507" i="293"/>
  <c r="BM507" i="293"/>
  <c r="BL507" i="293"/>
  <c r="BK507" i="293"/>
  <c r="BJ507" i="293"/>
  <c r="AZ507" i="293"/>
  <c r="AK507" i="293" s="1"/>
  <c r="AY507" i="293"/>
  <c r="AX507" i="293"/>
  <c r="AW507" i="293"/>
  <c r="AV507" i="293"/>
  <c r="AU507" i="293"/>
  <c r="AT507" i="293"/>
  <c r="BO506" i="293"/>
  <c r="BN506" i="293"/>
  <c r="BM506" i="293"/>
  <c r="BL506" i="293"/>
  <c r="BK506" i="293"/>
  <c r="BJ506" i="293"/>
  <c r="AZ506" i="293"/>
  <c r="AY506" i="293"/>
  <c r="AX506" i="293"/>
  <c r="AW506" i="293"/>
  <c r="AK506" i="293" s="1"/>
  <c r="AV506" i="293"/>
  <c r="AU506" i="293"/>
  <c r="AT506" i="293"/>
  <c r="BO505" i="293"/>
  <c r="BN505" i="293"/>
  <c r="BM505" i="293"/>
  <c r="BL505" i="293"/>
  <c r="BK505" i="293"/>
  <c r="BJ505" i="293"/>
  <c r="AZ505" i="293"/>
  <c r="AY505" i="293"/>
  <c r="AX505" i="293"/>
  <c r="AW505" i="293"/>
  <c r="AV505" i="293"/>
  <c r="AU505" i="293"/>
  <c r="AT505" i="293"/>
  <c r="AK505" i="293" s="1"/>
  <c r="BO504" i="293"/>
  <c r="BN504" i="293"/>
  <c r="BM504" i="293"/>
  <c r="BL504" i="293"/>
  <c r="BK504" i="293"/>
  <c r="BJ504" i="293"/>
  <c r="AZ504" i="293"/>
  <c r="AY504" i="293"/>
  <c r="AK504" i="293" s="1"/>
  <c r="AX504" i="293"/>
  <c r="AW504" i="293"/>
  <c r="AV504" i="293"/>
  <c r="AU504" i="293"/>
  <c r="AT504" i="293"/>
  <c r="BO503" i="293"/>
  <c r="BN503" i="293"/>
  <c r="BM503" i="293"/>
  <c r="BL503" i="293"/>
  <c r="BK503" i="293"/>
  <c r="BJ503" i="293"/>
  <c r="AZ503" i="293"/>
  <c r="AY503" i="293"/>
  <c r="AX503" i="293"/>
  <c r="AW503" i="293"/>
  <c r="AV503" i="293"/>
  <c r="AK503" i="293" s="1"/>
  <c r="AU503" i="293"/>
  <c r="AT503" i="293"/>
  <c r="BO502" i="293"/>
  <c r="BN502" i="293"/>
  <c r="BM502" i="293"/>
  <c r="BL502" i="293"/>
  <c r="BK502" i="293"/>
  <c r="BJ502" i="293"/>
  <c r="AK502" i="293" s="1"/>
  <c r="AZ502" i="293"/>
  <c r="AY502" i="293"/>
  <c r="AX502" i="293"/>
  <c r="AW502" i="293"/>
  <c r="AV502" i="293"/>
  <c r="AU502" i="293"/>
  <c r="AT502" i="293"/>
  <c r="BO501" i="293"/>
  <c r="BN501" i="293"/>
  <c r="BM501" i="293"/>
  <c r="BL501" i="293"/>
  <c r="BK501" i="293"/>
  <c r="BJ501" i="293"/>
  <c r="AZ501" i="293"/>
  <c r="AY501" i="293"/>
  <c r="AX501" i="293"/>
  <c r="AK501" i="293" s="1"/>
  <c r="AW501" i="293"/>
  <c r="AV501" i="293"/>
  <c r="AU501" i="293"/>
  <c r="AT501" i="293"/>
  <c r="BO500" i="293"/>
  <c r="BN500" i="293"/>
  <c r="BM500" i="293"/>
  <c r="BL500" i="293"/>
  <c r="BK500" i="293"/>
  <c r="BJ500" i="293"/>
  <c r="AZ500" i="293"/>
  <c r="AY500" i="293"/>
  <c r="AX500" i="293"/>
  <c r="AW500" i="293"/>
  <c r="AV500" i="293"/>
  <c r="AU500" i="293"/>
  <c r="AK500" i="293" s="1"/>
  <c r="AT500" i="293"/>
  <c r="BO499" i="293"/>
  <c r="BN499" i="293"/>
  <c r="BM499" i="293"/>
  <c r="BL499" i="293"/>
  <c r="BK499" i="293"/>
  <c r="BJ499" i="293"/>
  <c r="AZ499" i="293"/>
  <c r="AK499" i="293" s="1"/>
  <c r="AY499" i="293"/>
  <c r="AX499" i="293"/>
  <c r="AW499" i="293"/>
  <c r="AV499" i="293"/>
  <c r="AU499" i="293"/>
  <c r="AT499" i="293"/>
  <c r="BO498" i="293"/>
  <c r="BN498" i="293"/>
  <c r="BM498" i="293"/>
  <c r="BL498" i="293"/>
  <c r="BK498" i="293"/>
  <c r="BJ498" i="293"/>
  <c r="AZ498" i="293"/>
  <c r="AY498" i="293"/>
  <c r="AX498" i="293"/>
  <c r="AW498" i="293"/>
  <c r="AK498" i="293" s="1"/>
  <c r="AV498" i="293"/>
  <c r="AU498" i="293"/>
  <c r="AT498" i="293"/>
  <c r="BO497" i="293"/>
  <c r="BN497" i="293"/>
  <c r="BM497" i="293"/>
  <c r="BL497" i="293"/>
  <c r="BK497" i="293"/>
  <c r="BJ497" i="293"/>
  <c r="AZ497" i="293"/>
  <c r="AY497" i="293"/>
  <c r="AX497" i="293"/>
  <c r="AW497" i="293"/>
  <c r="AV497" i="293"/>
  <c r="AU497" i="293"/>
  <c r="AT497" i="293"/>
  <c r="AK497" i="293" s="1"/>
  <c r="BO496" i="293"/>
  <c r="BN496" i="293"/>
  <c r="BM496" i="293"/>
  <c r="BL496" i="293"/>
  <c r="BK496" i="293"/>
  <c r="BJ496" i="293"/>
  <c r="AZ496" i="293"/>
  <c r="AY496" i="293"/>
  <c r="AK496" i="293" s="1"/>
  <c r="AX496" i="293"/>
  <c r="AW496" i="293"/>
  <c r="AV496" i="293"/>
  <c r="AU496" i="293"/>
  <c r="AT496" i="293"/>
  <c r="BO495" i="293"/>
  <c r="BN495" i="293"/>
  <c r="BM495" i="293"/>
  <c r="BL495" i="293"/>
  <c r="BK495" i="293"/>
  <c r="BJ495" i="293"/>
  <c r="AZ495" i="293"/>
  <c r="AY495" i="293"/>
  <c r="AX495" i="293"/>
  <c r="AW495" i="293"/>
  <c r="AV495" i="293"/>
  <c r="AK495" i="293" s="1"/>
  <c r="AU495" i="293"/>
  <c r="AT495" i="293"/>
  <c r="BO494" i="293"/>
  <c r="BN494" i="293"/>
  <c r="BM494" i="293"/>
  <c r="BL494" i="293"/>
  <c r="BK494" i="293"/>
  <c r="BJ494" i="293"/>
  <c r="AK494" i="293" s="1"/>
  <c r="AZ494" i="293"/>
  <c r="AY494" i="293"/>
  <c r="AX494" i="293"/>
  <c r="AW494" i="293"/>
  <c r="AV494" i="293"/>
  <c r="AU494" i="293"/>
  <c r="AT494" i="293"/>
  <c r="BO493" i="293"/>
  <c r="BN493" i="293"/>
  <c r="BM493" i="293"/>
  <c r="BL493" i="293"/>
  <c r="BK493" i="293"/>
  <c r="BJ493" i="293"/>
  <c r="AZ493" i="293"/>
  <c r="AY493" i="293"/>
  <c r="AX493" i="293"/>
  <c r="AK493" i="293" s="1"/>
  <c r="AW493" i="293"/>
  <c r="AV493" i="293"/>
  <c r="AU493" i="293"/>
  <c r="AT493" i="293"/>
  <c r="BO492" i="293"/>
  <c r="BN492" i="293"/>
  <c r="BM492" i="293"/>
  <c r="BL492" i="293"/>
  <c r="BK492" i="293"/>
  <c r="BJ492" i="293"/>
  <c r="AZ492" i="293"/>
  <c r="AY492" i="293"/>
  <c r="AX492" i="293"/>
  <c r="AW492" i="293"/>
  <c r="AV492" i="293"/>
  <c r="AU492" i="293"/>
  <c r="AK492" i="293" s="1"/>
  <c r="AT492" i="293"/>
  <c r="BO491" i="293"/>
  <c r="BN491" i="293"/>
  <c r="BM491" i="293"/>
  <c r="BL491" i="293"/>
  <c r="BK491" i="293"/>
  <c r="BJ491" i="293"/>
  <c r="AZ491" i="293"/>
  <c r="AK491" i="293" s="1"/>
  <c r="AY491" i="293"/>
  <c r="AX491" i="293"/>
  <c r="AW491" i="293"/>
  <c r="AV491" i="293"/>
  <c r="AU491" i="293"/>
  <c r="AT491" i="293"/>
  <c r="BO490" i="293"/>
  <c r="BN490" i="293"/>
  <c r="BM490" i="293"/>
  <c r="BL490" i="293"/>
  <c r="BK490" i="293"/>
  <c r="BJ490" i="293"/>
  <c r="AZ490" i="293"/>
  <c r="AY490" i="293"/>
  <c r="AX490" i="293"/>
  <c r="AW490" i="293"/>
  <c r="AK490" i="293" s="1"/>
  <c r="AV490" i="293"/>
  <c r="AU490" i="293"/>
  <c r="AT490" i="293"/>
  <c r="BO489" i="293"/>
  <c r="BN489" i="293"/>
  <c r="BM489" i="293"/>
  <c r="BL489" i="293"/>
  <c r="BK489" i="293"/>
  <c r="BJ489" i="293"/>
  <c r="AZ489" i="293"/>
  <c r="AY489" i="293"/>
  <c r="AX489" i="293"/>
  <c r="AW489" i="293"/>
  <c r="AV489" i="293"/>
  <c r="AU489" i="293"/>
  <c r="AT489" i="293"/>
  <c r="AK489" i="293" s="1"/>
  <c r="BO488" i="293"/>
  <c r="BN488" i="293"/>
  <c r="BM488" i="293"/>
  <c r="BL488" i="293"/>
  <c r="BK488" i="293"/>
  <c r="BJ488" i="293"/>
  <c r="AZ488" i="293"/>
  <c r="AY488" i="293"/>
  <c r="AK488" i="293" s="1"/>
  <c r="AX488" i="293"/>
  <c r="AW488" i="293"/>
  <c r="AV488" i="293"/>
  <c r="AU488" i="293"/>
  <c r="AT488" i="293"/>
  <c r="BO487" i="293"/>
  <c r="BN487" i="293"/>
  <c r="BM487" i="293"/>
  <c r="BL487" i="293"/>
  <c r="BK487" i="293"/>
  <c r="BJ487" i="293"/>
  <c r="AZ487" i="293"/>
  <c r="AY487" i="293"/>
  <c r="AX487" i="293"/>
  <c r="AW487" i="293"/>
  <c r="AV487" i="293"/>
  <c r="AK487" i="293" s="1"/>
  <c r="AU487" i="293"/>
  <c r="AT487" i="293"/>
  <c r="BO486" i="293"/>
  <c r="BN486" i="293"/>
  <c r="BM486" i="293"/>
  <c r="BL486" i="293"/>
  <c r="BK486" i="293"/>
  <c r="BJ486" i="293"/>
  <c r="AK486" i="293" s="1"/>
  <c r="AZ486" i="293"/>
  <c r="AY486" i="293"/>
  <c r="AX486" i="293"/>
  <c r="AW486" i="293"/>
  <c r="AV486" i="293"/>
  <c r="AU486" i="293"/>
  <c r="AT486" i="293"/>
  <c r="BO485" i="293"/>
  <c r="BN485" i="293"/>
  <c r="BM485" i="293"/>
  <c r="BL485" i="293"/>
  <c r="BK485" i="293"/>
  <c r="BJ485" i="293"/>
  <c r="AZ485" i="293"/>
  <c r="AY485" i="293"/>
  <c r="AX485" i="293"/>
  <c r="AK485" i="293" s="1"/>
  <c r="AW485" i="293"/>
  <c r="AV485" i="293"/>
  <c r="AU485" i="293"/>
  <c r="AT485" i="293"/>
  <c r="BO484" i="293"/>
  <c r="BN484" i="293"/>
  <c r="BM484" i="293"/>
  <c r="BL484" i="293"/>
  <c r="BK484" i="293"/>
  <c r="BJ484" i="293"/>
  <c r="AZ484" i="293"/>
  <c r="AY484" i="293"/>
  <c r="AX484" i="293"/>
  <c r="AW484" i="293"/>
  <c r="AV484" i="293"/>
  <c r="AU484" i="293"/>
  <c r="AK484" i="293" s="1"/>
  <c r="AT484" i="293"/>
  <c r="BO483" i="293"/>
  <c r="BN483" i="293"/>
  <c r="BM483" i="293"/>
  <c r="BL483" i="293"/>
  <c r="BK483" i="293"/>
  <c r="BJ483" i="293"/>
  <c r="AZ483" i="293"/>
  <c r="AY483" i="293"/>
  <c r="AX483" i="293"/>
  <c r="AW483" i="293"/>
  <c r="AV483" i="293"/>
  <c r="AU483" i="293"/>
  <c r="AT483" i="293"/>
  <c r="AK483" i="293" s="1"/>
  <c r="BO482" i="293"/>
  <c r="BN482" i="293"/>
  <c r="BM482" i="293"/>
  <c r="BL482" i="293"/>
  <c r="BK482" i="293"/>
  <c r="BJ482" i="293"/>
  <c r="AZ482" i="293"/>
  <c r="AY482" i="293"/>
  <c r="AX482" i="293"/>
  <c r="AW482" i="293"/>
  <c r="AK482" i="293" s="1"/>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K480" i="293" s="1"/>
  <c r="AX480" i="293"/>
  <c r="AW480" i="293"/>
  <c r="AV480" i="293"/>
  <c r="AU480" i="293"/>
  <c r="AT480" i="293"/>
  <c r="BO479" i="293"/>
  <c r="BN479" i="293"/>
  <c r="BM479" i="293"/>
  <c r="BL479" i="293"/>
  <c r="BK479" i="293"/>
  <c r="BJ479" i="293"/>
  <c r="AZ479" i="293"/>
  <c r="AY479" i="293"/>
  <c r="AX479" i="293"/>
  <c r="AW479" i="293"/>
  <c r="AV479" i="293"/>
  <c r="AK479" i="293" s="1"/>
  <c r="AU479" i="293"/>
  <c r="AT479" i="293"/>
  <c r="BO478" i="293"/>
  <c r="BN478" i="293"/>
  <c r="BM478" i="293"/>
  <c r="BL478" i="293"/>
  <c r="BK478" i="293"/>
  <c r="BJ478" i="293"/>
  <c r="AK478" i="293" s="1"/>
  <c r="AZ478" i="293"/>
  <c r="AY478" i="293"/>
  <c r="AX478" i="293"/>
  <c r="AW478" i="293"/>
  <c r="AV478" i="293"/>
  <c r="AU478" i="293"/>
  <c r="AT478" i="293"/>
  <c r="BO477" i="293"/>
  <c r="BN477" i="293"/>
  <c r="BM477" i="293"/>
  <c r="BL477" i="293"/>
  <c r="BK477" i="293"/>
  <c r="BJ477" i="293"/>
  <c r="AZ477" i="293"/>
  <c r="AY477" i="293"/>
  <c r="AX477" i="293"/>
  <c r="AK477" i="293" s="1"/>
  <c r="AW477" i="293"/>
  <c r="AV477" i="293"/>
  <c r="AU477" i="293"/>
  <c r="AT477" i="293"/>
  <c r="BO476" i="293"/>
  <c r="BN476" i="293"/>
  <c r="BM476" i="293"/>
  <c r="BL476" i="293"/>
  <c r="BK476" i="293"/>
  <c r="BJ476" i="293"/>
  <c r="AZ476" i="293"/>
  <c r="AY476" i="293"/>
  <c r="AX476" i="293"/>
  <c r="AW476" i="293"/>
  <c r="AV476" i="293"/>
  <c r="AU476" i="293"/>
  <c r="AK476" i="293" s="1"/>
  <c r="AT476" i="293"/>
  <c r="BO475" i="293"/>
  <c r="BN475" i="293"/>
  <c r="BM475" i="293"/>
  <c r="BL475" i="293"/>
  <c r="BK475" i="293"/>
  <c r="BJ475" i="293"/>
  <c r="AZ475" i="293"/>
  <c r="AK475" i="293" s="1"/>
  <c r="AY475" i="293"/>
  <c r="AX475" i="293"/>
  <c r="AW475" i="293"/>
  <c r="AV475" i="293"/>
  <c r="AU475" i="293"/>
  <c r="AT475" i="293"/>
  <c r="BO474" i="293"/>
  <c r="BN474" i="293"/>
  <c r="BM474" i="293"/>
  <c r="BL474" i="293"/>
  <c r="BK474" i="293"/>
  <c r="BJ474" i="293"/>
  <c r="AZ474" i="293"/>
  <c r="AY474" i="293"/>
  <c r="AX474" i="293"/>
  <c r="AW474" i="293"/>
  <c r="AK474" i="293" s="1"/>
  <c r="AV474" i="293"/>
  <c r="AU474" i="293"/>
  <c r="AT474" i="293"/>
  <c r="BO473" i="293"/>
  <c r="BN473" i="293"/>
  <c r="BM473" i="293"/>
  <c r="BL473" i="293"/>
  <c r="BK473" i="293"/>
  <c r="BJ473" i="293"/>
  <c r="AZ473" i="293"/>
  <c r="AY473" i="293"/>
  <c r="AX473" i="293"/>
  <c r="AW473" i="293"/>
  <c r="AV473" i="293"/>
  <c r="AU473" i="293"/>
  <c r="AT473" i="293"/>
  <c r="AK473" i="293" s="1"/>
  <c r="BO472" i="293"/>
  <c r="BN472" i="293"/>
  <c r="BM472" i="293"/>
  <c r="BL472" i="293"/>
  <c r="BK472" i="293"/>
  <c r="BJ472" i="293"/>
  <c r="AZ472" i="293"/>
  <c r="AY472" i="293"/>
  <c r="AK472" i="293" s="1"/>
  <c r="AX472" i="293"/>
  <c r="AW472" i="293"/>
  <c r="AV472" i="293"/>
  <c r="AU472" i="293"/>
  <c r="AT472" i="293"/>
  <c r="BO471" i="293"/>
  <c r="BN471" i="293"/>
  <c r="BM471" i="293"/>
  <c r="BL471" i="293"/>
  <c r="BK471" i="293"/>
  <c r="BJ471" i="293"/>
  <c r="AZ471" i="293"/>
  <c r="AY471" i="293"/>
  <c r="AX471" i="293"/>
  <c r="AW471" i="293"/>
  <c r="AV471" i="293"/>
  <c r="AK471" i="293" s="1"/>
  <c r="AU471" i="293"/>
  <c r="AT471" i="293"/>
  <c r="BO470" i="293"/>
  <c r="BN470" i="293"/>
  <c r="BM470" i="293"/>
  <c r="BL470" i="293"/>
  <c r="BK470" i="293"/>
  <c r="BJ470" i="293"/>
  <c r="AK470" i="293" s="1"/>
  <c r="AZ470" i="293"/>
  <c r="AY470" i="293"/>
  <c r="AX470" i="293"/>
  <c r="AW470" i="293"/>
  <c r="AV470" i="293"/>
  <c r="AU470" i="293"/>
  <c r="AT470" i="293"/>
  <c r="BO469" i="293"/>
  <c r="BN469" i="293"/>
  <c r="BM469" i="293"/>
  <c r="BL469" i="293"/>
  <c r="BK469" i="293"/>
  <c r="BJ469" i="293"/>
  <c r="AZ469" i="293"/>
  <c r="AY469" i="293"/>
  <c r="AX469" i="293"/>
  <c r="AK469" i="293" s="1"/>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K364" i="293" s="1"/>
  <c r="AV364" i="293"/>
  <c r="AU364" i="293"/>
  <c r="AT364" i="293"/>
  <c r="BO363" i="293"/>
  <c r="BN363" i="293"/>
  <c r="BM363" i="293"/>
  <c r="BL363" i="293"/>
  <c r="BK363" i="293"/>
  <c r="BJ363" i="293"/>
  <c r="AZ363" i="293"/>
  <c r="AY363" i="293"/>
  <c r="AX363" i="293"/>
  <c r="AW363" i="293"/>
  <c r="AV363" i="293"/>
  <c r="AU363" i="293"/>
  <c r="AT363" i="293"/>
  <c r="AK363" i="293" s="1"/>
  <c r="BO362" i="293"/>
  <c r="BN362" i="293"/>
  <c r="BM362" i="293"/>
  <c r="BL362" i="293"/>
  <c r="BK362" i="293"/>
  <c r="BJ362" i="293"/>
  <c r="AZ362" i="293"/>
  <c r="AY362" i="293"/>
  <c r="AK362" i="293" s="1"/>
  <c r="AX362" i="293"/>
  <c r="AW362" i="293"/>
  <c r="AV362" i="293"/>
  <c r="AU362" i="293"/>
  <c r="AT362" i="293"/>
  <c r="BO361" i="293"/>
  <c r="BN361" i="293"/>
  <c r="BM361" i="293"/>
  <c r="BL361" i="293"/>
  <c r="BK361" i="293"/>
  <c r="BJ361" i="293"/>
  <c r="AZ361" i="293"/>
  <c r="AY361" i="293"/>
  <c r="AX361" i="293"/>
  <c r="AW361" i="293"/>
  <c r="AV361" i="293"/>
  <c r="AK361" i="293" s="1"/>
  <c r="AU361" i="293"/>
  <c r="AT361" i="293"/>
  <c r="BO360" i="293"/>
  <c r="BN360" i="293"/>
  <c r="BM360" i="293"/>
  <c r="BL360" i="293"/>
  <c r="BK360" i="293"/>
  <c r="BJ360" i="293"/>
  <c r="AK360" i="293" s="1"/>
  <c r="AZ360" i="293"/>
  <c r="AY360" i="293"/>
  <c r="AX360" i="293"/>
  <c r="AW360" i="293"/>
  <c r="AV360" i="293"/>
  <c r="AU360" i="293"/>
  <c r="AT360" i="293"/>
  <c r="BO359" i="293"/>
  <c r="BN359" i="293"/>
  <c r="BM359" i="293"/>
  <c r="BL359" i="293"/>
  <c r="BK359" i="293"/>
  <c r="BJ359" i="293"/>
  <c r="AZ359" i="293"/>
  <c r="AY359" i="293"/>
  <c r="AX359" i="293"/>
  <c r="AK359" i="293" s="1"/>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K357" i="293" s="1"/>
  <c r="AY357" i="293"/>
  <c r="AX357" i="293"/>
  <c r="AW357" i="293"/>
  <c r="AV357" i="293"/>
  <c r="AU357" i="293"/>
  <c r="AT357" i="293"/>
  <c r="BO356" i="293"/>
  <c r="BN356" i="293"/>
  <c r="BM356" i="293"/>
  <c r="BL356" i="293"/>
  <c r="BK356" i="293"/>
  <c r="BJ356" i="293"/>
  <c r="AZ356" i="293"/>
  <c r="AY356" i="293"/>
  <c r="AX356" i="293"/>
  <c r="AW356" i="293"/>
  <c r="AK356" i="293" s="1"/>
  <c r="AV356" i="293"/>
  <c r="AU356" i="293"/>
  <c r="AT356" i="293"/>
  <c r="BO355" i="293"/>
  <c r="BN355" i="293"/>
  <c r="BM355" i="293"/>
  <c r="BL355" i="293"/>
  <c r="BK355" i="293"/>
  <c r="BJ355" i="293"/>
  <c r="AZ355" i="293"/>
  <c r="AY355" i="293"/>
  <c r="AX355" i="293"/>
  <c r="AW355" i="293"/>
  <c r="AV355" i="293"/>
  <c r="AU355" i="293"/>
  <c r="AT355" i="293"/>
  <c r="AK355" i="293" s="1"/>
  <c r="BO354" i="293"/>
  <c r="BN354" i="293"/>
  <c r="BM354" i="293"/>
  <c r="BL354" i="293"/>
  <c r="BK354" i="293"/>
  <c r="BJ354" i="293"/>
  <c r="AZ354" i="293"/>
  <c r="AY354" i="293"/>
  <c r="AK354" i="293" s="1"/>
  <c r="AX354" i="293"/>
  <c r="AW354" i="293"/>
  <c r="AV354" i="293"/>
  <c r="AU354" i="293"/>
  <c r="AT354" i="293"/>
  <c r="BO353" i="293"/>
  <c r="BN353" i="293"/>
  <c r="BM353" i="293"/>
  <c r="BL353" i="293"/>
  <c r="BK353" i="293"/>
  <c r="BJ353" i="293"/>
  <c r="AZ353" i="293"/>
  <c r="AY353" i="293"/>
  <c r="AX353" i="293"/>
  <c r="AW353" i="293"/>
  <c r="AV353" i="293"/>
  <c r="AK353" i="293" s="1"/>
  <c r="AU353" i="293"/>
  <c r="AT353" i="293"/>
  <c r="BO352" i="293"/>
  <c r="BN352" i="293"/>
  <c r="BM352" i="293"/>
  <c r="BL352" i="293"/>
  <c r="BK352" i="293"/>
  <c r="BJ352" i="293"/>
  <c r="AK352" i="293" s="1"/>
  <c r="AZ352" i="293"/>
  <c r="AY352" i="293"/>
  <c r="AX352" i="293"/>
  <c r="AW352" i="293"/>
  <c r="AV352" i="293"/>
  <c r="AU352" i="293"/>
  <c r="AT352" i="293"/>
  <c r="BO351" i="293"/>
  <c r="BN351" i="293"/>
  <c r="BM351" i="293"/>
  <c r="BL351" i="293"/>
  <c r="BK351" i="293"/>
  <c r="BJ351" i="293"/>
  <c r="AZ351" i="293"/>
  <c r="AY351" i="293"/>
  <c r="AX351" i="293"/>
  <c r="AK351" i="293" s="1"/>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K349" i="293" s="1"/>
  <c r="AY349" i="293"/>
  <c r="AX349" i="293"/>
  <c r="AW349" i="293"/>
  <c r="AV349" i="293"/>
  <c r="AU349" i="293"/>
  <c r="AT349" i="293"/>
  <c r="BO348" i="293"/>
  <c r="BN348" i="293"/>
  <c r="BM348" i="293"/>
  <c r="BL348" i="293"/>
  <c r="BK348" i="293"/>
  <c r="BJ348" i="293"/>
  <c r="AZ348" i="293"/>
  <c r="AY348" i="293"/>
  <c r="AX348" i="293"/>
  <c r="AW348" i="293"/>
  <c r="AK348" i="293" s="1"/>
  <c r="AV348" i="293"/>
  <c r="AU348" i="293"/>
  <c r="AT348" i="293"/>
  <c r="BO347" i="293"/>
  <c r="BN347" i="293"/>
  <c r="BM347" i="293"/>
  <c r="BL347" i="293"/>
  <c r="BK347" i="293"/>
  <c r="BJ347" i="293"/>
  <c r="AZ347" i="293"/>
  <c r="AY347" i="293"/>
  <c r="AX347" i="293"/>
  <c r="AW347" i="293"/>
  <c r="AV347" i="293"/>
  <c r="AU347" i="293"/>
  <c r="AT347" i="293"/>
  <c r="AK347" i="293" s="1"/>
  <c r="BO346" i="293"/>
  <c r="BN346" i="293"/>
  <c r="BM346" i="293"/>
  <c r="BL346" i="293"/>
  <c r="BK346" i="293"/>
  <c r="BJ346" i="293"/>
  <c r="AZ346" i="293"/>
  <c r="AY346" i="293"/>
  <c r="AK346" i="293" s="1"/>
  <c r="AX346" i="293"/>
  <c r="AW346" i="293"/>
  <c r="AV346" i="293"/>
  <c r="AU346" i="293"/>
  <c r="AT346" i="293"/>
  <c r="BO345" i="293"/>
  <c r="BN345" i="293"/>
  <c r="BM345" i="293"/>
  <c r="BL345" i="293"/>
  <c r="BK345" i="293"/>
  <c r="BJ345" i="293"/>
  <c r="AZ345" i="293"/>
  <c r="AY345" i="293"/>
  <c r="AX345" i="293"/>
  <c r="AW345" i="293"/>
  <c r="AV345" i="293"/>
  <c r="AK345" i="293" s="1"/>
  <c r="AU345" i="293"/>
  <c r="AT345" i="293"/>
  <c r="BO344" i="293"/>
  <c r="BN344" i="293"/>
  <c r="BM344" i="293"/>
  <c r="BL344" i="293"/>
  <c r="BK344" i="293"/>
  <c r="BJ344" i="293"/>
  <c r="AK344" i="293" s="1"/>
  <c r="AZ344" i="293"/>
  <c r="AY344" i="293"/>
  <c r="AX344" i="293"/>
  <c r="AW344" i="293"/>
  <c r="AV344" i="293"/>
  <c r="AU344" i="293"/>
  <c r="AT344" i="293"/>
  <c r="BO343" i="293"/>
  <c r="BN343" i="293"/>
  <c r="BM343" i="293"/>
  <c r="BL343" i="293"/>
  <c r="BK343" i="293"/>
  <c r="BJ343" i="293"/>
  <c r="AZ343" i="293"/>
  <c r="AY343" i="293"/>
  <c r="AX343" i="293"/>
  <c r="AK343" i="293" s="1"/>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K341" i="293" s="1"/>
  <c r="AY341" i="293"/>
  <c r="AX341" i="293"/>
  <c r="AW341" i="293"/>
  <c r="AV341" i="293"/>
  <c r="AU341" i="293"/>
  <c r="AT341" i="293"/>
  <c r="BO340" i="293"/>
  <c r="BN340" i="293"/>
  <c r="BM340" i="293"/>
  <c r="BL340" i="293"/>
  <c r="BK340" i="293"/>
  <c r="BJ340" i="293"/>
  <c r="AZ340" i="293"/>
  <c r="AY340" i="293"/>
  <c r="AX340" i="293"/>
  <c r="AW340" i="293"/>
  <c r="AK340" i="293" s="1"/>
  <c r="AV340" i="293"/>
  <c r="AU340" i="293"/>
  <c r="AT340" i="293"/>
  <c r="BO339" i="293"/>
  <c r="BN339" i="293"/>
  <c r="BM339" i="293"/>
  <c r="BL339" i="293"/>
  <c r="BK339" i="293"/>
  <c r="BJ339" i="293"/>
  <c r="AZ339" i="293"/>
  <c r="AY339" i="293"/>
  <c r="AX339" i="293"/>
  <c r="AW339" i="293"/>
  <c r="AV339" i="293"/>
  <c r="AU339" i="293"/>
  <c r="AT339" i="293"/>
  <c r="AK339" i="293" s="1"/>
  <c r="BO338" i="293"/>
  <c r="BN338" i="293"/>
  <c r="BM338" i="293"/>
  <c r="BL338" i="293"/>
  <c r="BK338" i="293"/>
  <c r="BJ338" i="293"/>
  <c r="AZ338" i="293"/>
  <c r="AY338" i="293"/>
  <c r="AK338" i="293" s="1"/>
  <c r="AX338" i="293"/>
  <c r="AW338" i="293"/>
  <c r="AV338" i="293"/>
  <c r="AU338" i="293"/>
  <c r="AT338" i="293"/>
  <c r="BO337" i="293"/>
  <c r="BN337" i="293"/>
  <c r="BM337" i="293"/>
  <c r="BL337" i="293"/>
  <c r="BK337" i="293"/>
  <c r="BJ337" i="293"/>
  <c r="AZ337" i="293"/>
  <c r="AY337" i="293"/>
  <c r="AX337" i="293"/>
  <c r="AW337" i="293"/>
  <c r="AV337" i="293"/>
  <c r="AK337" i="293" s="1"/>
  <c r="AU337" i="293"/>
  <c r="AT337" i="293"/>
  <c r="BO336" i="293"/>
  <c r="BN336" i="293"/>
  <c r="BM336" i="293"/>
  <c r="BL336" i="293"/>
  <c r="BK336" i="293"/>
  <c r="BJ336" i="293"/>
  <c r="AK336" i="293" s="1"/>
  <c r="AZ336" i="293"/>
  <c r="AY336" i="293"/>
  <c r="AX336" i="293"/>
  <c r="AW336" i="293"/>
  <c r="AV336" i="293"/>
  <c r="AU336" i="293"/>
  <c r="AT336" i="293"/>
  <c r="BO335" i="293"/>
  <c r="BN335" i="293"/>
  <c r="BM335" i="293"/>
  <c r="BL335" i="293"/>
  <c r="BK335" i="293"/>
  <c r="BJ335" i="293"/>
  <c r="AZ335" i="293"/>
  <c r="AY335" i="293"/>
  <c r="AX335" i="293"/>
  <c r="AK335" i="293" s="1"/>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K333" i="293" s="1"/>
  <c r="AY333" i="293"/>
  <c r="AX333" i="293"/>
  <c r="AW333" i="293"/>
  <c r="AV333" i="293"/>
  <c r="AU333" i="293"/>
  <c r="AT333" i="293"/>
  <c r="BO332" i="293"/>
  <c r="BN332" i="293"/>
  <c r="BM332" i="293"/>
  <c r="BL332" i="293"/>
  <c r="BK332" i="293"/>
  <c r="BJ332" i="293"/>
  <c r="AZ332" i="293"/>
  <c r="AY332" i="293"/>
  <c r="AX332" i="293"/>
  <c r="AW332" i="293"/>
  <c r="AK332" i="293" s="1"/>
  <c r="AV332" i="293"/>
  <c r="AU332" i="293"/>
  <c r="AT332" i="293"/>
  <c r="BO331" i="293"/>
  <c r="BN331" i="293"/>
  <c r="BM331" i="293"/>
  <c r="BL331" i="293"/>
  <c r="BK331" i="293"/>
  <c r="BJ331" i="293"/>
  <c r="AZ331" i="293"/>
  <c r="AY331" i="293"/>
  <c r="AX331" i="293"/>
  <c r="AW331" i="293"/>
  <c r="AV331" i="293"/>
  <c r="AU331" i="293"/>
  <c r="AT331" i="293"/>
  <c r="AK331" i="293" s="1"/>
  <c r="BO330" i="293"/>
  <c r="BN330" i="293"/>
  <c r="BM330" i="293"/>
  <c r="BL330" i="293"/>
  <c r="BK330" i="293"/>
  <c r="BJ330" i="293"/>
  <c r="AZ330" i="293"/>
  <c r="AY330" i="293"/>
  <c r="AK330" i="293" s="1"/>
  <c r="AX330" i="293"/>
  <c r="AW330" i="293"/>
  <c r="AV330" i="293"/>
  <c r="AU330" i="293"/>
  <c r="AT330" i="293"/>
  <c r="BO329" i="293"/>
  <c r="BN329" i="293"/>
  <c r="BM329" i="293"/>
  <c r="BL329" i="293"/>
  <c r="BK329" i="293"/>
  <c r="BJ329" i="293"/>
  <c r="AZ329" i="293"/>
  <c r="AY329" i="293"/>
  <c r="AX329" i="293"/>
  <c r="AW329" i="293"/>
  <c r="AV329" i="293"/>
  <c r="AK329" i="293" s="1"/>
  <c r="AU329" i="293"/>
  <c r="AT329" i="293"/>
  <c r="BO328" i="293"/>
  <c r="BN328" i="293"/>
  <c r="BM328" i="293"/>
  <c r="BL328" i="293"/>
  <c r="BK328" i="293"/>
  <c r="BJ328" i="293"/>
  <c r="AK328" i="293" s="1"/>
  <c r="AZ328" i="293"/>
  <c r="AY328" i="293"/>
  <c r="AX328" i="293"/>
  <c r="AW328" i="293"/>
  <c r="AV328" i="293"/>
  <c r="AU328" i="293"/>
  <c r="AT328" i="293"/>
  <c r="BO327" i="293"/>
  <c r="BN327" i="293"/>
  <c r="BM327" i="293"/>
  <c r="BL327" i="293"/>
  <c r="BK327" i="293"/>
  <c r="BJ327" i="293"/>
  <c r="AZ327" i="293"/>
  <c r="AY327" i="293"/>
  <c r="AX327" i="293"/>
  <c r="AK327" i="293" s="1"/>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K325" i="293" s="1"/>
  <c r="AY325" i="293"/>
  <c r="AX325" i="293"/>
  <c r="AW325" i="293"/>
  <c r="AV325" i="293"/>
  <c r="AU325" i="293"/>
  <c r="AT325" i="293"/>
  <c r="BO324" i="293"/>
  <c r="BN324" i="293"/>
  <c r="BM324" i="293"/>
  <c r="BL324" i="293"/>
  <c r="BK324" i="293"/>
  <c r="BJ324" i="293"/>
  <c r="AZ324" i="293"/>
  <c r="AY324" i="293"/>
  <c r="AX324" i="293"/>
  <c r="AW324" i="293"/>
  <c r="AK324" i="293" s="1"/>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AK318" i="293" s="1"/>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AK210" i="293" s="1"/>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AK202" i="293" s="1"/>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AK194" i="293" s="1"/>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AK186" i="293" s="1"/>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AK178" i="293" s="1"/>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AK170" i="293" s="1"/>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K95" i="293" s="1"/>
  <c r="AX95" i="293"/>
  <c r="AW95" i="293"/>
  <c r="AV95" i="293"/>
  <c r="AU95" i="293"/>
  <c r="AT95" i="293"/>
  <c r="BO94" i="293"/>
  <c r="BN94" i="293"/>
  <c r="BM94" i="293"/>
  <c r="BL94" i="293"/>
  <c r="BK94" i="293"/>
  <c r="BJ94" i="293"/>
  <c r="BG94" i="293"/>
  <c r="AZ94" i="293"/>
  <c r="AY94" i="293"/>
  <c r="AX94" i="293"/>
  <c r="AW94" i="293"/>
  <c r="AK94" i="293" s="1"/>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K88" i="293" s="1"/>
  <c r="AT88" i="293"/>
  <c r="BO87" i="293"/>
  <c r="BN87" i="293"/>
  <c r="BM87" i="293"/>
  <c r="BL87" i="293"/>
  <c r="BK87" i="293"/>
  <c r="BJ87" i="293"/>
  <c r="BG87" i="293"/>
  <c r="AZ87" i="293"/>
  <c r="AY87" i="293"/>
  <c r="AK87" i="293" s="1"/>
  <c r="AX87" i="293"/>
  <c r="AW87" i="293"/>
  <c r="AV87" i="293"/>
  <c r="AU87" i="293"/>
  <c r="AT87" i="293"/>
  <c r="BO86" i="293"/>
  <c r="BN86" i="293"/>
  <c r="BM86" i="293"/>
  <c r="BL86" i="293"/>
  <c r="BK86" i="293"/>
  <c r="BJ86" i="293"/>
  <c r="BG86" i="293"/>
  <c r="AZ86" i="293"/>
  <c r="AY86" i="293"/>
  <c r="AX86" i="293"/>
  <c r="AW86" i="293"/>
  <c r="AK86" i="293" s="1"/>
  <c r="AV86" i="293"/>
  <c r="AU86" i="293"/>
  <c r="AT86" i="293"/>
  <c r="BO85" i="293"/>
  <c r="BN85" i="293"/>
  <c r="BM85" i="293"/>
  <c r="BL85" i="293"/>
  <c r="BK85" i="293"/>
  <c r="BJ85" i="293"/>
  <c r="BG85" i="293"/>
  <c r="AZ85" i="293"/>
  <c r="AY85" i="293"/>
  <c r="AX85" i="293"/>
  <c r="AW85" i="293"/>
  <c r="AV85" i="293"/>
  <c r="AU85" i="293"/>
  <c r="AK85" i="293" s="1"/>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R31" i="231" s="1"/>
  <c r="U31" i="231"/>
  <c r="T31" i="231"/>
  <c r="W30" i="231"/>
  <c r="V30" i="231"/>
  <c r="U30" i="231"/>
  <c r="T30" i="231"/>
  <c r="W29" i="231"/>
  <c r="V29" i="231"/>
  <c r="R29" i="231" s="1"/>
  <c r="U29" i="231"/>
  <c r="T29"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V25" i="261" s="1"/>
  <c r="X25" i="261"/>
  <c r="Z16" i="261"/>
  <c r="V16" i="261"/>
  <c r="Z15" i="261"/>
  <c r="V15" i="261"/>
  <c r="Z14" i="261"/>
  <c r="V14" i="261"/>
  <c r="Z12" i="261"/>
  <c r="V12" i="261"/>
  <c r="Z11" i="261"/>
  <c r="V11" i="261"/>
  <c r="P21" i="259"/>
  <c r="O21" i="259"/>
  <c r="M21" i="259" s="1"/>
  <c r="P20" i="259"/>
  <c r="O20" i="259"/>
  <c r="P19" i="259"/>
  <c r="M19" i="259" s="1"/>
  <c r="O19" i="259"/>
  <c r="P18" i="259"/>
  <c r="O18" i="259"/>
  <c r="M18" i="259"/>
  <c r="P17" i="259"/>
  <c r="O17" i="259"/>
  <c r="P13" i="259"/>
  <c r="O13" i="259"/>
  <c r="P12" i="259"/>
  <c r="O12" i="259"/>
  <c r="P11" i="259"/>
  <c r="O11" i="259"/>
  <c r="M11" i="259" s="1"/>
  <c r="P10" i="259"/>
  <c r="M10" i="259" s="1"/>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T18" i="257" s="1"/>
  <c r="V18" i="257"/>
  <c r="X16" i="257"/>
  <c r="W16" i="257"/>
  <c r="V16" i="257"/>
  <c r="X15" i="257"/>
  <c r="W15" i="257"/>
  <c r="V15" i="257"/>
  <c r="X14" i="257"/>
  <c r="T14" i="257" s="1"/>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c r="N20" i="256"/>
  <c r="L20" i="256" s="1"/>
  <c r="N19" i="256"/>
  <c r="L19" i="256" s="1"/>
  <c r="N18" i="256"/>
  <c r="L18" i="256" s="1"/>
  <c r="N15" i="256"/>
  <c r="L15" i="256" s="1"/>
  <c r="N14" i="256"/>
  <c r="L14" i="256" s="1"/>
  <c r="N12" i="256"/>
  <c r="L12" i="256" s="1"/>
  <c r="N10" i="256"/>
  <c r="L10" i="256" s="1"/>
  <c r="N8" i="256"/>
  <c r="L8" i="256" s="1"/>
  <c r="N16" i="254"/>
  <c r="L16" i="254"/>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Q33" i="248"/>
  <c r="S30" i="248"/>
  <c r="R30" i="248"/>
  <c r="Q30" i="248"/>
  <c r="S25" i="248"/>
  <c r="R25" i="248"/>
  <c r="Q25" i="248"/>
  <c r="S24" i="248"/>
  <c r="R24" i="248"/>
  <c r="Q24" i="248"/>
  <c r="S19" i="248"/>
  <c r="R19" i="248"/>
  <c r="Q19" i="248"/>
  <c r="S18" i="248"/>
  <c r="R18" i="248"/>
  <c r="Q18" i="248"/>
  <c r="S17" i="248"/>
  <c r="O17" i="248" s="1"/>
  <c r="R17" i="248"/>
  <c r="Q17" i="248"/>
  <c r="S16" i="248"/>
  <c r="R16" i="248"/>
  <c r="Q16" i="248"/>
  <c r="S15" i="248"/>
  <c r="R15" i="248"/>
  <c r="Q15" i="248"/>
  <c r="O15" i="248" s="1"/>
  <c r="S11" i="248"/>
  <c r="R11" i="248"/>
  <c r="Q11" i="248"/>
  <c r="S10" i="248"/>
  <c r="R10" i="248"/>
  <c r="Q10" i="248"/>
  <c r="S9" i="248"/>
  <c r="R9" i="248"/>
  <c r="O9" i="248" s="1"/>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c r="N23" i="246"/>
  <c r="L23" i="246" s="1"/>
  <c r="N22" i="246"/>
  <c r="L22" i="246" s="1"/>
  <c r="N21" i="246"/>
  <c r="L21" i="246" s="1"/>
  <c r="N20" i="246"/>
  <c r="L20" i="246"/>
  <c r="N19" i="246"/>
  <c r="L19" i="246"/>
  <c r="N18" i="246"/>
  <c r="L18" i="246" s="1"/>
  <c r="N17" i="246"/>
  <c r="L17" i="246" s="1"/>
  <c r="N16" i="246"/>
  <c r="L16" i="246" s="1"/>
  <c r="N15" i="246"/>
  <c r="L15" i="246" s="1"/>
  <c r="N14" i="246"/>
  <c r="L14" i="246" s="1"/>
  <c r="N13" i="246"/>
  <c r="L13" i="246" s="1"/>
  <c r="N12" i="246"/>
  <c r="L12" i="246"/>
  <c r="N11" i="246"/>
  <c r="L11" i="246" s="1"/>
  <c r="N10" i="246"/>
  <c r="L10" i="246" s="1"/>
  <c r="N9" i="246"/>
  <c r="L9" i="246" s="1"/>
  <c r="Q57" i="245"/>
  <c r="M57" i="245" s="1"/>
  <c r="Q56" i="245"/>
  <c r="Q55" i="245"/>
  <c r="M55" i="245" s="1"/>
  <c r="Q54" i="245"/>
  <c r="M54" i="245" s="1"/>
  <c r="Q53" i="245"/>
  <c r="M53" i="245" s="1"/>
  <c r="Q52" i="245"/>
  <c r="M52" i="245" s="1"/>
  <c r="Q51" i="245"/>
  <c r="M51" i="245" s="1"/>
  <c r="Q50" i="245"/>
  <c r="M50" i="245" s="1"/>
  <c r="Q46" i="245"/>
  <c r="M46" i="245" s="1"/>
  <c r="P43" i="245"/>
  <c r="O43" i="245"/>
  <c r="P42" i="245"/>
  <c r="O42" i="245"/>
  <c r="M42" i="245" s="1"/>
  <c r="P41" i="245"/>
  <c r="O41" i="245"/>
  <c r="P40" i="245"/>
  <c r="O40" i="245"/>
  <c r="M40" i="245" s="1"/>
  <c r="P39" i="245"/>
  <c r="O39" i="245"/>
  <c r="P38" i="245"/>
  <c r="O38" i="245"/>
  <c r="P37" i="245"/>
  <c r="O37" i="245"/>
  <c r="P36" i="245"/>
  <c r="O36" i="245"/>
  <c r="R31" i="245"/>
  <c r="Q31" i="245"/>
  <c r="P31" i="245"/>
  <c r="O31" i="245"/>
  <c r="M31" i="245" s="1"/>
  <c r="R30" i="245"/>
  <c r="Q30" i="245"/>
  <c r="P30" i="245"/>
  <c r="O30" i="245"/>
  <c r="R29" i="245"/>
  <c r="Q29" i="245"/>
  <c r="P29" i="245"/>
  <c r="O29" i="245"/>
  <c r="M29" i="245" s="1"/>
  <c r="R28" i="245"/>
  <c r="Q28" i="245"/>
  <c r="P28" i="245"/>
  <c r="O28" i="245"/>
  <c r="R27" i="245"/>
  <c r="Q27" i="245"/>
  <c r="P27" i="245"/>
  <c r="O27" i="245"/>
  <c r="M27" i="245" s="1"/>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A55" i="240" s="1"/>
  <c r="AC55" i="240"/>
  <c r="AD51" i="240"/>
  <c r="AA51" i="240" s="1"/>
  <c r="AD50" i="240"/>
  <c r="AC50" i="240"/>
  <c r="AA50" i="240" s="1"/>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A12" i="240" s="1"/>
  <c r="AD12" i="240"/>
  <c r="AC12" i="240"/>
  <c r="AF10" i="240"/>
  <c r="AF9" i="240"/>
  <c r="AF8" i="240"/>
  <c r="AD10" i="240"/>
  <c r="AC10" i="240"/>
  <c r="AA10" i="240" s="1"/>
  <c r="AD9" i="240"/>
  <c r="AC9" i="240"/>
  <c r="AD8" i="240"/>
  <c r="P27" i="239"/>
  <c r="N27" i="239"/>
  <c r="P26" i="239"/>
  <c r="N26" i="239"/>
  <c r="P23" i="239"/>
  <c r="N23" i="239" s="1"/>
  <c r="Q19" i="239"/>
  <c r="N19" i="239" s="1"/>
  <c r="P19" i="239"/>
  <c r="Q18" i="239"/>
  <c r="P18" i="239"/>
  <c r="Q16" i="239"/>
  <c r="P16" i="239"/>
  <c r="Q15" i="239"/>
  <c r="P15" i="239"/>
  <c r="P12" i="239"/>
  <c r="N12" i="239" s="1"/>
  <c r="Q9" i="239"/>
  <c r="P9" i="239"/>
  <c r="Q8" i="239"/>
  <c r="W22" i="237"/>
  <c r="Q22" i="237" s="1"/>
  <c r="V22" i="237"/>
  <c r="U22" i="237"/>
  <c r="T22" i="237"/>
  <c r="S22" i="237"/>
  <c r="W21" i="237"/>
  <c r="V21" i="237"/>
  <c r="U21" i="237"/>
  <c r="T21" i="237"/>
  <c r="S21" i="237"/>
  <c r="W20" i="237"/>
  <c r="V20" i="237"/>
  <c r="U20" i="237"/>
  <c r="T20" i="237"/>
  <c r="S20" i="237"/>
  <c r="W19" i="237"/>
  <c r="V19" i="237"/>
  <c r="Q19" i="237" s="1"/>
  <c r="U19" i="237"/>
  <c r="T19" i="237"/>
  <c r="S19" i="237"/>
  <c r="W18" i="237"/>
  <c r="V18" i="237"/>
  <c r="U18" i="237"/>
  <c r="T18" i="237"/>
  <c r="S18" i="237"/>
  <c r="Q18" i="237" s="1"/>
  <c r="W14" i="237"/>
  <c r="V14" i="237"/>
  <c r="U14" i="237"/>
  <c r="T14" i="237"/>
  <c r="S14" i="237"/>
  <c r="W13" i="237"/>
  <c r="V13" i="237"/>
  <c r="U13" i="237"/>
  <c r="Q13" i="237" s="1"/>
  <c r="T13" i="237"/>
  <c r="S13" i="237"/>
  <c r="W12" i="237"/>
  <c r="V12" i="237"/>
  <c r="U12" i="237"/>
  <c r="Q12" i="237" s="1"/>
  <c r="T12" i="237"/>
  <c r="S12" i="237"/>
  <c r="W11" i="237"/>
  <c r="Q11" i="237" s="1"/>
  <c r="V11" i="237"/>
  <c r="U11" i="237"/>
  <c r="T11" i="237"/>
  <c r="S11" i="237"/>
  <c r="W10" i="237"/>
  <c r="V10" i="237"/>
  <c r="U10" i="237"/>
  <c r="T10" i="237"/>
  <c r="Q13" i="236"/>
  <c r="P13" i="236"/>
  <c r="Q12" i="236"/>
  <c r="N12" i="236" s="1"/>
  <c r="P12" i="236"/>
  <c r="Q11" i="236"/>
  <c r="P11" i="236"/>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AG85" i="235" s="1"/>
  <c r="BB85" i="235"/>
  <c r="BA85" i="235"/>
  <c r="BC82" i="235"/>
  <c r="BB82" i="235"/>
  <c r="BA82" i="235"/>
  <c r="BC79" i="235"/>
  <c r="BB79" i="235"/>
  <c r="BA79" i="235"/>
  <c r="BC76" i="235"/>
  <c r="BB76" i="235"/>
  <c r="BA76" i="235"/>
  <c r="BC73" i="235"/>
  <c r="BB73" i="235"/>
  <c r="BA73" i="235"/>
  <c r="AG73" i="235" s="1"/>
  <c r="BC70" i="235"/>
  <c r="BB70" i="235"/>
  <c r="AG70" i="235" s="1"/>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G91" i="235" s="1"/>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G88" i="235" s="1"/>
  <c r="AL88" i="235"/>
  <c r="AK88" i="235"/>
  <c r="AJ88" i="235"/>
  <c r="AI88" i="235"/>
  <c r="AP87" i="235"/>
  <c r="AO87" i="235"/>
  <c r="AN87" i="235"/>
  <c r="AM87" i="235"/>
  <c r="AL87" i="235"/>
  <c r="AK87" i="235"/>
  <c r="AJ87" i="235"/>
  <c r="AI87" i="235"/>
  <c r="AP86" i="235"/>
  <c r="AO86" i="235"/>
  <c r="AN86" i="235"/>
  <c r="AM86" i="235"/>
  <c r="AG86" i="235" s="1"/>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G66" i="235" s="1"/>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AG52" i="235" s="1"/>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AG21" i="235" s="1"/>
  <c r="BB21" i="235"/>
  <c r="BA21" i="235"/>
  <c r="BC18" i="235"/>
  <c r="BB18" i="235"/>
  <c r="BA18" i="235"/>
  <c r="BC15" i="235"/>
  <c r="BB15" i="235"/>
  <c r="BA15" i="235"/>
  <c r="AG15" i="235" s="1"/>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G54" i="235" s="1"/>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A81" i="234" s="1"/>
  <c r="AP81" i="234"/>
  <c r="AO81" i="234"/>
  <c r="AG124" i="234"/>
  <c r="AF124" i="234"/>
  <c r="AE124" i="234"/>
  <c r="AD124" i="234"/>
  <c r="AC124" i="234"/>
  <c r="AG123" i="234"/>
  <c r="AF123" i="234"/>
  <c r="AE123" i="234"/>
  <c r="AD123" i="234"/>
  <c r="AC123" i="234"/>
  <c r="AG122" i="234"/>
  <c r="AF122" i="234"/>
  <c r="AE122" i="234"/>
  <c r="AD122" i="234"/>
  <c r="AA122" i="234" s="1"/>
  <c r="AC122" i="234"/>
  <c r="AG121" i="234"/>
  <c r="AF121" i="234"/>
  <c r="AE121" i="234"/>
  <c r="AD121" i="234"/>
  <c r="AC121" i="234"/>
  <c r="AG120" i="234"/>
  <c r="AF120" i="234"/>
  <c r="AE120" i="234"/>
  <c r="AD120" i="234"/>
  <c r="AC120" i="234"/>
  <c r="AG119" i="234"/>
  <c r="AF119" i="234"/>
  <c r="AE119" i="234"/>
  <c r="AD119" i="234"/>
  <c r="AC119" i="234"/>
  <c r="AA119" i="234" s="1"/>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A113" i="234" s="1"/>
  <c r="AC113" i="234"/>
  <c r="AG112" i="234"/>
  <c r="AF112" i="234"/>
  <c r="AA112" i="234" s="1"/>
  <c r="AE112" i="234"/>
  <c r="AD112" i="234"/>
  <c r="AC112" i="234"/>
  <c r="AG110" i="234"/>
  <c r="AF110" i="234"/>
  <c r="AA110" i="234" s="1"/>
  <c r="AE110" i="234"/>
  <c r="AD110" i="234"/>
  <c r="AC110" i="234"/>
  <c r="AG109" i="234"/>
  <c r="AF109" i="234"/>
  <c r="AE109" i="234"/>
  <c r="AD109" i="234"/>
  <c r="AC109" i="234"/>
  <c r="AG95" i="234"/>
  <c r="AF95" i="234"/>
  <c r="AE95" i="234"/>
  <c r="AD95" i="234"/>
  <c r="AC95" i="234"/>
  <c r="AG94" i="234"/>
  <c r="AF94" i="234"/>
  <c r="AE94" i="234"/>
  <c r="AD94" i="234"/>
  <c r="AC94" i="234"/>
  <c r="AG92" i="234"/>
  <c r="AF92" i="234"/>
  <c r="AE92" i="234"/>
  <c r="AD92" i="234"/>
  <c r="AC92" i="234"/>
  <c r="AG91" i="234"/>
  <c r="AF91" i="234"/>
  <c r="AE91" i="234"/>
  <c r="AD91" i="234"/>
  <c r="AC91" i="234"/>
  <c r="AG107" i="234"/>
  <c r="AE107" i="234"/>
  <c r="AC107" i="234"/>
  <c r="AF106" i="234"/>
  <c r="AE106" i="234"/>
  <c r="AD106" i="234"/>
  <c r="AC106" i="234"/>
  <c r="AG80" i="234"/>
  <c r="AF80" i="234"/>
  <c r="AE80" i="234"/>
  <c r="AD80" i="234"/>
  <c r="AC80" i="234"/>
  <c r="AG79" i="234"/>
  <c r="AF79" i="234"/>
  <c r="AE79" i="234"/>
  <c r="AD79" i="234"/>
  <c r="AC79" i="234"/>
  <c r="AO76" i="234"/>
  <c r="AP76" i="234"/>
  <c r="AQ76" i="234"/>
  <c r="AG74" i="234"/>
  <c r="AA74" i="234" s="1"/>
  <c r="AG73" i="234"/>
  <c r="AA73" i="234" s="1"/>
  <c r="AG59" i="234"/>
  <c r="AA59" i="234"/>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A47" i="234" s="1"/>
  <c r="AD47" i="234"/>
  <c r="AC47" i="234"/>
  <c r="AG46" i="234"/>
  <c r="AF46" i="234"/>
  <c r="AE46" i="234"/>
  <c r="AD46" i="234"/>
  <c r="AC46" i="234"/>
  <c r="AG44" i="234"/>
  <c r="AA44" i="234" s="1"/>
  <c r="AF44" i="234"/>
  <c r="AE44" i="234"/>
  <c r="AD44" i="234"/>
  <c r="AC44" i="234"/>
  <c r="AG43" i="234"/>
  <c r="AF43" i="234"/>
  <c r="AE43" i="234"/>
  <c r="AD43" i="234"/>
  <c r="AA43" i="234" s="1"/>
  <c r="AC43" i="234"/>
  <c r="AG41" i="234"/>
  <c r="AF41" i="234"/>
  <c r="AE41" i="234"/>
  <c r="AD41" i="234"/>
  <c r="AC41" i="234"/>
  <c r="AG40" i="234"/>
  <c r="AF40" i="234"/>
  <c r="AA40" i="234" s="1"/>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A35" i="234" s="1"/>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A24" i="234" s="1"/>
  <c r="AO24" i="234"/>
  <c r="AQ21" i="234"/>
  <c r="AP21" i="234"/>
  <c r="AO21" i="234"/>
  <c r="AQ18" i="234"/>
  <c r="AP18" i="234"/>
  <c r="AO18" i="234"/>
  <c r="AQ15" i="234"/>
  <c r="AP15" i="234"/>
  <c r="AO15" i="234"/>
  <c r="AQ12" i="234"/>
  <c r="AP12" i="234"/>
  <c r="AO12" i="234"/>
  <c r="AG26" i="234"/>
  <c r="AF26" i="234"/>
  <c r="AE26" i="234"/>
  <c r="AA26" i="234" s="1"/>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A17" i="234" s="1"/>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T24" i="233" s="1"/>
  <c r="AC21" i="233"/>
  <c r="AB21" i="233"/>
  <c r="AA21" i="233"/>
  <c r="Z21" i="233"/>
  <c r="Y21" i="233"/>
  <c r="X21" i="233"/>
  <c r="W21" i="233"/>
  <c r="V21" i="233"/>
  <c r="AC20" i="233"/>
  <c r="AB20" i="233"/>
  <c r="AA20" i="233"/>
  <c r="Z20" i="233"/>
  <c r="Y20" i="233"/>
  <c r="X20" i="233"/>
  <c r="W20" i="233"/>
  <c r="V20" i="233"/>
  <c r="T20" i="233" s="1"/>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Q25" i="232" s="1"/>
  <c r="U25" i="232"/>
  <c r="T25" i="232"/>
  <c r="S25" i="232"/>
  <c r="W24" i="232"/>
  <c r="V24" i="232"/>
  <c r="U24" i="232"/>
  <c r="T24" i="232"/>
  <c r="S24" i="232"/>
  <c r="Q24" i="232" s="1"/>
  <c r="W23" i="232"/>
  <c r="V23" i="232"/>
  <c r="U23" i="232"/>
  <c r="T23" i="232"/>
  <c r="S23" i="232"/>
  <c r="W20" i="232"/>
  <c r="V20" i="232"/>
  <c r="U20" i="232"/>
  <c r="T20" i="232"/>
  <c r="S20" i="232"/>
  <c r="W19" i="232"/>
  <c r="V19" i="232"/>
  <c r="U19" i="232"/>
  <c r="T19" i="232"/>
  <c r="S19" i="232"/>
  <c r="W18" i="232"/>
  <c r="Q18" i="232" s="1"/>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Q10" i="232" s="1"/>
  <c r="T10" i="232"/>
  <c r="S10" i="232"/>
  <c r="W9" i="232"/>
  <c r="V9" i="232"/>
  <c r="U9" i="232"/>
  <c r="T9" i="232"/>
  <c r="Z46" i="231"/>
  <c r="Y46" i="231"/>
  <c r="W46" i="231"/>
  <c r="V46" i="231"/>
  <c r="U46" i="231"/>
  <c r="T46" i="231"/>
  <c r="W42" i="231"/>
  <c r="V42" i="231"/>
  <c r="U42" i="231"/>
  <c r="T42" i="231"/>
  <c r="R42" i="231" s="1"/>
  <c r="W41" i="231"/>
  <c r="V41" i="231"/>
  <c r="U41" i="231"/>
  <c r="T41" i="231"/>
  <c r="W40" i="231"/>
  <c r="V40" i="231"/>
  <c r="U40" i="231"/>
  <c r="T40" i="231"/>
  <c r="R40" i="231" s="1"/>
  <c r="W39" i="231"/>
  <c r="V39" i="231"/>
  <c r="U39" i="231"/>
  <c r="T39" i="231"/>
  <c r="W38" i="231"/>
  <c r="V38" i="231"/>
  <c r="U38" i="231"/>
  <c r="T38" i="231"/>
  <c r="R38" i="231" s="1"/>
  <c r="W37" i="231"/>
  <c r="V37" i="231"/>
  <c r="U37" i="231"/>
  <c r="T37" i="231"/>
  <c r="W36" i="231"/>
  <c r="V36" i="231"/>
  <c r="U36" i="231"/>
  <c r="T36" i="231"/>
  <c r="R36" i="231" s="1"/>
  <c r="Z42" i="231"/>
  <c r="Y42" i="231"/>
  <c r="Z41" i="231"/>
  <c r="Y41" i="231"/>
  <c r="Z40" i="231"/>
  <c r="Y40" i="231"/>
  <c r="Z39" i="231"/>
  <c r="Y39" i="231"/>
  <c r="R39" i="231" s="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R25" i="231" s="1"/>
  <c r="U25" i="231"/>
  <c r="T25" i="231"/>
  <c r="W24" i="231"/>
  <c r="R24" i="231" s="1"/>
  <c r="V24" i="231"/>
  <c r="U24" i="231"/>
  <c r="T24" i="231"/>
  <c r="W23" i="231"/>
  <c r="V23" i="231"/>
  <c r="R23" i="231" s="1"/>
  <c r="U23" i="231"/>
  <c r="T23" i="231"/>
  <c r="W22" i="231"/>
  <c r="R22" i="231" s="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R17" i="231" s="1"/>
  <c r="U17" i="231"/>
  <c r="T17" i="231"/>
  <c r="W16" i="231"/>
  <c r="V16" i="231"/>
  <c r="U16" i="231"/>
  <c r="T16" i="231"/>
  <c r="W15" i="231"/>
  <c r="V15" i="231"/>
  <c r="R15" i="231" s="1"/>
  <c r="U15" i="231"/>
  <c r="T15" i="231"/>
  <c r="W14" i="231"/>
  <c r="V14" i="231"/>
  <c r="U14" i="231"/>
  <c r="T14" i="231"/>
  <c r="W13" i="231"/>
  <c r="V13" i="231"/>
  <c r="R13" i="231" s="1"/>
  <c r="U13" i="231"/>
  <c r="T13" i="231"/>
  <c r="W12" i="231"/>
  <c r="V12" i="231"/>
  <c r="U12" i="231"/>
  <c r="O37" i="230"/>
  <c r="M37" i="230" s="1"/>
  <c r="O36" i="230"/>
  <c r="M36" i="230" s="1"/>
  <c r="O35" i="230"/>
  <c r="M35" i="230"/>
  <c r="O34" i="230"/>
  <c r="M34" i="230"/>
  <c r="O33" i="230"/>
  <c r="M33" i="230" s="1"/>
  <c r="O23" i="230"/>
  <c r="M23" i="230" s="1"/>
  <c r="O22" i="230"/>
  <c r="M22" i="230"/>
  <c r="O19" i="230"/>
  <c r="M19" i="230" s="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T43" i="227" s="1"/>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Q17" i="226" s="1"/>
  <c r="V17" i="226"/>
  <c r="U17" i="226"/>
  <c r="T17" i="226"/>
  <c r="S17" i="226"/>
  <c r="W13" i="226"/>
  <c r="V13" i="226"/>
  <c r="U13" i="226"/>
  <c r="T13" i="226"/>
  <c r="S13" i="226"/>
  <c r="W11" i="226"/>
  <c r="V11" i="226"/>
  <c r="U11" i="226"/>
  <c r="T11" i="226"/>
  <c r="AF46" i="225"/>
  <c r="AE46" i="225"/>
  <c r="AD46" i="225"/>
  <c r="AC46" i="225"/>
  <c r="U46" i="225" s="1"/>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U34" i="225" s="1"/>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U11" i="225" s="1"/>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s="1"/>
  <c r="N59" i="223"/>
  <c r="O58" i="223"/>
  <c r="N58" i="223"/>
  <c r="O57" i="223"/>
  <c r="N57" i="223"/>
  <c r="O56" i="223"/>
  <c r="N56" i="223"/>
  <c r="O55" i="223"/>
  <c r="L55" i="223" s="1"/>
  <c r="N55" i="223"/>
  <c r="O54" i="223"/>
  <c r="N54" i="223"/>
  <c r="O53" i="223"/>
  <c r="N53" i="223"/>
  <c r="O52" i="223"/>
  <c r="L52" i="223" s="1"/>
  <c r="N52" i="223"/>
  <c r="O51" i="223"/>
  <c r="L51" i="223" s="1"/>
  <c r="N51" i="223"/>
  <c r="O50" i="223"/>
  <c r="N50" i="223"/>
  <c r="O49" i="223"/>
  <c r="N49" i="223"/>
  <c r="L49" i="223" s="1"/>
  <c r="O48" i="223"/>
  <c r="N48" i="223"/>
  <c r="O47" i="223"/>
  <c r="L47" i="223" s="1"/>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L31" i="223" s="1"/>
  <c r="P30" i="223"/>
  <c r="O30" i="223"/>
  <c r="N30" i="223"/>
  <c r="P29" i="223"/>
  <c r="O29" i="223"/>
  <c r="L29" i="223" s="1"/>
  <c r="N29" i="223"/>
  <c r="P28" i="223"/>
  <c r="O28" i="223"/>
  <c r="L28" i="223" s="1"/>
  <c r="N28" i="223"/>
  <c r="P27" i="223"/>
  <c r="O27" i="223"/>
  <c r="N27" i="223"/>
  <c r="P26" i="223"/>
  <c r="O26" i="223"/>
  <c r="N26" i="223"/>
  <c r="P25" i="223"/>
  <c r="O25" i="223"/>
  <c r="N25" i="223"/>
  <c r="P24" i="223"/>
  <c r="O24" i="223"/>
  <c r="N24" i="223"/>
  <c r="P23" i="223"/>
  <c r="O23" i="223"/>
  <c r="N23" i="223"/>
  <c r="L23" i="223" s="1"/>
  <c r="P22" i="223"/>
  <c r="O22" i="223"/>
  <c r="N22" i="223"/>
  <c r="L22" i="223" s="1"/>
  <c r="P21" i="223"/>
  <c r="O21" i="223"/>
  <c r="L21" i="223" s="1"/>
  <c r="N21" i="223"/>
  <c r="P20" i="223"/>
  <c r="O20" i="223"/>
  <c r="N20" i="223"/>
  <c r="P19" i="223"/>
  <c r="O19" i="223"/>
  <c r="N19" i="223"/>
  <c r="P18" i="223"/>
  <c r="L18" i="223" s="1"/>
  <c r="O18" i="223"/>
  <c r="N18" i="223"/>
  <c r="P17" i="223"/>
  <c r="O17" i="223"/>
  <c r="N17" i="223"/>
  <c r="P16" i="223"/>
  <c r="O16" i="223"/>
  <c r="N16" i="223"/>
  <c r="P15" i="223"/>
  <c r="O15" i="223"/>
  <c r="N15" i="223"/>
  <c r="L15" i="223" s="1"/>
  <c r="P14" i="223"/>
  <c r="O14" i="223"/>
  <c r="N14" i="223"/>
  <c r="L14" i="223" s="1"/>
  <c r="P13" i="223"/>
  <c r="O13" i="223"/>
  <c r="L13" i="223" s="1"/>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S16" i="221" s="1"/>
  <c r="AA12" i="221"/>
  <c r="AA11" i="221"/>
  <c r="AA10" i="221"/>
  <c r="AA9" i="221"/>
  <c r="AA8" i="221"/>
  <c r="Z12" i="221"/>
  <c r="Y12" i="221"/>
  <c r="X12" i="221"/>
  <c r="S12" i="221" s="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M42" i="220"/>
  <c r="Q42" i="220"/>
  <c r="Q41" i="220"/>
  <c r="M41" i="220" s="1"/>
  <c r="O35" i="220"/>
  <c r="M35" i="220"/>
  <c r="O34" i="220"/>
  <c r="M34" i="220" s="1"/>
  <c r="O33" i="220"/>
  <c r="M33" i="220" s="1"/>
  <c r="O27" i="220"/>
  <c r="M27" i="220" s="1"/>
  <c r="O26" i="220"/>
  <c r="M26" i="220" s="1"/>
  <c r="O25" i="220"/>
  <c r="M25" i="220"/>
  <c r="P17" i="220"/>
  <c r="M17" i="220" s="1"/>
  <c r="P16" i="220"/>
  <c r="M16" i="220"/>
  <c r="P15" i="220"/>
  <c r="M15" i="220"/>
  <c r="P12" i="220"/>
  <c r="M12" i="220"/>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M16" i="216" s="1"/>
  <c r="O16" i="216"/>
  <c r="P15" i="216"/>
  <c r="O15" i="216"/>
  <c r="M15" i="216" s="1"/>
  <c r="P14" i="216"/>
  <c r="O14" i="216"/>
  <c r="P10" i="216"/>
  <c r="O10" i="216"/>
  <c r="P9" i="216"/>
  <c r="M9" i="216" s="1"/>
  <c r="O9" i="216"/>
  <c r="P8" i="216"/>
  <c r="U44" i="215"/>
  <c r="Q44" i="215" s="1"/>
  <c r="U41" i="215"/>
  <c r="Q41" i="215" s="1"/>
  <c r="U40" i="215"/>
  <c r="Q40" i="215" s="1"/>
  <c r="U39" i="215"/>
  <c r="Q39" i="215" s="1"/>
  <c r="T35" i="215"/>
  <c r="S35" i="215"/>
  <c r="T34" i="215"/>
  <c r="S34" i="215"/>
  <c r="T33" i="215"/>
  <c r="S33" i="215"/>
  <c r="T27" i="215"/>
  <c r="S27" i="215"/>
  <c r="T26" i="215"/>
  <c r="Q26" i="215" s="1"/>
  <c r="S26" i="215"/>
  <c r="W22" i="215"/>
  <c r="V22" i="215"/>
  <c r="W21" i="215"/>
  <c r="V21" i="215"/>
  <c r="W20" i="215"/>
  <c r="V20" i="215"/>
  <c r="W19" i="215"/>
  <c r="Q19" i="215" s="1"/>
  <c r="V19" i="215"/>
  <c r="W18" i="215"/>
  <c r="V18" i="215"/>
  <c r="W17" i="215"/>
  <c r="V17" i="215"/>
  <c r="W16" i="215"/>
  <c r="V16" i="215"/>
  <c r="T22" i="215"/>
  <c r="Q22" i="215" s="1"/>
  <c r="S22" i="215"/>
  <c r="T21" i="215"/>
  <c r="S21" i="215"/>
  <c r="T20" i="215"/>
  <c r="Q20" i="215" s="1"/>
  <c r="S20" i="215"/>
  <c r="T19" i="215"/>
  <c r="S19" i="215"/>
  <c r="T18" i="215"/>
  <c r="Q18" i="215" s="1"/>
  <c r="S18" i="215"/>
  <c r="T17" i="215"/>
  <c r="S17" i="215"/>
  <c r="T16" i="215"/>
  <c r="Q16" i="215" s="1"/>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c r="O21" i="214"/>
  <c r="L21" i="214" s="1"/>
  <c r="O20" i="214"/>
  <c r="L20" i="214" s="1"/>
  <c r="N16" i="214"/>
  <c r="L16" i="214" s="1"/>
  <c r="S54" i="213"/>
  <c r="R54" i="213"/>
  <c r="O54" i="213" s="1"/>
  <c r="Q54" i="213"/>
  <c r="S52" i="213"/>
  <c r="R52" i="213"/>
  <c r="O52" i="213" s="1"/>
  <c r="Q52" i="213"/>
  <c r="R47" i="213"/>
  <c r="Q47" i="213"/>
  <c r="O47" i="213" s="1"/>
  <c r="S44" i="213"/>
  <c r="R44" i="213"/>
  <c r="Q44" i="213"/>
  <c r="S43" i="213"/>
  <c r="O43" i="213" s="1"/>
  <c r="R43" i="213"/>
  <c r="Q43" i="213"/>
  <c r="S42" i="213"/>
  <c r="R42" i="213"/>
  <c r="Q42" i="213"/>
  <c r="O42" i="213" s="1"/>
  <c r="S40" i="213"/>
  <c r="R40" i="213"/>
  <c r="Q40" i="213"/>
  <c r="O40" i="213" s="1"/>
  <c r="S38" i="213"/>
  <c r="R38" i="213"/>
  <c r="Q38" i="213"/>
  <c r="S37" i="213"/>
  <c r="R37" i="213"/>
  <c r="Q37" i="213"/>
  <c r="S36" i="213"/>
  <c r="R36" i="213"/>
  <c r="O36" i="213" s="1"/>
  <c r="Q36" i="213"/>
  <c r="S35" i="213"/>
  <c r="R35" i="213"/>
  <c r="Q35" i="213"/>
  <c r="R32" i="213"/>
  <c r="O32" i="213" s="1"/>
  <c r="Q32" i="213"/>
  <c r="S29" i="213"/>
  <c r="R29" i="213"/>
  <c r="O29" i="213" s="1"/>
  <c r="Q29" i="213"/>
  <c r="S28" i="213"/>
  <c r="R28" i="213"/>
  <c r="Q28" i="213"/>
  <c r="S27" i="213"/>
  <c r="R27" i="213"/>
  <c r="Q27" i="213"/>
  <c r="S25" i="213"/>
  <c r="R25" i="213"/>
  <c r="Q25" i="213"/>
  <c r="S23" i="213"/>
  <c r="R23" i="213"/>
  <c r="Q23" i="213"/>
  <c r="O23" i="213" s="1"/>
  <c r="S22" i="213"/>
  <c r="R22" i="213"/>
  <c r="Q22" i="213"/>
  <c r="O22" i="213" s="1"/>
  <c r="S21" i="213"/>
  <c r="R21" i="213"/>
  <c r="Q21" i="213"/>
  <c r="S20" i="213"/>
  <c r="R20" i="213"/>
  <c r="Q20" i="213"/>
  <c r="S19" i="213"/>
  <c r="R19" i="213"/>
  <c r="O19" i="213" s="1"/>
  <c r="Q19" i="213"/>
  <c r="R16" i="213"/>
  <c r="Q16" i="213"/>
  <c r="S13" i="213"/>
  <c r="R13" i="213"/>
  <c r="O13" i="213" s="1"/>
  <c r="Q13" i="213"/>
  <c r="S12" i="213"/>
  <c r="R12" i="213"/>
  <c r="O12" i="213" s="1"/>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c r="P48" i="211"/>
  <c r="N48" i="211" s="1"/>
  <c r="P45" i="211"/>
  <c r="N45" i="211" s="1"/>
  <c r="P44" i="211"/>
  <c r="N44" i="211"/>
  <c r="Q41" i="211"/>
  <c r="P41" i="211"/>
  <c r="Q38" i="211"/>
  <c r="P38" i="211"/>
  <c r="Q33" i="211"/>
  <c r="P33" i="211"/>
  <c r="N33" i="211" s="1"/>
  <c r="Q32" i="211"/>
  <c r="P32" i="211"/>
  <c r="N32" i="211" s="1"/>
  <c r="Q27" i="211"/>
  <c r="P27" i="211"/>
  <c r="N27" i="211" s="1"/>
  <c r="Q26" i="211"/>
  <c r="P26" i="211"/>
  <c r="Q25" i="211"/>
  <c r="N25" i="211" s="1"/>
  <c r="P25" i="211"/>
  <c r="Q24" i="211"/>
  <c r="P24" i="211"/>
  <c r="Q21" i="211"/>
  <c r="P21" i="211"/>
  <c r="N21" i="211" s="1"/>
  <c r="Q20" i="211"/>
  <c r="P20" i="211"/>
  <c r="N20" i="211" s="1"/>
  <c r="Q19" i="211"/>
  <c r="P19" i="211"/>
  <c r="Q18" i="211"/>
  <c r="P18" i="211"/>
  <c r="Q14" i="211"/>
  <c r="P14" i="211"/>
  <c r="N14" i="211" s="1"/>
  <c r="Q13" i="211"/>
  <c r="P13" i="211"/>
  <c r="N13" i="211" s="1"/>
  <c r="Q12" i="211"/>
  <c r="N12" i="211" s="1"/>
  <c r="Q11" i="211"/>
  <c r="P11" i="211"/>
  <c r="Q10" i="211"/>
  <c r="P10" i="211"/>
  <c r="Q9" i="211"/>
  <c r="P9" i="211"/>
  <c r="Q8" i="211"/>
  <c r="W43" i="210"/>
  <c r="Q43" i="210" s="1"/>
  <c r="W42" i="210"/>
  <c r="Q42" i="210" s="1"/>
  <c r="W37" i="210"/>
  <c r="Q37" i="210" s="1"/>
  <c r="W33" i="210"/>
  <c r="Q33" i="210"/>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Q32" i="205" s="1"/>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Q15" i="205" s="1"/>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Q43" i="204" s="1"/>
  <c r="U42" i="204"/>
  <c r="T42" i="204"/>
  <c r="S42" i="204"/>
  <c r="U41" i="204"/>
  <c r="T41" i="204"/>
  <c r="Q41" i="204" s="1"/>
  <c r="S41" i="204"/>
  <c r="U40" i="204"/>
  <c r="T40" i="204"/>
  <c r="Q40" i="204" s="1"/>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Q13" i="204" s="1"/>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AK568" i="293"/>
  <c r="M56" i="245"/>
  <c r="N18" i="211"/>
  <c r="N24" i="211"/>
  <c r="AL14" i="285"/>
  <c r="O10" i="248"/>
  <c r="O11" i="248"/>
  <c r="M37" i="245"/>
  <c r="M41" i="245"/>
  <c r="AA39" i="240"/>
  <c r="AA23" i="240"/>
  <c r="N13" i="236"/>
  <c r="AG12" i="235"/>
  <c r="AG24" i="235"/>
  <c r="AG43" i="235"/>
  <c r="AG76" i="235"/>
  <c r="R46" i="231"/>
  <c r="W32" i="228"/>
  <c r="M10" i="216"/>
  <c r="M17" i="216"/>
  <c r="O28" i="213"/>
  <c r="O35" i="213"/>
  <c r="N26" i="211"/>
  <c r="N9" i="211"/>
  <c r="O21" i="213"/>
  <c r="Q25" i="205"/>
  <c r="N10" i="211"/>
  <c r="O11" i="213"/>
  <c r="W13" i="228"/>
  <c r="O30" i="248"/>
  <c r="N38" i="211"/>
  <c r="O16" i="213"/>
  <c r="S11" i="263"/>
  <c r="S12" i="263"/>
  <c r="S16" i="263"/>
  <c r="Q17" i="215"/>
  <c r="Q27" i="215"/>
  <c r="Q34" i="215"/>
  <c r="L19" i="223"/>
  <c r="L42" i="223"/>
  <c r="L44" i="223"/>
  <c r="L46" i="223"/>
  <c r="L48" i="223"/>
  <c r="L50" i="223"/>
  <c r="L54" i="223"/>
  <c r="L56" i="223"/>
  <c r="L58" i="223"/>
  <c r="L60" i="223"/>
  <c r="L62" i="223"/>
  <c r="L64" i="223"/>
  <c r="L66" i="223"/>
  <c r="AA13" i="234"/>
  <c r="AA25" i="234"/>
  <c r="AA18" i="234"/>
  <c r="AA46" i="234"/>
  <c r="AA92" i="234"/>
  <c r="AA116" i="234"/>
  <c r="AA124" i="234"/>
  <c r="AA108" i="234"/>
  <c r="AA111" i="234"/>
  <c r="AG40" i="235"/>
  <c r="AA35" i="240"/>
  <c r="M25" i="245"/>
  <c r="M26" i="245"/>
  <c r="M28" i="245"/>
  <c r="M30" i="245"/>
  <c r="S13" i="258"/>
  <c r="V35" i="261"/>
  <c r="S20" i="262"/>
  <c r="M17" i="259"/>
  <c r="V16" i="288"/>
  <c r="V33" i="257"/>
  <c r="W11" i="228"/>
  <c r="W15" i="228"/>
  <c r="W17" i="228"/>
  <c r="W19" i="228"/>
  <c r="W24" i="228"/>
  <c r="W26" i="228"/>
  <c r="W28" i="228"/>
  <c r="R37" i="231"/>
  <c r="R41" i="231"/>
  <c r="U35" i="225"/>
  <c r="U44" i="225"/>
  <c r="W14" i="228"/>
  <c r="W18" i="228"/>
  <c r="W25" i="228"/>
  <c r="W29" i="228"/>
  <c r="T11" i="233"/>
  <c r="AA22" i="234"/>
  <c r="AA21" i="234"/>
  <c r="AA41" i="234"/>
  <c r="AA33" i="234"/>
  <c r="AA42" i="234"/>
  <c r="AA45" i="234"/>
  <c r="AA79" i="234"/>
  <c r="AA91" i="234"/>
  <c r="AA118" i="234"/>
  <c r="AA114" i="234"/>
  <c r="AG42" i="235"/>
  <c r="N10" i="236"/>
  <c r="N16" i="239"/>
  <c r="AA13" i="240"/>
  <c r="AA37" i="240"/>
  <c r="AA38" i="240"/>
  <c r="AA57" i="240"/>
  <c r="AL18" i="285"/>
  <c r="AL22" i="285"/>
  <c r="AL26" i="285"/>
  <c r="AL30" i="285"/>
  <c r="AL34" i="285"/>
  <c r="AL38" i="285"/>
  <c r="AL42" i="285"/>
  <c r="AL46" i="285"/>
  <c r="AL50" i="285"/>
  <c r="AL54" i="285"/>
  <c r="AL58" i="285"/>
  <c r="W12" i="228"/>
  <c r="W16" i="228"/>
  <c r="W23" i="228"/>
  <c r="W27" i="228"/>
  <c r="W31" i="228"/>
  <c r="AA20" i="234"/>
  <c r="AA15" i="234"/>
  <c r="AA27" i="234"/>
  <c r="AA48" i="234"/>
  <c r="AA121" i="234"/>
  <c r="AA96" i="234"/>
  <c r="AG18" i="235"/>
  <c r="AG37" i="235"/>
  <c r="AG49" i="235"/>
  <c r="AG82" i="235"/>
  <c r="N18" i="239"/>
  <c r="AA14" i="240"/>
  <c r="R30" i="231"/>
  <c r="AK518" i="293"/>
  <c r="W30" i="228"/>
  <c r="Q11" i="232"/>
  <c r="Q13" i="232"/>
  <c r="Q20" i="232"/>
  <c r="Q35" i="232"/>
  <c r="AA12" i="234"/>
  <c r="AA34" i="234"/>
  <c r="AA80" i="234"/>
  <c r="AA93" i="234"/>
  <c r="AG20" i="235"/>
  <c r="AG34" i="235"/>
  <c r="AG46" i="235"/>
  <c r="AG69" i="235"/>
  <c r="AG89" i="235"/>
  <c r="AG93" i="235"/>
  <c r="AG94" i="235"/>
  <c r="AG67" i="235"/>
  <c r="AG79" i="235"/>
  <c r="N9" i="239"/>
  <c r="M43" i="245"/>
  <c r="AK481" i="293"/>
  <c r="S15" i="262"/>
  <c r="M14" i="216"/>
  <c r="O20" i="213"/>
  <c r="O25" i="213"/>
  <c r="O37" i="213"/>
  <c r="O38" i="213"/>
  <c r="Q33" i="215"/>
  <c r="Q28" i="226"/>
  <c r="AA76"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109" i="293"/>
  <c r="V17" i="288"/>
  <c r="N14" i="290"/>
  <c r="N11" i="290"/>
  <c r="N12" i="290"/>
  <c r="N13" i="290"/>
  <c r="N15" i="290"/>
  <c r="N16" i="290"/>
  <c r="N17" i="290"/>
  <c r="Q41" i="226"/>
  <c r="AK172" i="293"/>
  <c r="AK204" i="293"/>
  <c r="AK212" i="293"/>
  <c r="AK213" i="293"/>
  <c r="AK214" i="293"/>
  <c r="AK215" i="293"/>
  <c r="AK216" i="293"/>
  <c r="AK217" i="293"/>
  <c r="AK218" i="293"/>
  <c r="AK219" i="293"/>
  <c r="AK220" i="293"/>
  <c r="AK221" i="293"/>
  <c r="AK222" i="293"/>
  <c r="AK223" i="293"/>
  <c r="AK224" i="293"/>
  <c r="AK225" i="293"/>
  <c r="AK226" i="293"/>
  <c r="AK96" i="293"/>
  <c r="AK227" i="293"/>
  <c r="AK228" i="293"/>
  <c r="AK229" i="293"/>
  <c r="AK230" i="293"/>
  <c r="AK231" i="293"/>
  <c r="AK232" i="293"/>
  <c r="AK233" i="293"/>
  <c r="AK234" i="293"/>
  <c r="AK235" i="293"/>
  <c r="AK236" i="293"/>
  <c r="AK237" i="293"/>
  <c r="AK238" i="293"/>
  <c r="AK239" i="293"/>
  <c r="AK240" i="293"/>
  <c r="AK241" i="293"/>
  <c r="AK242" i="293"/>
  <c r="AK243" i="293"/>
  <c r="AK244" i="293"/>
  <c r="AK245" i="293"/>
  <c r="AK246" i="293"/>
  <c r="AK247" i="293"/>
  <c r="AK248" i="293"/>
  <c r="AK249" i="293"/>
  <c r="AK250" i="293"/>
  <c r="AK251" i="293"/>
  <c r="AK252" i="293"/>
  <c r="AK253" i="293"/>
  <c r="AK254" i="293"/>
  <c r="AK255" i="293"/>
  <c r="AK256" i="293"/>
  <c r="AK257" i="293"/>
  <c r="AK258" i="293"/>
  <c r="AK259" i="293"/>
  <c r="AK260" i="293"/>
  <c r="AK261" i="293"/>
  <c r="AK262" i="293"/>
  <c r="AK326" i="293"/>
  <c r="AK334" i="293"/>
  <c r="AK342" i="293"/>
  <c r="AK350" i="293"/>
  <c r="AK358"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Q13" i="219"/>
  <c r="L30" i="223"/>
  <c r="L34" i="223"/>
  <c r="U42" i="225"/>
  <c r="Q43" i="226"/>
  <c r="S9" i="212"/>
  <c r="S11" i="262"/>
  <c r="L17" i="223"/>
  <c r="L25" i="223"/>
  <c r="L33" i="223"/>
  <c r="L45" i="223"/>
  <c r="L53" i="223"/>
  <c r="L57" i="223"/>
  <c r="L61" i="223"/>
  <c r="L65" i="223"/>
  <c r="T28" i="227"/>
  <c r="T44" i="227"/>
  <c r="I49" i="257"/>
  <c r="F196" i="273" s="1"/>
  <c r="E13" i="225"/>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G1392" i="324" s="1"/>
  <c r="J57" i="234"/>
  <c r="K57" i="234" s="1"/>
  <c r="G1387" i="324" s="1"/>
  <c r="J54" i="234"/>
  <c r="G1380" i="324" s="1"/>
  <c r="S49" i="234"/>
  <c r="G1374" i="324" s="1"/>
  <c r="T49" i="234"/>
  <c r="G1375" i="324" s="1"/>
  <c r="R49" i="234"/>
  <c r="G1373" i="324" s="1"/>
  <c r="T28" i="234"/>
  <c r="G1204" i="324" s="1"/>
  <c r="S28" i="234"/>
  <c r="G1203" i="324" s="1"/>
  <c r="K40" i="234"/>
  <c r="G1309" i="324" s="1"/>
  <c r="Q37" i="234"/>
  <c r="G1276" i="324" s="1"/>
  <c r="L39" i="234"/>
  <c r="Q39" i="234" s="1"/>
  <c r="G1300" i="324" s="1"/>
  <c r="H48" i="234"/>
  <c r="G1360" i="324" s="1"/>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K75" i="234"/>
  <c r="G1419" i="324" s="1"/>
  <c r="K60" i="234"/>
  <c r="G1393" i="324" s="1"/>
  <c r="K54" i="234"/>
  <c r="G1381" i="324" s="1"/>
  <c r="T130" i="234"/>
  <c r="G1838" i="324" s="1"/>
  <c r="G33" i="248"/>
  <c r="G3341" i="324" s="1"/>
  <c r="E11" i="281"/>
  <c r="K23" i="280"/>
  <c r="T23" i="280"/>
  <c r="T22" i="280"/>
  <c r="R22" i="280"/>
  <c r="F22" i="280"/>
  <c r="F21" i="280"/>
  <c r="K10" i="279"/>
  <c r="F15" i="279"/>
  <c r="F21" i="279"/>
  <c r="F23" i="279"/>
  <c r="F22" i="279"/>
  <c r="E13" i="281"/>
  <c r="F24" i="279"/>
  <c r="S38" i="240"/>
  <c r="F1140" i="269" s="1"/>
  <c r="P41" i="240"/>
  <c r="F1158" i="269" s="1"/>
  <c r="J41" i="240"/>
  <c r="J44" i="240" s="1"/>
  <c r="F1166" i="269" s="1"/>
  <c r="P36" i="240"/>
  <c r="F1123" i="269" s="1"/>
  <c r="P37" i="240"/>
  <c r="F1136" i="269" s="1"/>
  <c r="P35" i="240"/>
  <c r="F1110" i="269" s="1"/>
  <c r="J36" i="240"/>
  <c r="J37" i="240"/>
  <c r="F1130" i="269" s="1"/>
  <c r="J35" i="240"/>
  <c r="J25" i="240"/>
  <c r="J27" i="240" s="1"/>
  <c r="G25" i="240"/>
  <c r="F1089" i="269" s="1"/>
  <c r="J22" i="240"/>
  <c r="F1082" i="269" s="1"/>
  <c r="G22" i="240"/>
  <c r="F1079" i="269" s="1"/>
  <c r="J24" i="240"/>
  <c r="F1086" i="269" s="1"/>
  <c r="T42" i="240"/>
  <c r="E21" i="281"/>
  <c r="E23" i="281"/>
  <c r="E24" i="242"/>
  <c r="F20" i="302" s="1"/>
  <c r="Y96" i="235"/>
  <c r="Y101" i="235" s="1"/>
  <c r="G3070" i="324" s="1"/>
  <c r="Z96" i="235"/>
  <c r="G3041" i="324" s="1"/>
  <c r="X96" i="235"/>
  <c r="G3039" i="324" s="1"/>
  <c r="F186" i="268"/>
  <c r="F180" i="268"/>
  <c r="F133"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70" i="268"/>
  <c r="F158" i="268"/>
  <c r="F159" i="268"/>
  <c r="F121" i="268"/>
  <c r="F122" i="268"/>
  <c r="Z101" i="235"/>
  <c r="G3071" i="324" s="1"/>
  <c r="L28" i="233"/>
  <c r="L9" i="227" s="1"/>
  <c r="K28" i="233"/>
  <c r="F854" i="269" s="1"/>
  <c r="J28" i="233"/>
  <c r="F853" i="269" s="1"/>
  <c r="I28" i="233"/>
  <c r="F852" i="269" s="1"/>
  <c r="H28" i="233"/>
  <c r="F851" i="269" s="1"/>
  <c r="G28" i="233"/>
  <c r="F850" i="269" s="1"/>
  <c r="F28" i="233"/>
  <c r="F849" i="269" s="1"/>
  <c r="E28" i="233"/>
  <c r="E9" i="227" s="1"/>
  <c r="C43" i="231"/>
  <c r="G191" i="324" s="1"/>
  <c r="C33" i="231"/>
  <c r="G135" i="324" s="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F9" i="227"/>
  <c r="G9" i="227"/>
  <c r="I9" i="227"/>
  <c r="J9" i="227"/>
  <c r="AD618" i="293"/>
  <c r="AC618" i="293"/>
  <c r="AB618" i="293"/>
  <c r="P618" i="293"/>
  <c r="O618" i="293"/>
  <c r="N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X601" i="293"/>
  <c r="Q601" i="293"/>
  <c r="Y600" i="293"/>
  <c r="W600" i="293"/>
  <c r="X600" i="293"/>
  <c r="Q600" i="293"/>
  <c r="Y599" i="293"/>
  <c r="W599" i="293"/>
  <c r="X599" i="293"/>
  <c r="Q599" i="293"/>
  <c r="Y598" i="293"/>
  <c r="W598" i="293"/>
  <c r="X598" i="293"/>
  <c r="Q598" i="293"/>
  <c r="Y597" i="293"/>
  <c r="W597" i="293"/>
  <c r="X597" i="293"/>
  <c r="Q597" i="293"/>
  <c r="Y596" i="293"/>
  <c r="W596" i="293"/>
  <c r="X596" i="293"/>
  <c r="Q596" i="293"/>
  <c r="Y595" i="293"/>
  <c r="W595" i="293"/>
  <c r="X595" i="293"/>
  <c r="Q595" i="293"/>
  <c r="Y594" i="293"/>
  <c r="W594" i="293"/>
  <c r="X594" i="293"/>
  <c r="Q594" i="293"/>
  <c r="Y593" i="293"/>
  <c r="W593" i="293"/>
  <c r="X593" i="293"/>
  <c r="Q593" i="293"/>
  <c r="Y592" i="293"/>
  <c r="W592" i="293"/>
  <c r="X592" i="293"/>
  <c r="Q592" i="293"/>
  <c r="Y591" i="293"/>
  <c r="W591" i="293"/>
  <c r="X591" i="293"/>
  <c r="Q591" i="293"/>
  <c r="Y590" i="293"/>
  <c r="W590" i="293"/>
  <c r="X590" i="293"/>
  <c r="Q590" i="293"/>
  <c r="Y589" i="293"/>
  <c r="W589" i="293"/>
  <c r="X589" i="293"/>
  <c r="Q589" i="293"/>
  <c r="Y588" i="293"/>
  <c r="W588" i="293"/>
  <c r="X588" i="293"/>
  <c r="Q588" i="293"/>
  <c r="Y587" i="293"/>
  <c r="W587" i="293"/>
  <c r="X587" i="293"/>
  <c r="Q587" i="293"/>
  <c r="Y586" i="293"/>
  <c r="W586" i="293"/>
  <c r="X586" i="293"/>
  <c r="Q586" i="293"/>
  <c r="Y585" i="293"/>
  <c r="W585" i="293"/>
  <c r="X585" i="293"/>
  <c r="Q585" i="293"/>
  <c r="Y584" i="293"/>
  <c r="W584" i="293"/>
  <c r="X584" i="293"/>
  <c r="Q584" i="293"/>
  <c r="Y583" i="293"/>
  <c r="W583" i="293"/>
  <c r="X583" i="293"/>
  <c r="Q583" i="293"/>
  <c r="Y582" i="293"/>
  <c r="W582" i="293"/>
  <c r="X582" i="293"/>
  <c r="Q582" i="293"/>
  <c r="Y581" i="293"/>
  <c r="W581" i="293"/>
  <c r="X581" i="293"/>
  <c r="Q581" i="293"/>
  <c r="Y580" i="293"/>
  <c r="W580" i="293"/>
  <c r="X580" i="293"/>
  <c r="Q580" i="293"/>
  <c r="Y579" i="293"/>
  <c r="W579" i="293"/>
  <c r="X579" i="293"/>
  <c r="Q579" i="293"/>
  <c r="Y578" i="293"/>
  <c r="W578" i="293"/>
  <c r="X578" i="293"/>
  <c r="Q578" i="293"/>
  <c r="Y577" i="293"/>
  <c r="W577" i="293"/>
  <c r="X577" i="293"/>
  <c r="Q577" i="293"/>
  <c r="Y576" i="293"/>
  <c r="W576" i="293"/>
  <c r="X576" i="293"/>
  <c r="Q576" i="293"/>
  <c r="Y575" i="293"/>
  <c r="W575" i="293"/>
  <c r="X575" i="293"/>
  <c r="Q575" i="293"/>
  <c r="Y574" i="293"/>
  <c r="W574" i="293"/>
  <c r="X574" i="293"/>
  <c r="Q574" i="293"/>
  <c r="Y573" i="293"/>
  <c r="W573" i="293"/>
  <c r="X573" i="293"/>
  <c r="Q573" i="293"/>
  <c r="Y572" i="293"/>
  <c r="W572" i="293"/>
  <c r="X572" i="293"/>
  <c r="Q572" i="293"/>
  <c r="Y571" i="293"/>
  <c r="W571" i="293"/>
  <c r="X571" i="293"/>
  <c r="Q571" i="293"/>
  <c r="Y570" i="293"/>
  <c r="W570" i="293"/>
  <c r="X570" i="293"/>
  <c r="Q570" i="293"/>
  <c r="Y569" i="293"/>
  <c r="W569" i="293"/>
  <c r="X569" i="293"/>
  <c r="Q569" i="293"/>
  <c r="Y568" i="293"/>
  <c r="W568" i="293"/>
  <c r="X568" i="293"/>
  <c r="Q568" i="293"/>
  <c r="Y567" i="293"/>
  <c r="W567" i="293"/>
  <c r="Q567" i="293"/>
  <c r="Y566" i="293"/>
  <c r="W566" i="293"/>
  <c r="X566" i="293" s="1"/>
  <c r="Q566" i="293"/>
  <c r="Y565" i="293"/>
  <c r="W565" i="293"/>
  <c r="X565" i="293" s="1"/>
  <c r="Q565" i="293"/>
  <c r="Y564" i="293"/>
  <c r="W564" i="293"/>
  <c r="X564" i="293" s="1"/>
  <c r="Q564" i="293"/>
  <c r="Y563" i="293"/>
  <c r="W563" i="293"/>
  <c r="BG613" i="293" s="1"/>
  <c r="Q563" i="293"/>
  <c r="Y562" i="293"/>
  <c r="W562" i="293"/>
  <c r="Q562" i="293"/>
  <c r="Y561" i="293"/>
  <c r="W561" i="293"/>
  <c r="BG611" i="293" s="1"/>
  <c r="Q561" i="293"/>
  <c r="Y560" i="293"/>
  <c r="W560" i="293"/>
  <c r="Q560" i="293"/>
  <c r="Y559" i="293"/>
  <c r="W559" i="293"/>
  <c r="Q559" i="293"/>
  <c r="Y558" i="293"/>
  <c r="W558" i="293"/>
  <c r="BG608" i="293" s="1"/>
  <c r="Q558" i="293"/>
  <c r="Y557" i="293"/>
  <c r="W557" i="293"/>
  <c r="X557" i="293" s="1"/>
  <c r="Q557" i="293"/>
  <c r="Y556" i="293"/>
  <c r="W556" i="293"/>
  <c r="BG606" i="293" s="1"/>
  <c r="Q556" i="293"/>
  <c r="Y555" i="293"/>
  <c r="W555" i="293"/>
  <c r="X555" i="293" s="1"/>
  <c r="Q555" i="293"/>
  <c r="Y554" i="293"/>
  <c r="W554" i="293"/>
  <c r="Q554" i="293"/>
  <c r="Y553" i="293"/>
  <c r="W553" i="293"/>
  <c r="X553" i="293" s="1"/>
  <c r="Q553" i="293"/>
  <c r="Y552" i="293"/>
  <c r="W552" i="293"/>
  <c r="X552" i="293" s="1"/>
  <c r="Q552" i="293"/>
  <c r="Y551" i="293"/>
  <c r="W551" i="293"/>
  <c r="Q551" i="293"/>
  <c r="Y550" i="293"/>
  <c r="W550" i="293"/>
  <c r="Q550" i="293"/>
  <c r="Y549" i="293"/>
  <c r="W549" i="293"/>
  <c r="X549" i="293" s="1"/>
  <c r="Q549" i="293"/>
  <c r="Y548" i="293"/>
  <c r="W548" i="293"/>
  <c r="X548" i="293" s="1"/>
  <c r="Q548" i="293"/>
  <c r="Y547" i="293"/>
  <c r="W547" i="293"/>
  <c r="BG597" i="293" s="1"/>
  <c r="Q547" i="293"/>
  <c r="Y546" i="293"/>
  <c r="W546" i="293"/>
  <c r="Q546" i="293"/>
  <c r="Y545" i="293"/>
  <c r="W545" i="293"/>
  <c r="Q545" i="293"/>
  <c r="Y544" i="293"/>
  <c r="W544" i="293"/>
  <c r="X544" i="293" s="1"/>
  <c r="Q544" i="293"/>
  <c r="Y543" i="293"/>
  <c r="W543" i="293"/>
  <c r="Q543" i="293"/>
  <c r="Y542" i="293"/>
  <c r="W542" i="293"/>
  <c r="BG592" i="293" s="1"/>
  <c r="Q542" i="293"/>
  <c r="Y541" i="293"/>
  <c r="W541" i="293"/>
  <c r="X541" i="293" s="1"/>
  <c r="Q541" i="293"/>
  <c r="Y540" i="293"/>
  <c r="W540" i="293"/>
  <c r="BG590" i="293" s="1"/>
  <c r="Q540" i="293"/>
  <c r="Y539" i="293"/>
  <c r="W539" i="293"/>
  <c r="X539" i="293" s="1"/>
  <c r="Q539" i="293"/>
  <c r="Y538" i="293"/>
  <c r="W538" i="293"/>
  <c r="Q538" i="293"/>
  <c r="Y537" i="293"/>
  <c r="W537" i="293"/>
  <c r="BG587" i="293" s="1"/>
  <c r="Q537" i="293"/>
  <c r="Y536" i="293"/>
  <c r="W536" i="293"/>
  <c r="X536" i="293" s="1"/>
  <c r="Q536" i="293"/>
  <c r="Y535" i="293"/>
  <c r="W535" i="293"/>
  <c r="Q535" i="293"/>
  <c r="Y534" i="293"/>
  <c r="W534" i="293"/>
  <c r="X534" i="293" s="1"/>
  <c r="Q534" i="293"/>
  <c r="Y533" i="293"/>
  <c r="W533" i="293"/>
  <c r="X533" i="293" s="1"/>
  <c r="Q533" i="293"/>
  <c r="Y532" i="293"/>
  <c r="W532" i="293"/>
  <c r="X532" i="293" s="1"/>
  <c r="Q532" i="293"/>
  <c r="Y531" i="293"/>
  <c r="W531" i="293"/>
  <c r="BG581" i="293" s="1"/>
  <c r="Q531" i="293"/>
  <c r="Y530" i="293"/>
  <c r="W530" i="293"/>
  <c r="Q530" i="293"/>
  <c r="Y529" i="293"/>
  <c r="W529" i="293"/>
  <c r="Q529" i="293"/>
  <c r="Y528" i="293"/>
  <c r="W528" i="293"/>
  <c r="Q528" i="293"/>
  <c r="Y527" i="293"/>
  <c r="W527" i="293"/>
  <c r="Q527" i="293"/>
  <c r="Y526" i="293"/>
  <c r="W526" i="293"/>
  <c r="BG576" i="293" s="1"/>
  <c r="Q526" i="293"/>
  <c r="Y525" i="293"/>
  <c r="W525" i="293"/>
  <c r="X525" i="293" s="1"/>
  <c r="Q525" i="293"/>
  <c r="Y524" i="293"/>
  <c r="W524" i="293"/>
  <c r="BG574" i="293" s="1"/>
  <c r="Q524" i="293"/>
  <c r="Y523" i="293"/>
  <c r="W523" i="293"/>
  <c r="X523" i="293" s="1"/>
  <c r="Q523" i="293"/>
  <c r="Y522" i="293"/>
  <c r="W522" i="293"/>
  <c r="Q522" i="293"/>
  <c r="Y521" i="293"/>
  <c r="W521" i="293"/>
  <c r="X521" i="293" s="1"/>
  <c r="Q521" i="293"/>
  <c r="Y520" i="293"/>
  <c r="W520" i="293"/>
  <c r="X520" i="293" s="1"/>
  <c r="Q520" i="293"/>
  <c r="Y519" i="293"/>
  <c r="W519" i="293"/>
  <c r="Q519" i="293"/>
  <c r="Y518" i="293"/>
  <c r="W518" i="293"/>
  <c r="X518" i="293"/>
  <c r="Q518" i="293"/>
  <c r="Y517" i="293"/>
  <c r="W517" i="293"/>
  <c r="X517" i="293" s="1"/>
  <c r="Q517" i="293"/>
  <c r="Y516" i="293"/>
  <c r="W516" i="293"/>
  <c r="X516" i="293" s="1"/>
  <c r="Q516" i="293"/>
  <c r="Y515" i="293"/>
  <c r="W515" i="293"/>
  <c r="X515" i="293" s="1"/>
  <c r="Q515" i="293"/>
  <c r="Y514" i="293"/>
  <c r="W514" i="293"/>
  <c r="X514" i="293"/>
  <c r="Q514" i="293"/>
  <c r="Y513" i="293"/>
  <c r="W513" i="293"/>
  <c r="X513" i="293" s="1"/>
  <c r="Q513" i="293"/>
  <c r="Y512" i="293"/>
  <c r="W512" i="293"/>
  <c r="X512" i="293"/>
  <c r="Q512" i="293"/>
  <c r="Y511" i="293"/>
  <c r="W511" i="293"/>
  <c r="X511" i="293" s="1"/>
  <c r="Q511" i="293"/>
  <c r="Y510" i="293"/>
  <c r="W510" i="293"/>
  <c r="X510" i="293" s="1"/>
  <c r="Q510" i="293"/>
  <c r="Y509" i="293"/>
  <c r="W509" i="293"/>
  <c r="X509" i="293" s="1"/>
  <c r="Q509" i="293"/>
  <c r="Y508" i="293"/>
  <c r="W508" i="293"/>
  <c r="X508" i="293"/>
  <c r="Q508" i="293"/>
  <c r="Y507" i="293"/>
  <c r="W507" i="293"/>
  <c r="X507" i="293" s="1"/>
  <c r="Q507" i="293"/>
  <c r="Y506" i="293"/>
  <c r="W506" i="293"/>
  <c r="X506" i="293"/>
  <c r="Q506" i="293"/>
  <c r="Y505" i="293"/>
  <c r="W505" i="293"/>
  <c r="X505" i="293" s="1"/>
  <c r="Q505" i="293"/>
  <c r="Y504" i="293"/>
  <c r="W504" i="293"/>
  <c r="X504" i="293" s="1"/>
  <c r="Q504" i="293"/>
  <c r="Y503" i="293"/>
  <c r="W503" i="293"/>
  <c r="X503" i="293" s="1"/>
  <c r="Q503" i="293"/>
  <c r="Y502" i="293"/>
  <c r="W502" i="293"/>
  <c r="X502" i="293"/>
  <c r="Q502" i="293"/>
  <c r="Y501" i="293"/>
  <c r="W501" i="293"/>
  <c r="X501" i="293" s="1"/>
  <c r="Q501" i="293"/>
  <c r="Y500" i="293"/>
  <c r="W500" i="293"/>
  <c r="X500" i="293" s="1"/>
  <c r="Q500" i="293"/>
  <c r="Y499" i="293"/>
  <c r="W499" i="293"/>
  <c r="X499" i="293" s="1"/>
  <c r="Q499" i="293"/>
  <c r="Y498" i="293"/>
  <c r="W498" i="293"/>
  <c r="X498" i="293"/>
  <c r="Q498" i="293"/>
  <c r="Y497" i="293"/>
  <c r="W497" i="293"/>
  <c r="X497" i="293" s="1"/>
  <c r="Q497" i="293"/>
  <c r="Y496" i="293"/>
  <c r="W496" i="293"/>
  <c r="X496" i="293"/>
  <c r="Q496" i="293"/>
  <c r="Y495" i="293"/>
  <c r="W495" i="293"/>
  <c r="X495" i="293" s="1"/>
  <c r="Q495" i="293"/>
  <c r="Y494" i="293"/>
  <c r="W494" i="293"/>
  <c r="X494" i="293" s="1"/>
  <c r="Q494" i="293"/>
  <c r="Y493" i="293"/>
  <c r="W493" i="293"/>
  <c r="X493" i="293" s="1"/>
  <c r="Q493" i="293"/>
  <c r="Y492" i="293"/>
  <c r="W492" i="293"/>
  <c r="X492" i="293"/>
  <c r="Q492" i="293"/>
  <c r="Y491" i="293"/>
  <c r="W491" i="293"/>
  <c r="X491" i="293" s="1"/>
  <c r="Q491" i="293"/>
  <c r="Y490" i="293"/>
  <c r="W490" i="293"/>
  <c r="X490" i="293"/>
  <c r="Q490" i="293"/>
  <c r="Y489" i="293"/>
  <c r="W489" i="293"/>
  <c r="X489" i="293" s="1"/>
  <c r="Q489" i="293"/>
  <c r="Y488" i="293"/>
  <c r="W488" i="293"/>
  <c r="X488" i="293" s="1"/>
  <c r="Q488" i="293"/>
  <c r="Y487" i="293"/>
  <c r="W487" i="293"/>
  <c r="X487" i="293" s="1"/>
  <c r="Q487" i="293"/>
  <c r="Y486" i="293"/>
  <c r="W486" i="293"/>
  <c r="X486" i="293"/>
  <c r="Q486" i="293"/>
  <c r="Y485" i="293"/>
  <c r="W485" i="293"/>
  <c r="X485" i="293" s="1"/>
  <c r="Q485" i="293"/>
  <c r="Y484" i="293"/>
  <c r="W484" i="293"/>
  <c r="X484" i="293" s="1"/>
  <c r="Q484" i="293"/>
  <c r="Y483" i="293"/>
  <c r="W483" i="293"/>
  <c r="X483" i="293" s="1"/>
  <c r="Q483" i="293"/>
  <c r="Y482" i="293"/>
  <c r="W482" i="293"/>
  <c r="X482" i="293"/>
  <c r="Q482" i="293"/>
  <c r="Y481" i="293"/>
  <c r="W481" i="293"/>
  <c r="X481" i="293" s="1"/>
  <c r="Q481" i="293"/>
  <c r="Y480" i="293"/>
  <c r="W480" i="293"/>
  <c r="X480" i="293"/>
  <c r="Q480" i="293"/>
  <c r="Y479" i="293"/>
  <c r="W479" i="293"/>
  <c r="X479" i="293" s="1"/>
  <c r="Q479" i="293"/>
  <c r="Y478" i="293"/>
  <c r="W478" i="293"/>
  <c r="X478" i="293" s="1"/>
  <c r="Q478" i="293"/>
  <c r="Y477" i="293"/>
  <c r="W477" i="293"/>
  <c r="X477" i="293" s="1"/>
  <c r="Q477" i="293"/>
  <c r="Y476" i="293"/>
  <c r="W476" i="293"/>
  <c r="X476" i="293"/>
  <c r="Q476" i="293"/>
  <c r="Y475" i="293"/>
  <c r="W475" i="293"/>
  <c r="X475" i="293" s="1"/>
  <c r="Q475" i="293"/>
  <c r="Y474" i="293"/>
  <c r="W474" i="293"/>
  <c r="X474" i="293"/>
  <c r="Q474" i="293"/>
  <c r="Y473" i="293"/>
  <c r="W473" i="293"/>
  <c r="X473" i="293" s="1"/>
  <c r="Q473" i="293"/>
  <c r="Y472" i="293"/>
  <c r="W472" i="293"/>
  <c r="X472" i="293" s="1"/>
  <c r="Q472" i="293"/>
  <c r="Y471" i="293"/>
  <c r="W471" i="293"/>
  <c r="X471" i="293" s="1"/>
  <c r="Q471" i="293"/>
  <c r="Y470" i="293"/>
  <c r="W470" i="293"/>
  <c r="X470" i="293"/>
  <c r="Q470" i="293"/>
  <c r="Y469" i="293"/>
  <c r="W469" i="293"/>
  <c r="X469" i="293" s="1"/>
  <c r="Q469" i="293"/>
  <c r="Y468" i="293"/>
  <c r="W468" i="293"/>
  <c r="X468" i="293" s="1"/>
  <c r="Q468" i="293"/>
  <c r="AD465" i="293"/>
  <c r="AC465" i="293"/>
  <c r="AB465" i="293"/>
  <c r="P465" i="293"/>
  <c r="O465" i="293"/>
  <c r="N465" i="293"/>
  <c r="Y464" i="293"/>
  <c r="W464" i="293"/>
  <c r="X464" i="293"/>
  <c r="Q464" i="293"/>
  <c r="Y463" i="293"/>
  <c r="W463" i="293"/>
  <c r="X463" i="293"/>
  <c r="Q463" i="293"/>
  <c r="Y462" i="293"/>
  <c r="W462" i="293"/>
  <c r="X462" i="293"/>
  <c r="Q462" i="293"/>
  <c r="Y461" i="293"/>
  <c r="W461" i="293"/>
  <c r="X461" i="293"/>
  <c r="Q461" i="293"/>
  <c r="Y460" i="293"/>
  <c r="W460" i="293"/>
  <c r="X460" i="293"/>
  <c r="Q460" i="293"/>
  <c r="Y459" i="293"/>
  <c r="W459" i="293"/>
  <c r="X459" i="293"/>
  <c r="Q459" i="293"/>
  <c r="Y458" i="293"/>
  <c r="W458" i="293"/>
  <c r="X458" i="293"/>
  <c r="Q458" i="293"/>
  <c r="Y457" i="293"/>
  <c r="W457" i="293"/>
  <c r="X457" i="293"/>
  <c r="Q457" i="293"/>
  <c r="Y456" i="293"/>
  <c r="W456" i="293"/>
  <c r="X456" i="293"/>
  <c r="Q456" i="293"/>
  <c r="Y455" i="293"/>
  <c r="W455" i="293"/>
  <c r="X455" i="293"/>
  <c r="Q455" i="293"/>
  <c r="Y454" i="293"/>
  <c r="W454" i="293"/>
  <c r="X454" i="293"/>
  <c r="Q454" i="293"/>
  <c r="Y453" i="293"/>
  <c r="W453" i="293"/>
  <c r="X453" i="293"/>
  <c r="Q453" i="293"/>
  <c r="Y452" i="293"/>
  <c r="W452" i="293"/>
  <c r="X452" i="293"/>
  <c r="Q452" i="293"/>
  <c r="Y451" i="293"/>
  <c r="W451" i="293"/>
  <c r="X451" i="293"/>
  <c r="Q451" i="293"/>
  <c r="Y450" i="293"/>
  <c r="W450" i="293"/>
  <c r="X450" i="293"/>
  <c r="Q450" i="293"/>
  <c r="Y449" i="293"/>
  <c r="W449" i="293"/>
  <c r="X449" i="293"/>
  <c r="Q449" i="293"/>
  <c r="Y448" i="293"/>
  <c r="W448" i="293"/>
  <c r="X448" i="293"/>
  <c r="Q448" i="293"/>
  <c r="Y447" i="293"/>
  <c r="W447" i="293"/>
  <c r="X447" i="293"/>
  <c r="Q447" i="293"/>
  <c r="Y446" i="293"/>
  <c r="W446" i="293"/>
  <c r="X446" i="293"/>
  <c r="Q446" i="293"/>
  <c r="Y445" i="293"/>
  <c r="W445" i="293"/>
  <c r="X445" i="293"/>
  <c r="Q445" i="293"/>
  <c r="Y444" i="293"/>
  <c r="W444" i="293"/>
  <c r="X444" i="293"/>
  <c r="Q444" i="293"/>
  <c r="Y443" i="293"/>
  <c r="W443" i="293"/>
  <c r="X443" i="293"/>
  <c r="Q443" i="293"/>
  <c r="Y442" i="293"/>
  <c r="W442" i="293"/>
  <c r="X442" i="293"/>
  <c r="Q442" i="293"/>
  <c r="Y441" i="293"/>
  <c r="W441" i="293"/>
  <c r="X441" i="293"/>
  <c r="Q441" i="293"/>
  <c r="Y440" i="293"/>
  <c r="W440" i="293"/>
  <c r="X440" i="293"/>
  <c r="Q440" i="293"/>
  <c r="Y439" i="293"/>
  <c r="W439" i="293"/>
  <c r="X439" i="293"/>
  <c r="Q439" i="293"/>
  <c r="Y438" i="293"/>
  <c r="W438" i="293"/>
  <c r="X438" i="293"/>
  <c r="Q438" i="293"/>
  <c r="Y437" i="293"/>
  <c r="W437" i="293"/>
  <c r="X437" i="293"/>
  <c r="Q437" i="293"/>
  <c r="Y436" i="293"/>
  <c r="W436" i="293"/>
  <c r="X436" i="293"/>
  <c r="Q436" i="293"/>
  <c r="Y435" i="293"/>
  <c r="W435" i="293"/>
  <c r="X435" i="293"/>
  <c r="Q435" i="293"/>
  <c r="Y434" i="293"/>
  <c r="W434" i="293"/>
  <c r="X434" i="293"/>
  <c r="Q434" i="293"/>
  <c r="Y433" i="293"/>
  <c r="W433" i="293"/>
  <c r="X433" i="293"/>
  <c r="Q433" i="293"/>
  <c r="Y432" i="293"/>
  <c r="W432" i="293"/>
  <c r="X432" i="293"/>
  <c r="Q432" i="293"/>
  <c r="Y431" i="293"/>
  <c r="W431" i="293"/>
  <c r="X431" i="293"/>
  <c r="Q431" i="293"/>
  <c r="Y430" i="293"/>
  <c r="W430" i="293"/>
  <c r="X430" i="293"/>
  <c r="Q430" i="293"/>
  <c r="Y429" i="293"/>
  <c r="W429" i="293"/>
  <c r="X429" i="293"/>
  <c r="Q429" i="293"/>
  <c r="Y428" i="293"/>
  <c r="W428" i="293"/>
  <c r="X428" i="293"/>
  <c r="Q428" i="293"/>
  <c r="Y427" i="293"/>
  <c r="W427" i="293"/>
  <c r="X427" i="293"/>
  <c r="Q427" i="293"/>
  <c r="Y426" i="293"/>
  <c r="W426" i="293"/>
  <c r="X426" i="293"/>
  <c r="Q426" i="293"/>
  <c r="Y425" i="293"/>
  <c r="W425" i="293"/>
  <c r="X425" i="293"/>
  <c r="Q425" i="293"/>
  <c r="Y424" i="293"/>
  <c r="W424" i="293"/>
  <c r="X424" i="293"/>
  <c r="Q424" i="293"/>
  <c r="Y423" i="293"/>
  <c r="W423" i="293"/>
  <c r="X423" i="293"/>
  <c r="Q423" i="293"/>
  <c r="Y422" i="293"/>
  <c r="W422" i="293"/>
  <c r="X422" i="293"/>
  <c r="Q422" i="293"/>
  <c r="Y421" i="293"/>
  <c r="W421" i="293"/>
  <c r="X421" i="293"/>
  <c r="Q421" i="293"/>
  <c r="Y420" i="293"/>
  <c r="W420" i="293"/>
  <c r="X420" i="293"/>
  <c r="Q420" i="293"/>
  <c r="Y419" i="293"/>
  <c r="W419" i="293"/>
  <c r="X419" i="293"/>
  <c r="Q419" i="293"/>
  <c r="Y418" i="293"/>
  <c r="W418" i="293"/>
  <c r="X418" i="293"/>
  <c r="Q418" i="293"/>
  <c r="Y417" i="293"/>
  <c r="W417" i="293"/>
  <c r="X417" i="293"/>
  <c r="Q417" i="293"/>
  <c r="Y416" i="293"/>
  <c r="W416" i="293"/>
  <c r="X416" i="293"/>
  <c r="Q416" i="293"/>
  <c r="Y415" i="293"/>
  <c r="W415" i="293"/>
  <c r="X415" i="293"/>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c r="Q365" i="293"/>
  <c r="Y364" i="293"/>
  <c r="W364" i="293"/>
  <c r="X364" i="293"/>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c r="Q353" i="293"/>
  <c r="Y352" i="293"/>
  <c r="W352" i="293"/>
  <c r="X352" i="293"/>
  <c r="Q352" i="293"/>
  <c r="Y351" i="293"/>
  <c r="W351" i="293"/>
  <c r="X351" i="293"/>
  <c r="Q351" i="293"/>
  <c r="Y350" i="293"/>
  <c r="W350" i="293"/>
  <c r="X350" i="293"/>
  <c r="Q350" i="293"/>
  <c r="Y349" i="293"/>
  <c r="W349" i="293"/>
  <c r="X349" i="293"/>
  <c r="Q349" i="293"/>
  <c r="Y348" i="293"/>
  <c r="W348" i="293"/>
  <c r="X348" i="293"/>
  <c r="Q348" i="293"/>
  <c r="Y347" i="293"/>
  <c r="W347" i="293"/>
  <c r="X347" i="293"/>
  <c r="Q347" i="293"/>
  <c r="Y346" i="293"/>
  <c r="W346" i="293"/>
  <c r="X346" i="293"/>
  <c r="Q346" i="293"/>
  <c r="Y345" i="293"/>
  <c r="W345" i="293"/>
  <c r="X345" i="293"/>
  <c r="Q345" i="293"/>
  <c r="Y344" i="293"/>
  <c r="W344" i="293"/>
  <c r="X344" i="293"/>
  <c r="Q344" i="293"/>
  <c r="Y343" i="293"/>
  <c r="W343" i="293"/>
  <c r="X343" i="293"/>
  <c r="Q343" i="293"/>
  <c r="Y342" i="293"/>
  <c r="W342" i="293"/>
  <c r="X342" i="293"/>
  <c r="Q342" i="293"/>
  <c r="Y341" i="293"/>
  <c r="W341" i="293"/>
  <c r="X341" i="293"/>
  <c r="Q341" i="293"/>
  <c r="Y340" i="293"/>
  <c r="W340" i="293"/>
  <c r="X340" i="293"/>
  <c r="Q340" i="293"/>
  <c r="Y339" i="293"/>
  <c r="W339" i="293"/>
  <c r="X339" i="293"/>
  <c r="Q339" i="293"/>
  <c r="Y338" i="293"/>
  <c r="W338" i="293"/>
  <c r="X338" i="293"/>
  <c r="Q338" i="293"/>
  <c r="Y337" i="293"/>
  <c r="W337" i="293"/>
  <c r="X337" i="293"/>
  <c r="Q337" i="293"/>
  <c r="Y336" i="293"/>
  <c r="W336" i="293"/>
  <c r="X336" i="293"/>
  <c r="Q336" i="293"/>
  <c r="Y335" i="293"/>
  <c r="W335" i="293"/>
  <c r="X335" i="293"/>
  <c r="Q335" i="293"/>
  <c r="Y334" i="293"/>
  <c r="W334" i="293"/>
  <c r="X334" i="293"/>
  <c r="Q334" i="293"/>
  <c r="Y333" i="293"/>
  <c r="W333" i="293"/>
  <c r="X333" i="293"/>
  <c r="Q333" i="293"/>
  <c r="Y332" i="293"/>
  <c r="W332" i="293"/>
  <c r="X332" i="293"/>
  <c r="Q332" i="293"/>
  <c r="Y331" i="293"/>
  <c r="W331" i="293"/>
  <c r="X331" i="293"/>
  <c r="Q331" i="293"/>
  <c r="Y330" i="293"/>
  <c r="W330" i="293"/>
  <c r="X330" i="293"/>
  <c r="Q330" i="293"/>
  <c r="Y329" i="293"/>
  <c r="W329" i="293"/>
  <c r="X329" i="293"/>
  <c r="Q329" i="293"/>
  <c r="Y328" i="293"/>
  <c r="W328" i="293"/>
  <c r="X328" i="293"/>
  <c r="Q328" i="293"/>
  <c r="Y327" i="293"/>
  <c r="W327" i="293"/>
  <c r="X327" i="293"/>
  <c r="Q327" i="293"/>
  <c r="Y326" i="293"/>
  <c r="W326" i="293"/>
  <c r="X326" i="293"/>
  <c r="Q326" i="293"/>
  <c r="Y325" i="293"/>
  <c r="W325" i="293"/>
  <c r="X325" i="293"/>
  <c r="Q325" i="293"/>
  <c r="Y324" i="293"/>
  <c r="W324" i="293"/>
  <c r="X324" i="293"/>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Q465" i="293" s="1"/>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S211" i="293" s="1"/>
  <c r="Q211" i="293"/>
  <c r="W210" i="293"/>
  <c r="R210" i="293" s="1"/>
  <c r="Q210" i="293"/>
  <c r="W209" i="293"/>
  <c r="X209" i="293" s="1"/>
  <c r="Y209" i="293" s="1"/>
  <c r="Q209" i="293"/>
  <c r="W208" i="293"/>
  <c r="S208" i="293"/>
  <c r="Q208" i="293"/>
  <c r="W207" i="293"/>
  <c r="X207" i="293" s="1"/>
  <c r="Y207" i="293" s="1"/>
  <c r="Q207" i="293"/>
  <c r="W206" i="293"/>
  <c r="S206" i="293" s="1"/>
  <c r="Q206" i="293"/>
  <c r="W205" i="293"/>
  <c r="X205" i="293" s="1"/>
  <c r="Y205" i="293" s="1"/>
  <c r="Q205" i="293"/>
  <c r="W204" i="293"/>
  <c r="R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c r="Q196" i="293"/>
  <c r="W195" i="293"/>
  <c r="X195" i="293" s="1"/>
  <c r="Y195" i="293" s="1"/>
  <c r="Q195" i="293"/>
  <c r="W194" i="293"/>
  <c r="S194" i="293" s="1"/>
  <c r="Q194" i="293"/>
  <c r="W193" i="293"/>
  <c r="X193" i="293" s="1"/>
  <c r="Y193" i="293" s="1"/>
  <c r="Q193" i="293"/>
  <c r="W192" i="293"/>
  <c r="X192" i="293" s="1"/>
  <c r="Y192" i="293" s="1"/>
  <c r="Q192" i="293"/>
  <c r="W191" i="293"/>
  <c r="X191" i="293" s="1"/>
  <c r="Y191" i="293" s="1"/>
  <c r="Q191" i="293"/>
  <c r="W190" i="293"/>
  <c r="R190" i="293" s="1"/>
  <c r="Q190" i="293"/>
  <c r="W189" i="293"/>
  <c r="X189" i="293"/>
  <c r="Y189" i="293" s="1"/>
  <c r="Q189" i="293"/>
  <c r="W188" i="293"/>
  <c r="S188" i="293" s="1"/>
  <c r="Q188" i="293"/>
  <c r="W187" i="293"/>
  <c r="R187" i="293" s="1"/>
  <c r="Q187" i="293"/>
  <c r="W186" i="293"/>
  <c r="S186" i="293" s="1"/>
  <c r="Q186" i="293"/>
  <c r="W185" i="293"/>
  <c r="S185" i="293" s="1"/>
  <c r="Q185" i="293"/>
  <c r="W184" i="293"/>
  <c r="S184" i="293" s="1"/>
  <c r="Q184" i="293"/>
  <c r="W183" i="293"/>
  <c r="X183" i="293" s="1"/>
  <c r="Y183" i="293" s="1"/>
  <c r="Q183" i="293"/>
  <c r="W182" i="293"/>
  <c r="S182" i="293"/>
  <c r="Q182" i="293"/>
  <c r="W181" i="293"/>
  <c r="X181" i="293" s="1"/>
  <c r="Y181" i="293" s="1"/>
  <c r="Q181" i="293"/>
  <c r="W180" i="293"/>
  <c r="R180" i="293" s="1"/>
  <c r="Q180" i="293"/>
  <c r="W179" i="293"/>
  <c r="X179" i="293" s="1"/>
  <c r="Y179" i="293" s="1"/>
  <c r="Q179" i="293"/>
  <c r="W178" i="293"/>
  <c r="R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R168" i="293" s="1"/>
  <c r="Q168" i="293"/>
  <c r="W167" i="293"/>
  <c r="X167" i="293" s="1"/>
  <c r="Y167" i="293" s="1"/>
  <c r="Q167" i="293"/>
  <c r="W166" i="293"/>
  <c r="S166" i="293" s="1"/>
  <c r="Q166" i="293"/>
  <c r="W165" i="293"/>
  <c r="X165" i="293" s="1"/>
  <c r="Y165" i="293" s="1"/>
  <c r="Q165" i="293"/>
  <c r="W164" i="293"/>
  <c r="S164" i="293" s="1"/>
  <c r="Q164" i="293"/>
  <c r="W163" i="293"/>
  <c r="R163" i="293" s="1"/>
  <c r="Q163" i="293"/>
  <c r="W162" i="293"/>
  <c r="S162" i="293" s="1"/>
  <c r="Q162" i="293"/>
  <c r="AD159" i="293"/>
  <c r="AC159" i="293"/>
  <c r="AB159" i="293"/>
  <c r="P159" i="293"/>
  <c r="O159" i="293"/>
  <c r="O620" i="293" s="1"/>
  <c r="C635" i="293" s="1"/>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c r="S154" i="293"/>
  <c r="R154" i="293"/>
  <c r="Q154" i="293"/>
  <c r="X153" i="293"/>
  <c r="Y153" i="293" s="1"/>
  <c r="S153" i="293"/>
  <c r="R153" i="293"/>
  <c r="Q153" i="293"/>
  <c r="X152" i="293"/>
  <c r="Y152" i="293"/>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c r="S138" i="293"/>
  <c r="R138" i="293"/>
  <c r="Q138" i="293"/>
  <c r="X137" i="293"/>
  <c r="Y137" i="293" s="1"/>
  <c r="S137" i="293"/>
  <c r="R137" i="293"/>
  <c r="Q137" i="293"/>
  <c r="X136" i="293"/>
  <c r="Y136" i="293"/>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c r="S130" i="293"/>
  <c r="R130" i="293"/>
  <c r="Q130" i="293"/>
  <c r="X129" i="293"/>
  <c r="Y129" i="293" s="1"/>
  <c r="S129" i="293"/>
  <c r="R129" i="293"/>
  <c r="Q129" i="293"/>
  <c r="X128" i="293"/>
  <c r="Y128" i="293"/>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c r="S122" i="293"/>
  <c r="R122" i="293"/>
  <c r="Q122" i="293"/>
  <c r="X121" i="293"/>
  <c r="Y121" i="293" s="1"/>
  <c r="S121" i="293"/>
  <c r="R121" i="293"/>
  <c r="Q121" i="293"/>
  <c r="X120" i="293"/>
  <c r="Y120" i="293"/>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c r="S114" i="293"/>
  <c r="R114" i="293"/>
  <c r="Q114" i="293"/>
  <c r="X113" i="293"/>
  <c r="Y113" i="293" s="1"/>
  <c r="S113" i="293"/>
  <c r="R113" i="293"/>
  <c r="Q113" i="293"/>
  <c r="X112" i="293"/>
  <c r="Y112" i="293"/>
  <c r="S112" i="293"/>
  <c r="R112" i="293"/>
  <c r="Q112" i="293"/>
  <c r="X111" i="293"/>
  <c r="Y111" i="293" s="1"/>
  <c r="S111" i="293"/>
  <c r="R111" i="293"/>
  <c r="Q111" i="293"/>
  <c r="X110" i="293"/>
  <c r="Y110" i="293" s="1"/>
  <c r="S110" i="293"/>
  <c r="R110" i="293"/>
  <c r="Q110" i="293"/>
  <c r="X109" i="293"/>
  <c r="Y109" i="293"/>
  <c r="S109" i="293"/>
  <c r="R109" i="293"/>
  <c r="Q109" i="293"/>
  <c r="X108" i="293"/>
  <c r="Y108" i="293"/>
  <c r="S108" i="293"/>
  <c r="R108" i="293"/>
  <c r="Q108" i="293"/>
  <c r="X107" i="293"/>
  <c r="Y107" i="293"/>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c r="S92" i="293"/>
  <c r="R92" i="293"/>
  <c r="Q92" i="293"/>
  <c r="X91" i="293"/>
  <c r="Y91" i="293"/>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c r="S76" i="293"/>
  <c r="R76" i="293"/>
  <c r="Q76" i="293"/>
  <c r="X75" i="293"/>
  <c r="Y75" i="293"/>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X213" i="293"/>
  <c r="Y213" i="293" s="1"/>
  <c r="BG263" i="293"/>
  <c r="X215" i="293"/>
  <c r="Y215" i="293"/>
  <c r="BG265" i="293"/>
  <c r="AK265" i="293"/>
  <c r="X217" i="293"/>
  <c r="Y217" i="293"/>
  <c r="BG267" i="293"/>
  <c r="AK267" i="293"/>
  <c r="X219" i="293"/>
  <c r="Y219" i="293"/>
  <c r="BG269" i="293"/>
  <c r="AK269" i="293"/>
  <c r="X221" i="293"/>
  <c r="Y221" i="293"/>
  <c r="BG271" i="293"/>
  <c r="AK271" i="293"/>
  <c r="X223" i="293"/>
  <c r="Y223" i="293"/>
  <c r="BG273" i="293"/>
  <c r="AK273" i="293"/>
  <c r="X225" i="293"/>
  <c r="Y225" i="293"/>
  <c r="BG275" i="293"/>
  <c r="AK275" i="293"/>
  <c r="X227" i="293"/>
  <c r="Y227" i="293"/>
  <c r="BG277" i="293"/>
  <c r="AK277" i="293"/>
  <c r="X229" i="293"/>
  <c r="Y229" i="293"/>
  <c r="BG279" i="293"/>
  <c r="AK279" i="293"/>
  <c r="X231" i="293"/>
  <c r="Y231" i="293"/>
  <c r="BG281" i="293"/>
  <c r="AK281" i="293"/>
  <c r="X233" i="293"/>
  <c r="Y233" i="293"/>
  <c r="BG283" i="293"/>
  <c r="AK283" i="293"/>
  <c r="X235" i="293"/>
  <c r="Y235" i="293"/>
  <c r="BG285" i="293"/>
  <c r="AK285" i="293"/>
  <c r="X237" i="293"/>
  <c r="Y237" i="293"/>
  <c r="BG287" i="293"/>
  <c r="AK287" i="293"/>
  <c r="X239" i="293"/>
  <c r="Y239" i="293"/>
  <c r="BG289" i="293"/>
  <c r="AK289" i="293"/>
  <c r="X241" i="293"/>
  <c r="Y241" i="293"/>
  <c r="BG291" i="293"/>
  <c r="AK291" i="293"/>
  <c r="X243" i="293"/>
  <c r="Y243" i="293"/>
  <c r="BG293" i="293"/>
  <c r="AK293" i="293"/>
  <c r="R245" i="293"/>
  <c r="BG295" i="293"/>
  <c r="AK295" i="293"/>
  <c r="R247" i="293"/>
  <c r="BG297" i="293"/>
  <c r="AK297" i="293"/>
  <c r="R249" i="293"/>
  <c r="BG299" i="293"/>
  <c r="AK299" i="293"/>
  <c r="R251" i="293"/>
  <c r="BG301" i="293"/>
  <c r="AK301" i="293"/>
  <c r="R253" i="293"/>
  <c r="BG303" i="293"/>
  <c r="AK303" i="293"/>
  <c r="R255" i="293"/>
  <c r="BG305" i="293"/>
  <c r="AK305" i="293"/>
  <c r="R257" i="293"/>
  <c r="BG307" i="293"/>
  <c r="AK307" i="293"/>
  <c r="R259" i="293"/>
  <c r="BG309" i="293"/>
  <c r="AK309" i="293"/>
  <c r="R261" i="293"/>
  <c r="BG311" i="293"/>
  <c r="AK311" i="293"/>
  <c r="S307" i="293"/>
  <c r="X368" i="293"/>
  <c r="BG418" i="293"/>
  <c r="AK418" i="293"/>
  <c r="X372" i="293"/>
  <c r="BG422" i="293"/>
  <c r="AK422" i="293"/>
  <c r="X376" i="293"/>
  <c r="BG426" i="293"/>
  <c r="AK426" i="293"/>
  <c r="X380" i="293"/>
  <c r="BG430" i="293"/>
  <c r="AK430" i="293"/>
  <c r="X384" i="293"/>
  <c r="BG434" i="293"/>
  <c r="AK434" i="293"/>
  <c r="X388" i="293"/>
  <c r="BG438" i="293"/>
  <c r="AK438" i="293"/>
  <c r="X392" i="293"/>
  <c r="BG442" i="293"/>
  <c r="AK442" i="293"/>
  <c r="X396" i="293"/>
  <c r="BG446" i="293"/>
  <c r="AK446" i="293"/>
  <c r="X400" i="293"/>
  <c r="BG450" i="293"/>
  <c r="AK450" i="293"/>
  <c r="X404" i="293"/>
  <c r="BG454" i="293"/>
  <c r="AK454" i="293"/>
  <c r="X408" i="293"/>
  <c r="BG458" i="293"/>
  <c r="AK458" i="293"/>
  <c r="X412" i="293"/>
  <c r="BG462" i="293"/>
  <c r="AK462" i="293"/>
  <c r="X529" i="293"/>
  <c r="BG579" i="293"/>
  <c r="X545" i="293"/>
  <c r="BG595" i="293"/>
  <c r="AK595" i="293" s="1"/>
  <c r="BG607" i="293"/>
  <c r="X561" i="293"/>
  <c r="X367" i="293"/>
  <c r="BG417" i="293"/>
  <c r="AK417" i="293"/>
  <c r="X375" i="293"/>
  <c r="BG425" i="293"/>
  <c r="AK425" i="293"/>
  <c r="X383" i="293"/>
  <c r="BG433" i="293"/>
  <c r="AK433" i="293"/>
  <c r="X391" i="293"/>
  <c r="BG441" i="293"/>
  <c r="AK441" i="293"/>
  <c r="X399" i="293"/>
  <c r="BG449" i="293"/>
  <c r="AK449" i="293"/>
  <c r="X407" i="293"/>
  <c r="BG457" i="293"/>
  <c r="AK457" i="293"/>
  <c r="X528" i="293"/>
  <c r="BG578" i="293"/>
  <c r="BG586" i="293"/>
  <c r="BG594" i="293"/>
  <c r="X560" i="293"/>
  <c r="BG610" i="293"/>
  <c r="X371" i="293"/>
  <c r="BG421" i="293"/>
  <c r="AK421" i="293"/>
  <c r="X379" i="293"/>
  <c r="BG429" i="293"/>
  <c r="AK429" i="293"/>
  <c r="X387" i="293"/>
  <c r="BG437" i="293"/>
  <c r="AK437" i="293"/>
  <c r="X395" i="293"/>
  <c r="BG445" i="293"/>
  <c r="AK445" i="293"/>
  <c r="X403" i="293"/>
  <c r="BG453" i="293"/>
  <c r="AK453" i="293"/>
  <c r="X411" i="293"/>
  <c r="BG461" i="293"/>
  <c r="AK461" i="293"/>
  <c r="S214" i="293"/>
  <c r="BG264" i="293"/>
  <c r="AK264" i="293"/>
  <c r="S216" i="293"/>
  <c r="BG266" i="293"/>
  <c r="AK266" i="293"/>
  <c r="S218" i="293"/>
  <c r="BG268" i="293"/>
  <c r="AK268" i="293"/>
  <c r="S220" i="293"/>
  <c r="BG270" i="293"/>
  <c r="AK270" i="293"/>
  <c r="S222" i="293"/>
  <c r="BG272" i="293"/>
  <c r="AK272" i="293"/>
  <c r="S224" i="293"/>
  <c r="BG274" i="293"/>
  <c r="AK274" i="293"/>
  <c r="S226" i="293"/>
  <c r="BG276" i="293"/>
  <c r="AK276" i="293"/>
  <c r="S228" i="293"/>
  <c r="BG278" i="293"/>
  <c r="AK278" i="293"/>
  <c r="S230" i="293"/>
  <c r="BG280" i="293"/>
  <c r="AK280" i="293"/>
  <c r="S232" i="293"/>
  <c r="BG282" i="293"/>
  <c r="AK282" i="293"/>
  <c r="S234" i="293"/>
  <c r="BG284" i="293"/>
  <c r="AK284" i="293"/>
  <c r="S236" i="293"/>
  <c r="BG286" i="293"/>
  <c r="AK286" i="293"/>
  <c r="S238" i="293"/>
  <c r="BG288" i="293"/>
  <c r="AK288" i="293"/>
  <c r="S240" i="293"/>
  <c r="BG290" i="293"/>
  <c r="AK290" i="293"/>
  <c r="S242" i="293"/>
  <c r="BG292" i="293"/>
  <c r="AK292" i="293"/>
  <c r="R244" i="293"/>
  <c r="BG294" i="293"/>
  <c r="AK294" i="293"/>
  <c r="R246" i="293"/>
  <c r="BG296" i="293"/>
  <c r="AK296" i="293"/>
  <c r="R248" i="293"/>
  <c r="BG298" i="293"/>
  <c r="AK298" i="293"/>
  <c r="R250" i="293"/>
  <c r="BG300" i="293"/>
  <c r="AK300" i="293"/>
  <c r="R252" i="293"/>
  <c r="BG302" i="293"/>
  <c r="AK302" i="293"/>
  <c r="R254" i="293"/>
  <c r="BG304" i="293"/>
  <c r="AK304" i="293"/>
  <c r="R256" i="293"/>
  <c r="BG306" i="293"/>
  <c r="AK306" i="293"/>
  <c r="R258" i="293"/>
  <c r="BG308" i="293"/>
  <c r="AK308" i="293"/>
  <c r="R260" i="293"/>
  <c r="BG310" i="293"/>
  <c r="AK310" i="293"/>
  <c r="X366" i="293"/>
  <c r="BG416" i="293"/>
  <c r="AK416" i="293"/>
  <c r="X370" i="293"/>
  <c r="BG420" i="293"/>
  <c r="AK420" i="293"/>
  <c r="X374" i="293"/>
  <c r="BG424" i="293"/>
  <c r="AK424" i="293"/>
  <c r="X378" i="293"/>
  <c r="BG428" i="293"/>
  <c r="AK428" i="293"/>
  <c r="X382" i="293"/>
  <c r="BG432" i="293"/>
  <c r="AK432" i="293"/>
  <c r="X386" i="293"/>
  <c r="BG436" i="293"/>
  <c r="AK436" i="293"/>
  <c r="X390" i="293"/>
  <c r="BG440" i="293"/>
  <c r="AK440" i="293"/>
  <c r="X394" i="293"/>
  <c r="BG444" i="293"/>
  <c r="AK444" i="293"/>
  <c r="X398" i="293"/>
  <c r="BG448" i="293"/>
  <c r="AK448" i="293"/>
  <c r="X402" i="293"/>
  <c r="BG452" i="293"/>
  <c r="AK452" i="293"/>
  <c r="X406" i="293"/>
  <c r="BG456" i="293"/>
  <c r="AK456" i="293"/>
  <c r="X410" i="293"/>
  <c r="BG460" i="293"/>
  <c r="AK460" i="293"/>
  <c r="X414" i="293"/>
  <c r="BG464" i="293"/>
  <c r="AK464" i="293"/>
  <c r="X519" i="293"/>
  <c r="BG569" i="293"/>
  <c r="X527" i="293"/>
  <c r="BG577" i="293"/>
  <c r="X531" i="293"/>
  <c r="X535" i="293"/>
  <c r="BG585" i="293"/>
  <c r="X543" i="293"/>
  <c r="BG593" i="293"/>
  <c r="X551" i="293"/>
  <c r="BG601" i="293"/>
  <c r="X559" i="293"/>
  <c r="BG609" i="293"/>
  <c r="X563" i="293"/>
  <c r="X567" i="293"/>
  <c r="BG617" i="293"/>
  <c r="X369" i="293"/>
  <c r="BG419" i="293"/>
  <c r="AK419" i="293"/>
  <c r="X373" i="293"/>
  <c r="BG423" i="293"/>
  <c r="AK423" i="293"/>
  <c r="X377" i="293"/>
  <c r="BG427" i="293"/>
  <c r="AK427" i="293"/>
  <c r="X381" i="293"/>
  <c r="BG431" i="293"/>
  <c r="AK431" i="293"/>
  <c r="X385" i="293"/>
  <c r="BG435" i="293"/>
  <c r="AK435" i="293"/>
  <c r="X389" i="293"/>
  <c r="BG439" i="293"/>
  <c r="AK439" i="293"/>
  <c r="X393" i="293"/>
  <c r="BG443" i="293"/>
  <c r="AK443" i="293"/>
  <c r="X397" i="293"/>
  <c r="BG447" i="293"/>
  <c r="AK447" i="293"/>
  <c r="X401" i="293"/>
  <c r="BG451" i="293"/>
  <c r="AK451" i="293"/>
  <c r="X405" i="293"/>
  <c r="BG455" i="293"/>
  <c r="AK455" i="293"/>
  <c r="X409" i="293"/>
  <c r="BG459" i="293"/>
  <c r="AK459" i="293"/>
  <c r="X413" i="293"/>
  <c r="BG463" i="293"/>
  <c r="AK463" i="293"/>
  <c r="X522" i="293"/>
  <c r="BG572" i="293"/>
  <c r="X526" i="293"/>
  <c r="X530" i="293"/>
  <c r="BG580" i="293"/>
  <c r="X538" i="293"/>
  <c r="BG588" i="293"/>
  <c r="AK588" i="293"/>
  <c r="X546" i="293"/>
  <c r="BG596" i="293"/>
  <c r="X550" i="293"/>
  <c r="BG600" i="293"/>
  <c r="X554" i="293"/>
  <c r="BG604" i="293"/>
  <c r="X562" i="293"/>
  <c r="BG612" i="293"/>
  <c r="R197" i="293"/>
  <c r="R200" i="293"/>
  <c r="X202" i="293"/>
  <c r="Y202" i="293" s="1"/>
  <c r="R164" i="293"/>
  <c r="S179" i="293"/>
  <c r="X307" i="293"/>
  <c r="Y307" i="293"/>
  <c r="S183" i="293"/>
  <c r="R198" i="293"/>
  <c r="R236" i="293"/>
  <c r="R234" i="293"/>
  <c r="S237" i="293"/>
  <c r="S219" i="293"/>
  <c r="R173" i="293"/>
  <c r="S217" i="293"/>
  <c r="R220" i="293"/>
  <c r="X308" i="293"/>
  <c r="Y308" i="293"/>
  <c r="S171" i="293"/>
  <c r="S201" i="293"/>
  <c r="S203" i="293"/>
  <c r="R205" i="293"/>
  <c r="S303" i="293"/>
  <c r="R241" i="293"/>
  <c r="S193" i="293"/>
  <c r="R225" i="293"/>
  <c r="R238" i="293"/>
  <c r="R304" i="293"/>
  <c r="S311" i="293"/>
  <c r="R170" i="293"/>
  <c r="X304" i="293"/>
  <c r="Y304" i="293"/>
  <c r="X170" i="293"/>
  <c r="Y170" i="293" s="1"/>
  <c r="R196" i="293"/>
  <c r="S239" i="293"/>
  <c r="R166" i="293"/>
  <c r="R186" i="293"/>
  <c r="R188" i="293"/>
  <c r="R221" i="293"/>
  <c r="R224" i="293"/>
  <c r="X305" i="293"/>
  <c r="Y305" i="293"/>
  <c r="X186" i="293"/>
  <c r="Y186" i="293" s="1"/>
  <c r="X224" i="293"/>
  <c r="Y224" i="293" s="1"/>
  <c r="R308" i="293"/>
  <c r="R162" i="293"/>
  <c r="S195" i="293"/>
  <c r="X212" i="293"/>
  <c r="Y212" i="293" s="1"/>
  <c r="R222" i="293"/>
  <c r="R240" i="293"/>
  <c r="S306" i="293"/>
  <c r="X310" i="293"/>
  <c r="Y310" i="293"/>
  <c r="X182" i="293"/>
  <c r="Y182" i="293" s="1"/>
  <c r="S205" i="293"/>
  <c r="X226" i="293"/>
  <c r="Y226" i="293"/>
  <c r="S233" i="293"/>
  <c r="R306" i="293"/>
  <c r="S309" i="293"/>
  <c r="X190" i="293"/>
  <c r="Y190" i="293" s="1"/>
  <c r="X242" i="293"/>
  <c r="Y242" i="293"/>
  <c r="X309" i="293"/>
  <c r="Y309" i="293"/>
  <c r="X162" i="293"/>
  <c r="Y162" i="293" s="1"/>
  <c r="X164" i="293"/>
  <c r="Y164" i="293" s="1"/>
  <c r="R189" i="293"/>
  <c r="X196" i="293"/>
  <c r="Y196" i="293" s="1"/>
  <c r="X238" i="293"/>
  <c r="Y238" i="293"/>
  <c r="X240" i="293"/>
  <c r="Y240" i="293"/>
  <c r="X166" i="293"/>
  <c r="Y166" i="293" s="1"/>
  <c r="R174" i="293"/>
  <c r="R176" i="293"/>
  <c r="S189" i="293"/>
  <c r="R193" i="293"/>
  <c r="R206" i="293"/>
  <c r="R208" i="293"/>
  <c r="R218" i="293"/>
  <c r="S223" i="293"/>
  <c r="R237" i="293"/>
  <c r="X303" i="293"/>
  <c r="Y303" i="293"/>
  <c r="S305" i="293"/>
  <c r="R310" i="293"/>
  <c r="X311" i="293"/>
  <c r="Y311" i="293"/>
  <c r="S165" i="293"/>
  <c r="S167" i="293"/>
  <c r="X174" i="293"/>
  <c r="Y174" i="293" s="1"/>
  <c r="X176" i="293"/>
  <c r="Y176" i="293" s="1"/>
  <c r="R182" i="293"/>
  <c r="S199" i="293"/>
  <c r="X206" i="293"/>
  <c r="Y206" i="293" s="1"/>
  <c r="X208" i="293"/>
  <c r="Y208" i="293" s="1"/>
  <c r="S221" i="293"/>
  <c r="X228" i="293"/>
  <c r="Y228" i="293"/>
  <c r="S235" i="293"/>
  <c r="X214" i="293"/>
  <c r="Y214" i="293" s="1"/>
  <c r="X216" i="293"/>
  <c r="Y216" i="293" s="1"/>
  <c r="R213" i="293"/>
  <c r="X218" i="293"/>
  <c r="Y218" i="293"/>
  <c r="X220" i="293"/>
  <c r="Y220" i="293"/>
  <c r="S225" i="293"/>
  <c r="R226" i="293"/>
  <c r="S227" i="293"/>
  <c r="R228" i="293"/>
  <c r="R229" i="293"/>
  <c r="X234" i="293"/>
  <c r="Y234" i="293"/>
  <c r="X236" i="293"/>
  <c r="Y236" i="293"/>
  <c r="S241" i="293"/>
  <c r="R242" i="293"/>
  <c r="S243" i="293"/>
  <c r="X230" i="293"/>
  <c r="Y230" i="293"/>
  <c r="X232" i="293"/>
  <c r="Y232" i="293"/>
  <c r="S213" i="293"/>
  <c r="R214" i="293"/>
  <c r="S215" i="293"/>
  <c r="R216" i="293"/>
  <c r="R217" i="293"/>
  <c r="X222" i="293"/>
  <c r="Y222" i="293" s="1"/>
  <c r="S229" i="293"/>
  <c r="R230" i="293"/>
  <c r="S231" i="293"/>
  <c r="R232" i="293"/>
  <c r="R233" i="293"/>
  <c r="S244" i="293"/>
  <c r="X244" i="293"/>
  <c r="Y244" i="293"/>
  <c r="X245" i="293"/>
  <c r="Y245" i="293"/>
  <c r="S245" i="293"/>
  <c r="S246" i="293"/>
  <c r="X246" i="293"/>
  <c r="Y246" i="293"/>
  <c r="X247" i="293"/>
  <c r="Y247" i="293"/>
  <c r="S247" i="293"/>
  <c r="S248" i="293"/>
  <c r="X248" i="293"/>
  <c r="Y248" i="293"/>
  <c r="X249" i="293"/>
  <c r="Y249" i="293"/>
  <c r="S249" i="293"/>
  <c r="S250" i="293"/>
  <c r="X250" i="293"/>
  <c r="Y250" i="293"/>
  <c r="X251" i="293"/>
  <c r="Y251" i="293"/>
  <c r="S251" i="293"/>
  <c r="S252" i="293"/>
  <c r="X252" i="293"/>
  <c r="Y252" i="293"/>
  <c r="X253" i="293"/>
  <c r="Y253" i="293"/>
  <c r="S253" i="293"/>
  <c r="S254" i="293"/>
  <c r="X254" i="293"/>
  <c r="Y254" i="293"/>
  <c r="X255" i="293"/>
  <c r="Y255" i="293"/>
  <c r="S255" i="293"/>
  <c r="S256" i="293"/>
  <c r="X256" i="293"/>
  <c r="Y256" i="293"/>
  <c r="X257" i="293"/>
  <c r="Y257" i="293"/>
  <c r="S257" i="293"/>
  <c r="S258" i="293"/>
  <c r="X258" i="293"/>
  <c r="Y258" i="293"/>
  <c r="X259" i="293"/>
  <c r="Y259" i="293"/>
  <c r="S259" i="293"/>
  <c r="S260" i="293"/>
  <c r="X260" i="293"/>
  <c r="Y260" i="293"/>
  <c r="X261" i="293"/>
  <c r="Y261" i="293"/>
  <c r="S261" i="293"/>
  <c r="S262" i="293"/>
  <c r="X262" i="293"/>
  <c r="Y262" i="293"/>
  <c r="X263" i="293"/>
  <c r="Y263" i="293"/>
  <c r="S263" i="293"/>
  <c r="S264" i="293"/>
  <c r="X264" i="293"/>
  <c r="Y264" i="293"/>
  <c r="X265" i="293"/>
  <c r="Y265" i="293"/>
  <c r="S265" i="293"/>
  <c r="S266" i="293"/>
  <c r="X266" i="293"/>
  <c r="Y266" i="293"/>
  <c r="X267" i="293"/>
  <c r="Y267" i="293"/>
  <c r="S267" i="293"/>
  <c r="S268" i="293"/>
  <c r="X268" i="293"/>
  <c r="Y268" i="293"/>
  <c r="X269" i="293"/>
  <c r="Y269" i="293"/>
  <c r="S269" i="293"/>
  <c r="S270" i="293"/>
  <c r="X270" i="293"/>
  <c r="Y270" i="293"/>
  <c r="X271" i="293"/>
  <c r="Y271" i="293"/>
  <c r="S271" i="293"/>
  <c r="S272" i="293"/>
  <c r="X272" i="293"/>
  <c r="Y272" i="293"/>
  <c r="X273" i="293"/>
  <c r="Y273" i="293"/>
  <c r="S273" i="293"/>
  <c r="S274" i="293"/>
  <c r="X274" i="293"/>
  <c r="Y274" i="293"/>
  <c r="X275" i="293"/>
  <c r="Y275" i="293"/>
  <c r="S275" i="293"/>
  <c r="S276" i="293"/>
  <c r="X276" i="293"/>
  <c r="Y276" i="293"/>
  <c r="X277" i="293"/>
  <c r="Y277" i="293"/>
  <c r="S277" i="293"/>
  <c r="S278" i="293"/>
  <c r="X278" i="293"/>
  <c r="Y278" i="293"/>
  <c r="X279" i="293"/>
  <c r="Y279" i="293"/>
  <c r="S279" i="293"/>
  <c r="S280" i="293"/>
  <c r="X280" i="293"/>
  <c r="Y280" i="293"/>
  <c r="X281" i="293"/>
  <c r="Y281" i="293"/>
  <c r="S281" i="293"/>
  <c r="S282" i="293"/>
  <c r="X282" i="293"/>
  <c r="Y282" i="293"/>
  <c r="X283" i="293"/>
  <c r="Y283" i="293"/>
  <c r="S283" i="293"/>
  <c r="S284" i="293"/>
  <c r="X284" i="293"/>
  <c r="Y284" i="293"/>
  <c r="X285" i="293"/>
  <c r="Y285" i="293"/>
  <c r="S285" i="293"/>
  <c r="S286" i="293"/>
  <c r="X286" i="293"/>
  <c r="Y286" i="293"/>
  <c r="X287" i="293"/>
  <c r="Y287" i="293"/>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7" i="293"/>
  <c r="R171" i="293"/>
  <c r="R179" i="293"/>
  <c r="R183" i="293"/>
  <c r="R195" i="293"/>
  <c r="R199" i="293"/>
  <c r="R203" i="293"/>
  <c r="R215" i="293"/>
  <c r="R219" i="293"/>
  <c r="R223" i="293"/>
  <c r="R227" i="293"/>
  <c r="R231" i="293"/>
  <c r="R235" i="293"/>
  <c r="R239" i="293"/>
  <c r="R243" i="293"/>
  <c r="C637" i="293"/>
  <c r="C638" i="293"/>
  <c r="C636" i="293"/>
  <c r="AK263"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F910" i="269" s="1"/>
  <c r="M39" i="233"/>
  <c r="F901" i="269" s="1"/>
  <c r="G13" i="28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Z10" i="289"/>
  <c r="Z10" i="288"/>
  <c r="P9" i="287"/>
  <c r="Z8" i="261"/>
  <c r="V8" i="261"/>
  <c r="L8" i="242"/>
  <c r="W9" i="281"/>
  <c r="P9" i="236"/>
  <c r="N9" i="236" s="1"/>
  <c r="AI10" i="235"/>
  <c r="T12" i="231"/>
  <c r="V11" i="227"/>
  <c r="S11" i="226"/>
  <c r="Q11" i="226" s="1"/>
  <c r="W9" i="225"/>
  <c r="U9" i="225" s="1"/>
  <c r="U8" i="221"/>
  <c r="U8" i="212"/>
  <c r="S8" i="212" s="1"/>
  <c r="N10" i="290"/>
  <c r="N9" i="287"/>
  <c r="T10" i="289"/>
  <c r="V10" i="288"/>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F994" i="269" s="1"/>
  <c r="J21" i="237"/>
  <c r="F988" i="269" s="1"/>
  <c r="J20" i="237"/>
  <c r="F982" i="269" s="1"/>
  <c r="J19" i="237"/>
  <c r="F976" i="269" s="1"/>
  <c r="J18" i="237"/>
  <c r="F970" i="269" s="1"/>
  <c r="F14" i="236"/>
  <c r="F927" i="269" s="1"/>
  <c r="G13" i="236"/>
  <c r="F925" i="269" s="1"/>
  <c r="G12" i="236"/>
  <c r="F922" i="269" s="1"/>
  <c r="G11" i="236"/>
  <c r="F919" i="269" s="1"/>
  <c r="G10" i="236"/>
  <c r="F916" i="269" s="1"/>
  <c r="G9" i="236"/>
  <c r="F913" i="269" s="1"/>
  <c r="J23" i="237"/>
  <c r="F1000" i="269" s="1"/>
  <c r="K15" i="209"/>
  <c r="J15" i="209"/>
  <c r="I15" i="209"/>
  <c r="H15" i="209"/>
  <c r="G15" i="209"/>
  <c r="F15" i="209"/>
  <c r="E15" i="209"/>
  <c r="F14" i="209"/>
  <c r="E14" i="209"/>
  <c r="K14" i="209"/>
  <c r="J14" i="209"/>
  <c r="I14" i="209"/>
  <c r="H14" i="209"/>
  <c r="G14" i="209"/>
  <c r="I10" i="202"/>
  <c r="J10" i="202" s="1"/>
  <c r="F18" i="299" s="1"/>
  <c r="I10" i="204"/>
  <c r="J10" i="204" s="1"/>
  <c r="F119" i="299" s="1"/>
  <c r="U10" i="263"/>
  <c r="U10" i="262"/>
  <c r="F22" i="259"/>
  <c r="F238" i="273" s="1"/>
  <c r="E22" i="259"/>
  <c r="F237" i="273" s="1"/>
  <c r="F14" i="259"/>
  <c r="F226" i="273" s="1"/>
  <c r="E14" i="259"/>
  <c r="F225" i="273" s="1"/>
  <c r="O8" i="259"/>
  <c r="M8" i="259" s="1"/>
  <c r="AB9" i="258"/>
  <c r="S9" i="258" s="1"/>
  <c r="E28" i="256"/>
  <c r="F20" i="273" s="1"/>
  <c r="E21" i="256"/>
  <c r="F15" i="273" s="1"/>
  <c r="E16" i="256"/>
  <c r="F11" i="273" s="1"/>
  <c r="E9" i="256"/>
  <c r="F6" i="273" s="1"/>
  <c r="N7" i="256"/>
  <c r="L7" i="256" s="1"/>
  <c r="E17" i="254"/>
  <c r="G3710" i="324" s="1"/>
  <c r="N8" i="254"/>
  <c r="L8" i="254" s="1"/>
  <c r="AC26" i="253"/>
  <c r="AB26" i="253"/>
  <c r="G3693" i="324" s="1"/>
  <c r="AA26" i="253"/>
  <c r="G3692" i="324" s="1"/>
  <c r="Z26" i="253"/>
  <c r="G3691" i="324" s="1"/>
  <c r="Y26" i="253"/>
  <c r="G3690" i="324" s="1"/>
  <c r="W26" i="253"/>
  <c r="G3688" i="324" s="1"/>
  <c r="V26" i="253"/>
  <c r="G3687" i="324" s="1"/>
  <c r="U26" i="253"/>
  <c r="G3686" i="324" s="1"/>
  <c r="T26" i="253"/>
  <c r="G3685" i="324" s="1"/>
  <c r="S26" i="253"/>
  <c r="G3684" i="324" s="1"/>
  <c r="Q26" i="253"/>
  <c r="G3682" i="324" s="1"/>
  <c r="P26" i="253"/>
  <c r="G3681" i="324" s="1"/>
  <c r="O26" i="253"/>
  <c r="G3680" i="324" s="1"/>
  <c r="N26" i="253"/>
  <c r="G3679" i="324" s="1"/>
  <c r="K26" i="253"/>
  <c r="G3677" i="324" s="1"/>
  <c r="J26" i="253"/>
  <c r="G3676" i="324" s="1"/>
  <c r="I26" i="253"/>
  <c r="G3675" i="324" s="1"/>
  <c r="H26" i="253"/>
  <c r="G3674" i="324" s="1"/>
  <c r="G26" i="253"/>
  <c r="G3673" i="324" s="1"/>
  <c r="F26" i="253"/>
  <c r="G3672" i="324" s="1"/>
  <c r="E26" i="253"/>
  <c r="AD25" i="253"/>
  <c r="G3670" i="324" s="1"/>
  <c r="X25" i="253"/>
  <c r="G3664" i="324" s="1"/>
  <c r="R25" i="253"/>
  <c r="G3658" i="324" s="1"/>
  <c r="L25" i="253"/>
  <c r="G3653" i="324" s="1"/>
  <c r="AD24" i="253"/>
  <c r="G3645" i="324" s="1"/>
  <c r="X24" i="253"/>
  <c r="G3639" i="324" s="1"/>
  <c r="R24" i="253"/>
  <c r="G3633" i="324" s="1"/>
  <c r="L24" i="253"/>
  <c r="G3628" i="324" s="1"/>
  <c r="AD23" i="253"/>
  <c r="G3620" i="324" s="1"/>
  <c r="X23" i="253"/>
  <c r="G3614" i="324" s="1"/>
  <c r="R23" i="253"/>
  <c r="G3608" i="324" s="1"/>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G3427" i="324" s="1"/>
  <c r="AD12" i="253"/>
  <c r="G3419" i="324" s="1"/>
  <c r="X12" i="253"/>
  <c r="G3413" i="324" s="1"/>
  <c r="R12" i="253"/>
  <c r="G3407" i="324" s="1"/>
  <c r="L12" i="253"/>
  <c r="G3402" i="324" s="1"/>
  <c r="AD11" i="253"/>
  <c r="G3394" i="324" s="1"/>
  <c r="X11" i="253"/>
  <c r="G3388" i="324" s="1"/>
  <c r="R11" i="253"/>
  <c r="G3382" i="324" s="1"/>
  <c r="L11" i="253"/>
  <c r="G3377" i="324" s="1"/>
  <c r="AM10" i="253"/>
  <c r="AD10" i="253"/>
  <c r="G3369" i="324" s="1"/>
  <c r="X10" i="253"/>
  <c r="G3363" i="324" s="1"/>
  <c r="R10" i="253"/>
  <c r="G3357" i="324" s="1"/>
  <c r="L10" i="253"/>
  <c r="G3352" i="324" s="1"/>
  <c r="E28" i="252"/>
  <c r="F32" i="272" s="1"/>
  <c r="N8" i="252"/>
  <c r="L8" i="252" s="1"/>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U8" i="243"/>
  <c r="T43" i="240"/>
  <c r="F1165" i="269" s="1"/>
  <c r="T39" i="240"/>
  <c r="F1143" i="269" s="1"/>
  <c r="H15" i="240"/>
  <c r="F1072" i="269" s="1"/>
  <c r="F15" i="240"/>
  <c r="E15" i="240"/>
  <c r="F1069" i="269" s="1"/>
  <c r="G14" i="240"/>
  <c r="F1067" i="269" s="1"/>
  <c r="G13" i="240"/>
  <c r="F1063" i="269" s="1"/>
  <c r="G12" i="240"/>
  <c r="F1059" i="269" s="1"/>
  <c r="H11" i="240"/>
  <c r="F1056" i="269" s="1"/>
  <c r="F11" i="240"/>
  <c r="F1054" i="269" s="1"/>
  <c r="E11" i="240"/>
  <c r="G10" i="240"/>
  <c r="F1051" i="269" s="1"/>
  <c r="G9" i="240"/>
  <c r="F1047" i="269" s="1"/>
  <c r="AC8" i="240"/>
  <c r="G8" i="240"/>
  <c r="F1043" i="269" s="1"/>
  <c r="F20" i="239"/>
  <c r="F1033" i="269" s="1"/>
  <c r="E20" i="239"/>
  <c r="F1032" i="269" s="1"/>
  <c r="G19" i="239"/>
  <c r="F1031" i="269" s="1"/>
  <c r="G18" i="239"/>
  <c r="F1028" i="269" s="1"/>
  <c r="F17" i="239"/>
  <c r="E17" i="239"/>
  <c r="G16" i="239"/>
  <c r="F1022" i="269" s="1"/>
  <c r="G15" i="239"/>
  <c r="F1019" i="269" s="1"/>
  <c r="F10" i="239"/>
  <c r="F1014" i="269" s="1"/>
  <c r="E10" i="239"/>
  <c r="F1013" i="269" s="1"/>
  <c r="G9" i="239"/>
  <c r="F1012" i="269" s="1"/>
  <c r="P8" i="239"/>
  <c r="G8" i="239"/>
  <c r="F1009" i="269" s="1"/>
  <c r="S10" i="237"/>
  <c r="V85" i="235"/>
  <c r="G2905" i="324" s="1"/>
  <c r="M85" i="235"/>
  <c r="G2896" i="324" s="1"/>
  <c r="I82" i="235"/>
  <c r="N82" i="235" s="1"/>
  <c r="G2840"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2309" i="324" s="1"/>
  <c r="G46" i="235"/>
  <c r="Q24" i="235"/>
  <c r="G2033" i="324" s="1"/>
  <c r="P24" i="235"/>
  <c r="H24" i="235"/>
  <c r="G2024" i="324" s="1"/>
  <c r="R21" i="235"/>
  <c r="G1977" i="324" s="1"/>
  <c r="H18" i="235"/>
  <c r="G1919" i="324" s="1"/>
  <c r="G18" i="235"/>
  <c r="G1918" i="324" s="1"/>
  <c r="F18" i="235"/>
  <c r="G1917" i="324" s="1"/>
  <c r="I12" i="235"/>
  <c r="G1860" i="324" s="1"/>
  <c r="AC10" i="234"/>
  <c r="AA10" i="234" s="1"/>
  <c r="V10" i="233"/>
  <c r="S9" i="232"/>
  <c r="O11" i="230"/>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P10" i="220"/>
  <c r="M10" i="220" s="1"/>
  <c r="R7" i="218"/>
  <c r="P7" i="218" s="1"/>
  <c r="P9" i="217"/>
  <c r="N9" i="217" s="1"/>
  <c r="O8" i="216"/>
  <c r="M8" i="216" s="1"/>
  <c r="S8" i="215"/>
  <c r="U9" i="206"/>
  <c r="R9" i="206"/>
  <c r="S11" i="205"/>
  <c r="S9" i="203"/>
  <c r="Q9" i="203" s="1"/>
  <c r="S8" i="202"/>
  <c r="M8" i="245"/>
  <c r="S10" i="262"/>
  <c r="R26" i="253"/>
  <c r="G3683" i="324" s="1"/>
  <c r="S10" i="263"/>
  <c r="AA8" i="240"/>
  <c r="P44" i="240"/>
  <c r="F1167" i="269" s="1"/>
  <c r="L25" i="251"/>
  <c r="L27" i="251" s="1"/>
  <c r="T25" i="251"/>
  <c r="T27" i="251" s="1"/>
  <c r="AB25" i="251"/>
  <c r="AB27" i="251"/>
  <c r="AJ25" i="251"/>
  <c r="AJ27" i="251"/>
  <c r="M25" i="251"/>
  <c r="M27" i="251" s="1"/>
  <c r="U25" i="251"/>
  <c r="U27" i="251" s="1"/>
  <c r="AC25" i="251"/>
  <c r="AC27" i="251"/>
  <c r="AK25" i="251"/>
  <c r="AK27" i="251"/>
  <c r="AS25" i="251"/>
  <c r="AS27" i="251"/>
  <c r="I41" i="204"/>
  <c r="F238" i="299" s="1"/>
  <c r="BA25" i="251"/>
  <c r="BA27" i="251"/>
  <c r="G27" i="234"/>
  <c r="J39" i="234"/>
  <c r="G1293" i="324" s="1"/>
  <c r="AR25" i="251"/>
  <c r="AR27" i="251"/>
  <c r="H15" i="234"/>
  <c r="G1087" i="324" s="1"/>
  <c r="F52" i="204"/>
  <c r="F275" i="299" s="1"/>
  <c r="N13" i="225"/>
  <c r="F53" i="269" s="1"/>
  <c r="F406" i="268"/>
  <c r="F874" i="268"/>
  <c r="G35" i="205"/>
  <c r="I33" i="205"/>
  <c r="F370" i="299" s="1"/>
  <c r="J25" i="251"/>
  <c r="J27" i="251" s="1"/>
  <c r="R25" i="251"/>
  <c r="R27" i="251" s="1"/>
  <c r="Z25" i="251"/>
  <c r="Z27" i="251"/>
  <c r="AH25" i="251"/>
  <c r="AH27" i="251"/>
  <c r="AP25" i="251"/>
  <c r="AP27" i="251"/>
  <c r="AX25" i="251"/>
  <c r="AX27" i="251"/>
  <c r="BF25" i="251"/>
  <c r="BF27" i="251"/>
  <c r="G36" i="234"/>
  <c r="G1257" i="324" s="1"/>
  <c r="E25" i="251"/>
  <c r="E27" i="251" s="1"/>
  <c r="I44" i="204"/>
  <c r="F253" i="299" s="1"/>
  <c r="F408" i="268"/>
  <c r="J30" i="228"/>
  <c r="M21" i="235"/>
  <c r="G1972" i="324" s="1"/>
  <c r="I9" i="203"/>
  <c r="J9" i="203" s="1"/>
  <c r="F99" i="299" s="1"/>
  <c r="F828" i="268"/>
  <c r="F21" i="234"/>
  <c r="K21" i="234" s="1"/>
  <c r="G1132" i="324" s="1"/>
  <c r="J45" i="234"/>
  <c r="G1341" i="324" s="1"/>
  <c r="H81" i="234"/>
  <c r="G1439" i="324" s="1"/>
  <c r="H15" i="204"/>
  <c r="F142" i="299" s="1"/>
  <c r="F33" i="234"/>
  <c r="G1229" i="324" s="1"/>
  <c r="AZ25" i="251"/>
  <c r="AZ27" i="251"/>
  <c r="I12" i="204"/>
  <c r="F128" i="299" s="1"/>
  <c r="I14" i="204"/>
  <c r="F138" i="299" s="1"/>
  <c r="F407" i="268"/>
  <c r="J13" i="225"/>
  <c r="J14" i="225" s="1"/>
  <c r="I36" i="225"/>
  <c r="F238" i="269" s="1"/>
  <c r="L24" i="235"/>
  <c r="G2028" i="324" s="1"/>
  <c r="I10" i="205"/>
  <c r="F280" i="299" s="1"/>
  <c r="I15" i="205"/>
  <c r="J15" i="205" s="1"/>
  <c r="F306" i="299" s="1"/>
  <c r="V46" i="235"/>
  <c r="G2323" i="324" s="1"/>
  <c r="X25" i="251"/>
  <c r="X27" i="251"/>
  <c r="F473" i="268"/>
  <c r="K70" i="235"/>
  <c r="G2672" i="324" s="1"/>
  <c r="L10" i="258"/>
  <c r="G3737" i="324" s="1"/>
  <c r="P11" i="228"/>
  <c r="J17" i="228"/>
  <c r="I24" i="234"/>
  <c r="G1151" i="324" s="1"/>
  <c r="F42" i="234"/>
  <c r="G1316" i="324" s="1"/>
  <c r="I37" i="204"/>
  <c r="F218" i="299" s="1"/>
  <c r="J24" i="234"/>
  <c r="G1152" i="324" s="1"/>
  <c r="H33" i="234"/>
  <c r="G1231" i="324" s="1"/>
  <c r="M64" i="235"/>
  <c r="G2581" i="324" s="1"/>
  <c r="F520" i="268"/>
  <c r="I40" i="235"/>
  <c r="G2232" i="324" s="1"/>
  <c r="J82" i="235"/>
  <c r="G2836" i="324" s="1"/>
  <c r="Q85" i="235"/>
  <c r="G2900" i="324" s="1"/>
  <c r="I43" i="204"/>
  <c r="F248" i="299" s="1"/>
  <c r="I18" i="205"/>
  <c r="F320" i="299" s="1"/>
  <c r="P31" i="228"/>
  <c r="K19" i="234"/>
  <c r="G1120" i="324" s="1"/>
  <c r="R85" i="235"/>
  <c r="G2901" i="324" s="1"/>
  <c r="M24" i="235"/>
  <c r="G2029" i="324" s="1"/>
  <c r="I11" i="204"/>
  <c r="F123" i="299" s="1"/>
  <c r="I8" i="202"/>
  <c r="J8" i="202" s="1"/>
  <c r="F8" i="299" s="1"/>
  <c r="I23" i="205"/>
  <c r="F335" i="299" s="1"/>
  <c r="Q8" i="213"/>
  <c r="F449" i="268"/>
  <c r="F418" i="268"/>
  <c r="F512" i="268"/>
  <c r="I21" i="204"/>
  <c r="F163" i="299" s="1"/>
  <c r="I30" i="204"/>
  <c r="F198" i="299" s="1"/>
  <c r="F480" i="268"/>
  <c r="K14" i="234"/>
  <c r="G1084" i="324" s="1"/>
  <c r="R61" i="235"/>
  <c r="G2532" i="324" s="1"/>
  <c r="F20" i="299"/>
  <c r="F32" i="299"/>
  <c r="I19" i="205"/>
  <c r="F325" i="299" s="1"/>
  <c r="F873" i="268"/>
  <c r="H27" i="234"/>
  <c r="G1183" i="324" s="1"/>
  <c r="M18" i="235"/>
  <c r="G1924" i="324" s="1"/>
  <c r="F498" i="268"/>
  <c r="H32" i="232"/>
  <c r="F722" i="269" s="1"/>
  <c r="F492" i="268"/>
  <c r="I25" i="205"/>
  <c r="F345" i="299" s="1"/>
  <c r="I9" i="202"/>
  <c r="F12" i="299" s="1"/>
  <c r="I16" i="205"/>
  <c r="F310" i="299" s="1"/>
  <c r="I13" i="204"/>
  <c r="F133" i="299" s="1"/>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J27" i="225"/>
  <c r="F169" i="269" s="1"/>
  <c r="T21" i="229"/>
  <c r="I43" i="231"/>
  <c r="G197" i="324" s="1"/>
  <c r="J12" i="234"/>
  <c r="J28" i="234" s="1"/>
  <c r="G1200"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G14" i="236" s="1"/>
  <c r="F928" i="269" s="1"/>
  <c r="F27" i="225"/>
  <c r="F165" i="269"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G2310" i="324" s="1"/>
  <c r="H73" i="235"/>
  <c r="G2699" i="324" s="1"/>
  <c r="K36" i="225"/>
  <c r="F240" i="269" s="1"/>
  <c r="G46" i="226"/>
  <c r="F409" i="269" s="1"/>
  <c r="F33" i="231"/>
  <c r="G138" i="324" s="1"/>
  <c r="F39" i="234"/>
  <c r="G1289" i="324" s="1"/>
  <c r="H12" i="235"/>
  <c r="N63" i="235"/>
  <c r="G2564" i="324" s="1"/>
  <c r="H85" i="235"/>
  <c r="G2891" i="324" s="1"/>
  <c r="H25" i="251"/>
  <c r="H27" i="251" s="1"/>
  <c r="I25" i="251"/>
  <c r="I27" i="251" s="1"/>
  <c r="Q25" i="251"/>
  <c r="Q27" i="251" s="1"/>
  <c r="Y25" i="251"/>
  <c r="Y27" i="251"/>
  <c r="AG25" i="251"/>
  <c r="AG27" i="251"/>
  <c r="AO25" i="251"/>
  <c r="AO27" i="251"/>
  <c r="AW25" i="251"/>
  <c r="AW27" i="251"/>
  <c r="BE25" i="251"/>
  <c r="BE27" i="251"/>
  <c r="H14" i="258"/>
  <c r="G3761" i="324" s="1"/>
  <c r="F15" i="204"/>
  <c r="F140" i="299" s="1"/>
  <c r="F861" i="268"/>
  <c r="F867" i="268"/>
  <c r="H35" i="205"/>
  <c r="F379" i="299" s="1"/>
  <c r="I26" i="202"/>
  <c r="F84" i="299" s="1"/>
  <c r="G15" i="204"/>
  <c r="F141" i="299" s="1"/>
  <c r="I20" i="204"/>
  <c r="F158" i="299" s="1"/>
  <c r="I38" i="204"/>
  <c r="F223" i="299" s="1"/>
  <c r="I12" i="205"/>
  <c r="F290" i="299" s="1"/>
  <c r="I14" i="205"/>
  <c r="J14" i="205" s="1"/>
  <c r="F301" i="299" s="1"/>
  <c r="L8" i="209"/>
  <c r="F12" i="268" s="1"/>
  <c r="F488" i="268"/>
  <c r="F868" i="268"/>
  <c r="I20" i="202"/>
  <c r="I19" i="204"/>
  <c r="F153" i="299" s="1"/>
  <c r="H22" i="204"/>
  <c r="F167" i="299" s="1"/>
  <c r="I26" i="204"/>
  <c r="F178" i="299" s="1"/>
  <c r="F45" i="204"/>
  <c r="F255" i="299" s="1"/>
  <c r="I24" i="205"/>
  <c r="F340" i="299" s="1"/>
  <c r="I34" i="205"/>
  <c r="F375" i="299" s="1"/>
  <c r="F445" i="268"/>
  <c r="F469" i="268"/>
  <c r="F496" i="268"/>
  <c r="F516" i="268"/>
  <c r="F31" i="204"/>
  <c r="F200" i="299" s="1"/>
  <c r="I42" i="204"/>
  <c r="F243" i="299" s="1"/>
  <c r="I11" i="205"/>
  <c r="F285" i="299" s="1"/>
  <c r="F451" i="268"/>
  <c r="F441" i="268"/>
  <c r="F484" i="268"/>
  <c r="I17" i="202"/>
  <c r="H45" i="204"/>
  <c r="F257" i="299" s="1"/>
  <c r="I13" i="205"/>
  <c r="F295" i="299" s="1"/>
  <c r="F27" i="205"/>
  <c r="F352" i="299" s="1"/>
  <c r="F437" i="268"/>
  <c r="F22" i="204"/>
  <c r="F165" i="299" s="1"/>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H26" i="231"/>
  <c r="G105" i="324" s="1"/>
  <c r="D43" i="231"/>
  <c r="G192" i="324" s="1"/>
  <c r="J23" i="232"/>
  <c r="F688" i="269" s="1"/>
  <c r="H111" i="234"/>
  <c r="G1691" i="324" s="1"/>
  <c r="M52" i="235"/>
  <c r="G2428" i="324" s="1"/>
  <c r="L46" i="227"/>
  <c r="F595" i="269" s="1"/>
  <c r="J24" i="228"/>
  <c r="E21" i="229"/>
  <c r="AE11" i="229"/>
  <c r="J21" i="229"/>
  <c r="H33" i="233"/>
  <c r="F878" i="269" s="1"/>
  <c r="H27" i="225"/>
  <c r="F167" i="269" s="1"/>
  <c r="M11" i="230"/>
  <c r="H93" i="234"/>
  <c r="G1565" i="324" s="1"/>
  <c r="K95" i="234"/>
  <c r="G1583" i="324" s="1"/>
  <c r="N27" i="225"/>
  <c r="N30" i="225" s="1"/>
  <c r="F203" i="269" s="1"/>
  <c r="I20" i="228"/>
  <c r="V13" i="229"/>
  <c r="M19" i="229"/>
  <c r="F27" i="232"/>
  <c r="F702" i="269" s="1"/>
  <c r="J15" i="232"/>
  <c r="F664" i="269" s="1"/>
  <c r="I55" i="235"/>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T21" i="235"/>
  <c r="G1979" i="324" s="1"/>
  <c r="T24" i="235"/>
  <c r="G2036" i="324" s="1"/>
  <c r="H12" i="258"/>
  <c r="G3749" i="324" s="1"/>
  <c r="L33" i="233"/>
  <c r="F882" i="269" s="1"/>
  <c r="G33" i="233"/>
  <c r="F877" i="269" s="1"/>
  <c r="G18" i="234"/>
  <c r="G1107" i="324" s="1"/>
  <c r="F36" i="234"/>
  <c r="G1256" i="324" s="1"/>
  <c r="I81" i="234"/>
  <c r="G1440" i="324" s="1"/>
  <c r="G114" i="234"/>
  <c r="G1711" i="324" s="1"/>
  <c r="U24" i="235"/>
  <c r="G2037" i="324" s="1"/>
  <c r="N41" i="235"/>
  <c r="G2249" i="324" s="1"/>
  <c r="N60" i="235"/>
  <c r="G2510" i="324" s="1"/>
  <c r="Q79" i="235"/>
  <c r="G2786" i="324" s="1"/>
  <c r="N87" i="235"/>
  <c r="G2930" i="324" s="1"/>
  <c r="H18" i="243"/>
  <c r="F101" i="302" s="1"/>
  <c r="K10" i="234"/>
  <c r="G1057" i="324" s="1"/>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G1320" i="324" s="1"/>
  <c r="H114" i="234"/>
  <c r="G1712" i="324" s="1"/>
  <c r="F43" i="235"/>
  <c r="G2259" i="324" s="1"/>
  <c r="U46" i="235"/>
  <c r="G2322" i="324" s="1"/>
  <c r="F64" i="235"/>
  <c r="G2574" i="324" s="1"/>
  <c r="K18" i="243"/>
  <c r="F104" i="302" s="1"/>
  <c r="K12" i="235"/>
  <c r="G1862" i="324" s="1"/>
  <c r="J15" i="235"/>
  <c r="G1891" i="324" s="1"/>
  <c r="K18" i="235"/>
  <c r="G1922" i="324" s="1"/>
  <c r="L49" i="235"/>
  <c r="G2370" i="324" s="1"/>
  <c r="L55" i="235"/>
  <c r="G2466" i="324" s="1"/>
  <c r="L14" i="243"/>
  <c r="F73" i="302" s="1"/>
  <c r="R79" i="235"/>
  <c r="G2787" i="324" s="1"/>
  <c r="K25" i="251"/>
  <c r="K27" i="251" s="1"/>
  <c r="S25" i="251"/>
  <c r="S27" i="251" s="1"/>
  <c r="AA25" i="251"/>
  <c r="AA27" i="251"/>
  <c r="AI25" i="251"/>
  <c r="AI27" i="251"/>
  <c r="AQ25" i="251"/>
  <c r="AQ27" i="251"/>
  <c r="AY25" i="251"/>
  <c r="AY27" i="251"/>
  <c r="BG25" i="251"/>
  <c r="BG27" i="251"/>
  <c r="L10" i="243"/>
  <c r="F57" i="302" s="1"/>
  <c r="O8" i="248"/>
  <c r="F25" i="251"/>
  <c r="F27" i="251" s="1"/>
  <c r="N25" i="251"/>
  <c r="N27" i="251" s="1"/>
  <c r="V25" i="251"/>
  <c r="V27" i="251" s="1"/>
  <c r="AD25" i="251"/>
  <c r="AD27" i="251"/>
  <c r="AL25" i="251"/>
  <c r="AL27" i="251"/>
  <c r="H10" i="258"/>
  <c r="G3733" i="324" s="1"/>
  <c r="P82" i="235"/>
  <c r="G2842" i="324" s="1"/>
  <c r="U85" i="235"/>
  <c r="G2904" i="324" s="1"/>
  <c r="T85" i="235"/>
  <c r="G2903" i="324" s="1"/>
  <c r="E18" i="243"/>
  <c r="F98" i="302" s="1"/>
  <c r="G25" i="251"/>
  <c r="O25" i="251"/>
  <c r="O27" i="251" s="1"/>
  <c r="W25" i="251"/>
  <c r="W27" i="251" s="1"/>
  <c r="AE25" i="251"/>
  <c r="AE27" i="251"/>
  <c r="AM25" i="251"/>
  <c r="AM27" i="251"/>
  <c r="AU25" i="251"/>
  <c r="AU27" i="251"/>
  <c r="BC25" i="251"/>
  <c r="BC27" i="251"/>
  <c r="P25" i="251"/>
  <c r="P27" i="251" s="1"/>
  <c r="AF25" i="251"/>
  <c r="AF27" i="251"/>
  <c r="I79" i="235"/>
  <c r="G2778" i="324" s="1"/>
  <c r="Q82" i="235"/>
  <c r="G2843" i="324" s="1"/>
  <c r="N88" i="235"/>
  <c r="G2942" i="324" s="1"/>
  <c r="N95" i="235"/>
  <c r="G3026" i="324" s="1"/>
  <c r="F18" i="243"/>
  <c r="F99" i="302" s="1"/>
  <c r="L11" i="258"/>
  <c r="G3745" i="324" s="1"/>
  <c r="J11" i="237"/>
  <c r="F940" i="269" s="1"/>
  <c r="G22" i="204"/>
  <c r="I22" i="204" s="1"/>
  <c r="H27" i="205"/>
  <c r="F354" i="299" s="1"/>
  <c r="I14" i="202"/>
  <c r="J14" i="202" s="1"/>
  <c r="F38" i="299" s="1"/>
  <c r="F74" i="299"/>
  <c r="I10" i="203"/>
  <c r="F103" i="299" s="1"/>
  <c r="I28" i="204"/>
  <c r="J28" i="204" s="1"/>
  <c r="F189" i="299" s="1"/>
  <c r="I39" i="204"/>
  <c r="F228" i="299" s="1"/>
  <c r="I50" i="204"/>
  <c r="F268" i="299" s="1"/>
  <c r="G52" i="204"/>
  <c r="S9" i="206"/>
  <c r="I21" i="206"/>
  <c r="F402" i="299" s="1"/>
  <c r="U8" i="209"/>
  <c r="F414" i="268"/>
  <c r="F422" i="268"/>
  <c r="F457" i="268"/>
  <c r="I15" i="202"/>
  <c r="J15" i="202" s="1"/>
  <c r="F43" i="299" s="1"/>
  <c r="I25" i="202"/>
  <c r="F79" i="299" s="1"/>
  <c r="I9" i="204"/>
  <c r="F113" i="299" s="1"/>
  <c r="I29" i="204"/>
  <c r="F193" i="299" s="1"/>
  <c r="G31" i="204"/>
  <c r="I40" i="204"/>
  <c r="F233" i="299" s="1"/>
  <c r="I51" i="204"/>
  <c r="F273" i="299" s="1"/>
  <c r="H52" i="204"/>
  <c r="F277" i="299" s="1"/>
  <c r="F35" i="205"/>
  <c r="F377" i="299" s="1"/>
  <c r="T9" i="206"/>
  <c r="I22" i="206"/>
  <c r="F407" i="299" s="1"/>
  <c r="F842" i="268"/>
  <c r="H31" i="204"/>
  <c r="F202" i="299" s="1"/>
  <c r="I26" i="205"/>
  <c r="F350" i="299" s="1"/>
  <c r="S9" i="204"/>
  <c r="G45" i="204"/>
  <c r="F256" i="299" s="1"/>
  <c r="F504" i="268"/>
  <c r="F527" i="268"/>
  <c r="N15" i="214"/>
  <c r="L15" i="214" s="1"/>
  <c r="G27" i="205"/>
  <c r="F353" i="299" s="1"/>
  <c r="F863" i="268"/>
  <c r="F875" i="268"/>
  <c r="I9" i="206"/>
  <c r="F391" i="299" s="1"/>
  <c r="F869" i="268"/>
  <c r="I32" i="205"/>
  <c r="J32" i="205" s="1"/>
  <c r="F366" i="299" s="1"/>
  <c r="L17" i="209"/>
  <c r="F46" i="268" s="1"/>
  <c r="F862" i="268"/>
  <c r="K46" i="234"/>
  <c r="G1351" i="324" s="1"/>
  <c r="F48" i="234"/>
  <c r="G1358" i="324" s="1"/>
  <c r="J15" i="228"/>
  <c r="J13" i="226"/>
  <c r="F308" i="269" s="1"/>
  <c r="F21" i="229"/>
  <c r="N83" i="235"/>
  <c r="G2861" i="324" s="1"/>
  <c r="F85" i="235"/>
  <c r="O85" i="235"/>
  <c r="G2898" i="324" s="1"/>
  <c r="W83" i="235"/>
  <c r="G2870" i="324" s="1"/>
  <c r="P13" i="228"/>
  <c r="K20" i="228"/>
  <c r="P10" i="228"/>
  <c r="L20" i="228"/>
  <c r="G27" i="225"/>
  <c r="F166" i="269" s="1"/>
  <c r="K34" i="229"/>
  <c r="J114" i="234"/>
  <c r="G1714" i="324" s="1"/>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M28" i="227"/>
  <c r="F506" i="269" s="1"/>
  <c r="P16" i="228"/>
  <c r="I33" i="228"/>
  <c r="P25" i="228"/>
  <c r="M24" i="229"/>
  <c r="K17" i="234"/>
  <c r="G1105" i="324" s="1"/>
  <c r="J12" i="235"/>
  <c r="G1861" i="324" s="1"/>
  <c r="Q67" i="235"/>
  <c r="G2639" i="324" s="1"/>
  <c r="F82" i="235"/>
  <c r="G2832" i="324" s="1"/>
  <c r="N80" i="235"/>
  <c r="G2804" i="324" s="1"/>
  <c r="V82" i="235"/>
  <c r="G2848" i="324" s="1"/>
  <c r="J36" i="225"/>
  <c r="F239" i="269" s="1"/>
  <c r="Y10" i="228"/>
  <c r="J10" i="228"/>
  <c r="N20" i="228"/>
  <c r="J11" i="228"/>
  <c r="P14" i="228"/>
  <c r="P17" i="228"/>
  <c r="G20" i="228"/>
  <c r="K33" i="228"/>
  <c r="P23" i="228"/>
  <c r="J27" i="228"/>
  <c r="P28" i="228"/>
  <c r="J31" i="228"/>
  <c r="E33" i="231"/>
  <c r="G137" i="324" s="1"/>
  <c r="G15" i="234"/>
  <c r="K37" i="234"/>
  <c r="G1270" i="324" s="1"/>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G1065" i="324" s="1"/>
  <c r="L27" i="225"/>
  <c r="F171" i="269" s="1"/>
  <c r="O20" i="228"/>
  <c r="M33" i="228"/>
  <c r="J25" i="228"/>
  <c r="J26" i="228"/>
  <c r="O33" i="228"/>
  <c r="M12" i="229"/>
  <c r="V12" i="229"/>
  <c r="L21" i="229"/>
  <c r="H33" i="231"/>
  <c r="G140" i="324" s="1"/>
  <c r="M16" i="233"/>
  <c r="F793" i="269" s="1"/>
  <c r="K80" i="234"/>
  <c r="G1436"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103"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F721" i="269" s="1"/>
  <c r="M14" i="233"/>
  <c r="F775" i="269" s="1"/>
  <c r="I128" i="234"/>
  <c r="G1821" i="324"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M10" i="233"/>
  <c r="F739" i="269" s="1"/>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08" i="234"/>
  <c r="G1671" i="324" s="1"/>
  <c r="I111" i="234"/>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G1805" i="324" s="1"/>
  <c r="L12" i="235"/>
  <c r="G1863" i="324" s="1"/>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G136" i="324" s="1"/>
  <c r="K92" i="234"/>
  <c r="G1562" i="324" s="1"/>
  <c r="K116" i="234"/>
  <c r="G1733" i="324" s="1"/>
  <c r="F12" i="235"/>
  <c r="G1857" i="324" s="1"/>
  <c r="N10" i="235"/>
  <c r="G1847" i="324" s="1"/>
  <c r="M15" i="235"/>
  <c r="G1894" i="324" s="1"/>
  <c r="I21" i="235"/>
  <c r="G1968" i="324" s="1"/>
  <c r="N44" i="235"/>
  <c r="G2279" i="324" s="1"/>
  <c r="W44" i="235"/>
  <c r="G2288" i="324" s="1"/>
  <c r="N48" i="235"/>
  <c r="G2354" i="324" s="1"/>
  <c r="W48" i="235"/>
  <c r="G2363" i="324" s="1"/>
  <c r="V16" i="229"/>
  <c r="V29" i="229"/>
  <c r="J33" i="233"/>
  <c r="J20" i="227" s="1"/>
  <c r="M32" i="233"/>
  <c r="F874" i="269" s="1"/>
  <c r="I15" i="234"/>
  <c r="G1088" i="324" s="1"/>
  <c r="I21" i="234"/>
  <c r="G1130" i="324" s="1"/>
  <c r="F27" i="234"/>
  <c r="G1181" i="324" s="1"/>
  <c r="H45" i="234"/>
  <c r="G1339" i="324" s="1"/>
  <c r="G45" i="234"/>
  <c r="K118" i="234"/>
  <c r="G1751" i="324" s="1"/>
  <c r="L15" i="235"/>
  <c r="N39" i="235"/>
  <c r="G2228" i="324" s="1"/>
  <c r="K33" i="233"/>
  <c r="F881" i="269" s="1"/>
  <c r="K23" i="234"/>
  <c r="G1147" i="324" s="1"/>
  <c r="Q38" i="234"/>
  <c r="G1288" i="324" s="1"/>
  <c r="K91" i="234"/>
  <c r="G1556" i="324" s="1"/>
  <c r="K21" i="235"/>
  <c r="G1970" i="324" s="1"/>
  <c r="I49" i="235"/>
  <c r="G2367" i="324" s="1"/>
  <c r="R49" i="235"/>
  <c r="L73" i="235"/>
  <c r="G2703" i="324" s="1"/>
  <c r="M36" i="233"/>
  <c r="F892" i="269" s="1"/>
  <c r="G128" i="234"/>
  <c r="F21" i="226" s="1"/>
  <c r="K41" i="234"/>
  <c r="G1315" i="324" s="1"/>
  <c r="H108" i="234"/>
  <c r="G1670" i="324" s="1"/>
  <c r="F93" i="234"/>
  <c r="G1563" i="324" s="1"/>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1820" i="324"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2230" i="324" s="1"/>
  <c r="G43" i="235"/>
  <c r="G2260" i="324" s="1"/>
  <c r="N93" i="235"/>
  <c r="G3002" i="324" s="1"/>
  <c r="G15" i="235"/>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G1974" i="324" s="1"/>
  <c r="F24" i="235"/>
  <c r="G2022" i="324" s="1"/>
  <c r="V24" i="235"/>
  <c r="G2038" i="324" s="1"/>
  <c r="W36" i="235"/>
  <c r="G2189" i="324" s="1"/>
  <c r="O46" i="235"/>
  <c r="W46" i="235" s="1"/>
  <c r="G2324" i="324" s="1"/>
  <c r="H55" i="235"/>
  <c r="G2462" i="324" s="1"/>
  <c r="M61" i="235"/>
  <c r="G2527" i="324" s="1"/>
  <c r="G64" i="235"/>
  <c r="P64" i="235"/>
  <c r="G2584" i="324" s="1"/>
  <c r="I67" i="235"/>
  <c r="G2631" i="324" s="1"/>
  <c r="R67" i="235"/>
  <c r="G2640" i="324" s="1"/>
  <c r="K67" i="235"/>
  <c r="G2633" i="324" s="1"/>
  <c r="G70" i="235"/>
  <c r="G2668" i="324" s="1"/>
  <c r="N91" i="235"/>
  <c r="G2978" i="324" s="1"/>
  <c r="N11" i="235"/>
  <c r="G1856" i="324" s="1"/>
  <c r="N19" i="235"/>
  <c r="G1937" i="324" s="1"/>
  <c r="O24" i="235"/>
  <c r="G2031" i="324" s="1"/>
  <c r="M49" i="235"/>
  <c r="G2371" i="324" s="1"/>
  <c r="U49" i="235"/>
  <c r="G2379" i="324" s="1"/>
  <c r="F52" i="235"/>
  <c r="G2421" i="324" s="1"/>
  <c r="N50" i="235"/>
  <c r="G2393" i="324" s="1"/>
  <c r="V52" i="235"/>
  <c r="G2437" i="324" s="1"/>
  <c r="P52" i="235"/>
  <c r="G2431" i="324" s="1"/>
  <c r="J61" i="235"/>
  <c r="G2524" i="324" s="1"/>
  <c r="H64" i="235"/>
  <c r="G2576" i="324" s="1"/>
  <c r="Q64" i="235"/>
  <c r="G2585" i="324" s="1"/>
  <c r="T64" i="235"/>
  <c r="G2588" i="324" s="1"/>
  <c r="J67" i="235"/>
  <c r="G2632" i="324" s="1"/>
  <c r="H70" i="235"/>
  <c r="G2669" i="324" s="1"/>
  <c r="F70" i="235"/>
  <c r="R82" i="235"/>
  <c r="G2844" i="324" s="1"/>
  <c r="W19" i="235"/>
  <c r="G1946" i="324" s="1"/>
  <c r="F37" i="235"/>
  <c r="G2190" i="324" s="1"/>
  <c r="F49" i="235"/>
  <c r="N47" i="235"/>
  <c r="G2336" i="324" s="1"/>
  <c r="V49" i="235"/>
  <c r="G2380" i="324" s="1"/>
  <c r="G52" i="235"/>
  <c r="G2422" i="324" s="1"/>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J70" i="235"/>
  <c r="G2671" i="324" s="1"/>
  <c r="J73" i="235"/>
  <c r="G2701" i="324" s="1"/>
  <c r="N72" i="235"/>
  <c r="G2696" i="324" s="1"/>
  <c r="F79" i="235"/>
  <c r="G2775" i="324" s="1"/>
  <c r="N77" i="235"/>
  <c r="G2747" i="324" s="1"/>
  <c r="T79" i="235"/>
  <c r="G2789" i="324" s="1"/>
  <c r="L82" i="235"/>
  <c r="G2838" i="324" s="1"/>
  <c r="T82" i="235"/>
  <c r="G2846" i="324" s="1"/>
  <c r="S82" i="235"/>
  <c r="G2845" i="324" s="1"/>
  <c r="G12" i="235"/>
  <c r="G1858" i="324" s="1"/>
  <c r="H49" i="235"/>
  <c r="G2366" i="324" s="1"/>
  <c r="P49" i="235"/>
  <c r="G2374" i="324" s="1"/>
  <c r="N51" i="235"/>
  <c r="G2411" i="324" s="1"/>
  <c r="N54" i="235"/>
  <c r="G2459" i="324" s="1"/>
  <c r="K64" i="235"/>
  <c r="G2579" i="324" s="1"/>
  <c r="V67" i="235"/>
  <c r="G2644" i="324" s="1"/>
  <c r="K73" i="235"/>
  <c r="K96" i="235" s="1"/>
  <c r="G3035" i="324" s="1"/>
  <c r="M76" i="235"/>
  <c r="G2734" i="324" s="1"/>
  <c r="G79" i="235"/>
  <c r="O79" i="235"/>
  <c r="G2784" i="324" s="1"/>
  <c r="W77" i="235"/>
  <c r="G2756" i="324" s="1"/>
  <c r="L79" i="235"/>
  <c r="G2781" i="324" s="1"/>
  <c r="M82" i="235"/>
  <c r="G2839" i="324" s="1"/>
  <c r="K82" i="235"/>
  <c r="G2837" i="324" s="1"/>
  <c r="L16" i="243"/>
  <c r="F89" i="302" s="1"/>
  <c r="P61" i="235"/>
  <c r="W61" i="235" s="1"/>
  <c r="G2537" i="324" s="1"/>
  <c r="O64" i="235"/>
  <c r="G2583" i="324" s="1"/>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G2954" i="324" s="1"/>
  <c r="N94" i="235"/>
  <c r="G3014" i="324" s="1"/>
  <c r="G18" i="243"/>
  <c r="F100" i="302" s="1"/>
  <c r="J12" i="237"/>
  <c r="F946" i="269" s="1"/>
  <c r="I18" i="243"/>
  <c r="F102" i="302" s="1"/>
  <c r="L9" i="243"/>
  <c r="F49" i="302" s="1"/>
  <c r="J10" i="237"/>
  <c r="F934" i="269" s="1"/>
  <c r="J13" i="237"/>
  <c r="F952" i="269" s="1"/>
  <c r="AN25" i="251"/>
  <c r="AN27" i="251"/>
  <c r="AV25" i="251"/>
  <c r="AV27" i="251"/>
  <c r="BD25" i="251"/>
  <c r="BD27" i="251"/>
  <c r="H11" i="258"/>
  <c r="G3741" i="324" s="1"/>
  <c r="L14" i="258"/>
  <c r="G3765" i="324" s="1"/>
  <c r="CG24" i="251"/>
  <c r="E19" i="250" s="1"/>
  <c r="L8" i="243"/>
  <c r="F41" i="302" s="1"/>
  <c r="CG23" i="251"/>
  <c r="E18" i="250" s="1"/>
  <c r="E14" i="250"/>
  <c r="F10" i="272" s="1"/>
  <c r="AT25" i="251"/>
  <c r="AT27" i="251"/>
  <c r="N8" i="250"/>
  <c r="L8" i="250" s="1"/>
  <c r="CG22" i="251"/>
  <c r="E17" i="250" s="1"/>
  <c r="E22" i="258"/>
  <c r="G3771" i="324" s="1"/>
  <c r="CG26" i="251"/>
  <c r="E21" i="250" s="1"/>
  <c r="L12" i="258"/>
  <c r="G3753" i="324" s="1"/>
  <c r="J49" i="234"/>
  <c r="G1371" i="324" s="1"/>
  <c r="I20" i="227"/>
  <c r="H30" i="225"/>
  <c r="F197" i="269" s="1"/>
  <c r="J10" i="227"/>
  <c r="G20" i="227"/>
  <c r="H20" i="227"/>
  <c r="F30" i="225"/>
  <c r="F195" i="269" s="1"/>
  <c r="I30" i="225"/>
  <c r="F198" i="269" s="1"/>
  <c r="G10" i="227"/>
  <c r="L20" i="227"/>
  <c r="F20" i="227"/>
  <c r="K20" i="227"/>
  <c r="G10" i="226"/>
  <c r="K30" i="225"/>
  <c r="F200" i="269" s="1"/>
  <c r="H21" i="227"/>
  <c r="H23" i="227" s="1"/>
  <c r="F474" i="269" s="1"/>
  <c r="I20" i="226"/>
  <c r="J20" i="226" s="1"/>
  <c r="F321" i="269" s="1"/>
  <c r="E20" i="226"/>
  <c r="E29" i="210" s="1"/>
  <c r="F9" i="226"/>
  <c r="F506" i="268"/>
  <c r="J19" i="205"/>
  <c r="F326" i="299" s="1"/>
  <c r="J44" i="204"/>
  <c r="F254" i="299" s="1"/>
  <c r="J26" i="205"/>
  <c r="F351" i="299" s="1"/>
  <c r="H9" i="205"/>
  <c r="H17" i="205" s="1"/>
  <c r="F314" i="299" s="1"/>
  <c r="G43" i="231"/>
  <c r="G195" i="324" s="1"/>
  <c r="F20" i="226"/>
  <c r="J30" i="225"/>
  <c r="F199" i="269" s="1"/>
  <c r="J12" i="202"/>
  <c r="F28" i="299" s="1"/>
  <c r="J24" i="205"/>
  <c r="F341" i="299" s="1"/>
  <c r="J30" i="204"/>
  <c r="F199" i="299" s="1"/>
  <c r="G20" i="226"/>
  <c r="M30" i="225"/>
  <c r="F202" i="269" s="1"/>
  <c r="J50" i="204"/>
  <c r="F269" i="299" s="1"/>
  <c r="J12" i="205"/>
  <c r="F291" i="299" s="1"/>
  <c r="I9" i="226"/>
  <c r="J11" i="204"/>
  <c r="F124" i="299" s="1"/>
  <c r="J21" i="227"/>
  <c r="G9" i="226"/>
  <c r="G30" i="225"/>
  <c r="F196" i="269" s="1"/>
  <c r="H20" i="226"/>
  <c r="H7" i="209"/>
  <c r="G21" i="227"/>
  <c r="G23" i="227" s="1"/>
  <c r="F473" i="269" s="1"/>
  <c r="E30" i="225"/>
  <c r="F194" i="269" s="1"/>
  <c r="F7" i="209"/>
  <c r="J18" i="204"/>
  <c r="F149" i="299" s="1"/>
  <c r="F9" i="205"/>
  <c r="J39" i="204"/>
  <c r="F229" i="299" s="1"/>
  <c r="J23" i="205"/>
  <c r="F336" i="299" s="1"/>
  <c r="E26" i="237"/>
  <c r="F1001" i="269" s="1"/>
  <c r="I26" i="237"/>
  <c r="F1005" i="269" s="1"/>
  <c r="F26" i="237"/>
  <c r="F1002" i="269" s="1"/>
  <c r="G26" i="237"/>
  <c r="F1003" i="269" s="1"/>
  <c r="F14" i="225"/>
  <c r="F55" i="269" s="1"/>
  <c r="I14" i="225"/>
  <c r="F58" i="269" s="1"/>
  <c r="N14" i="225"/>
  <c r="F63" i="269" s="1"/>
  <c r="AC11" i="229"/>
  <c r="F111" i="268"/>
  <c r="F172" i="268"/>
  <c r="K81" i="234"/>
  <c r="G1442" i="324" s="1"/>
  <c r="N52" i="235"/>
  <c r="G2429" i="324" s="1"/>
  <c r="F110" i="268"/>
  <c r="K31" i="225"/>
  <c r="F210" i="269" s="1"/>
  <c r="M34" i="229"/>
  <c r="J20" i="228"/>
  <c r="W52" i="235"/>
  <c r="G2438" i="324" s="1"/>
  <c r="K24" i="234"/>
  <c r="G1153" i="324" s="1"/>
  <c r="S8" i="209"/>
  <c r="H48" i="231"/>
  <c r="G210" i="324" s="1"/>
  <c r="N18" i="235"/>
  <c r="G1925" i="324" s="1"/>
  <c r="M21" i="229"/>
  <c r="P33" i="228"/>
  <c r="N15" i="235"/>
  <c r="G1895" i="324" s="1"/>
  <c r="W10" i="228"/>
  <c r="P20" i="228"/>
  <c r="F46" i="299"/>
  <c r="V21" i="229"/>
  <c r="J33" i="228"/>
  <c r="J32" i="232"/>
  <c r="F724" i="269" s="1"/>
  <c r="M11" i="227"/>
  <c r="F423" i="269" s="1"/>
  <c r="I16" i="225"/>
  <c r="I19" i="225" s="1"/>
  <c r="K48" i="234"/>
  <c r="G1363" i="324" s="1"/>
  <c r="G7" i="209"/>
  <c r="N24" i="235"/>
  <c r="G2030" i="324" s="1"/>
  <c r="J7" i="209"/>
  <c r="E7" i="209"/>
  <c r="V34" i="229"/>
  <c r="K101" i="235"/>
  <c r="G3065" i="324" s="1"/>
  <c r="I101" i="235"/>
  <c r="G3063" i="324" s="1"/>
  <c r="H101" i="235"/>
  <c r="G3062" i="324" s="1"/>
  <c r="I7" i="209"/>
  <c r="F56" i="299"/>
  <c r="Q8" i="210"/>
  <c r="F31" i="225"/>
  <c r="F205" i="269" s="1"/>
  <c r="G31" i="225"/>
  <c r="F206" i="269" s="1"/>
  <c r="E31" i="225"/>
  <c r="F204" i="269" s="1"/>
  <c r="J31" i="225"/>
  <c r="F209" i="269" s="1"/>
  <c r="F148" i="268"/>
  <c r="J22" i="226"/>
  <c r="F328" i="269" s="1"/>
  <c r="J11" i="226"/>
  <c r="F296" i="269" s="1"/>
  <c r="M22" i="227"/>
  <c r="F470" i="269" s="1"/>
  <c r="F147" i="268"/>
  <c r="F150" i="268"/>
  <c r="I3" i="80"/>
  <c r="J3" i="80"/>
  <c r="K3" i="80"/>
  <c r="L3" i="80"/>
  <c r="M3" i="80"/>
  <c r="N3" i="80"/>
  <c r="O3" i="80"/>
  <c r="P3" i="80"/>
  <c r="Q3" i="80"/>
  <c r="H3" i="80"/>
  <c r="L13" i="225"/>
  <c r="F51" i="269" s="1"/>
  <c r="G13" i="225"/>
  <c r="F46" i="269" s="1"/>
  <c r="H36" i="225"/>
  <c r="F237" i="269" s="1"/>
  <c r="M36" i="225"/>
  <c r="F242" i="269" s="1"/>
  <c r="L36" i="225"/>
  <c r="F241" i="269" s="1"/>
  <c r="G36" i="225"/>
  <c r="F236" i="269" s="1"/>
  <c r="P8" i="211"/>
  <c r="N8" i="211" s="1"/>
  <c r="F11" i="209"/>
  <c r="F22" i="268" s="1"/>
  <c r="E10" i="209"/>
  <c r="E11" i="209"/>
  <c r="F21" i="268" s="1"/>
  <c r="F10" i="209"/>
  <c r="F14" i="268" s="1"/>
  <c r="D67" i="223"/>
  <c r="C67" i="223"/>
  <c r="N10" i="223"/>
  <c r="L10" i="223" s="1"/>
  <c r="M20" i="233"/>
  <c r="F811" i="269" s="1"/>
  <c r="G17" i="257"/>
  <c r="G19" i="257" s="1"/>
  <c r="F61" i="273" s="1"/>
  <c r="H14" i="257"/>
  <c r="F42" i="273" s="1"/>
  <c r="F17" i="257"/>
  <c r="F52" i="273" s="1"/>
  <c r="H15" i="257"/>
  <c r="F46" i="273" s="1"/>
  <c r="K42" i="257"/>
  <c r="F163" i="273" s="1"/>
  <c r="G49" i="257"/>
  <c r="F194"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E17" i="257"/>
  <c r="F51" i="273" s="1"/>
  <c r="H8" i="257"/>
  <c r="F26" i="273" s="1"/>
  <c r="H11" i="257"/>
  <c r="F38" i="273" s="1"/>
  <c r="H16" i="257"/>
  <c r="F50" i="273" s="1"/>
  <c r="K41" i="257"/>
  <c r="F156" i="273" s="1"/>
  <c r="M26" i="233"/>
  <c r="F847" i="269" s="1"/>
  <c r="M19" i="233"/>
  <c r="F802" i="269" s="1"/>
  <c r="H10" i="257"/>
  <c r="F34" i="273" s="1"/>
  <c r="H18" i="257"/>
  <c r="F58" i="273" s="1"/>
  <c r="L27" i="257"/>
  <c r="F94" i="273" s="1"/>
  <c r="L26" i="257"/>
  <c r="F86" i="273" s="1"/>
  <c r="L25" i="257"/>
  <c r="F78" i="273" s="1"/>
  <c r="L24" i="257"/>
  <c r="F70" i="273" s="1"/>
  <c r="L32" i="257"/>
  <c r="F118" i="273" s="1"/>
  <c r="L31" i="257"/>
  <c r="F110" i="273" s="1"/>
  <c r="L30" i="257"/>
  <c r="F102" i="273" s="1"/>
  <c r="L34" i="257"/>
  <c r="F134" i="273" s="1"/>
  <c r="J49" i="257"/>
  <c r="F197" i="273" s="1"/>
  <c r="K46" i="257"/>
  <c r="F177" i="273" s="1"/>
  <c r="M25" i="233"/>
  <c r="F838" i="269" s="1"/>
  <c r="H9" i="257"/>
  <c r="F30" i="273" s="1"/>
  <c r="H49" i="257"/>
  <c r="H51" i="257" s="1"/>
  <c r="F209" i="273" s="1"/>
  <c r="F51" i="257"/>
  <c r="F207" i="273" s="1"/>
  <c r="M28" i="233"/>
  <c r="F856" i="269" s="1"/>
  <c r="AI208" i="284"/>
  <c r="AI204" i="284"/>
  <c r="AI200" i="284"/>
  <c r="AI196" i="284"/>
  <c r="AI192" i="284"/>
  <c r="AI188" i="284"/>
  <c r="AI184" i="284"/>
  <c r="AI205" i="284"/>
  <c r="AI197" i="284"/>
  <c r="AI189" i="284"/>
  <c r="AI181" i="284"/>
  <c r="AI207" i="284"/>
  <c r="AI203" i="284"/>
  <c r="AI199" i="284"/>
  <c r="AI195" i="284"/>
  <c r="AI191" i="284"/>
  <c r="AI187" i="284"/>
  <c r="AI183" i="284"/>
  <c r="AI201" i="284"/>
  <c r="AI193" i="284"/>
  <c r="AI185" i="284"/>
  <c r="AI206" i="284"/>
  <c r="AI198" i="284"/>
  <c r="AI190" i="284"/>
  <c r="AI182" i="284"/>
  <c r="AI158" i="284"/>
  <c r="AI202" i="284"/>
  <c r="AI194" i="284"/>
  <c r="AI186" i="284"/>
  <c r="K86" i="234"/>
  <c r="G1498" i="324" s="1"/>
  <c r="K88" i="234"/>
  <c r="G1520" i="324" s="1"/>
  <c r="AC88" i="234"/>
  <c r="AC89" i="234"/>
  <c r="K89" i="234"/>
  <c r="G1532" i="324" s="1"/>
  <c r="F129" i="234"/>
  <c r="G1824" i="324" s="1"/>
  <c r="F128" i="234"/>
  <c r="G1818" i="324" s="1"/>
  <c r="N20" i="313"/>
  <c r="F843" i="268" l="1"/>
  <c r="AK73" i="293"/>
  <c r="Y465" i="293"/>
  <c r="N13" i="217"/>
  <c r="F12" i="209"/>
  <c r="F30" i="268" s="1"/>
  <c r="L10" i="209"/>
  <c r="F20" i="268" s="1"/>
  <c r="G14" i="225"/>
  <c r="F56" i="269" s="1"/>
  <c r="K14" i="225"/>
  <c r="G12" i="227"/>
  <c r="K27" i="234"/>
  <c r="G1186" i="324" s="1"/>
  <c r="W24" i="235"/>
  <c r="G2039" i="324" s="1"/>
  <c r="H9" i="227"/>
  <c r="F964" i="268"/>
  <c r="L20" i="221"/>
  <c r="F965" i="268" s="1"/>
  <c r="G2099" i="324"/>
  <c r="H34" i="235"/>
  <c r="G2135" i="324" s="1"/>
  <c r="G2125" i="324"/>
  <c r="P34" i="235"/>
  <c r="G2143" i="324" s="1"/>
  <c r="J76" i="234"/>
  <c r="K76" i="234" s="1"/>
  <c r="G1421" i="324" s="1"/>
  <c r="F16" i="225"/>
  <c r="F20" i="225" s="1"/>
  <c r="F48" i="231"/>
  <c r="G208" i="324" s="1"/>
  <c r="W64" i="235"/>
  <c r="G2591" i="324" s="1"/>
  <c r="W49" i="235"/>
  <c r="G2381" i="324" s="1"/>
  <c r="N85" i="235"/>
  <c r="G2897" i="324" s="1"/>
  <c r="N55" i="235"/>
  <c r="G2468" i="324" s="1"/>
  <c r="N46" i="235"/>
  <c r="G2315" i="324" s="1"/>
  <c r="E14" i="225"/>
  <c r="F54" i="269" s="1"/>
  <c r="F44" i="269"/>
  <c r="W85" i="235"/>
  <c r="G2906" i="324" s="1"/>
  <c r="K114" i="234"/>
  <c r="G1715" i="324" s="1"/>
  <c r="J9" i="204"/>
  <c r="F114" i="299" s="1"/>
  <c r="K18" i="234"/>
  <c r="G1111" i="324" s="1"/>
  <c r="N49" i="235"/>
  <c r="G2372" i="324" s="1"/>
  <c r="K15" i="234"/>
  <c r="G1090" i="324" s="1"/>
  <c r="L14" i="209"/>
  <c r="F37" i="268" s="1"/>
  <c r="M14" i="225"/>
  <c r="M16" i="225" s="1"/>
  <c r="C48" i="231"/>
  <c r="G205" i="324" s="1"/>
  <c r="J9" i="210"/>
  <c r="F65" i="268" s="1"/>
  <c r="H138" i="231"/>
  <c r="G630" i="324" s="1"/>
  <c r="N40" i="235"/>
  <c r="G2237" i="324" s="1"/>
  <c r="I28" i="234"/>
  <c r="G1199" i="324" s="1"/>
  <c r="G33" i="231"/>
  <c r="G139" i="324" s="1"/>
  <c r="H9" i="226"/>
  <c r="G12" i="226"/>
  <c r="F299" i="269" s="1"/>
  <c r="K45" i="234"/>
  <c r="G1342" i="324" s="1"/>
  <c r="J11" i="210"/>
  <c r="F76" i="268" s="1"/>
  <c r="F72" i="268"/>
  <c r="J13" i="210"/>
  <c r="F86" i="268" s="1"/>
  <c r="F82" i="268"/>
  <c r="J15" i="210"/>
  <c r="F97" i="268" s="1"/>
  <c r="F93" i="268"/>
  <c r="F691" i="268"/>
  <c r="F8" i="219"/>
  <c r="J11" i="215"/>
  <c r="F692" i="268" s="1"/>
  <c r="F674" i="268"/>
  <c r="G276" i="324"/>
  <c r="D93" i="231"/>
  <c r="G416" i="324" s="1"/>
  <c r="G64" i="231"/>
  <c r="G279" i="324" s="1"/>
  <c r="G316" i="324"/>
  <c r="I93" i="231"/>
  <c r="G421" i="324" s="1"/>
  <c r="G488" i="324"/>
  <c r="F138" i="231"/>
  <c r="G628" i="324" s="1"/>
  <c r="G109" i="231"/>
  <c r="G489" i="324" s="1"/>
  <c r="G520" i="324"/>
  <c r="C138" i="231"/>
  <c r="G557" i="324"/>
  <c r="G123" i="231"/>
  <c r="G559" i="324" s="1"/>
  <c r="E138" i="231"/>
  <c r="G627" i="324" s="1"/>
  <c r="G976" i="324"/>
  <c r="D228" i="231"/>
  <c r="G1046" i="324" s="1"/>
  <c r="G213" i="231"/>
  <c r="G979" i="324" s="1"/>
  <c r="G943" i="324"/>
  <c r="G206" i="231"/>
  <c r="G944" i="324" s="1"/>
  <c r="F228" i="231"/>
  <c r="G1048" i="324" s="1"/>
  <c r="G911" i="324"/>
  <c r="I228" i="231"/>
  <c r="G1051" i="324" s="1"/>
  <c r="G765" i="324"/>
  <c r="C183" i="231"/>
  <c r="G835" i="324" s="1"/>
  <c r="G732" i="324"/>
  <c r="E183" i="231"/>
  <c r="G837" i="324" s="1"/>
  <c r="G700" i="324"/>
  <c r="H183" i="231"/>
  <c r="G840" i="324" s="1"/>
  <c r="E20" i="219"/>
  <c r="J20" i="219" s="1"/>
  <c r="F847" i="268" s="1"/>
  <c r="F841" i="268"/>
  <c r="J17" i="219"/>
  <c r="F846" i="268" s="1"/>
  <c r="W82" i="235"/>
  <c r="G2849" i="324" s="1"/>
  <c r="M33" i="233"/>
  <c r="F883" i="269" s="1"/>
  <c r="K93" i="234"/>
  <c r="G1568" i="324" s="1"/>
  <c r="K36" i="234"/>
  <c r="G1261" i="324" s="1"/>
  <c r="N64" i="235"/>
  <c r="G2582" i="324" s="1"/>
  <c r="Q8" i="215"/>
  <c r="K9" i="227"/>
  <c r="G1665" i="324"/>
  <c r="AF107" i="234"/>
  <c r="G3049" i="324"/>
  <c r="M101" i="235"/>
  <c r="G3067" i="324" s="1"/>
  <c r="H28" i="234"/>
  <c r="G1198" i="324" s="1"/>
  <c r="L15" i="209"/>
  <c r="F38" i="268" s="1"/>
  <c r="AA115" i="234"/>
  <c r="AA117" i="234"/>
  <c r="AA123" i="234"/>
  <c r="G41" i="213"/>
  <c r="F499" i="268"/>
  <c r="S10" i="314"/>
  <c r="K87" i="234"/>
  <c r="G1508" i="324" s="1"/>
  <c r="L14" i="225"/>
  <c r="F61" i="269" s="1"/>
  <c r="N37" i="235"/>
  <c r="G2198" i="324" s="1"/>
  <c r="K39" i="234"/>
  <c r="G1294" i="324" s="1"/>
  <c r="I49" i="234"/>
  <c r="G1370" i="324" s="1"/>
  <c r="K111" i="234"/>
  <c r="G1694" i="324" s="1"/>
  <c r="F29" i="210"/>
  <c r="F136" i="268" s="1"/>
  <c r="N79" i="235"/>
  <c r="G2783" i="324" s="1"/>
  <c r="G2776" i="324"/>
  <c r="F96" i="235"/>
  <c r="G3030" i="324" s="1"/>
  <c r="F23" i="226"/>
  <c r="F25" i="226" s="1"/>
  <c r="F342" i="269" s="1"/>
  <c r="R130" i="234"/>
  <c r="G1836" i="324" s="1"/>
  <c r="G68" i="324"/>
  <c r="G19" i="231"/>
  <c r="G69" i="324" s="1"/>
  <c r="G1531" i="324"/>
  <c r="J90" i="234"/>
  <c r="G1543" i="324" s="1"/>
  <c r="Q23" i="205"/>
  <c r="S10" i="209"/>
  <c r="S17" i="209"/>
  <c r="N19" i="211"/>
  <c r="Q35" i="215"/>
  <c r="S17" i="221"/>
  <c r="Q45" i="226"/>
  <c r="AG81" i="235"/>
  <c r="O16" i="238"/>
  <c r="R173" i="231"/>
  <c r="R172" i="231"/>
  <c r="R171" i="231"/>
  <c r="G168" i="231"/>
  <c r="G769" i="324" s="1"/>
  <c r="R165" i="231"/>
  <c r="R164" i="231"/>
  <c r="R160" i="231"/>
  <c r="G2112" i="324"/>
  <c r="G3102" i="324"/>
  <c r="Q9" i="215"/>
  <c r="Q10" i="215"/>
  <c r="L12" i="223"/>
  <c r="L20" i="223"/>
  <c r="U10" i="225"/>
  <c r="U12" i="225"/>
  <c r="U17" i="225"/>
  <c r="U25" i="225"/>
  <c r="U26" i="225"/>
  <c r="U28" i="225"/>
  <c r="U29" i="225"/>
  <c r="AA94" i="234"/>
  <c r="AG16" i="235"/>
  <c r="AG17" i="235"/>
  <c r="AG19" i="235"/>
  <c r="AG68" i="235"/>
  <c r="AG71" i="235"/>
  <c r="AG72" i="235"/>
  <c r="AG74" i="235"/>
  <c r="AG75" i="235"/>
  <c r="L24" i="212"/>
  <c r="F374" i="268" s="1"/>
  <c r="G36" i="215"/>
  <c r="F764" i="268" s="1"/>
  <c r="G11" i="215"/>
  <c r="AD88" i="234"/>
  <c r="K102" i="234"/>
  <c r="G1631" i="324" s="1"/>
  <c r="R61" i="231"/>
  <c r="R60" i="231"/>
  <c r="R59" i="231"/>
  <c r="R57" i="231"/>
  <c r="R70" i="231"/>
  <c r="R67" i="231"/>
  <c r="R77" i="231"/>
  <c r="R74" i="231"/>
  <c r="H93" i="231"/>
  <c r="G420" i="324" s="1"/>
  <c r="R87" i="231"/>
  <c r="R86" i="231"/>
  <c r="R85" i="231"/>
  <c r="R82" i="231"/>
  <c r="R81" i="231"/>
  <c r="R91" i="231"/>
  <c r="S9" i="314"/>
  <c r="S11" i="212"/>
  <c r="S16" i="212"/>
  <c r="S17" i="212"/>
  <c r="S18" i="212"/>
  <c r="S19" i="212"/>
  <c r="S27" i="212"/>
  <c r="Q14" i="219"/>
  <c r="Q15" i="219"/>
  <c r="U18" i="225"/>
  <c r="Q13" i="226"/>
  <c r="Q22" i="226"/>
  <c r="Q24" i="226"/>
  <c r="Q33" i="226"/>
  <c r="Q34" i="226"/>
  <c r="Q42" i="226"/>
  <c r="Q44" i="226"/>
  <c r="AG10" i="235"/>
  <c r="AG11" i="235"/>
  <c r="AG38" i="235"/>
  <c r="AG39" i="235"/>
  <c r="AG55" i="235"/>
  <c r="N11" i="236"/>
  <c r="F738" i="268"/>
  <c r="L13" i="212"/>
  <c r="F318" i="268" s="1"/>
  <c r="J22" i="212"/>
  <c r="F364" i="268" s="1"/>
  <c r="L29" i="212"/>
  <c r="F398" i="268" s="1"/>
  <c r="AA83" i="234"/>
  <c r="K99" i="234"/>
  <c r="G1610" i="324" s="1"/>
  <c r="D138" i="231"/>
  <c r="G626" i="324" s="1"/>
  <c r="E228" i="231"/>
  <c r="G1047" i="324" s="1"/>
  <c r="R226" i="231"/>
  <c r="C228" i="231"/>
  <c r="G1045" i="324" s="1"/>
  <c r="R221" i="231"/>
  <c r="R220" i="231"/>
  <c r="R219" i="231"/>
  <c r="R218" i="231"/>
  <c r="R217" i="231"/>
  <c r="R216" i="231"/>
  <c r="R212" i="231"/>
  <c r="R211" i="231"/>
  <c r="R210" i="231"/>
  <c r="R209" i="231"/>
  <c r="Q12" i="202"/>
  <c r="Q26" i="202"/>
  <c r="S10" i="212"/>
  <c r="S12" i="212"/>
  <c r="L16" i="223"/>
  <c r="L24" i="223"/>
  <c r="L26" i="223"/>
  <c r="Q9" i="232"/>
  <c r="Q12" i="232"/>
  <c r="Q14" i="232"/>
  <c r="Q15" i="232"/>
  <c r="Q19" i="232"/>
  <c r="Q23" i="232"/>
  <c r="Q30" i="232"/>
  <c r="Q31" i="232"/>
  <c r="AA37" i="234"/>
  <c r="AA38" i="234"/>
  <c r="AA39" i="234"/>
  <c r="AG13" i="235"/>
  <c r="AG14" i="235"/>
  <c r="AG23" i="235"/>
  <c r="Q14" i="237"/>
  <c r="Q20" i="237"/>
  <c r="Q21" i="237"/>
  <c r="AK162" i="293"/>
  <c r="J12" i="210"/>
  <c r="F81" i="268" s="1"/>
  <c r="J14" i="210"/>
  <c r="F92" i="268" s="1"/>
  <c r="L29" i="221"/>
  <c r="F1005" i="268" s="1"/>
  <c r="J15" i="237"/>
  <c r="F964" i="269" s="1"/>
  <c r="AA103" i="234"/>
  <c r="AA104" i="234"/>
  <c r="AA105" i="234"/>
  <c r="W30" i="235"/>
  <c r="G2114" i="324" s="1"/>
  <c r="N41" i="211"/>
  <c r="Q21" i="215"/>
  <c r="Q16" i="219"/>
  <c r="L11" i="223"/>
  <c r="L27" i="223"/>
  <c r="L32" i="223"/>
  <c r="T17" i="227"/>
  <c r="AA32" i="234"/>
  <c r="AA109" i="234"/>
  <c r="AK316" i="293"/>
  <c r="F314" i="268"/>
  <c r="F16" i="210"/>
  <c r="F99" i="268" s="1"/>
  <c r="G22" i="212"/>
  <c r="F361" i="268" s="1"/>
  <c r="K22" i="212"/>
  <c r="F365" i="268" s="1"/>
  <c r="F14" i="213"/>
  <c r="F424" i="268" s="1"/>
  <c r="G28" i="215"/>
  <c r="N27" i="235"/>
  <c r="G2087" i="324" s="1"/>
  <c r="AD89" i="234"/>
  <c r="I183" i="231"/>
  <c r="G841" i="324" s="1"/>
  <c r="S11" i="314"/>
  <c r="L34" i="235"/>
  <c r="G2139" i="324" s="1"/>
  <c r="T34" i="235"/>
  <c r="G2147" i="324" s="1"/>
  <c r="U15" i="225"/>
  <c r="R14" i="231"/>
  <c r="R16" i="231"/>
  <c r="R18" i="231"/>
  <c r="T10" i="233"/>
  <c r="T12" i="233"/>
  <c r="T13" i="233"/>
  <c r="T14" i="233"/>
  <c r="T15" i="233"/>
  <c r="T16" i="233"/>
  <c r="T19" i="233"/>
  <c r="T21" i="233"/>
  <c r="T25" i="233"/>
  <c r="T26" i="233"/>
  <c r="T31" i="233"/>
  <c r="T32" i="233"/>
  <c r="T36" i="233"/>
  <c r="T39" i="233"/>
  <c r="T40" i="233"/>
  <c r="AA31" i="234"/>
  <c r="AA95" i="234"/>
  <c r="AG87" i="235"/>
  <c r="AG90" i="235"/>
  <c r="AG92" i="235"/>
  <c r="AG95" i="235"/>
  <c r="AK21" i="293"/>
  <c r="AK22" i="293"/>
  <c r="K105" i="234"/>
  <c r="G1652" i="324" s="1"/>
  <c r="C93" i="231"/>
  <c r="N11" i="211"/>
  <c r="S28" i="212"/>
  <c r="O9" i="213"/>
  <c r="O27" i="213"/>
  <c r="O44" i="213"/>
  <c r="S8" i="221"/>
  <c r="S9" i="221"/>
  <c r="S10" i="221"/>
  <c r="S11" i="221"/>
  <c r="S18" i="221"/>
  <c r="S19" i="221"/>
  <c r="S27" i="221"/>
  <c r="S28" i="221"/>
  <c r="L43" i="223"/>
  <c r="T13" i="227"/>
  <c r="T22" i="227"/>
  <c r="T24" i="227"/>
  <c r="T33" i="227"/>
  <c r="T34" i="227"/>
  <c r="T41" i="227"/>
  <c r="T42" i="227"/>
  <c r="T45" i="227"/>
  <c r="AA11" i="234"/>
  <c r="AA14" i="234"/>
  <c r="AA16" i="234"/>
  <c r="AA19" i="234"/>
  <c r="AA23" i="234"/>
  <c r="AA36" i="234"/>
  <c r="AG41" i="235"/>
  <c r="AG44" i="235"/>
  <c r="AG45" i="235"/>
  <c r="AG48" i="235"/>
  <c r="AG50" i="235"/>
  <c r="AG51" i="235"/>
  <c r="AG53" i="235"/>
  <c r="AG47" i="235"/>
  <c r="AG59" i="235"/>
  <c r="AG60" i="235"/>
  <c r="AG62" i="235"/>
  <c r="AG63" i="235"/>
  <c r="AG65" i="235"/>
  <c r="H39" i="213"/>
  <c r="F500" i="268" s="1"/>
  <c r="J23" i="215"/>
  <c r="F740" i="268" s="1"/>
  <c r="AA86" i="234"/>
  <c r="G90" i="234"/>
  <c r="G1540" i="324" s="1"/>
  <c r="L14" i="314"/>
  <c r="G3175" i="324" s="1"/>
  <c r="S8" i="314"/>
  <c r="S12" i="314"/>
  <c r="S13" i="314"/>
  <c r="H14" i="314"/>
  <c r="G3171" i="324" s="1"/>
  <c r="G3105" i="324"/>
  <c r="H22" i="238"/>
  <c r="G3111" i="324" s="1"/>
  <c r="E24" i="238"/>
  <c r="G3116" i="324" s="1"/>
  <c r="H23" i="238"/>
  <c r="G3115" i="324" s="1"/>
  <c r="Q21" i="238"/>
  <c r="O21" i="238" s="1"/>
  <c r="S22" i="238"/>
  <c r="S23" i="238"/>
  <c r="H21" i="238"/>
  <c r="G3107" i="324" s="1"/>
  <c r="G24" i="238"/>
  <c r="G3118" i="324" s="1"/>
  <c r="R23" i="238"/>
  <c r="O8" i="238"/>
  <c r="G3114" i="324"/>
  <c r="R22" i="238"/>
  <c r="G3106" i="324"/>
  <c r="F24" i="238"/>
  <c r="G3117" i="324" s="1"/>
  <c r="H11" i="238"/>
  <c r="G3087" i="324" s="1"/>
  <c r="F962" i="269"/>
  <c r="H26" i="237"/>
  <c r="F1004" i="269" s="1"/>
  <c r="Q10" i="237"/>
  <c r="F926" i="269"/>
  <c r="W37" i="235"/>
  <c r="G2207" i="324" s="1"/>
  <c r="G2316" i="324"/>
  <c r="G2376" i="324"/>
  <c r="AG35" i="235"/>
  <c r="AG36" i="235"/>
  <c r="G2530" i="324"/>
  <c r="G2587" i="324"/>
  <c r="W67" i="235"/>
  <c r="G2645" i="324" s="1"/>
  <c r="AG31" i="235"/>
  <c r="W33" i="235"/>
  <c r="G2132" i="324" s="1"/>
  <c r="Q34" i="235"/>
  <c r="G2144" i="324" s="1"/>
  <c r="G2088" i="324"/>
  <c r="S34" i="235"/>
  <c r="G2146" i="324" s="1"/>
  <c r="AG22" i="235"/>
  <c r="AG25" i="235"/>
  <c r="AG26" i="235"/>
  <c r="O34" i="235"/>
  <c r="G2032" i="324"/>
  <c r="V34" i="235"/>
  <c r="G2149" i="324" s="1"/>
  <c r="AG28" i="235"/>
  <c r="R34" i="235"/>
  <c r="G2145" i="324" s="1"/>
  <c r="W21" i="235"/>
  <c r="G1982" i="324" s="1"/>
  <c r="X101" i="235"/>
  <c r="G3069" i="324" s="1"/>
  <c r="W79" i="235"/>
  <c r="G2792" i="324" s="1"/>
  <c r="AG77" i="235"/>
  <c r="AG78" i="235"/>
  <c r="AG80" i="235"/>
  <c r="AG83" i="235"/>
  <c r="AG84" i="235"/>
  <c r="G3040" i="324"/>
  <c r="G2575" i="324"/>
  <c r="N67" i="235"/>
  <c r="G2636" i="324" s="1"/>
  <c r="L96" i="235"/>
  <c r="G3036" i="324" s="1"/>
  <c r="G96" i="235"/>
  <c r="G3031" i="324" s="1"/>
  <c r="N61" i="235"/>
  <c r="G2528" i="324" s="1"/>
  <c r="G2667" i="324"/>
  <c r="G2835" i="324"/>
  <c r="M96" i="235"/>
  <c r="G3037" i="324" s="1"/>
  <c r="N70" i="235"/>
  <c r="G2675" i="324" s="1"/>
  <c r="N73" i="235"/>
  <c r="G2705" i="324" s="1"/>
  <c r="H96" i="235"/>
  <c r="G3032" i="324" s="1"/>
  <c r="G2702" i="324"/>
  <c r="J96" i="235"/>
  <c r="G3034" i="324" s="1"/>
  <c r="L10" i="227"/>
  <c r="L12" i="227" s="1"/>
  <c r="F431" i="269" s="1"/>
  <c r="G2673" i="324"/>
  <c r="G2889" i="324"/>
  <c r="I96" i="235"/>
  <c r="G3033" i="324" s="1"/>
  <c r="N76" i="235"/>
  <c r="G2735" i="324" s="1"/>
  <c r="L21" i="227"/>
  <c r="L23" i="227" s="1"/>
  <c r="F478" i="269" s="1"/>
  <c r="G2308" i="324"/>
  <c r="G2364" i="324"/>
  <c r="G2463" i="324"/>
  <c r="N43" i="235"/>
  <c r="G2267" i="324" s="1"/>
  <c r="E10" i="227"/>
  <c r="E12" i="227" s="1"/>
  <c r="E14" i="227" s="1"/>
  <c r="F442" i="269" s="1"/>
  <c r="G2115" i="324"/>
  <c r="F34" i="235"/>
  <c r="G2133" i="324" s="1"/>
  <c r="J34" i="235"/>
  <c r="G2137" i="324" s="1"/>
  <c r="F101" i="235"/>
  <c r="G3060" i="324" s="1"/>
  <c r="F21" i="227"/>
  <c r="F23" i="227" s="1"/>
  <c r="F472" i="269" s="1"/>
  <c r="K34" i="235"/>
  <c r="G2138" i="324" s="1"/>
  <c r="I34" i="235"/>
  <c r="G2136" i="324" s="1"/>
  <c r="G101" i="235"/>
  <c r="G3061" i="324" s="1"/>
  <c r="G2079" i="324"/>
  <c r="G2103" i="324"/>
  <c r="M56" i="235"/>
  <c r="G2479" i="324" s="1"/>
  <c r="N30" i="235"/>
  <c r="G2105" i="324" s="1"/>
  <c r="G34" i="235"/>
  <c r="G2134" i="324" s="1"/>
  <c r="M34" i="235"/>
  <c r="G2140" i="324" s="1"/>
  <c r="F10" i="227"/>
  <c r="F12" i="227" s="1"/>
  <c r="F14" i="227" s="1"/>
  <c r="F443" i="269" s="1"/>
  <c r="F426" i="269"/>
  <c r="G14" i="227"/>
  <c r="F444" i="269" s="1"/>
  <c r="N21" i="235"/>
  <c r="G1973" i="324" s="1"/>
  <c r="G1893" i="324"/>
  <c r="K21" i="227"/>
  <c r="K23" i="227" s="1"/>
  <c r="F477" i="269" s="1"/>
  <c r="G1888" i="324"/>
  <c r="J12" i="227"/>
  <c r="F429" i="269" s="1"/>
  <c r="K10" i="227"/>
  <c r="K12" i="227" s="1"/>
  <c r="H56" i="235"/>
  <c r="G2474" i="324" s="1"/>
  <c r="K56" i="235"/>
  <c r="G2477" i="324" s="1"/>
  <c r="L101" i="235"/>
  <c r="G3066" i="324" s="1"/>
  <c r="I10" i="227"/>
  <c r="I12" i="227" s="1"/>
  <c r="F428" i="269" s="1"/>
  <c r="J101" i="235"/>
  <c r="G3064" i="324" s="1"/>
  <c r="G1859" i="324"/>
  <c r="G1864" i="324"/>
  <c r="I21" i="227"/>
  <c r="I23" i="227" s="1"/>
  <c r="H10" i="227"/>
  <c r="H12" i="227" s="1"/>
  <c r="F427" i="269" s="1"/>
  <c r="N12" i="235"/>
  <c r="G1865" i="324" s="1"/>
  <c r="I56" i="235"/>
  <c r="G2475" i="324" s="1"/>
  <c r="N100" i="235"/>
  <c r="G3059" i="324" s="1"/>
  <c r="G3042" i="324"/>
  <c r="E21" i="227"/>
  <c r="N99" i="235"/>
  <c r="G3050" i="324" s="1"/>
  <c r="AA120" i="234"/>
  <c r="S130" i="234"/>
  <c r="G1837" i="324" s="1"/>
  <c r="G1295" i="324"/>
  <c r="K84" i="234"/>
  <c r="G1475" i="324" s="1"/>
  <c r="AE88" i="234"/>
  <c r="AA88" i="234" s="1"/>
  <c r="AG89" i="234"/>
  <c r="AA89" i="234" s="1"/>
  <c r="F90" i="234"/>
  <c r="J129" i="234"/>
  <c r="G1517" i="324"/>
  <c r="H125" i="234"/>
  <c r="G1811" i="324" s="1"/>
  <c r="J128" i="234"/>
  <c r="G1822" i="324" s="1"/>
  <c r="I130" i="234"/>
  <c r="G1833" i="324" s="1"/>
  <c r="G129" i="234"/>
  <c r="F10" i="226" s="1"/>
  <c r="F12" i="226" s="1"/>
  <c r="F14" i="226" s="1"/>
  <c r="AG106" i="234"/>
  <c r="K96" i="234"/>
  <c r="G1589" i="324" s="1"/>
  <c r="AD107" i="234"/>
  <c r="AA107" i="234" s="1"/>
  <c r="K107" i="234"/>
  <c r="G1667" i="324" s="1"/>
  <c r="G1586" i="324"/>
  <c r="G108" i="234"/>
  <c r="G125" i="234" s="1"/>
  <c r="G1810" i="324" s="1"/>
  <c r="J108" i="234"/>
  <c r="G1672" i="324" s="1"/>
  <c r="K106" i="234"/>
  <c r="G1661" i="324" s="1"/>
  <c r="AA106" i="234"/>
  <c r="G1627" i="324"/>
  <c r="F108" i="234"/>
  <c r="G21" i="226"/>
  <c r="G23" i="226" s="1"/>
  <c r="G25" i="226" s="1"/>
  <c r="F343" i="269" s="1"/>
  <c r="G1660" i="324"/>
  <c r="G1666" i="324"/>
  <c r="I125" i="234"/>
  <c r="G1812" i="324" s="1"/>
  <c r="G1692" i="324"/>
  <c r="H10" i="226"/>
  <c r="K69" i="234"/>
  <c r="G1407" i="324" s="1"/>
  <c r="G1386" i="324"/>
  <c r="K66" i="234"/>
  <c r="G1401" i="324" s="1"/>
  <c r="H49" i="234"/>
  <c r="G1369" i="324" s="1"/>
  <c r="F49" i="234"/>
  <c r="G1367" i="324" s="1"/>
  <c r="G1338" i="324"/>
  <c r="K42" i="234"/>
  <c r="G1321" i="324" s="1"/>
  <c r="G49" i="234"/>
  <c r="G1368" i="324" s="1"/>
  <c r="K33" i="234"/>
  <c r="G1234" i="324" s="1"/>
  <c r="Q33" i="234"/>
  <c r="H21" i="226"/>
  <c r="H23" i="226" s="1"/>
  <c r="H25" i="226" s="1"/>
  <c r="F344" i="269" s="1"/>
  <c r="H130" i="234"/>
  <c r="G1832" i="324" s="1"/>
  <c r="Q27" i="234"/>
  <c r="G1192" i="324" s="1"/>
  <c r="G1187" i="324"/>
  <c r="G1068" i="324"/>
  <c r="G1127" i="324"/>
  <c r="E10" i="226"/>
  <c r="E19" i="210" s="1"/>
  <c r="G1819" i="324"/>
  <c r="G1825" i="324"/>
  <c r="G28" i="234"/>
  <c r="G1197" i="324" s="1"/>
  <c r="G130" i="234"/>
  <c r="G1831" i="324" s="1"/>
  <c r="G1086" i="324"/>
  <c r="G1182" i="324"/>
  <c r="K12" i="234"/>
  <c r="G1069" i="324" s="1"/>
  <c r="F28" i="234"/>
  <c r="E21" i="226"/>
  <c r="F130" i="234"/>
  <c r="G1830" i="324" s="1"/>
  <c r="F101" i="268"/>
  <c r="J23" i="227"/>
  <c r="H29" i="210"/>
  <c r="E20" i="227"/>
  <c r="H25" i="227"/>
  <c r="F492" i="269" s="1"/>
  <c r="F855" i="269"/>
  <c r="F880" i="269"/>
  <c r="G16" i="210"/>
  <c r="F100" i="268" s="1"/>
  <c r="G25" i="227"/>
  <c r="F491" i="269" s="1"/>
  <c r="M9" i="227"/>
  <c r="F413" i="269" s="1"/>
  <c r="F848" i="269"/>
  <c r="J8" i="210"/>
  <c r="F60" i="268" s="1"/>
  <c r="J10" i="210"/>
  <c r="F71" i="268" s="1"/>
  <c r="J27" i="232"/>
  <c r="F706" i="269" s="1"/>
  <c r="F87" i="268"/>
  <c r="E9" i="226"/>
  <c r="E16" i="210"/>
  <c r="F98" i="268" s="1"/>
  <c r="G1031" i="324"/>
  <c r="G223" i="231"/>
  <c r="G1035" i="324" s="1"/>
  <c r="D183" i="231"/>
  <c r="G766" i="324"/>
  <c r="G178" i="231"/>
  <c r="G825" i="324" s="1"/>
  <c r="G161" i="231"/>
  <c r="G734" i="324" s="1"/>
  <c r="F183" i="231"/>
  <c r="G838" i="324" s="1"/>
  <c r="G415" i="324"/>
  <c r="G71" i="231"/>
  <c r="G314" i="324" s="1"/>
  <c r="G406" i="324"/>
  <c r="F93" i="231"/>
  <c r="G418" i="324" s="1"/>
  <c r="G401" i="324"/>
  <c r="G348" i="324"/>
  <c r="D48" i="231"/>
  <c r="G206" i="324" s="1"/>
  <c r="G26" i="231"/>
  <c r="G104" i="324" s="1"/>
  <c r="E48" i="231"/>
  <c r="R12" i="231"/>
  <c r="I48" i="231"/>
  <c r="G211" i="324" s="1"/>
  <c r="M46" i="227"/>
  <c r="F596" i="269" s="1"/>
  <c r="T11" i="227"/>
  <c r="J33" i="210"/>
  <c r="F161" i="268" s="1"/>
  <c r="J42" i="210"/>
  <c r="F183" i="268" s="1"/>
  <c r="J43" i="210"/>
  <c r="F188" i="268" s="1"/>
  <c r="J46" i="226"/>
  <c r="F412" i="269" s="1"/>
  <c r="F310" i="269"/>
  <c r="G14" i="226"/>
  <c r="J20" i="210"/>
  <c r="F113" i="268" s="1"/>
  <c r="M31" i="225"/>
  <c r="F212" i="269" s="1"/>
  <c r="H31" i="225"/>
  <c r="F207" i="269" s="1"/>
  <c r="F173" i="269"/>
  <c r="I31" i="225"/>
  <c r="F208" i="269" s="1"/>
  <c r="L30" i="225"/>
  <c r="F201" i="269" s="1"/>
  <c r="N31" i="225"/>
  <c r="F213" i="269" s="1"/>
  <c r="M22" i="225"/>
  <c r="F142" i="269" s="1"/>
  <c r="M21" i="225"/>
  <c r="F132" i="269" s="1"/>
  <c r="M20" i="225"/>
  <c r="F122" i="269" s="1"/>
  <c r="M19" i="225"/>
  <c r="F82" i="269"/>
  <c r="F22" i="225"/>
  <c r="F135" i="269" s="1"/>
  <c r="F115" i="269"/>
  <c r="F59" i="269"/>
  <c r="J16" i="225"/>
  <c r="F108" i="269"/>
  <c r="I21" i="225"/>
  <c r="F128" i="269" s="1"/>
  <c r="I20" i="225"/>
  <c r="H14" i="225"/>
  <c r="F49" i="269"/>
  <c r="F78" i="269"/>
  <c r="F19" i="225"/>
  <c r="F62" i="269"/>
  <c r="F75" i="269"/>
  <c r="L16" i="225"/>
  <c r="N16" i="225"/>
  <c r="G16" i="225"/>
  <c r="AK322" i="293"/>
  <c r="AK532" i="293"/>
  <c r="AK533" i="293"/>
  <c r="AK535" i="293"/>
  <c r="AK538" i="293"/>
  <c r="AK540" i="293"/>
  <c r="AK541" i="293"/>
  <c r="AK543" i="293"/>
  <c r="AK545" i="293"/>
  <c r="AK548" i="293"/>
  <c r="AK549" i="293"/>
  <c r="AK553" i="293"/>
  <c r="AK554" i="293"/>
  <c r="AK556" i="293"/>
  <c r="AK557" i="293"/>
  <c r="AK559" i="293"/>
  <c r="AK561" i="293"/>
  <c r="AK562" i="293"/>
  <c r="AK564" i="293"/>
  <c r="AK565" i="293"/>
  <c r="AK569" i="293"/>
  <c r="AK572" i="293"/>
  <c r="AK574" i="293"/>
  <c r="AK576" i="293"/>
  <c r="AK577" i="293"/>
  <c r="AK578" i="293"/>
  <c r="AK579" i="293"/>
  <c r="AK580" i="293"/>
  <c r="AK581" i="293"/>
  <c r="AK585" i="293"/>
  <c r="AK587" i="293"/>
  <c r="AK590" i="293"/>
  <c r="AK591" i="293"/>
  <c r="AK592" i="293"/>
  <c r="AK593" i="293"/>
  <c r="AK594" i="293"/>
  <c r="AK596" i="293"/>
  <c r="AK597" i="293"/>
  <c r="AK599" i="293"/>
  <c r="AK600" i="293"/>
  <c r="AK601" i="293"/>
  <c r="AK604" i="293"/>
  <c r="AK606" i="293"/>
  <c r="AK607" i="293"/>
  <c r="AK608" i="293"/>
  <c r="AK609" i="293"/>
  <c r="AK610" i="293"/>
  <c r="AK611" i="293"/>
  <c r="AK612" i="293"/>
  <c r="AK613" i="293"/>
  <c r="AK617" i="293"/>
  <c r="AK524" i="293"/>
  <c r="AK525" i="293"/>
  <c r="AK530" i="293"/>
  <c r="X524" i="293"/>
  <c r="BG591" i="293"/>
  <c r="BG575" i="293"/>
  <c r="AK575" i="293" s="1"/>
  <c r="AK550" i="293"/>
  <c r="AK558" i="293"/>
  <c r="AK566" i="293"/>
  <c r="X556" i="293"/>
  <c r="BG603" i="293"/>
  <c r="AK603" i="293" s="1"/>
  <c r="AK520" i="293"/>
  <c r="AK523" i="293"/>
  <c r="AK531" i="293"/>
  <c r="AK534" i="293"/>
  <c r="AK536" i="293"/>
  <c r="AK539" i="293"/>
  <c r="AK542" i="293"/>
  <c r="AK544" i="293"/>
  <c r="AK547" i="293"/>
  <c r="AK552" i="293"/>
  <c r="AK555" i="293"/>
  <c r="AK560" i="293"/>
  <c r="AK563" i="293"/>
  <c r="BG598" i="293"/>
  <c r="AK598" i="293" s="1"/>
  <c r="BG571" i="293"/>
  <c r="AK571" i="293" s="1"/>
  <c r="X558" i="293"/>
  <c r="BG615" i="293"/>
  <c r="AK615" i="293" s="1"/>
  <c r="BG599" i="293"/>
  <c r="X537" i="293"/>
  <c r="BG583" i="293"/>
  <c r="AK583" i="293" s="1"/>
  <c r="Y618" i="293"/>
  <c r="AC620" i="293"/>
  <c r="AK468" i="293"/>
  <c r="AK315" i="293"/>
  <c r="AK320" i="293"/>
  <c r="X465" i="293"/>
  <c r="AK321" i="293"/>
  <c r="AK323" i="293"/>
  <c r="AK317" i="293"/>
  <c r="AK319" i="293"/>
  <c r="S173" i="293"/>
  <c r="R185" i="293"/>
  <c r="X210" i="293"/>
  <c r="Y210" i="293" s="1"/>
  <c r="S177" i="293"/>
  <c r="R202" i="293"/>
  <c r="S178" i="293"/>
  <c r="X185" i="293"/>
  <c r="Y185" i="293" s="1"/>
  <c r="S210" i="293"/>
  <c r="X198" i="293"/>
  <c r="Y198" i="293" s="1"/>
  <c r="R191" i="293"/>
  <c r="S191" i="293"/>
  <c r="R209" i="293"/>
  <c r="R165" i="293"/>
  <c r="S209" i="293"/>
  <c r="S169" i="293"/>
  <c r="R212" i="293"/>
  <c r="R177" i="293"/>
  <c r="X178" i="293"/>
  <c r="Y178" i="293" s="1"/>
  <c r="AK164" i="293"/>
  <c r="AK180" i="293"/>
  <c r="AK188" i="293"/>
  <c r="AK196" i="293"/>
  <c r="X188" i="293"/>
  <c r="Y188" i="293" s="1"/>
  <c r="R169" i="293"/>
  <c r="AK163" i="293"/>
  <c r="AK165" i="293"/>
  <c r="AK166" i="293"/>
  <c r="AK167" i="293"/>
  <c r="AK168" i="293"/>
  <c r="AK169" i="293"/>
  <c r="AK171" i="293"/>
  <c r="AK173" i="293"/>
  <c r="AK174" i="293"/>
  <c r="AK175" i="293"/>
  <c r="AK176" i="293"/>
  <c r="AK177" i="293"/>
  <c r="AK179" i="293"/>
  <c r="AK181" i="293"/>
  <c r="AK182" i="293"/>
  <c r="AK183" i="293"/>
  <c r="AK184" i="293"/>
  <c r="AK185" i="293"/>
  <c r="AK187" i="293"/>
  <c r="AK189" i="293"/>
  <c r="AK190" i="293"/>
  <c r="AK191" i="293"/>
  <c r="AK192" i="293"/>
  <c r="AK193" i="293"/>
  <c r="AK195" i="293"/>
  <c r="AK197" i="293"/>
  <c r="AK198" i="293"/>
  <c r="AK199" i="293"/>
  <c r="AK200" i="293"/>
  <c r="AK201" i="293"/>
  <c r="AK203" i="293"/>
  <c r="AK205" i="293"/>
  <c r="AK206" i="293"/>
  <c r="AK207" i="293"/>
  <c r="AK208" i="293"/>
  <c r="AK209" i="293"/>
  <c r="AK211" i="293"/>
  <c r="R207" i="293"/>
  <c r="R175" i="293"/>
  <c r="S197" i="293"/>
  <c r="R201" i="293"/>
  <c r="S181" i="293"/>
  <c r="X184" i="293"/>
  <c r="Y184" i="293" s="1"/>
  <c r="Q312" i="293"/>
  <c r="R184" i="293"/>
  <c r="S175" i="293"/>
  <c r="R181" i="293"/>
  <c r="R172" i="293"/>
  <c r="S187" i="293"/>
  <c r="X200" i="293"/>
  <c r="Y200" i="293" s="1"/>
  <c r="X194" i="293"/>
  <c r="Y194" i="293" s="1"/>
  <c r="S207" i="293"/>
  <c r="X187" i="293"/>
  <c r="Y187" i="293" s="1"/>
  <c r="S190" i="293"/>
  <c r="R194" i="293"/>
  <c r="X172" i="293"/>
  <c r="Y172" i="293" s="1"/>
  <c r="R192" i="293"/>
  <c r="X163" i="293"/>
  <c r="Y163" i="293" s="1"/>
  <c r="S168" i="293"/>
  <c r="S180" i="293"/>
  <c r="S192" i="293"/>
  <c r="S204" i="293"/>
  <c r="X211" i="293"/>
  <c r="Y211" i="293" s="1"/>
  <c r="X168" i="293"/>
  <c r="Y168" i="293" s="1"/>
  <c r="X180" i="293"/>
  <c r="Y180" i="293" s="1"/>
  <c r="S163" i="293"/>
  <c r="X204" i="293"/>
  <c r="Y204" i="293" s="1"/>
  <c r="R211" i="293"/>
  <c r="N620" i="293"/>
  <c r="C634" i="293"/>
  <c r="AK64" i="293"/>
  <c r="AK69" i="293"/>
  <c r="AK74" i="293"/>
  <c r="AK75" i="293"/>
  <c r="AK77" i="293"/>
  <c r="AK78" i="293"/>
  <c r="AK79" i="293"/>
  <c r="AK81" i="293"/>
  <c r="AK82" i="293"/>
  <c r="AK83" i="293"/>
  <c r="AK89" i="293"/>
  <c r="AK93" i="293"/>
  <c r="AK97" i="293"/>
  <c r="AK98" i="293"/>
  <c r="AK99" i="293"/>
  <c r="AK101" i="293"/>
  <c r="AK102" i="293"/>
  <c r="AK103" i="293"/>
  <c r="AK105" i="293"/>
  <c r="AK106" i="293"/>
  <c r="AK107" i="293"/>
  <c r="AK72" i="293"/>
  <c r="AK76" i="293"/>
  <c r="AK80" i="293"/>
  <c r="AK84" i="293"/>
  <c r="AK92" i="293"/>
  <c r="AK100" i="293"/>
  <c r="AK104" i="293"/>
  <c r="AK108" i="293"/>
  <c r="AK63" i="293"/>
  <c r="AK90" i="293"/>
  <c r="AK91" i="293"/>
  <c r="AK23" i="293"/>
  <c r="AK25" i="293"/>
  <c r="AK27" i="293"/>
  <c r="AK28" i="293"/>
  <c r="AK29" i="293"/>
  <c r="AK30" i="293"/>
  <c r="AK31" i="293"/>
  <c r="AK33" i="293"/>
  <c r="AK34" i="293"/>
  <c r="AK35" i="293"/>
  <c r="AK37" i="293"/>
  <c r="AK38" i="293"/>
  <c r="AK41" i="293"/>
  <c r="AK45" i="293"/>
  <c r="AK46" i="293"/>
  <c r="AK47" i="293"/>
  <c r="AK49" i="293"/>
  <c r="AK50" i="293"/>
  <c r="AK51" i="293"/>
  <c r="AK53" i="293"/>
  <c r="AK54" i="293"/>
  <c r="AK55" i="293"/>
  <c r="AK57" i="293"/>
  <c r="AK58" i="293"/>
  <c r="AK10" i="293"/>
  <c r="AK11" i="293"/>
  <c r="AK14" i="293"/>
  <c r="AK39" i="293"/>
  <c r="AK42" i="293"/>
  <c r="AK43" i="293"/>
  <c r="AK26" i="293"/>
  <c r="AK9" i="293"/>
  <c r="AK32" i="293"/>
  <c r="AK36" i="293"/>
  <c r="AK59" i="293"/>
  <c r="AK62" i="293"/>
  <c r="AK13" i="293"/>
  <c r="AK17" i="293"/>
  <c r="AK18" i="293"/>
  <c r="AK19" i="293"/>
  <c r="AK61" i="293"/>
  <c r="AK65" i="293"/>
  <c r="AK66" i="293"/>
  <c r="AK67" i="293"/>
  <c r="AK12" i="293"/>
  <c r="AK16" i="293"/>
  <c r="AK20" i="293"/>
  <c r="AK24" i="293"/>
  <c r="AK40" i="293"/>
  <c r="AK44" i="293"/>
  <c r="AK48" i="293"/>
  <c r="AK52" i="293"/>
  <c r="AK56" i="293"/>
  <c r="AK60" i="293"/>
  <c r="AK68" i="293"/>
  <c r="AK15" i="293"/>
  <c r="AK70" i="293"/>
  <c r="AK71" i="293"/>
  <c r="AK570" i="293"/>
  <c r="AK584" i="293"/>
  <c r="X542" i="293"/>
  <c r="X618" i="293" s="1"/>
  <c r="X540" i="293"/>
  <c r="AB620" i="293"/>
  <c r="BG589" i="293"/>
  <c r="AK589" i="293" s="1"/>
  <c r="BG616" i="293"/>
  <c r="AK616" i="293" s="1"/>
  <c r="BG584" i="293"/>
  <c r="X547" i="293"/>
  <c r="BG614" i="293"/>
  <c r="AK614" i="293" s="1"/>
  <c r="BG582" i="293"/>
  <c r="AK582" i="293" s="1"/>
  <c r="Q618" i="293"/>
  <c r="BG605" i="293"/>
  <c r="AK605" i="293" s="1"/>
  <c r="BG573" i="293"/>
  <c r="AK573" i="293" s="1"/>
  <c r="BG602" i="293"/>
  <c r="AK602" i="293" s="1"/>
  <c r="BG570" i="293"/>
  <c r="P620" i="293"/>
  <c r="AD620" i="293"/>
  <c r="C639" i="293"/>
  <c r="X159" i="293"/>
  <c r="Q159" i="293"/>
  <c r="Y10" i="293"/>
  <c r="Y159" i="293" s="1"/>
  <c r="K22" i="221"/>
  <c r="F972" i="268" s="1"/>
  <c r="E22" i="221"/>
  <c r="L24" i="221"/>
  <c r="F981" i="268" s="1"/>
  <c r="F920" i="268"/>
  <c r="F998" i="268"/>
  <c r="F919" i="268"/>
  <c r="F974" i="268"/>
  <c r="F966" i="268"/>
  <c r="L13" i="221"/>
  <c r="F925" i="268" s="1"/>
  <c r="H22" i="219"/>
  <c r="F852" i="268" s="1"/>
  <c r="Q9" i="219"/>
  <c r="F776" i="268"/>
  <c r="G15" i="217"/>
  <c r="F800" i="268" s="1"/>
  <c r="K7" i="209"/>
  <c r="L7" i="209" s="1"/>
  <c r="F4" i="268" s="1"/>
  <c r="F749" i="268"/>
  <c r="I8" i="219"/>
  <c r="I10" i="219" s="1"/>
  <c r="I21" i="219" s="1"/>
  <c r="I22" i="219" s="1"/>
  <c r="F853" i="268" s="1"/>
  <c r="F746" i="268"/>
  <c r="G23" i="215"/>
  <c r="F737" i="268" s="1"/>
  <c r="F30" i="215"/>
  <c r="F751" i="268" s="1"/>
  <c r="E30" i="215"/>
  <c r="C10" i="214" s="1"/>
  <c r="C12" i="214" s="1"/>
  <c r="F541" i="268" s="1"/>
  <c r="G30" i="215"/>
  <c r="F689" i="268"/>
  <c r="F671" i="268"/>
  <c r="E28" i="214"/>
  <c r="F549" i="268" s="1"/>
  <c r="F544" i="268"/>
  <c r="E9" i="219"/>
  <c r="F410" i="268"/>
  <c r="E14" i="217"/>
  <c r="G8" i="217"/>
  <c r="F788" i="268" s="1"/>
  <c r="E10" i="217"/>
  <c r="F507" i="268"/>
  <c r="G45" i="213"/>
  <c r="F523" i="268" s="1"/>
  <c r="F459" i="268"/>
  <c r="F30" i="213"/>
  <c r="F14" i="217"/>
  <c r="F16" i="217" s="1"/>
  <c r="F802" i="268" s="1"/>
  <c r="F10" i="217"/>
  <c r="F793" i="268" s="1"/>
  <c r="G30" i="213"/>
  <c r="F476" i="268" s="1"/>
  <c r="F460" i="268"/>
  <c r="H26" i="213"/>
  <c r="O8" i="213"/>
  <c r="H41" i="213"/>
  <c r="E53" i="213"/>
  <c r="G53" i="213"/>
  <c r="G55" i="213" s="1"/>
  <c r="F539" i="268" s="1"/>
  <c r="E45" i="213"/>
  <c r="F497" i="268"/>
  <c r="E10" i="219"/>
  <c r="H14" i="213"/>
  <c r="F426" i="268" s="1"/>
  <c r="F423" i="268"/>
  <c r="L20" i="212"/>
  <c r="F358" i="268" s="1"/>
  <c r="E22" i="212"/>
  <c r="F359" i="268"/>
  <c r="G28" i="211"/>
  <c r="F243" i="268" s="1"/>
  <c r="F35" i="211"/>
  <c r="F254" i="268" s="1"/>
  <c r="F245" i="268"/>
  <c r="F13" i="268"/>
  <c r="F19" i="209"/>
  <c r="F48" i="268" s="1"/>
  <c r="E12" i="209"/>
  <c r="G30" i="211"/>
  <c r="F246" i="268" s="1"/>
  <c r="E35" i="211"/>
  <c r="F244" i="268"/>
  <c r="G15" i="211"/>
  <c r="F216" i="268" s="1"/>
  <c r="F155" i="268"/>
  <c r="F102" i="268"/>
  <c r="I23" i="210"/>
  <c r="F118" i="268"/>
  <c r="J43" i="204"/>
  <c r="E10" i="206" s="1"/>
  <c r="M54" i="305"/>
  <c r="F616" i="299" s="1"/>
  <c r="J37" i="204"/>
  <c r="F219" i="299" s="1"/>
  <c r="J33" i="205"/>
  <c r="F371" i="299" s="1"/>
  <c r="Q10" i="204"/>
  <c r="Q37" i="204"/>
  <c r="Q39" i="204"/>
  <c r="Q42" i="204"/>
  <c r="Q50" i="204"/>
  <c r="Q18" i="205"/>
  <c r="Q24" i="205"/>
  <c r="Q26" i="205"/>
  <c r="Q34" i="205"/>
  <c r="J41" i="204"/>
  <c r="F239" i="299" s="1"/>
  <c r="F483" i="299"/>
  <c r="J38" i="204"/>
  <c r="F224" i="299" s="1"/>
  <c r="P22" i="206"/>
  <c r="J19" i="204"/>
  <c r="F154" i="299" s="1"/>
  <c r="J51" i="204"/>
  <c r="F274" i="299" s="1"/>
  <c r="Q20" i="204"/>
  <c r="Q36" i="204"/>
  <c r="Q44" i="204"/>
  <c r="Q13" i="205"/>
  <c r="Q16" i="205"/>
  <c r="I15" i="204"/>
  <c r="F143" i="299" s="1"/>
  <c r="Q27" i="204"/>
  <c r="W45" i="305"/>
  <c r="W53" i="305"/>
  <c r="I35" i="205"/>
  <c r="I54" i="305"/>
  <c r="F613" i="299" s="1"/>
  <c r="Q10" i="203"/>
  <c r="Q14" i="204"/>
  <c r="Q38" i="204"/>
  <c r="Q51" i="204"/>
  <c r="Q19" i="205"/>
  <c r="I34" i="305"/>
  <c r="F527" i="299" s="1"/>
  <c r="P21" i="206"/>
  <c r="P29" i="206"/>
  <c r="M34" i="305"/>
  <c r="F530" i="299" s="1"/>
  <c r="Q12" i="204"/>
  <c r="W38" i="305"/>
  <c r="F64" i="299"/>
  <c r="J20" i="202"/>
  <c r="F65" i="299" s="1"/>
  <c r="Q8" i="202"/>
  <c r="F52" i="299"/>
  <c r="J17" i="202"/>
  <c r="F53" i="299" s="1"/>
  <c r="Q20" i="202"/>
  <c r="J25" i="202"/>
  <c r="F80" i="299" s="1"/>
  <c r="Q10" i="202"/>
  <c r="Q13" i="202"/>
  <c r="Q15" i="202"/>
  <c r="F7" i="299"/>
  <c r="J26" i="202"/>
  <c r="F85" i="299" s="1"/>
  <c r="Q17" i="202"/>
  <c r="F17" i="299"/>
  <c r="F37" i="299"/>
  <c r="Q25" i="202"/>
  <c r="K42" i="305"/>
  <c r="K48" i="305" s="1"/>
  <c r="F593" i="299" s="1"/>
  <c r="F539" i="299"/>
  <c r="F380" i="299"/>
  <c r="J35" i="205"/>
  <c r="F381" i="299" s="1"/>
  <c r="J42" i="204"/>
  <c r="F244" i="299" s="1"/>
  <c r="F75" i="299"/>
  <c r="W33" i="305"/>
  <c r="F378" i="299"/>
  <c r="M24" i="305"/>
  <c r="O34" i="305"/>
  <c r="F531" i="299" s="1"/>
  <c r="J11" i="205"/>
  <c r="F286" i="299" s="1"/>
  <c r="I27" i="202"/>
  <c r="J27" i="202" s="1"/>
  <c r="F90" i="299" s="1"/>
  <c r="Q14" i="202"/>
  <c r="Q18" i="204"/>
  <c r="Q14" i="205"/>
  <c r="W19" i="305"/>
  <c r="W32" i="305"/>
  <c r="F477" i="299"/>
  <c r="F305" i="299"/>
  <c r="J14" i="204"/>
  <c r="F139" i="299" s="1"/>
  <c r="J10" i="203"/>
  <c r="F104" i="299" s="1"/>
  <c r="G9" i="205"/>
  <c r="I9" i="205" s="1"/>
  <c r="J9" i="205" s="1"/>
  <c r="J20" i="204"/>
  <c r="F159" i="299" s="1"/>
  <c r="Q9" i="204"/>
  <c r="Q11" i="205"/>
  <c r="F53" i="305"/>
  <c r="F605" i="299" s="1"/>
  <c r="F42" i="299"/>
  <c r="I52" i="204"/>
  <c r="F278" i="299" s="1"/>
  <c r="Q9" i="202"/>
  <c r="Q22" i="202"/>
  <c r="Q19" i="204"/>
  <c r="Q21" i="204"/>
  <c r="Q12" i="205"/>
  <c r="W10" i="305"/>
  <c r="W46" i="305"/>
  <c r="F118" i="299"/>
  <c r="F86" i="299"/>
  <c r="F603" i="299"/>
  <c r="I11" i="202"/>
  <c r="F22" i="299" s="1"/>
  <c r="I45" i="204"/>
  <c r="F258" i="299" s="1"/>
  <c r="J18" i="205"/>
  <c r="F321" i="299" s="1"/>
  <c r="J40" i="204"/>
  <c r="F234" i="299" s="1"/>
  <c r="J36" i="204"/>
  <c r="F214" i="299" s="1"/>
  <c r="Q11" i="204"/>
  <c r="W13" i="305"/>
  <c r="W17" i="305"/>
  <c r="W30" i="305"/>
  <c r="W52" i="305"/>
  <c r="G24" i="305"/>
  <c r="G34" i="305"/>
  <c r="F526" i="299" s="1"/>
  <c r="J12" i="204"/>
  <c r="F129" i="299" s="1"/>
  <c r="Q25" i="204"/>
  <c r="Q33" i="205"/>
  <c r="F440" i="299"/>
  <c r="E48" i="305"/>
  <c r="F587" i="299" s="1"/>
  <c r="F559" i="299"/>
  <c r="F565" i="299"/>
  <c r="J24" i="305"/>
  <c r="I13" i="305"/>
  <c r="F430" i="299"/>
  <c r="O13" i="305"/>
  <c r="P24" i="305"/>
  <c r="F434" i="299"/>
  <c r="W21" i="305"/>
  <c r="F533" i="299"/>
  <c r="W18" i="305"/>
  <c r="G54" i="305"/>
  <c r="F612" i="299" s="1"/>
  <c r="L52" i="305"/>
  <c r="L54" i="305" s="1"/>
  <c r="F615" i="299" s="1"/>
  <c r="W22" i="305"/>
  <c r="W29" i="305"/>
  <c r="N42" i="305"/>
  <c r="F542" i="299"/>
  <c r="O54" i="305"/>
  <c r="F617" i="299" s="1"/>
  <c r="F486" i="299"/>
  <c r="F30" i="305"/>
  <c r="F501" i="299" s="1"/>
  <c r="F450" i="299"/>
  <c r="L34" i="305"/>
  <c r="F529" i="299" s="1"/>
  <c r="H42" i="305"/>
  <c r="F536" i="299"/>
  <c r="F473" i="299"/>
  <c r="F480" i="299"/>
  <c r="F415" i="299"/>
  <c r="T26" i="206"/>
  <c r="U26" i="206"/>
  <c r="F416" i="299"/>
  <c r="F414" i="299"/>
  <c r="S26" i="206"/>
  <c r="F25" i="206"/>
  <c r="G25" i="206"/>
  <c r="P9" i="206"/>
  <c r="H25" i="206"/>
  <c r="F365" i="299"/>
  <c r="J34" i="205"/>
  <c r="F376" i="299" s="1"/>
  <c r="I27" i="205"/>
  <c r="J25" i="205"/>
  <c r="F346" i="299" s="1"/>
  <c r="H20" i="205"/>
  <c r="J13" i="205"/>
  <c r="F296" i="299" s="1"/>
  <c r="J10" i="205"/>
  <c r="F281" i="299" s="1"/>
  <c r="J16" i="205"/>
  <c r="F311" i="299" s="1"/>
  <c r="F300" i="299"/>
  <c r="J52" i="204"/>
  <c r="F279" i="299" s="1"/>
  <c r="F276" i="299"/>
  <c r="I10" i="206"/>
  <c r="E11" i="206"/>
  <c r="F249" i="299"/>
  <c r="J26" i="204"/>
  <c r="F179" i="299" s="1"/>
  <c r="Q30" i="204"/>
  <c r="Q28" i="204"/>
  <c r="Q29" i="204"/>
  <c r="J22" i="204"/>
  <c r="F169" i="299" s="1"/>
  <c r="F168" i="299"/>
  <c r="F166" i="299"/>
  <c r="J21" i="204"/>
  <c r="F164" i="299" s="1"/>
  <c r="J13" i="204"/>
  <c r="F134" i="299" s="1"/>
  <c r="J15" i="204"/>
  <c r="F144" i="299" s="1"/>
  <c r="F33" i="204"/>
  <c r="J29" i="204"/>
  <c r="F194" i="299" s="1"/>
  <c r="Q26" i="204"/>
  <c r="I31" i="204"/>
  <c r="F203" i="299" s="1"/>
  <c r="J25" i="204"/>
  <c r="F174" i="299" s="1"/>
  <c r="H33" i="204"/>
  <c r="F207" i="299" s="1"/>
  <c r="J27" i="204"/>
  <c r="F184" i="299" s="1"/>
  <c r="F201" i="299"/>
  <c r="F188" i="299"/>
  <c r="G33" i="204"/>
  <c r="F98" i="299"/>
  <c r="F87" i="299"/>
  <c r="I19" i="202"/>
  <c r="F88" i="299"/>
  <c r="J13" i="202"/>
  <c r="F33" i="299" s="1"/>
  <c r="I16" i="202"/>
  <c r="F47" i="299" s="1"/>
  <c r="F45" i="299"/>
  <c r="F57" i="299"/>
  <c r="F55" i="299"/>
  <c r="J9" i="202"/>
  <c r="F13" i="299" s="1"/>
  <c r="F44" i="299"/>
  <c r="F17" i="205"/>
  <c r="F19" i="299"/>
  <c r="X16" i="253"/>
  <c r="G3513" i="324" s="1"/>
  <c r="AA25" i="240"/>
  <c r="AA56" i="240"/>
  <c r="O33" i="248"/>
  <c r="AA26" i="240"/>
  <c r="O26" i="248"/>
  <c r="T9" i="257"/>
  <c r="O19" i="248"/>
  <c r="S41" i="258"/>
  <c r="L35" i="315"/>
  <c r="L13" i="315"/>
  <c r="L14" i="315"/>
  <c r="S40" i="258"/>
  <c r="T41" i="257"/>
  <c r="J51" i="257"/>
  <c r="F211" i="273" s="1"/>
  <c r="J40" i="261"/>
  <c r="G4025" i="324" s="1"/>
  <c r="T8" i="257"/>
  <c r="Z33" i="257"/>
  <c r="T42" i="257"/>
  <c r="S38" i="258"/>
  <c r="M36" i="245"/>
  <c r="T34" i="257"/>
  <c r="T48" i="257"/>
  <c r="S14" i="258"/>
  <c r="S39" i="258"/>
  <c r="M12" i="259"/>
  <c r="L26" i="253"/>
  <c r="G3678" i="324" s="1"/>
  <c r="AA36" i="240"/>
  <c r="S16" i="243"/>
  <c r="O18" i="248"/>
  <c r="T16" i="257"/>
  <c r="M9" i="259"/>
  <c r="T31" i="257"/>
  <c r="M13" i="259"/>
  <c r="S11" i="243"/>
  <c r="M38" i="245"/>
  <c r="M20" i="259"/>
  <c r="N8" i="239"/>
  <c r="AD26" i="253"/>
  <c r="G3695" i="324" s="1"/>
  <c r="M39" i="245"/>
  <c r="AK24" i="253"/>
  <c r="CG25" i="251"/>
  <c r="E20" i="250" s="1"/>
  <c r="T11" i="257"/>
  <c r="T32" i="257"/>
  <c r="AA33" i="257"/>
  <c r="G51" i="257"/>
  <c r="F208" i="273" s="1"/>
  <c r="S8" i="243"/>
  <c r="K49" i="257"/>
  <c r="F198" i="273" s="1"/>
  <c r="S14" i="243"/>
  <c r="S15" i="243"/>
  <c r="S17" i="243"/>
  <c r="T10" i="257"/>
  <c r="T50" i="257"/>
  <c r="S42" i="258"/>
  <c r="S9" i="243"/>
  <c r="S10" i="243"/>
  <c r="T15" i="257"/>
  <c r="T40" i="257"/>
  <c r="T43" i="257"/>
  <c r="T46" i="257"/>
  <c r="T47" i="257"/>
  <c r="F195" i="273"/>
  <c r="T24" i="257"/>
  <c r="T25" i="257"/>
  <c r="T26" i="257"/>
  <c r="T27" i="257"/>
  <c r="AI19" i="284"/>
  <c r="T30" i="257"/>
  <c r="F124" i="273"/>
  <c r="CN23" i="251"/>
  <c r="CN24" i="251"/>
  <c r="S12" i="258"/>
  <c r="S11" i="258"/>
  <c r="S10" i="258"/>
  <c r="AI10" i="284"/>
  <c r="AI14" i="284"/>
  <c r="AI15" i="284"/>
  <c r="AI16" i="284"/>
  <c r="AI17" i="284"/>
  <c r="AI20" i="284"/>
  <c r="AI22" i="284"/>
  <c r="AI23" i="284"/>
  <c r="AI24" i="284"/>
  <c r="AI25" i="284"/>
  <c r="AI30" i="284"/>
  <c r="AI31" i="284"/>
  <c r="AI32" i="284"/>
  <c r="AI33" i="284"/>
  <c r="AI35" i="284"/>
  <c r="AI38" i="284"/>
  <c r="AI39" i="284"/>
  <c r="AI40" i="284"/>
  <c r="AI41" i="284"/>
  <c r="AI44" i="284"/>
  <c r="AI46" i="284"/>
  <c r="AI47" i="284"/>
  <c r="AI48" i="284"/>
  <c r="AI49" i="284"/>
  <c r="AI54" i="284"/>
  <c r="AI55" i="284"/>
  <c r="AI56" i="284"/>
  <c r="AI57" i="284"/>
  <c r="AI58" i="284"/>
  <c r="AI60" i="284"/>
  <c r="AI62" i="284"/>
  <c r="AI63" i="284"/>
  <c r="AI64" i="284"/>
  <c r="AI65" i="284"/>
  <c r="AI66" i="284"/>
  <c r="AI67" i="284"/>
  <c r="AI70" i="284"/>
  <c r="AI71" i="284"/>
  <c r="AI72" i="284"/>
  <c r="AI73" i="284"/>
  <c r="AI75" i="284"/>
  <c r="AI76" i="284"/>
  <c r="AI78" i="284"/>
  <c r="AI79" i="284"/>
  <c r="AI80" i="284"/>
  <c r="AI81" i="284"/>
  <c r="AI83" i="284"/>
  <c r="AI86" i="284"/>
  <c r="AI87" i="284"/>
  <c r="AI88" i="284"/>
  <c r="AI89" i="284"/>
  <c r="AI90" i="284"/>
  <c r="AI91" i="284"/>
  <c r="AI92" i="284"/>
  <c r="AI94" i="284"/>
  <c r="AI95" i="284"/>
  <c r="AI96" i="284"/>
  <c r="AI97" i="284"/>
  <c r="AI102" i="284"/>
  <c r="AI103" i="284"/>
  <c r="AI105" i="284"/>
  <c r="AI106" i="284"/>
  <c r="AI107" i="284"/>
  <c r="AI108" i="284"/>
  <c r="AI110" i="284"/>
  <c r="AI111" i="284"/>
  <c r="AI112" i="284"/>
  <c r="AI113" i="284"/>
  <c r="AI114" i="284"/>
  <c r="AI115" i="284"/>
  <c r="AI116" i="284"/>
  <c r="AI118" i="284"/>
  <c r="AI119" i="284"/>
  <c r="AI120" i="284"/>
  <c r="AI121" i="284"/>
  <c r="AI122" i="284"/>
  <c r="AI123" i="284"/>
  <c r="AI124" i="284"/>
  <c r="AI21" i="284"/>
  <c r="AI45" i="284"/>
  <c r="AI61" i="284"/>
  <c r="AI77" i="284"/>
  <c r="AI101" i="284"/>
  <c r="AI109" i="284"/>
  <c r="AI117" i="284"/>
  <c r="AI125" i="284"/>
  <c r="G3694" i="324"/>
  <c r="X26" i="253"/>
  <c r="G3689" i="324" s="1"/>
  <c r="AK20" i="253"/>
  <c r="AK21" i="253"/>
  <c r="AK22" i="253"/>
  <c r="AK23" i="253"/>
  <c r="AK25" i="253"/>
  <c r="G3671" i="324"/>
  <c r="AK15" i="253"/>
  <c r="AD16" i="253"/>
  <c r="G3519" i="324" s="1"/>
  <c r="AK11" i="253"/>
  <c r="R16" i="253"/>
  <c r="G3507" i="324" s="1"/>
  <c r="AK10" i="253"/>
  <c r="AK12" i="253"/>
  <c r="AK13" i="253"/>
  <c r="AK14" i="253"/>
  <c r="L16" i="253"/>
  <c r="G3502" i="324" s="1"/>
  <c r="G3495" i="324"/>
  <c r="V26" i="261"/>
  <c r="V27" i="261"/>
  <c r="V28" i="261"/>
  <c r="V29" i="261"/>
  <c r="V30" i="261"/>
  <c r="G40" i="261"/>
  <c r="G4022" i="324" s="1"/>
  <c r="E51" i="257"/>
  <c r="I51" i="257"/>
  <c r="F210" i="273" s="1"/>
  <c r="Y33" i="257"/>
  <c r="L33" i="257"/>
  <c r="F126" i="273" s="1"/>
  <c r="F123" i="273"/>
  <c r="H35" i="257"/>
  <c r="F138" i="273" s="1"/>
  <c r="K35" i="257"/>
  <c r="F141" i="273" s="1"/>
  <c r="F135" i="273"/>
  <c r="F35" i="257"/>
  <c r="F136" i="273" s="1"/>
  <c r="G35" i="257"/>
  <c r="F137" i="273" s="1"/>
  <c r="F119" i="273"/>
  <c r="F19" i="257"/>
  <c r="F60" i="273" s="1"/>
  <c r="F53" i="273"/>
  <c r="H17" i="257"/>
  <c r="F54" i="273" s="1"/>
  <c r="E19" i="257"/>
  <c r="AI26" i="284"/>
  <c r="AI11" i="284"/>
  <c r="AI12" i="284"/>
  <c r="AI13" i="284"/>
  <c r="AI18" i="284"/>
  <c r="AI27" i="284"/>
  <c r="AI28" i="284"/>
  <c r="AI29" i="284"/>
  <c r="AI34" i="284"/>
  <c r="AI36" i="284"/>
  <c r="AI37" i="284"/>
  <c r="AI42" i="284"/>
  <c r="AI43" i="284"/>
  <c r="AI50" i="284"/>
  <c r="AI51" i="284"/>
  <c r="AI52" i="284"/>
  <c r="AI53" i="284"/>
  <c r="AI59" i="284"/>
  <c r="AI68" i="284"/>
  <c r="AI69" i="284"/>
  <c r="AI74" i="284"/>
  <c r="AI82" i="284"/>
  <c r="AI84" i="284"/>
  <c r="AI85" i="284"/>
  <c r="AI93" i="284"/>
  <c r="AI98" i="284"/>
  <c r="AI99" i="284"/>
  <c r="AI100" i="284"/>
  <c r="AI104" i="284"/>
  <c r="AI9" i="284"/>
  <c r="G27" i="251"/>
  <c r="CG27" i="251" s="1"/>
  <c r="E22" i="250" s="1"/>
  <c r="E25" i="250" s="1"/>
  <c r="F11" i="272" s="1"/>
  <c r="L18" i="243"/>
  <c r="F105" i="302" s="1"/>
  <c r="CN12" i="251"/>
  <c r="CN13" i="251"/>
  <c r="CN14" i="251"/>
  <c r="CN15" i="251"/>
  <c r="CN16" i="251"/>
  <c r="CN17" i="251"/>
  <c r="CN19" i="251"/>
  <c r="CN22" i="251"/>
  <c r="CN26" i="251"/>
  <c r="CN11" i="251"/>
  <c r="AL12" i="285"/>
  <c r="O16" i="248"/>
  <c r="O20" i="248"/>
  <c r="O25" i="248"/>
  <c r="O24" i="248"/>
  <c r="N37" i="246"/>
  <c r="L37" i="246" s="1"/>
  <c r="AA42" i="240"/>
  <c r="T38" i="240"/>
  <c r="AA41" i="240"/>
  <c r="AA43" i="240"/>
  <c r="P40" i="240"/>
  <c r="T41" i="240"/>
  <c r="F1152" i="269"/>
  <c r="J40" i="240"/>
  <c r="J45" i="240" s="1"/>
  <c r="F1169" i="269" s="1"/>
  <c r="T37" i="240"/>
  <c r="G15" i="240"/>
  <c r="F1071" i="269" s="1"/>
  <c r="E16" i="240"/>
  <c r="F1073" i="269" s="1"/>
  <c r="F1070" i="269"/>
  <c r="G11" i="240"/>
  <c r="F1055" i="269" s="1"/>
  <c r="AA9" i="240"/>
  <c r="F16" i="240"/>
  <c r="F1074" i="269" s="1"/>
  <c r="H16" i="240"/>
  <c r="F1076" i="269" s="1"/>
  <c r="F1053" i="269"/>
  <c r="T36" i="240"/>
  <c r="F1124" i="269" s="1"/>
  <c r="T35" i="240"/>
  <c r="F1111" i="269" s="1"/>
  <c r="F1117" i="269"/>
  <c r="F1104" i="269"/>
  <c r="F1096" i="269"/>
  <c r="J28" i="240"/>
  <c r="F1098" i="269" s="1"/>
  <c r="F1092" i="269"/>
  <c r="G27" i="240"/>
  <c r="F1095" i="269" s="1"/>
  <c r="AA22" i="240"/>
  <c r="G24" i="240"/>
  <c r="F21" i="239"/>
  <c r="F1036" i="269" s="1"/>
  <c r="G20" i="239"/>
  <c r="F1034" i="269" s="1"/>
  <c r="E21" i="239"/>
  <c r="G17" i="239"/>
  <c r="F1025" i="269" s="1"/>
  <c r="F1024" i="269"/>
  <c r="N15" i="239"/>
  <c r="F1023" i="269"/>
  <c r="G10" i="239"/>
  <c r="F1015" i="269" s="1"/>
  <c r="C1" i="302"/>
  <c r="C1" i="299"/>
  <c r="C1" i="273"/>
  <c r="C1" i="271"/>
  <c r="C1" i="268"/>
  <c r="C1" i="272"/>
  <c r="C1" i="307"/>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M36" i="305" l="1"/>
  <c r="F541" i="299" s="1"/>
  <c r="F330" i="269"/>
  <c r="F30" i="226"/>
  <c r="E14" i="230"/>
  <c r="F601" i="269" s="1"/>
  <c r="F34" i="305"/>
  <c r="F525" i="299" s="1"/>
  <c r="L56" i="235"/>
  <c r="G2478" i="324" s="1"/>
  <c r="E16" i="225"/>
  <c r="G228" i="231"/>
  <c r="G1049" i="324" s="1"/>
  <c r="K128" i="234"/>
  <c r="G1823" i="324" s="1"/>
  <c r="O22" i="238"/>
  <c r="G625" i="324"/>
  <c r="G138" i="231"/>
  <c r="G629" i="324" s="1"/>
  <c r="L22" i="212"/>
  <c r="F366" i="268" s="1"/>
  <c r="G93" i="231"/>
  <c r="G419" i="324" s="1"/>
  <c r="J26" i="237"/>
  <c r="F1006" i="269" s="1"/>
  <c r="F60" i="269"/>
  <c r="K16" i="225"/>
  <c r="G1420" i="324"/>
  <c r="H12" i="226"/>
  <c r="O23" i="238"/>
  <c r="J16" i="210"/>
  <c r="F103" i="268" s="1"/>
  <c r="H24" i="238"/>
  <c r="G3119" i="324" s="1"/>
  <c r="G2142" i="324"/>
  <c r="W34" i="235"/>
  <c r="G2150" i="324" s="1"/>
  <c r="L25" i="227"/>
  <c r="F496" i="269" s="1"/>
  <c r="N96" i="235"/>
  <c r="G3038" i="324" s="1"/>
  <c r="H30" i="210"/>
  <c r="F143" i="268" s="1"/>
  <c r="K25" i="227"/>
  <c r="F495" i="269" s="1"/>
  <c r="F25" i="227"/>
  <c r="F30" i="227" s="1"/>
  <c r="F56" i="235"/>
  <c r="G2472" i="324" s="1"/>
  <c r="J56" i="235"/>
  <c r="G2476" i="324" s="1"/>
  <c r="G56" i="235"/>
  <c r="G2473" i="324" s="1"/>
  <c r="H19" i="210"/>
  <c r="F106" i="268" s="1"/>
  <c r="N34" i="235"/>
  <c r="G2141" i="324" s="1"/>
  <c r="J14" i="227"/>
  <c r="F447" i="269" s="1"/>
  <c r="F430" i="269"/>
  <c r="K14" i="227"/>
  <c r="F448" i="269" s="1"/>
  <c r="F425" i="269"/>
  <c r="H14" i="227"/>
  <c r="F445" i="269" s="1"/>
  <c r="N101" i="235"/>
  <c r="G3068" i="324" s="1"/>
  <c r="M10" i="227"/>
  <c r="F414" i="269" s="1"/>
  <c r="F475" i="269"/>
  <c r="I25" i="227"/>
  <c r="F493" i="269" s="1"/>
  <c r="L14" i="227"/>
  <c r="F449" i="269" s="1"/>
  <c r="I14" i="227"/>
  <c r="F446" i="269" s="1"/>
  <c r="G19" i="210"/>
  <c r="F105" i="268" s="1"/>
  <c r="G30" i="210"/>
  <c r="F142" i="268" s="1"/>
  <c r="M21" i="227"/>
  <c r="F461" i="269" s="1"/>
  <c r="G1828" i="324"/>
  <c r="I10" i="226"/>
  <c r="I12" i="226" s="1"/>
  <c r="I21" i="226"/>
  <c r="I23" i="226" s="1"/>
  <c r="I25" i="226" s="1"/>
  <c r="F345" i="269" s="1"/>
  <c r="G1539" i="324"/>
  <c r="K90" i="234"/>
  <c r="G1544" i="324" s="1"/>
  <c r="J130" i="234"/>
  <c r="G1834" i="324" s="1"/>
  <c r="F331" i="269"/>
  <c r="J125" i="234"/>
  <c r="G1813" i="324" s="1"/>
  <c r="K129" i="234"/>
  <c r="G1829" i="324" s="1"/>
  <c r="G1669" i="324"/>
  <c r="F298" i="269"/>
  <c r="K108" i="234"/>
  <c r="G1673" i="324" s="1"/>
  <c r="G1668" i="324"/>
  <c r="F125" i="234"/>
  <c r="G1809" i="324" s="1"/>
  <c r="F300" i="269"/>
  <c r="H14" i="226"/>
  <c r="F312" i="269" s="1"/>
  <c r="J10" i="226"/>
  <c r="F290" i="269" s="1"/>
  <c r="J21" i="226"/>
  <c r="F322" i="269" s="1"/>
  <c r="F332" i="269"/>
  <c r="K49" i="234"/>
  <c r="G1372" i="324" s="1"/>
  <c r="G1196" i="324"/>
  <c r="K28" i="234"/>
  <c r="G1201" i="324" s="1"/>
  <c r="E23" i="226"/>
  <c r="E30" i="210"/>
  <c r="G30" i="227"/>
  <c r="G35" i="227" s="1"/>
  <c r="F536" i="269" s="1"/>
  <c r="M20" i="227"/>
  <c r="F460" i="269" s="1"/>
  <c r="E23" i="227"/>
  <c r="G29" i="210"/>
  <c r="F138" i="268"/>
  <c r="F476" i="269"/>
  <c r="J25" i="227"/>
  <c r="M12" i="227"/>
  <c r="F432" i="269" s="1"/>
  <c r="F424" i="269"/>
  <c r="E21" i="210"/>
  <c r="E23" i="210" s="1"/>
  <c r="G12" i="209" s="1"/>
  <c r="J9" i="226"/>
  <c r="F289" i="269" s="1"/>
  <c r="E12" i="226"/>
  <c r="G836" i="324"/>
  <c r="G183" i="231"/>
  <c r="G839" i="324" s="1"/>
  <c r="G207" i="324"/>
  <c r="G48" i="231"/>
  <c r="G209" i="324" s="1"/>
  <c r="F490" i="269"/>
  <c r="G30" i="226"/>
  <c r="F311" i="269"/>
  <c r="F354" i="269"/>
  <c r="F35" i="226"/>
  <c r="F372" i="269" s="1"/>
  <c r="L31" i="225"/>
  <c r="F211" i="269" s="1"/>
  <c r="F76" i="269"/>
  <c r="G20" i="225"/>
  <c r="G19" i="225"/>
  <c r="N20" i="225"/>
  <c r="F83" i="269"/>
  <c r="N19" i="225"/>
  <c r="H16" i="225"/>
  <c r="F57" i="269"/>
  <c r="F112" i="269"/>
  <c r="M38" i="225"/>
  <c r="I22" i="225"/>
  <c r="F138" i="269" s="1"/>
  <c r="F118" i="269"/>
  <c r="I38" i="225"/>
  <c r="L20" i="225"/>
  <c r="F81" i="269"/>
  <c r="F105" i="269"/>
  <c r="F21" i="225"/>
  <c r="F125" i="269" s="1"/>
  <c r="F38" i="225"/>
  <c r="F79" i="269"/>
  <c r="J19" i="225"/>
  <c r="J20" i="225"/>
  <c r="F74" i="269"/>
  <c r="E20" i="225"/>
  <c r="E19" i="225"/>
  <c r="Q620" i="293"/>
  <c r="C640" i="293" s="1"/>
  <c r="Y312" i="293"/>
  <c r="Y620" i="293" s="1"/>
  <c r="C631" i="293" s="1"/>
  <c r="X312" i="293"/>
  <c r="X620" i="293" s="1"/>
  <c r="C630" i="293" s="1"/>
  <c r="L22" i="221"/>
  <c r="F973" i="268" s="1"/>
  <c r="J8" i="219"/>
  <c r="F809" i="268" s="1"/>
  <c r="F750" i="268"/>
  <c r="F752" i="268"/>
  <c r="G46" i="215"/>
  <c r="F769" i="268" s="1"/>
  <c r="F9" i="219"/>
  <c r="F461" i="268"/>
  <c r="F508" i="268"/>
  <c r="G9" i="219"/>
  <c r="G10" i="219" s="1"/>
  <c r="F792" i="268"/>
  <c r="G10" i="217"/>
  <c r="F794" i="268" s="1"/>
  <c r="F521" i="268"/>
  <c r="H45" i="213"/>
  <c r="F524" i="268" s="1"/>
  <c r="E16" i="217"/>
  <c r="G14" i="217"/>
  <c r="E55" i="213"/>
  <c r="F475" i="268"/>
  <c r="F53" i="213"/>
  <c r="F55" i="213" s="1"/>
  <c r="F538" i="268" s="1"/>
  <c r="H30" i="213"/>
  <c r="F477" i="268" s="1"/>
  <c r="F813" i="268"/>
  <c r="E21" i="219"/>
  <c r="E19" i="209"/>
  <c r="F47" i="268" s="1"/>
  <c r="F29" i="268"/>
  <c r="G35" i="211"/>
  <c r="F255" i="268" s="1"/>
  <c r="F253" i="268"/>
  <c r="I39" i="210"/>
  <c r="K12" i="209"/>
  <c r="F129" i="268"/>
  <c r="F54" i="305"/>
  <c r="F611" i="299" s="1"/>
  <c r="G36" i="305"/>
  <c r="G42" i="305" s="1"/>
  <c r="F485" i="299"/>
  <c r="F479" i="299"/>
  <c r="J45" i="204"/>
  <c r="F259" i="299" s="1"/>
  <c r="F59" i="299"/>
  <c r="J19" i="202"/>
  <c r="F60" i="299" s="1"/>
  <c r="F89" i="299"/>
  <c r="J11" i="202"/>
  <c r="F23" i="299" s="1"/>
  <c r="J16" i="202"/>
  <c r="F48" i="299" s="1"/>
  <c r="F68" i="299"/>
  <c r="F602" i="299"/>
  <c r="G17" i="205"/>
  <c r="G20" i="205" s="1"/>
  <c r="P36" i="305"/>
  <c r="F488" i="299"/>
  <c r="L13" i="305"/>
  <c r="O17" i="305"/>
  <c r="F13" i="305"/>
  <c r="I17" i="305"/>
  <c r="J36" i="305"/>
  <c r="F482" i="299"/>
  <c r="F568" i="299"/>
  <c r="N48" i="305"/>
  <c r="F596" i="299" s="1"/>
  <c r="F562" i="299"/>
  <c r="H48" i="305"/>
  <c r="F590" i="299" s="1"/>
  <c r="S25" i="206"/>
  <c r="F409" i="299"/>
  <c r="U25" i="206"/>
  <c r="F411" i="299"/>
  <c r="F410" i="299"/>
  <c r="T25" i="206"/>
  <c r="F355" i="299"/>
  <c r="J27" i="205"/>
  <c r="F356" i="299" s="1"/>
  <c r="F329" i="299"/>
  <c r="H29" i="205"/>
  <c r="I11" i="206"/>
  <c r="E26" i="206"/>
  <c r="E25" i="206"/>
  <c r="F205" i="299"/>
  <c r="F47" i="204"/>
  <c r="F260" i="299" s="1"/>
  <c r="H47" i="204"/>
  <c r="F262" i="299" s="1"/>
  <c r="J31" i="204"/>
  <c r="F204" i="299" s="1"/>
  <c r="I33" i="204"/>
  <c r="G47" i="204"/>
  <c r="F206" i="299"/>
  <c r="F67" i="299"/>
  <c r="G8" i="203"/>
  <c r="F312" i="299"/>
  <c r="F20" i="205"/>
  <c r="F58" i="299"/>
  <c r="F54" i="299"/>
  <c r="E3936" i="322"/>
  <c r="G4139" i="324"/>
  <c r="G3937" i="322"/>
  <c r="E56" i="315"/>
  <c r="G4141" i="324" s="1"/>
  <c r="C68" i="315"/>
  <c r="N68" i="315" s="1"/>
  <c r="N56" i="315"/>
  <c r="E3937" i="322"/>
  <c r="T33" i="257"/>
  <c r="F206" i="273"/>
  <c r="K51" i="257"/>
  <c r="F212" i="273" s="1"/>
  <c r="L35" i="257"/>
  <c r="F142" i="273" s="1"/>
  <c r="H19" i="257"/>
  <c r="F62" i="273" s="1"/>
  <c r="F59" i="273"/>
  <c r="P45" i="240"/>
  <c r="F1170" i="269" s="1"/>
  <c r="F1145" i="269"/>
  <c r="F1144" i="269"/>
  <c r="F1159" i="269"/>
  <c r="T44" i="240"/>
  <c r="F1168" i="269" s="1"/>
  <c r="T40" i="240"/>
  <c r="F1137" i="269"/>
  <c r="G16" i="240"/>
  <c r="F1075" i="269" s="1"/>
  <c r="G28" i="240"/>
  <c r="F1097" i="269" s="1"/>
  <c r="F1085" i="269"/>
  <c r="G21" i="239"/>
  <c r="F1037" i="269" s="1"/>
  <c r="F1035" i="269"/>
  <c r="E3939" i="322"/>
  <c r="E57" i="315"/>
  <c r="G4144" i="324" s="1"/>
  <c r="P64" i="315"/>
  <c r="G4140" i="324"/>
  <c r="G4142" i="324"/>
  <c r="G3938" i="322"/>
  <c r="N57" i="315"/>
  <c r="E3940" i="322"/>
  <c r="C69" i="315"/>
  <c r="G3936" i="322"/>
  <c r="O56" i="315"/>
  <c r="G3958" i="322"/>
  <c r="G4161" i="324"/>
  <c r="G3959" i="322"/>
  <c r="O68" i="315"/>
  <c r="G3941" i="322"/>
  <c r="G4143" i="324"/>
  <c r="G3939" i="322"/>
  <c r="D69" i="315"/>
  <c r="G3940" i="322"/>
  <c r="O57" i="315"/>
  <c r="M42" i="305" l="1"/>
  <c r="F567" i="299" s="1"/>
  <c r="F535" i="299"/>
  <c r="F30" i="210"/>
  <c r="F333" i="269"/>
  <c r="F19" i="210"/>
  <c r="J19" i="210" s="1"/>
  <c r="F108" i="268" s="1"/>
  <c r="F80" i="269"/>
  <c r="K20" i="225"/>
  <c r="K19" i="225"/>
  <c r="K130" i="234"/>
  <c r="G1835" i="324" s="1"/>
  <c r="L30" i="227"/>
  <c r="H32" i="210"/>
  <c r="K30" i="227"/>
  <c r="F513" i="269" s="1"/>
  <c r="H30" i="227"/>
  <c r="H35" i="227" s="1"/>
  <c r="F537" i="269" s="1"/>
  <c r="H21" i="210"/>
  <c r="H23" i="210" s="1"/>
  <c r="N56" i="235"/>
  <c r="G2480" i="324" s="1"/>
  <c r="F509" i="269"/>
  <c r="G21" i="210"/>
  <c r="M14" i="227"/>
  <c r="F450" i="269" s="1"/>
  <c r="I30" i="227"/>
  <c r="I35" i="227" s="1"/>
  <c r="F538" i="269" s="1"/>
  <c r="H30" i="226"/>
  <c r="H35" i="226" s="1"/>
  <c r="F374" i="269" s="1"/>
  <c r="F301" i="269"/>
  <c r="I14" i="226"/>
  <c r="K125" i="234"/>
  <c r="G1814" i="324" s="1"/>
  <c r="F141" i="268"/>
  <c r="F32" i="210"/>
  <c r="F329" i="269"/>
  <c r="E25" i="226"/>
  <c r="J23" i="226"/>
  <c r="F334" i="269" s="1"/>
  <c r="J30" i="210"/>
  <c r="F145" i="268" s="1"/>
  <c r="E32" i="210"/>
  <c r="H34" i="210"/>
  <c r="F154" i="268"/>
  <c r="G32" i="210"/>
  <c r="F137" i="268"/>
  <c r="J29" i="210"/>
  <c r="F140" i="268" s="1"/>
  <c r="F494" i="269"/>
  <c r="J30" i="227"/>
  <c r="M23" i="227"/>
  <c r="F479" i="269" s="1"/>
  <c r="E25" i="227"/>
  <c r="F471" i="269"/>
  <c r="F125" i="268"/>
  <c r="F114" i="268"/>
  <c r="E14" i="226"/>
  <c r="F297" i="269"/>
  <c r="J12" i="226"/>
  <c r="F302" i="269" s="1"/>
  <c r="F35" i="227"/>
  <c r="F535" i="269" s="1"/>
  <c r="F508" i="269"/>
  <c r="L35" i="227"/>
  <c r="F541" i="269" s="1"/>
  <c r="F514" i="269"/>
  <c r="G35" i="226"/>
  <c r="F373" i="269" s="1"/>
  <c r="F355" i="269"/>
  <c r="G11" i="209"/>
  <c r="F23" i="268" s="1"/>
  <c r="F31" i="268"/>
  <c r="G19" i="209"/>
  <c r="F49" i="268" s="1"/>
  <c r="F41" i="225"/>
  <c r="F43" i="225" s="1"/>
  <c r="F265" i="269" s="1"/>
  <c r="F245" i="269"/>
  <c r="F252" i="269"/>
  <c r="M41" i="225"/>
  <c r="M43" i="225" s="1"/>
  <c r="F121" i="269"/>
  <c r="L22" i="225"/>
  <c r="F141" i="269" s="1"/>
  <c r="H20" i="225"/>
  <c r="F117" i="269" s="1"/>
  <c r="F77" i="269"/>
  <c r="H19" i="225"/>
  <c r="H22" i="225"/>
  <c r="F137" i="269" s="1"/>
  <c r="H21" i="225"/>
  <c r="F127" i="269" s="1"/>
  <c r="J22" i="225"/>
  <c r="F139" i="269" s="1"/>
  <c r="F119" i="269"/>
  <c r="L38" i="225"/>
  <c r="L21" i="225"/>
  <c r="F131" i="269" s="1"/>
  <c r="F111" i="269"/>
  <c r="F113" i="269"/>
  <c r="N21" i="225"/>
  <c r="F133" i="269" s="1"/>
  <c r="N38" i="225"/>
  <c r="G21" i="225"/>
  <c r="F126" i="269" s="1"/>
  <c r="F106" i="269"/>
  <c r="G38" i="225"/>
  <c r="F109" i="269"/>
  <c r="J38" i="225"/>
  <c r="J21" i="225"/>
  <c r="F129" i="269" s="1"/>
  <c r="I41" i="225"/>
  <c r="I43" i="225" s="1"/>
  <c r="F268" i="269" s="1"/>
  <c r="F248" i="269"/>
  <c r="F116" i="269"/>
  <c r="G22" i="225"/>
  <c r="F136" i="269" s="1"/>
  <c r="N22" i="225"/>
  <c r="F143" i="269" s="1"/>
  <c r="F123" i="269"/>
  <c r="E38" i="225"/>
  <c r="E21" i="225"/>
  <c r="F124" i="269" s="1"/>
  <c r="F104" i="269"/>
  <c r="F114" i="269"/>
  <c r="E22" i="225"/>
  <c r="F134" i="269" s="1"/>
  <c r="H55" i="213"/>
  <c r="F540" i="268" s="1"/>
  <c r="F537" i="268"/>
  <c r="G21" i="219"/>
  <c r="G22" i="219" s="1"/>
  <c r="F851" i="268" s="1"/>
  <c r="F815" i="268"/>
  <c r="H53" i="213"/>
  <c r="F532" i="268" s="1"/>
  <c r="F801" i="268"/>
  <c r="G16" i="217"/>
  <c r="F803" i="268" s="1"/>
  <c r="F10" i="219"/>
  <c r="J9" i="219"/>
  <c r="F812" i="268" s="1"/>
  <c r="E22" i="219"/>
  <c r="K19" i="209"/>
  <c r="F53" i="268" s="1"/>
  <c r="K11" i="209"/>
  <c r="F27" i="268" s="1"/>
  <c r="F35" i="268"/>
  <c r="F177" i="268"/>
  <c r="I44" i="210"/>
  <c r="F193" i="268" s="1"/>
  <c r="E25" i="230"/>
  <c r="F612" i="269" s="1"/>
  <c r="F313" i="299"/>
  <c r="I17" i="205"/>
  <c r="F315" i="299" s="1"/>
  <c r="F69" i="299"/>
  <c r="H8" i="203"/>
  <c r="H11" i="203" s="1"/>
  <c r="F107" i="299" s="1"/>
  <c r="L17" i="305"/>
  <c r="F432" i="299"/>
  <c r="P42" i="305"/>
  <c r="F544" i="299"/>
  <c r="F538" i="299"/>
  <c r="J42" i="305"/>
  <c r="F17" i="305"/>
  <c r="F428" i="299"/>
  <c r="I24" i="305"/>
  <c r="F437" i="299"/>
  <c r="O24" i="305"/>
  <c r="F441" i="299"/>
  <c r="F561" i="299"/>
  <c r="G48" i="305"/>
  <c r="F589" i="299" s="1"/>
  <c r="H37" i="205"/>
  <c r="F384" i="299" s="1"/>
  <c r="F359" i="299"/>
  <c r="R25" i="206"/>
  <c r="P25" i="206" s="1"/>
  <c r="F408" i="299"/>
  <c r="F413" i="299"/>
  <c r="R26" i="206"/>
  <c r="P26" i="206" s="1"/>
  <c r="I26" i="206"/>
  <c r="F417" i="299" s="1"/>
  <c r="I25" i="206"/>
  <c r="F412" i="299" s="1"/>
  <c r="E32" i="230"/>
  <c r="F617" i="269" s="1"/>
  <c r="I14" i="206"/>
  <c r="E31" i="230"/>
  <c r="F616" i="269" s="1"/>
  <c r="F392" i="299"/>
  <c r="E30" i="230"/>
  <c r="F615" i="269" s="1"/>
  <c r="J33" i="204"/>
  <c r="F209" i="299" s="1"/>
  <c r="F208" i="299"/>
  <c r="I47" i="204"/>
  <c r="F261" i="299"/>
  <c r="G11" i="203"/>
  <c r="G29" i="205"/>
  <c r="I20" i="205"/>
  <c r="F330" i="299" s="1"/>
  <c r="F328" i="299"/>
  <c r="F66" i="299"/>
  <c r="F8" i="203"/>
  <c r="F29" i="205"/>
  <c r="F327" i="299"/>
  <c r="L57" i="315"/>
  <c r="E3957" i="322"/>
  <c r="G4160" i="324"/>
  <c r="E68" i="315"/>
  <c r="G4162" i="324" s="1"/>
  <c r="L56" i="315"/>
  <c r="L68" i="315"/>
  <c r="E3959" i="322"/>
  <c r="E3958" i="322"/>
  <c r="F1146" i="269"/>
  <c r="T45" i="240"/>
  <c r="F1171" i="269" s="1"/>
  <c r="E3962" i="322"/>
  <c r="E3961" i="322"/>
  <c r="E3960" i="322"/>
  <c r="G4163" i="324"/>
  <c r="N69" i="315"/>
  <c r="G3960" i="322"/>
  <c r="G4164" i="324"/>
  <c r="G3961" i="322"/>
  <c r="O69" i="315"/>
  <c r="E69" i="315"/>
  <c r="G4165" i="324" s="1"/>
  <c r="G3962" i="322"/>
  <c r="M48" i="305" l="1"/>
  <c r="F595" i="299" s="1"/>
  <c r="F356" i="269"/>
  <c r="F104" i="268"/>
  <c r="F21" i="210"/>
  <c r="F23" i="210" s="1"/>
  <c r="F110" i="269"/>
  <c r="K38" i="225"/>
  <c r="K21" i="225"/>
  <c r="F130" i="269" s="1"/>
  <c r="F120" i="269"/>
  <c r="K22" i="225"/>
  <c r="F140" i="269" s="1"/>
  <c r="K35" i="227"/>
  <c r="F540" i="269" s="1"/>
  <c r="F510" i="269"/>
  <c r="F117" i="268"/>
  <c r="F511" i="269"/>
  <c r="F128" i="268"/>
  <c r="J12" i="209"/>
  <c r="G23" i="210"/>
  <c r="F116" i="268"/>
  <c r="F313" i="269"/>
  <c r="I30" i="226"/>
  <c r="F115" i="268"/>
  <c r="J21" i="210"/>
  <c r="F119" i="268" s="1"/>
  <c r="F152" i="268"/>
  <c r="F34" i="210"/>
  <c r="F151" i="268"/>
  <c r="E34" i="210"/>
  <c r="F341" i="269"/>
  <c r="J25" i="226"/>
  <c r="F346" i="269" s="1"/>
  <c r="F489" i="269"/>
  <c r="M25" i="227"/>
  <c r="F497" i="269" s="1"/>
  <c r="E30" i="227"/>
  <c r="F153" i="268"/>
  <c r="G34" i="210"/>
  <c r="J32" i="210"/>
  <c r="F156" i="268" s="1"/>
  <c r="F512" i="269"/>
  <c r="J35" i="227"/>
  <c r="F539" i="269" s="1"/>
  <c r="F165" i="268"/>
  <c r="H39" i="210"/>
  <c r="F309" i="269"/>
  <c r="E30" i="226"/>
  <c r="J14" i="226"/>
  <c r="F314" i="269" s="1"/>
  <c r="F251" i="269"/>
  <c r="L41" i="225"/>
  <c r="L43" i="225" s="1"/>
  <c r="G41" i="225"/>
  <c r="G43" i="225" s="1"/>
  <c r="F266" i="269" s="1"/>
  <c r="F246" i="269"/>
  <c r="M47" i="225"/>
  <c r="F287" i="269" s="1"/>
  <c r="F272" i="269"/>
  <c r="N41" i="225"/>
  <c r="N43" i="225" s="1"/>
  <c r="F253" i="269"/>
  <c r="F107" i="269"/>
  <c r="H38" i="225"/>
  <c r="J41" i="225"/>
  <c r="J43" i="225" s="1"/>
  <c r="F249" i="269"/>
  <c r="E41" i="225"/>
  <c r="E43" i="225" s="1"/>
  <c r="F264" i="269" s="1"/>
  <c r="F244" i="269"/>
  <c r="F21" i="219"/>
  <c r="F814" i="268"/>
  <c r="J10" i="219"/>
  <c r="F816" i="268" s="1"/>
  <c r="F849" i="268"/>
  <c r="J17" i="205"/>
  <c r="F316" i="299" s="1"/>
  <c r="I8" i="203"/>
  <c r="J8" i="203" s="1"/>
  <c r="P48" i="305"/>
  <c r="F598" i="299" s="1"/>
  <c r="F570" i="299"/>
  <c r="I36" i="305"/>
  <c r="F481" i="299"/>
  <c r="F439" i="299"/>
  <c r="L24" i="305"/>
  <c r="F435" i="299"/>
  <c r="F24" i="305"/>
  <c r="F487" i="299"/>
  <c r="O36" i="305"/>
  <c r="F564" i="299"/>
  <c r="J48" i="305"/>
  <c r="F592" i="299" s="1"/>
  <c r="F395" i="299"/>
  <c r="E8" i="230"/>
  <c r="I17" i="206"/>
  <c r="F396" i="299" s="1"/>
  <c r="F263" i="299"/>
  <c r="J47" i="204"/>
  <c r="F264" i="299" s="1"/>
  <c r="F358" i="299"/>
  <c r="G37" i="205"/>
  <c r="I29" i="205"/>
  <c r="F360" i="299" s="1"/>
  <c r="J20" i="205"/>
  <c r="F331" i="299" s="1"/>
  <c r="I11" i="203"/>
  <c r="F108" i="299" s="1"/>
  <c r="F106" i="299"/>
  <c r="F357" i="299"/>
  <c r="F37" i="205"/>
  <c r="F11" i="203"/>
  <c r="F70" i="299"/>
  <c r="E20" i="230"/>
  <c r="F607" i="269" s="1"/>
  <c r="L69" i="315"/>
  <c r="K41" i="225" l="1"/>
  <c r="K43" i="225" s="1"/>
  <c r="F250" i="269"/>
  <c r="F127" i="268"/>
  <c r="I12" i="209"/>
  <c r="J19" i="209"/>
  <c r="F52" i="268" s="1"/>
  <c r="J11" i="209"/>
  <c r="F26" i="268" s="1"/>
  <c r="F34" i="268"/>
  <c r="F357" i="269"/>
  <c r="I35" i="226"/>
  <c r="F375" i="269" s="1"/>
  <c r="J23" i="210"/>
  <c r="F130" i="268" s="1"/>
  <c r="H12" i="209"/>
  <c r="F126" i="268"/>
  <c r="F39" i="210"/>
  <c r="F163" i="268"/>
  <c r="F162" i="268"/>
  <c r="E39" i="210"/>
  <c r="E35" i="227"/>
  <c r="M30" i="227"/>
  <c r="F515" i="269" s="1"/>
  <c r="F507" i="269"/>
  <c r="F176" i="268"/>
  <c r="H44" i="210"/>
  <c r="F192" i="268" s="1"/>
  <c r="F164" i="268"/>
  <c r="J34" i="210"/>
  <c r="F167" i="268" s="1"/>
  <c r="G39" i="210"/>
  <c r="F353" i="269"/>
  <c r="E35" i="226"/>
  <c r="J30" i="226"/>
  <c r="F358" i="269" s="1"/>
  <c r="N47" i="225"/>
  <c r="F288" i="269" s="1"/>
  <c r="F273" i="269"/>
  <c r="F247" i="269"/>
  <c r="H41" i="225"/>
  <c r="H43" i="225" s="1"/>
  <c r="F267" i="269" s="1"/>
  <c r="L47" i="225"/>
  <c r="F286" i="269" s="1"/>
  <c r="F271" i="269"/>
  <c r="J47" i="225"/>
  <c r="F284" i="269" s="1"/>
  <c r="F269" i="269"/>
  <c r="F22" i="219"/>
  <c r="J21" i="219"/>
  <c r="F848" i="268" s="1"/>
  <c r="F537" i="299"/>
  <c r="I42" i="305"/>
  <c r="F478" i="299"/>
  <c r="F36" i="305"/>
  <c r="F543" i="299"/>
  <c r="O42" i="305"/>
  <c r="F484" i="299"/>
  <c r="L36" i="305"/>
  <c r="J29" i="205"/>
  <c r="F361" i="299" s="1"/>
  <c r="E21" i="230"/>
  <c r="E24" i="230" s="1"/>
  <c r="F611" i="269" s="1"/>
  <c r="E10" i="230"/>
  <c r="F598" i="269" s="1"/>
  <c r="E9" i="230"/>
  <c r="I37" i="205"/>
  <c r="F385" i="299" s="1"/>
  <c r="F383" i="299"/>
  <c r="J11" i="203"/>
  <c r="F109" i="299" s="1"/>
  <c r="F105" i="299"/>
  <c r="F382" i="299"/>
  <c r="K47" i="225" l="1"/>
  <c r="F285" i="269" s="1"/>
  <c r="F270" i="269"/>
  <c r="F33" i="268"/>
  <c r="I19" i="209"/>
  <c r="F51" i="268" s="1"/>
  <c r="I11" i="209"/>
  <c r="F25" i="268" s="1"/>
  <c r="L12" i="209"/>
  <c r="F36" i="268" s="1"/>
  <c r="H19" i="209"/>
  <c r="H11" i="209"/>
  <c r="F32" i="268"/>
  <c r="F174" i="268"/>
  <c r="F44" i="210"/>
  <c r="F190" i="268" s="1"/>
  <c r="E44" i="210"/>
  <c r="F189" i="268" s="1"/>
  <c r="F173" i="268"/>
  <c r="F534" i="269"/>
  <c r="M35" i="227"/>
  <c r="F542" i="269" s="1"/>
  <c r="F175" i="268"/>
  <c r="G44" i="210"/>
  <c r="J39" i="210"/>
  <c r="F178" i="268" s="1"/>
  <c r="F371" i="269"/>
  <c r="J35" i="226"/>
  <c r="F376" i="269" s="1"/>
  <c r="F850" i="268"/>
  <c r="J22" i="219"/>
  <c r="F854" i="268" s="1"/>
  <c r="F563" i="299"/>
  <c r="I48" i="305"/>
  <c r="F591" i="299" s="1"/>
  <c r="L42" i="305"/>
  <c r="F540" i="299"/>
  <c r="F12" i="230"/>
  <c r="O48" i="305"/>
  <c r="F597" i="299" s="1"/>
  <c r="F569" i="299"/>
  <c r="F534" i="299"/>
  <c r="F42" i="305"/>
  <c r="E12" i="230"/>
  <c r="F608" i="269"/>
  <c r="E26" i="230"/>
  <c r="F613" i="269" s="1"/>
  <c r="F597" i="269"/>
  <c r="E13" i="230"/>
  <c r="F600" i="269" s="1"/>
  <c r="J37" i="205"/>
  <c r="F386" i="299" s="1"/>
  <c r="F24" i="268" l="1"/>
  <c r="L11" i="209"/>
  <c r="F28" i="268" s="1"/>
  <c r="F50" i="268"/>
  <c r="L19" i="209"/>
  <c r="F54" i="268" s="1"/>
  <c r="F191" i="268"/>
  <c r="J44" i="210"/>
  <c r="F194" i="268" s="1"/>
  <c r="F560" i="299"/>
  <c r="F48" i="305"/>
  <c r="F588" i="299" s="1"/>
  <c r="F566" i="299"/>
  <c r="L48" i="305"/>
  <c r="F594" i="299" s="1"/>
  <c r="E27" i="230"/>
  <c r="F614" i="2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<sst xmlns="http://schemas.openxmlformats.org/spreadsheetml/2006/main" count="65400" uniqueCount="18785">
  <si>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</si>
  <si>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</si>
  <si>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</si>
  <si>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</si>
  <si>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</si>
  <si>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</si>
  <si>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</si>
  <si>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</si>
  <si>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</si>
  <si>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</si>
  <si>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</si>
  <si>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</si>
  <si>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</si>
  <si>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</si>
  <si>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</si>
  <si>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</si>
  <si>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</si>
  <si>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</si>
  <si>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</si>
  <si>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</si>
  <si>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</si>
  <si>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</si>
  <si>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</si>
  <si>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</si>
  <si>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</si>
  <si>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</si>
  <si>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</si>
  <si>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</si>
  <si>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</si>
  <si>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</si>
  <si>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</si>
  <si>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</si>
  <si>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</si>
  <si>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</si>
  <si>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</si>
  <si>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</si>
  <si>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</si>
  <si>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</si>
  <si>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</si>
  <si>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</si>
  <si>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</si>
  <si>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</si>
  <si>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</si>
  <si>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</si>
  <si>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</si>
  <si>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</si>
  <si>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</si>
  <si>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</si>
  <si>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</si>
  <si>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</si>
  <si>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</si>
  <si>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</si>
  <si>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</si>
  <si>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</si>
  <si>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</si>
  <si>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</si>
  <si>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</si>
  <si>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</si>
  <si>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</si>
  <si>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</si>
  <si>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</si>
  <si>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</si>
  <si>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</si>
  <si>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</si>
  <si>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</si>
  <si>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</si>
  <si>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</si>
  <si>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</si>
  <si>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</si>
  <si>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</si>
  <si>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</si>
  <si>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</si>
  <si>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</si>
  <si>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</si>
  <si>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</si>
  <si>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</si>
  <si>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</si>
  <si>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</si>
  <si>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</si>
  <si>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</si>
  <si>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</si>
  <si>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</si>
  <si>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</si>
  <si>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</si>
  <si>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</si>
  <si>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</si>
  <si>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</si>
  <si>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</si>
  <si>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</si>
  <si>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</si>
  <si>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</si>
  <si>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</si>
  <si>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</si>
  <si>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</si>
  <si>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</si>
  <si>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</si>
  <si>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</si>
  <si>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</si>
  <si>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</si>
  <si>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</si>
  <si>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</si>
  <si>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</si>
  <si>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</si>
  <si>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</si>
  <si>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</si>
  <si>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</si>
  <si>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</si>
  <si>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</si>
  <si>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</si>
  <si>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</si>
  <si>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</si>
  <si>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</si>
  <si>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</si>
  <si>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</si>
  <si>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</si>
  <si>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</si>
  <si>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</si>
  <si>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</si>
  <si>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</si>
  <si>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</si>
  <si>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</si>
  <si>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</si>
  <si>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</si>
  <si>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</si>
  <si>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</si>
  <si>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</si>
  <si>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</si>
  <si>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</si>
  <si>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</si>
  <si>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</si>
  <si>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</si>
  <si>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</si>
  <si>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</si>
  <si>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</si>
  <si>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</si>
  <si>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</si>
  <si>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</si>
  <si>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</si>
  <si>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</si>
  <si>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</si>
  <si>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</si>
  <si>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</si>
  <si>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</si>
  <si>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</si>
  <si>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</si>
  <si>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</si>
  <si>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</si>
  <si>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</si>
  <si>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</si>
  <si>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</si>
  <si>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</si>
  <si>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</si>
  <si>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</si>
  <si>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</si>
  <si>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</si>
  <si>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</si>
  <si>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</si>
  <si>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</si>
  <si>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</si>
  <si>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</si>
  <si>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</si>
  <si>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</si>
  <si>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</si>
  <si>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</si>
  <si>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</si>
  <si>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</si>
  <si>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</si>
  <si>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</si>
  <si>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</si>
  <si>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</si>
  <si>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</si>
  <si>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</si>
  <si>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</si>
  <si>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</si>
  <si>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</si>
  <si>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</si>
  <si>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</si>
  <si>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</si>
  <si>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</si>
  <si>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</si>
  <si>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</si>
  <si>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</si>
  <si>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</si>
  <si>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</si>
  <si>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</si>
  <si>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</si>
  <si>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</si>
  <si>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</si>
  <si>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</si>
  <si>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</si>
  <si>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</si>
  <si>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</si>
  <si>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</si>
  <si>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</si>
  <si>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</si>
  <si>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</si>
  <si>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</si>
  <si>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</si>
  <si>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</si>
  <si>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</si>
  <si>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</si>
  <si>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</si>
  <si>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</si>
  <si>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</si>
  <si>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</si>
  <si>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</si>
  <si>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</si>
  <si>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</si>
  <si>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</si>
  <si>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</si>
  <si>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</si>
  <si>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</si>
  <si>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</si>
  <si>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</si>
  <si>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</si>
  <si>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</si>
  <si>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</si>
  <si>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</si>
  <si>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</si>
  <si>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</si>
  <si>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</si>
  <si>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</si>
  <si>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</si>
  <si>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</si>
  <si>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</si>
  <si>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</si>
  <si>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</si>
  <si>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</si>
  <si>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</si>
  <si>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</si>
  <si>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</si>
  <si>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</si>
  <si>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</si>
  <si>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</si>
  <si>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</si>
  <si>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</si>
  <si>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</si>
  <si>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</si>
  <si>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</si>
  <si>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</si>
  <si>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</si>
  <si>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</si>
  <si>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</si>
  <si>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</si>
  <si>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</si>
  <si>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</si>
  <si>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</si>
  <si>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</si>
  <si>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</si>
  <si>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</si>
  <si>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</si>
  <si>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</si>
  <si>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</si>
  <si>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</si>
  <si>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</si>
  <si>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</si>
  <si>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</si>
  <si>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</si>
  <si>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</si>
  <si>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</si>
  <si>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</si>
  <si>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</si>
  <si>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</si>
  <si>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</si>
  <si>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</si>
  <si>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</si>
  <si>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</si>
  <si>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</si>
  <si>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</si>
  <si>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</si>
  <si>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</si>
  <si>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</si>
  <si>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</si>
  <si>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</si>
  <si>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</si>
  <si>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</si>
  <si>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</si>
  <si>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</si>
  <si>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</si>
  <si>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</si>
  <si>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</si>
  <si>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</si>
  <si>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</si>
  <si>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</si>
  <si>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</si>
  <si>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</si>
  <si>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</si>
  <si>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</si>
  <si>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</si>
  <si>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</si>
  <si>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</si>
  <si>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</si>
  <si>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</si>
  <si>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</si>
  <si>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</si>
  <si>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</si>
  <si>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</si>
  <si>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</si>
  <si>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</si>
  <si>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</si>
  <si>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</si>
  <si>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</si>
  <si>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</si>
  <si>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</si>
  <si>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</si>
  <si>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</si>
  <si>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</si>
  <si>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</si>
  <si>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</si>
  <si>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</si>
  <si>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</si>
  <si>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</si>
  <si>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</si>
  <si>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</si>
  <si>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</si>
  <si>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</si>
  <si>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</si>
  <si>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</si>
  <si>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</si>
  <si>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</si>
  <si>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</si>
  <si>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</si>
  <si>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</si>
  <si>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</si>
  <si>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</si>
  <si>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</si>
  <si>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</si>
  <si>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</si>
  <si>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</si>
  <si>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</si>
  <si>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</si>
  <si>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</si>
  <si>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</si>
  <si>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</si>
  <si>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</si>
  <si>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</si>
  <si>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</si>
  <si>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</si>
  <si>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</si>
  <si>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</si>
  <si>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</si>
  <si>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</si>
  <si>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</si>
  <si>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</si>
  <si>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</si>
  <si>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</si>
  <si>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</si>
  <si>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</si>
  <si>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</si>
  <si>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</si>
  <si>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</si>
  <si>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</si>
  <si>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</si>
  <si>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</si>
  <si>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</si>
  <si>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</si>
  <si>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</si>
  <si>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</si>
  <si>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</si>
  <si>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</si>
  <si>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</si>
  <si>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</si>
  <si>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</si>
  <si>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</si>
  <si>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</si>
  <si>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</si>
  <si>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</si>
  <si>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</si>
  <si>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</si>
  <si>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</si>
  <si>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</si>
  <si>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</si>
  <si>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</si>
  <si>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</si>
  <si>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</si>
  <si>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</si>
  <si>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</si>
  <si>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</si>
  <si>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</si>
  <si>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</si>
  <si>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</si>
  <si>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</si>
  <si>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</si>
  <si>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</si>
  <si>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</si>
  <si>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</si>
  <si>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</si>
  <si>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</si>
  <si>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</si>
  <si>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</si>
  <si>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</si>
  <si>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</si>
  <si>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</si>
  <si>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</si>
  <si>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</si>
  <si>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</si>
  <si>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</si>
  <si>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</si>
  <si>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</si>
  <si>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</si>
  <si>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</si>
  <si>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</si>
  <si>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</si>
  <si>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</si>
  <si>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</si>
  <si>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</si>
  <si>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</si>
  <si>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</si>
  <si>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</si>
  <si>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</si>
  <si>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</si>
  <si>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</si>
  <si>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</si>
  <si>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</si>
  <si>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</si>
  <si>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</si>
  <si>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</si>
  <si>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</si>
  <si>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</si>
  <si>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</si>
  <si>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</si>
  <si>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</si>
  <si>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</si>
  <si>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</si>
  <si>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</si>
  <si>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</si>
  <si>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</si>
  <si>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</si>
  <si>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</si>
  <si>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</si>
  <si>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</si>
  <si>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</si>
  <si>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</si>
  <si>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</si>
  <si>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</si>
  <si>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</si>
  <si>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</si>
  <si>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</si>
  <si>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</si>
  <si>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</si>
  <si>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</si>
  <si>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</si>
  <si>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</si>
  <si>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</si>
  <si>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</si>
  <si>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</si>
  <si>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</si>
  <si>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</si>
  <si>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</si>
  <si>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</si>
  <si>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</si>
  <si>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</si>
  <si>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</si>
  <si>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</si>
  <si>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</si>
  <si>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</si>
  <si>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</si>
  <si>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</si>
  <si>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</si>
  <si>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</si>
  <si>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</si>
  <si>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</si>
  <si>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</si>
  <si>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</si>
  <si>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</si>
  <si>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</si>
  <si>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</si>
  <si>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</si>
  <si>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</si>
  <si>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</si>
  <si>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</si>
  <si>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</si>
  <si>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</si>
  <si>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</si>
  <si>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</si>
  <si>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</si>
  <si>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</si>
  <si>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</si>
  <si>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</si>
  <si>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</si>
  <si>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</si>
  <si>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</si>
  <si>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</si>
  <si>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</si>
  <si>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</si>
  <si>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</si>
  <si>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</si>
  <si>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</si>
  <si>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</si>
  <si>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</si>
  <si>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</si>
  <si>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</si>
  <si>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</si>
  <si>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</si>
  <si>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</si>
  <si>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</si>
  <si>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</si>
  <si>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</si>
  <si>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</si>
  <si>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</si>
  <si>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</si>
  <si>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</si>
  <si>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</si>
  <si>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</si>
  <si>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</si>
  <si>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</si>
  <si>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</si>
  <si>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</si>
  <si>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</si>
  <si>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</si>
  <si>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</si>
  <si>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</si>
  <si>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</si>
  <si>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</si>
  <si>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</si>
  <si>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</si>
  <si>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</si>
  <si>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</si>
  <si>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</si>
  <si>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</si>
  <si>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</si>
  <si>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</si>
  <si>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</si>
  <si>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</si>
  <si>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</si>
  <si>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</si>
  <si>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</si>
  <si>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</si>
  <si>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</si>
  <si>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</si>
  <si>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</si>
  <si>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</si>
  <si>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</si>
  <si>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</si>
  <si>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</si>
  <si>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</si>
  <si>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</si>
  <si>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</si>
  <si>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</si>
  <si>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</si>
  <si>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</si>
  <si>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</si>
  <si>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</si>
  <si>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</si>
  <si>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</si>
  <si>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</si>
  <si>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</si>
  <si>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</si>
  <si>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</si>
  <si>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</si>
  <si>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</si>
  <si>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</si>
  <si>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</si>
  <si>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</si>
  <si>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</si>
  <si>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</si>
  <si>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</si>
  <si>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</si>
  <si>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</si>
  <si>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</si>
  <si>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</si>
  <si>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</si>
  <si>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</si>
  <si>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</si>
  <si>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</si>
  <si>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</si>
  <si>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</si>
  <si>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</si>
  <si>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</si>
  <si>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</si>
  <si>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</si>
  <si>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</si>
  <si>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</si>
  <si>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</si>
  <si>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</si>
  <si>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</si>
  <si>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</si>
  <si>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</si>
  <si>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</si>
  <si>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</si>
  <si>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</si>
  <si>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</si>
  <si>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</si>
  <si>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</si>
  <si>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</si>
  <si>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</si>
  <si>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</si>
  <si>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</si>
  <si>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</si>
  <si>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</si>
  <si>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</si>
  <si>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</si>
  <si>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</si>
  <si>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</si>
  <si>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</si>
  <si>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</si>
  <si>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</si>
  <si>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</si>
  <si>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</si>
  <si>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</si>
  <si>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</si>
  <si>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</si>
  <si>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</si>
  <si>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</si>
  <si>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</si>
  <si>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</si>
  <si>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</si>
  <si>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</si>
  <si>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</si>
  <si>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</si>
  <si>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</si>
  <si>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</si>
  <si>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</si>
  <si>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</si>
  <si>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</si>
  <si>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</si>
  <si>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</si>
  <si>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</si>
  <si>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</si>
  <si>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</si>
  <si>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</si>
  <si>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</si>
  <si>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</si>
  <si>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</si>
  <si>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</si>
  <si>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</si>
  <si>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</si>
  <si>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</si>
  <si>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</si>
  <si>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</si>
  <si>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</si>
  <si>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</si>
  <si>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</si>
  <si>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</si>
  <si>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</si>
  <si>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</si>
  <si>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</si>
  <si>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</si>
  <si>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</si>
  <si>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</si>
  <si>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</si>
  <si>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</si>
  <si>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</si>
  <si>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</si>
  <si>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</si>
  <si>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</si>
  <si>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</si>
  <si>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</si>
  <si>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</si>
  <si>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</si>
  <si>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</si>
  <si>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</si>
  <si>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</si>
  <si>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</si>
  <si>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</si>
  <si>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</si>
  <si>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</si>
  <si>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</si>
  <si>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</si>
  <si>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</si>
  <si>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</si>
  <si>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</si>
  <si>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</si>
  <si>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</si>
  <si>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</si>
  <si>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</si>
  <si>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</si>
  <si>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</si>
  <si>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</si>
  <si>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</si>
  <si>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</si>
  <si>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</si>
  <si>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</si>
  <si>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</si>
  <si>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</si>
  <si>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</si>
  <si>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</si>
  <si>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</si>
  <si>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</si>
  <si>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</si>
  <si>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</si>
  <si>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</si>
  <si>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</si>
  <si>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</si>
  <si>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</si>
  <si>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</si>
  <si>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</si>
  <si>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</si>
  <si>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</si>
  <si>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</si>
  <si>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</si>
  <si>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</si>
  <si>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</si>
  <si>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</si>
  <si>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</si>
  <si>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</si>
  <si>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</si>
  <si>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</si>
  <si>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</si>
  <si>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</si>
  <si>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</si>
  <si>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</si>
  <si>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</si>
  <si>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</si>
  <si>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</si>
  <si>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</si>
  <si>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</si>
  <si>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</si>
  <si>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</si>
  <si>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</si>
  <si>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</si>
  <si>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</si>
  <si>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</si>
  <si>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</si>
  <si>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</si>
  <si>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</si>
  <si>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</si>
  <si>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</si>
  <si>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</si>
  <si>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</si>
  <si>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</si>
  <si>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</si>
  <si>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</si>
  <si>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</si>
  <si>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</si>
  <si>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</si>
  <si>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</si>
  <si>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</si>
  <si>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</si>
  <si>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</si>
  <si>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</si>
  <si>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</si>
  <si>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</si>
  <si>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</si>
  <si>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</si>
  <si>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</si>
  <si>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</si>
  <si>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</si>
  <si>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</si>
  <si>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</si>
  <si>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</si>
  <si>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</si>
  <si>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</si>
  <si>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</si>
  <si>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</si>
  <si>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</si>
  <si>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</si>
  <si>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</si>
  <si>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</si>
  <si>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</si>
  <si>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</si>
  <si>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</si>
  <si>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</si>
  <si>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</si>
  <si>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</si>
  <si>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</si>
  <si>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</si>
  <si>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</si>
  <si>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</si>
  <si>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</si>
  <si>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</si>
  <si>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</si>
  <si>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</si>
  <si>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</si>
  <si>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</si>
  <si>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</si>
  <si>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</si>
  <si>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</si>
  <si>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</si>
  <si>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</si>
  <si>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</si>
  <si>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</si>
  <si>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</si>
  <si>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</si>
  <si>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</si>
  <si>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</si>
  <si>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</si>
  <si>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</si>
  <si>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</si>
  <si>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</si>
  <si>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</si>
  <si>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</si>
  <si>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</si>
  <si>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</si>
  <si>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</si>
  <si>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</si>
  <si>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</si>
  <si>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</si>
  <si>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</si>
  <si>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</si>
  <si>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</si>
  <si>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</si>
  <si>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</si>
  <si>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</si>
  <si>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</si>
  <si>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</si>
  <si>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</si>
  <si>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</si>
  <si>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</si>
  <si>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</si>
  <si>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</si>
  <si>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</si>
  <si>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</si>
  <si>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</si>
  <si>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</si>
  <si>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</si>
  <si>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</si>
  <si>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</si>
  <si>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</si>
  <si>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</si>
  <si>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</si>
  <si>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</si>
  <si>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</si>
  <si>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</si>
  <si>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</si>
  <si>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</si>
  <si>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</si>
  <si>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</si>
  <si>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</si>
  <si>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</si>
  <si>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</si>
  <si>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</si>
  <si>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</si>
  <si>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</si>
  <si>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</si>
  <si>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</si>
  <si>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</si>
  <si>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</si>
  <si>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</si>
  <si>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</si>
  <si>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</si>
  <si>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</si>
  <si>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</si>
  <si>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</si>
  <si>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</si>
  <si>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</si>
  <si>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</si>
  <si>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</si>
  <si>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</si>
  <si>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</si>
  <si>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</si>
  <si>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</si>
  <si>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</si>
  <si>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</si>
  <si>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</si>
  <si>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</si>
  <si>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</si>
  <si>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</si>
  <si>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</si>
  <si>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</si>
  <si>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</si>
  <si>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</si>
  <si>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</si>
  <si>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</si>
  <si>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</si>
  <si>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</si>
  <si>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</si>
  <si>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</si>
  <si>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</si>
  <si>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</si>
  <si>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</si>
  <si>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</si>
  <si>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</si>
  <si>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</si>
  <si>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</si>
  <si>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</si>
  <si>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</si>
  <si>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</si>
  <si>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</si>
  <si>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</si>
  <si>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</si>
  <si>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</si>
  <si>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</si>
  <si>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</si>
  <si>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</si>
  <si>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</si>
  <si>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</si>
  <si>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</si>
  <si>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</si>
  <si>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</si>
  <si>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</si>
  <si>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</si>
  <si>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</si>
  <si>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</si>
  <si>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</si>
  <si>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</si>
  <si>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</si>
  <si>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</si>
  <si>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</si>
  <si>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</si>
  <si>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</si>
  <si>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</si>
  <si>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</si>
  <si>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</si>
  <si>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</si>
  <si>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</si>
  <si>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</si>
  <si>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</si>
  <si>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</si>
  <si>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</si>
  <si>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</si>
  <si>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</si>
  <si>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</si>
  <si>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</si>
  <si>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</si>
  <si>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</si>
  <si>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</si>
  <si>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</si>
  <si>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</si>
  <si>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</si>
  <si>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</si>
  <si>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</si>
  <si>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</si>
  <si>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</si>
  <si>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</si>
  <si>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</si>
  <si>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</si>
  <si>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</si>
  <si>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</si>
  <si>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</si>
  <si>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</si>
  <si>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</si>
  <si>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</si>
  <si>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</si>
  <si>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</si>
  <si>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</si>
  <si>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</si>
  <si>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</si>
  <si>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</si>
  <si>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</si>
  <si>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</si>
  <si>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</si>
  <si>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</si>
  <si>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</si>
  <si>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</si>
  <si>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</si>
  <si>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</si>
  <si>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</si>
  <si>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</si>
  <si>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</si>
  <si>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</si>
  <si>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</si>
  <si>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</si>
  <si>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</si>
  <si>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</si>
  <si>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</si>
  <si>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</si>
  <si>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</si>
  <si>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</si>
  <si>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</si>
  <si>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</si>
  <si>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</si>
  <si>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</si>
  <si>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</si>
  <si>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</si>
  <si>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</si>
  <si>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</si>
  <si>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</si>
  <si>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</si>
  <si>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</si>
  <si>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</si>
  <si>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</si>
  <si>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</si>
  <si>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</si>
  <si>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</si>
  <si>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</si>
  <si>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</si>
  <si>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</si>
  <si>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</si>
  <si>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</si>
  <si>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</si>
  <si>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</si>
  <si>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</si>
  <si>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</si>
  <si>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</si>
  <si>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</si>
  <si>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</si>
  <si>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</si>
  <si>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</si>
  <si>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</si>
  <si>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</si>
  <si>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</si>
  <si>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</si>
  <si>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</si>
  <si>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</si>
  <si>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</si>
  <si>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</si>
  <si>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</si>
  <si>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</si>
  <si>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</si>
  <si>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</si>
  <si>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</si>
  <si>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</si>
  <si>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</si>
  <si>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</si>
  <si>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</si>
  <si>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</si>
  <si>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</si>
  <si>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</si>
  <si>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</si>
  <si>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</si>
  <si>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</si>
  <si>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</si>
  <si>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</si>
  <si>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</si>
  <si>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</si>
  <si>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</si>
  <si>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</si>
  <si>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</si>
  <si>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</si>
  <si>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</si>
  <si>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</si>
  <si>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</si>
  <si>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</si>
  <si>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</si>
  <si>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</si>
  <si>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</si>
  <si>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</si>
  <si>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</si>
  <si>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</si>
  <si>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</si>
  <si>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</si>
  <si>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</si>
  <si>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</si>
  <si>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</si>
  <si>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</si>
  <si>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</si>
  <si>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</si>
  <si>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</si>
  <si>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</si>
  <si>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</si>
  <si>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</si>
  <si>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</si>
  <si>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</si>
  <si>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</si>
  <si>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</si>
  <si>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</si>
  <si>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</si>
  <si>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</si>
  <si>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</si>
  <si>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</si>
  <si>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</si>
  <si>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</si>
  <si>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</si>
  <si>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</si>
  <si>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</si>
  <si>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</si>
  <si>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</si>
  <si>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</si>
  <si>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</si>
  <si>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</si>
  <si>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</si>
  <si>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</si>
  <si>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</si>
  <si>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</si>
  <si>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</si>
  <si>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</si>
  <si>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</si>
  <si>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</si>
  <si>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</si>
  <si>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</si>
  <si>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</si>
  <si>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</si>
  <si>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</si>
  <si>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</si>
  <si>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</si>
  <si>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</si>
  <si>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</si>
  <si>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</si>
  <si>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</si>
  <si>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</si>
  <si>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</si>
  <si>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</si>
  <si>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</si>
  <si>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</si>
  <si>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</si>
  <si>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</si>
  <si>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</si>
  <si>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</si>
  <si>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</si>
  <si>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</si>
  <si>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</si>
  <si>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</si>
  <si>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</si>
  <si>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</si>
  <si>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</si>
  <si>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</si>
  <si>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</si>
  <si>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</si>
  <si>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</si>
  <si>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</si>
  <si>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</si>
  <si>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</si>
  <si>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</si>
  <si>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</si>
  <si>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</si>
  <si>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</si>
  <si>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</si>
  <si>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</si>
  <si>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</si>
  <si>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</si>
  <si>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</si>
  <si>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</si>
  <si>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</si>
  <si>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</si>
  <si>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</si>
  <si>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</si>
  <si>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</si>
  <si>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</si>
  <si>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</si>
  <si>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</si>
  <si>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</si>
  <si>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</si>
  <si>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</si>
  <si>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</si>
  <si>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</si>
  <si>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</si>
  <si>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</si>
  <si>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</si>
  <si>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</si>
  <si>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</si>
  <si>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</si>
  <si>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</si>
  <si>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</si>
  <si>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</si>
  <si>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</si>
  <si>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</si>
  <si>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</si>
  <si>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</si>
  <si>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</si>
  <si>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</si>
  <si>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</si>
  <si>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</si>
  <si>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</si>
  <si>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</si>
  <si>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</si>
  <si>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</si>
  <si>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</si>
  <si>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</si>
  <si>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</si>
  <si>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</si>
  <si>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</si>
  <si>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</si>
  <si>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</si>
  <si>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</si>
  <si>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</si>
  <si>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</si>
  <si>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</si>
  <si>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</si>
  <si>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</si>
  <si>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</si>
  <si>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</si>
  <si>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</si>
  <si>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</si>
  <si>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</si>
  <si>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</si>
  <si>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</si>
  <si>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</si>
  <si>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</si>
  <si>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</si>
  <si>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</si>
  <si>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</si>
  <si>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</si>
  <si>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</si>
  <si>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</si>
  <si>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</si>
  <si>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</si>
  <si>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</si>
  <si>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</si>
  <si>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</si>
  <si>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</si>
  <si>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</si>
  <si>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</si>
  <si>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</si>
  <si>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</si>
  <si>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</si>
  <si>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</si>
  <si>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</si>
  <si>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</si>
  <si>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</si>
  <si>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</si>
  <si>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</si>
  <si>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</si>
  <si>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</si>
  <si>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</si>
  <si>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</si>
  <si>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</si>
  <si>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</si>
  <si>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</si>
  <si>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</si>
  <si>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</si>
  <si>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</si>
  <si>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</si>
  <si>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</si>
  <si>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</si>
  <si>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</si>
  <si>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</si>
  <si>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</si>
  <si>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</si>
  <si>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</si>
  <si>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</si>
  <si>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</si>
  <si>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</si>
  <si>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</si>
  <si>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</si>
  <si>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</si>
  <si>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</si>
  <si>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</si>
  <si>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</si>
  <si>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</si>
  <si>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</si>
  <si>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</si>
  <si>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</si>
  <si>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</si>
  <si>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</si>
  <si>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</si>
  <si>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</si>
  <si>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</si>
  <si>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</si>
  <si>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</si>
  <si>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</si>
  <si>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</si>
  <si>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</si>
  <si>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</si>
  <si>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</si>
  <si>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</si>
  <si>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</si>
  <si>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</si>
  <si>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</si>
  <si>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</si>
  <si>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</si>
  <si>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</si>
  <si>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</si>
  <si>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</si>
  <si>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</si>
  <si>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</si>
  <si>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</si>
  <si>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</si>
  <si>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</si>
  <si>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</si>
  <si>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</si>
  <si>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</si>
  <si>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</si>
  <si>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</si>
  <si>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</si>
  <si>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</si>
  <si>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</si>
  <si>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</si>
  <si>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</si>
  <si>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</si>
  <si>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</si>
  <si>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</si>
  <si>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</si>
  <si>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</si>
  <si>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</si>
  <si>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</si>
  <si>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</si>
  <si>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</si>
  <si>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</si>
  <si>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</si>
  <si>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</si>
  <si>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</si>
  <si>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</si>
  <si>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</si>
  <si>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</si>
  <si>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</si>
  <si>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</si>
  <si>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</si>
  <si>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</si>
  <si>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</si>
  <si>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</si>
  <si>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</si>
  <si>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</si>
  <si>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</si>
  <si>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</si>
  <si>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</si>
  <si>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</si>
  <si>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</si>
  <si>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</si>
  <si>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</si>
  <si>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</si>
  <si>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</si>
  <si>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</si>
  <si>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</si>
  <si>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</si>
  <si>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</si>
  <si>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</si>
  <si>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</si>
  <si>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</si>
  <si>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</si>
  <si>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</si>
  <si>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</si>
  <si>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</si>
  <si>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</si>
  <si>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</si>
  <si>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</si>
  <si>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</si>
  <si>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</si>
  <si>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</si>
  <si>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</si>
  <si>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</si>
  <si>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</si>
  <si>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</si>
  <si>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</si>
  <si>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</si>
  <si>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</si>
  <si>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</si>
  <si>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</si>
  <si>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</si>
  <si>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</si>
  <si>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</si>
  <si>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</si>
  <si>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</si>
  <si>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</si>
  <si>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</si>
  <si>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</si>
  <si>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</si>
  <si>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</si>
  <si>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</si>
  <si>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</si>
  <si>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</si>
  <si>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</si>
  <si>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</si>
  <si>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</si>
  <si>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</si>
  <si>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</si>
  <si>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</si>
  <si>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</si>
  <si>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</si>
  <si>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</si>
  <si>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</si>
  <si>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</si>
  <si>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</si>
  <si>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</si>
  <si>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</si>
  <si>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</si>
  <si>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</si>
  <si>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</si>
  <si>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</si>
  <si>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</si>
  <si>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</si>
  <si>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</si>
  <si>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</si>
  <si>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</si>
  <si>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</si>
  <si>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</si>
  <si>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</si>
  <si>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</si>
  <si>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</si>
  <si>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</si>
  <si>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</si>
  <si>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</si>
  <si>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</si>
  <si>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</si>
  <si>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</si>
  <si>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</si>
  <si>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</si>
  <si>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</si>
  <si>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</si>
  <si>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</si>
  <si>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</si>
  <si>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</si>
  <si>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</si>
  <si>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</si>
  <si>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</si>
  <si>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</si>
  <si>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</si>
  <si>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</si>
  <si>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</si>
  <si>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</si>
  <si>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</si>
  <si>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</si>
  <si>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</si>
  <si>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</si>
  <si>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</si>
  <si>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</si>
  <si>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</si>
  <si>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</si>
  <si>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</si>
  <si>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</si>
  <si>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</si>
  <si>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</si>
  <si>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</si>
  <si>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</si>
  <si>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</si>
  <si>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</si>
  <si>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</si>
  <si>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</si>
  <si>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</si>
  <si>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</si>
  <si>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</si>
  <si>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</si>
  <si>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</si>
  <si>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</si>
  <si>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</si>
  <si>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</si>
  <si>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</si>
  <si>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</si>
  <si>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</si>
  <si>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</si>
  <si>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</si>
  <si>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</si>
  <si>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</si>
  <si>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</si>
  <si>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</si>
  <si>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</si>
  <si>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</si>
  <si>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</si>
  <si>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</si>
  <si>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</si>
  <si>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</si>
  <si>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</si>
  <si>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</si>
  <si>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</si>
  <si>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</si>
  <si>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</si>
  <si>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</si>
  <si>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</si>
  <si>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</si>
  <si>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</si>
  <si>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</si>
  <si>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</si>
  <si>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</si>
  <si>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</si>
  <si>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</si>
  <si>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</si>
  <si>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</si>
  <si>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</si>
  <si>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</si>
  <si>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</si>
  <si>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</si>
  <si>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</si>
  <si>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</si>
  <si>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</si>
  <si>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</si>
  <si>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</si>
  <si>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</si>
  <si>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</si>
  <si>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</si>
  <si>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</si>
  <si>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</si>
  <si>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</si>
  <si>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</si>
  <si>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</si>
  <si>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</si>
  <si>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</si>
  <si>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</si>
  <si>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</si>
  <si>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</si>
  <si>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</si>
  <si>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</si>
  <si>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</si>
  <si>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</si>
  <si>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</si>
  <si>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</si>
  <si>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</si>
  <si>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</si>
  <si>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</si>
  <si>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</si>
  <si>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</si>
  <si>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</si>
  <si>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</si>
  <si>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</si>
  <si>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</si>
  <si>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</si>
  <si>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</si>
  <si>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</si>
  <si>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</si>
  <si>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</si>
  <si>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</si>
  <si>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</si>
  <si>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</si>
  <si>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</si>
  <si>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</si>
  <si>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</si>
  <si>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</si>
  <si>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</si>
  <si>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</si>
  <si>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</si>
  <si>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</si>
  <si>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</si>
  <si>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</si>
  <si>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</si>
  <si>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</si>
  <si>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</si>
  <si>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</si>
  <si>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</si>
  <si>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</si>
  <si>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</si>
  <si>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</si>
  <si>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</si>
  <si>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</si>
  <si>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</si>
  <si>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</si>
  <si>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</si>
  <si>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</si>
  <si>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</si>
  <si>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</si>
  <si>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</si>
  <si>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</si>
  <si>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</si>
  <si>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</si>
  <si>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</si>
  <si>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</si>
  <si>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</si>
  <si>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</si>
  <si>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</si>
  <si>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</si>
  <si>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</si>
  <si>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</si>
  <si>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</si>
  <si>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</si>
  <si>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</si>
  <si>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</si>
  <si>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</si>
  <si>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</si>
  <si>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</si>
  <si>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</si>
  <si>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</si>
  <si>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</si>
  <si>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</si>
  <si>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</si>
  <si>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</si>
  <si>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</si>
  <si>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</si>
  <si>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</si>
  <si>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</si>
  <si>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</si>
  <si>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</si>
  <si>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</si>
  <si>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</si>
  <si>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</si>
  <si>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</si>
  <si>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</si>
  <si>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</si>
  <si>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</si>
  <si>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</si>
  <si>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</si>
  <si>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</si>
  <si>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</si>
  <si>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</si>
  <si>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</si>
  <si>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</si>
  <si>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</si>
  <si>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</si>
  <si>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</si>
  <si>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</si>
  <si>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</si>
  <si>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</si>
  <si>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</si>
  <si>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</si>
  <si>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</si>
  <si>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</si>
  <si>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</si>
  <si>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</si>
  <si>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</si>
  <si>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</si>
  <si>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</si>
  <si>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</si>
  <si>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</si>
  <si>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</si>
  <si>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</si>
  <si>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</si>
  <si>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</si>
  <si>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</si>
  <si>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</si>
  <si>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</si>
  <si>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</si>
  <si>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</si>
  <si>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</si>
  <si>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</si>
  <si>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</si>
  <si>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</si>
  <si>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</si>
  <si>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</si>
  <si>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</si>
  <si>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</si>
  <si>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</si>
  <si>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</si>
  <si>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</si>
  <si>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</si>
  <si>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</si>
  <si>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</si>
  <si>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</si>
  <si>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</si>
  <si>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</si>
  <si>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</si>
  <si>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</si>
  <si>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</si>
  <si>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</si>
  <si>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</si>
  <si>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</si>
  <si>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</si>
  <si>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</si>
  <si>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</si>
  <si>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</si>
  <si>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</si>
  <si>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</si>
  <si>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</si>
  <si>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</si>
  <si>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</si>
  <si>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</si>
  <si>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</si>
  <si>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</si>
  <si>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</si>
  <si>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</si>
  <si>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</si>
  <si>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</si>
  <si>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</si>
  <si>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</si>
  <si>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</si>
  <si>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</si>
  <si>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</si>
  <si>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</si>
  <si>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</si>
  <si>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</si>
  <si>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</si>
  <si>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</si>
  <si>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</si>
  <si>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</si>
  <si>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</si>
  <si>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</si>
  <si>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</si>
  <si>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</si>
  <si>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</si>
  <si>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</si>
  <si>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</si>
  <si>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</si>
  <si>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</si>
  <si>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</si>
  <si>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</si>
  <si>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</si>
  <si>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</si>
  <si>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</si>
  <si>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</si>
  <si>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</si>
  <si>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</si>
  <si>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</si>
  <si>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</si>
  <si>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</si>
  <si>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</si>
  <si>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</si>
  <si>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</si>
  <si>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</si>
  <si>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</si>
  <si>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</si>
  <si>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</si>
  <si>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</si>
  <si>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</si>
  <si>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</si>
  <si>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</si>
  <si>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</si>
  <si>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</si>
  <si>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</si>
  <si>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</si>
  <si>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</si>
  <si>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</si>
  <si>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</si>
  <si>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</si>
  <si>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</si>
  <si>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</si>
  <si>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</si>
  <si>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</si>
  <si>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</si>
  <si>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</si>
  <si>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</si>
  <si>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</si>
  <si>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</si>
  <si>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</si>
  <si>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</si>
  <si>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</si>
  <si>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</si>
  <si>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</si>
  <si>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</si>
  <si>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</si>
  <si>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</si>
  <si>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</si>
  <si>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</si>
  <si>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</si>
  <si>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</si>
  <si>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</si>
  <si>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</si>
  <si>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</si>
  <si>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</si>
  <si>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</si>
  <si>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</si>
  <si>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</si>
  <si>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</si>
  <si>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</si>
  <si>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</si>
  <si>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</si>
  <si>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</si>
  <si>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</si>
  <si>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</si>
  <si>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</si>
  <si>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</si>
  <si>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</si>
  <si>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</si>
  <si>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</si>
  <si>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</si>
  <si>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</si>
  <si>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</si>
  <si>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</si>
  <si>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</si>
  <si>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</si>
  <si>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</si>
  <si>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</si>
  <si>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</si>
  <si>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</si>
  <si>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</si>
  <si>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</si>
  <si>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</si>
  <si>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</si>
  <si>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</si>
  <si>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</si>
  <si>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</si>
  <si>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</si>
  <si>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</si>
  <si>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</si>
  <si>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</si>
  <si>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</si>
  <si>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</si>
  <si>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</si>
  <si>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</si>
  <si>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</si>
  <si>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</si>
  <si>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</si>
  <si>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</si>
  <si>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</si>
  <si>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</si>
  <si>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</si>
  <si>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</si>
  <si>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</si>
  <si>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</si>
  <si>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</si>
  <si>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</si>
  <si>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</si>
  <si>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</si>
  <si>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</si>
  <si>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</si>
  <si>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</si>
  <si>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</si>
  <si>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</si>
  <si>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</si>
  <si>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</si>
  <si>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</si>
  <si>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</si>
  <si>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</si>
  <si>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</si>
  <si>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</si>
  <si>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</si>
  <si>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</si>
  <si>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</si>
  <si>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</si>
  <si>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</si>
  <si>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</si>
  <si>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</si>
  <si>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</si>
  <si>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</si>
  <si>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</si>
  <si>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</si>
  <si>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</si>
  <si>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</si>
  <si>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</si>
  <si>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</si>
  <si>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</si>
  <si>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</si>
  <si>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</si>
  <si>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</si>
  <si>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</si>
  <si>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</si>
  <si>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</si>
  <si>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</si>
  <si>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</si>
  <si>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</si>
  <si>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</si>
  <si>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</si>
  <si>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</si>
  <si>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</si>
  <si>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</si>
  <si>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</si>
  <si>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</si>
  <si>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</si>
  <si>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</si>
  <si>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</si>
  <si>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</si>
  <si>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</si>
  <si>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</si>
  <si>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</si>
  <si>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</si>
  <si>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</si>
  <si>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</si>
  <si>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</si>
  <si>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</si>
  <si>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</si>
  <si>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</si>
  <si>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</si>
  <si>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</si>
  <si>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</si>
  <si>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</si>
  <si>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</si>
  <si>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</si>
  <si>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</si>
  <si>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</si>
  <si>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</si>
  <si>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</si>
  <si>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</si>
  <si>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</si>
  <si>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</si>
  <si>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</si>
  <si>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</si>
  <si>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</si>
  <si>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</si>
  <si>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</si>
  <si>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</si>
  <si>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</si>
  <si>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</si>
  <si>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</si>
  <si>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</si>
  <si>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</si>
  <si>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</si>
  <si>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</si>
  <si>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</si>
  <si>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</si>
  <si>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</si>
  <si>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</si>
  <si>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</si>
  <si>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</si>
  <si>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</si>
  <si>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</si>
  <si>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</si>
  <si>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</si>
  <si>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</si>
  <si>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</si>
  <si>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</si>
  <si>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</si>
  <si>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</si>
  <si>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</si>
  <si>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</si>
  <si>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</si>
  <si>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</si>
  <si>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</si>
  <si>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</si>
  <si>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</si>
  <si>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</si>
  <si>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</si>
  <si>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</si>
  <si>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</si>
  <si>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</si>
  <si>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</si>
  <si>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</si>
  <si>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</si>
  <si>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</si>
  <si>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</si>
  <si>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</si>
  <si>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</si>
  <si>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</si>
  <si>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</si>
  <si>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</si>
  <si>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</si>
  <si>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</si>
  <si>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</si>
  <si>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</si>
  <si>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</si>
  <si>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</si>
  <si>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</si>
  <si>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</si>
  <si>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</si>
  <si>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</si>
  <si>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</si>
  <si>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</si>
  <si>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</si>
  <si>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</si>
  <si>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</si>
  <si>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</si>
  <si>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</si>
  <si>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</si>
  <si>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</si>
  <si>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</si>
  <si>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</si>
  <si>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</si>
  <si>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</si>
  <si>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</si>
  <si>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</si>
  <si>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</si>
  <si>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</si>
  <si>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</si>
  <si>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</si>
  <si>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</si>
  <si>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</si>
  <si>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</si>
  <si>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</si>
  <si>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</si>
  <si>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</si>
  <si>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</si>
  <si>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</si>
  <si>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</si>
  <si>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</si>
  <si>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</si>
  <si>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</si>
  <si>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</si>
  <si>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</si>
  <si>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</si>
  <si>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</si>
  <si>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</si>
  <si>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</si>
  <si>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</si>
  <si>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</si>
  <si>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</si>
  <si>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</si>
  <si>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</si>
  <si>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</si>
  <si>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</si>
  <si>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</si>
  <si>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</si>
  <si>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</si>
  <si>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</si>
  <si>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</si>
  <si>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</si>
  <si>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</si>
  <si>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</si>
  <si>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</si>
  <si>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</si>
  <si>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</si>
  <si>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</si>
  <si>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</si>
  <si>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</si>
  <si>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</si>
  <si>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</si>
  <si>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</si>
  <si>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</si>
  <si>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</si>
  <si>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</si>
  <si>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</si>
  <si>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</si>
  <si>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</si>
  <si>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</si>
  <si>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</si>
  <si>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</si>
  <si>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</si>
  <si>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</si>
  <si>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</si>
  <si>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</si>
  <si>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</si>
  <si>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</si>
  <si>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</si>
  <si>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</si>
  <si>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</si>
  <si>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</si>
  <si>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</si>
  <si>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</si>
  <si>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</si>
  <si>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</si>
  <si>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</si>
  <si>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</si>
  <si>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</si>
  <si>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</si>
  <si>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</si>
  <si>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</si>
  <si>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</si>
  <si>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</si>
  <si>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</si>
  <si>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</si>
  <si>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</si>
  <si>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</si>
  <si>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</si>
  <si>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</si>
  <si>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</si>
  <si>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</si>
  <si>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</si>
  <si>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</si>
  <si>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</si>
  <si>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</si>
  <si>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</si>
  <si>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</si>
  <si>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</si>
  <si>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</si>
  <si>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</si>
  <si>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</si>
  <si>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</si>
  <si>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</si>
  <si>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</si>
  <si>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</si>
  <si>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</si>
  <si>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</si>
  <si>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</si>
  <si>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</si>
  <si>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</si>
  <si>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</si>
  <si>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</si>
  <si>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</si>
  <si>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</si>
  <si>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</si>
  <si>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</si>
  <si>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</si>
  <si>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</si>
  <si>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</si>
  <si>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</si>
  <si>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</si>
  <si>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</si>
  <si>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</si>
  <si>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</si>
  <si>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</si>
  <si>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</si>
  <si>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</si>
  <si>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</si>
  <si>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</si>
  <si>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</si>
  <si>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</si>
  <si>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</si>
  <si>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</si>
  <si>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</si>
  <si>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</si>
  <si>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</si>
  <si>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</si>
  <si>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</si>
  <si>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</si>
  <si>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</si>
  <si>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</si>
  <si>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</si>
  <si>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</si>
  <si>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</si>
  <si>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</si>
  <si>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</si>
  <si>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</si>
  <si>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</si>
  <si>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</si>
  <si>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</si>
  <si>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</si>
  <si>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</si>
  <si>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</si>
  <si>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</si>
  <si>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</si>
  <si>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</si>
  <si>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</si>
  <si>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</si>
  <si>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</si>
  <si>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</si>
  <si>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</si>
  <si>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</si>
  <si>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</si>
  <si>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</si>
  <si>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</si>
  <si>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</si>
  <si>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</si>
  <si>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</si>
  <si>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</si>
  <si>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</si>
  <si>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</si>
  <si>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</si>
  <si>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</si>
  <si>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</si>
  <si>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</si>
  <si>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</si>
  <si>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</si>
  <si>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</si>
  <si>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</si>
  <si>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</si>
  <si>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</si>
  <si>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</si>
  <si>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</si>
  <si>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</si>
  <si>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</si>
  <si>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</si>
  <si>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</si>
  <si>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</si>
  <si>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</si>
  <si>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</si>
  <si>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</si>
  <si>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</si>
  <si>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</si>
  <si>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</si>
  <si>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</si>
  <si>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</si>
  <si>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</si>
  <si>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</si>
  <si>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</si>
  <si>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</si>
  <si>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</si>
  <si>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</si>
  <si>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</si>
  <si>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</si>
  <si>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</si>
  <si>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</si>
  <si>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</si>
  <si>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</si>
  <si>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</si>
  <si>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</si>
  <si>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</si>
  <si>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</si>
  <si>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</si>
  <si>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</si>
  <si>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</si>
  <si>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</si>
  <si>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</si>
  <si>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</si>
  <si>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</si>
  <si>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</si>
  <si>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</si>
  <si>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</si>
  <si>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</si>
  <si>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</si>
  <si>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</si>
  <si>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</si>
  <si>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</si>
  <si>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</si>
  <si>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</si>
  <si>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</si>
  <si>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</si>
  <si>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</si>
  <si>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</si>
  <si>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</si>
  <si>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</si>
  <si>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</si>
  <si>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</si>
  <si>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</si>
  <si>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</si>
  <si>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</si>
  <si>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</si>
  <si>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</si>
  <si>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</si>
  <si>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</si>
  <si>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</si>
  <si>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</si>
  <si>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</si>
  <si>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</si>
  <si>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</si>
  <si>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</si>
  <si>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</si>
  <si>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</si>
  <si>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</si>
  <si>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</si>
  <si>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</si>
  <si>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</si>
  <si>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</si>
  <si>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</si>
  <si>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</si>
  <si>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</si>
  <si>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</si>
  <si>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</si>
  <si>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</si>
  <si>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</si>
  <si>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</si>
  <si>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</si>
  <si>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</si>
  <si>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</si>
  <si>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</si>
  <si>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</si>
  <si>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</si>
  <si>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</si>
  <si>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</si>
  <si>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</si>
  <si>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</si>
  <si>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</si>
  <si>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</si>
  <si>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</si>
  <si>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</si>
  <si>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</si>
  <si>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</si>
  <si>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</si>
  <si>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</si>
  <si>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</si>
  <si>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</si>
  <si>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</si>
  <si>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</si>
  <si>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</si>
  <si>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</si>
  <si>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</si>
  <si>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</si>
  <si>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</si>
  <si>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</si>
  <si>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</si>
  <si>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</si>
  <si>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</si>
  <si>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</si>
  <si>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</si>
  <si>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</si>
  <si>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</si>
  <si>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</si>
  <si>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</si>
  <si>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</si>
  <si>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</si>
  <si>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</si>
  <si>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</si>
  <si>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</si>
  <si>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</si>
  <si>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</si>
  <si>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</si>
  <si>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</si>
  <si>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</si>
  <si>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</si>
  <si>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</si>
  <si>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</si>
  <si>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</si>
  <si>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</si>
  <si>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</si>
  <si>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</si>
  <si>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</si>
  <si>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</si>
  <si>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</si>
  <si>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</si>
  <si>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</si>
  <si>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</si>
  <si>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</si>
  <si>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</si>
  <si>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</si>
  <si>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</si>
  <si>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</si>
  <si>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</si>
  <si>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</si>
  <si>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</si>
  <si>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</si>
  <si>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</si>
  <si>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</si>
  <si>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</si>
  <si>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</si>
  <si>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</si>
  <si>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</si>
  <si>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</si>
  <si>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</si>
  <si>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</si>
  <si>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</si>
  <si>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</si>
  <si>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</si>
  <si>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</si>
  <si>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</si>
  <si>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</si>
  <si>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</si>
  <si>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</si>
  <si>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</si>
  <si>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</si>
  <si>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</si>
  <si>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</si>
  <si>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</si>
  <si>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</si>
  <si>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</si>
  <si>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</si>
  <si>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</si>
  <si>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</si>
  <si>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</si>
  <si>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</si>
  <si>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</si>
  <si>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</si>
  <si>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</si>
  <si>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</si>
  <si>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</si>
  <si>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</si>
  <si>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</si>
  <si>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</si>
  <si>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</si>
  <si>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</si>
  <si>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</si>
  <si>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</si>
  <si>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</si>
  <si>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</si>
  <si>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</si>
  <si>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</si>
  <si>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</si>
  <si>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</si>
  <si>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</si>
  <si>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</si>
  <si>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</si>
  <si>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</si>
  <si>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</si>
  <si>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</si>
  <si>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</si>
  <si>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</si>
  <si>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</si>
  <si>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</si>
  <si>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</si>
  <si>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</si>
  <si>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</si>
  <si>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</si>
  <si>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</si>
  <si>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</si>
  <si>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</si>
  <si>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</si>
  <si>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</si>
  <si>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</si>
  <si>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</si>
  <si>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</si>
  <si>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</si>
  <si>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</si>
  <si>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</si>
  <si>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</si>
  <si>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</si>
  <si>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</si>
  <si>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</si>
  <si>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</si>
  <si>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</si>
  <si>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</si>
  <si>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</si>
  <si>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</si>
  <si>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</si>
  <si>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</si>
  <si>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</si>
  <si>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</si>
  <si>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</si>
  <si>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</si>
  <si>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</si>
  <si>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</si>
  <si>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</si>
  <si>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</si>
  <si>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</si>
  <si>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</si>
  <si>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</si>
  <si>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</si>
  <si>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</si>
  <si>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</si>
  <si>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</si>
  <si>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</si>
  <si>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</si>
  <si>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</si>
  <si>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</si>
  <si>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</si>
  <si>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</si>
  <si>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</si>
  <si>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</si>
  <si>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</si>
  <si>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</si>
  <si>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</si>
  <si>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</si>
  <si>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</si>
  <si>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</si>
  <si>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</si>
  <si>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</si>
  <si>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</si>
  <si>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</si>
  <si>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</si>
  <si>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</si>
  <si>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</si>
  <si>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</si>
  <si>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</si>
  <si>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</si>
  <si>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</si>
  <si>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</si>
  <si>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</si>
  <si>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</si>
  <si>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</si>
  <si>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</si>
  <si>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</si>
  <si>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</si>
  <si>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</si>
  <si>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</si>
  <si>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</si>
  <si>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</si>
  <si>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</si>
  <si>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</si>
  <si>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</si>
  <si>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</si>
  <si>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</si>
  <si>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</si>
  <si>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</si>
  <si>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</si>
  <si>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</si>
  <si>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</si>
  <si>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</si>
  <si>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</si>
  <si>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</si>
  <si>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</si>
  <si>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</si>
  <si>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</si>
  <si>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</si>
  <si>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</si>
  <si>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</si>
  <si>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</si>
  <si>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</si>
  <si>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</si>
  <si>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</si>
  <si>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</si>
  <si>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</si>
  <si>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</si>
  <si>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</si>
  <si>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</si>
  <si>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</si>
  <si>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</si>
  <si>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</si>
  <si>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</si>
  <si>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</si>
  <si>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</si>
  <si>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</si>
  <si>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</si>
  <si>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</si>
  <si>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</si>
  <si>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</si>
  <si>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</si>
  <si>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</si>
  <si>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</si>
  <si>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</si>
  <si>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</si>
  <si>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</si>
  <si>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</si>
  <si>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</si>
  <si>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</si>
  <si>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</si>
  <si>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</si>
  <si>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</si>
  <si>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</si>
  <si>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</si>
  <si>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</si>
  <si>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</si>
  <si>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</si>
  <si>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</si>
  <si>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</si>
  <si>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</si>
  <si>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</si>
  <si>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</si>
  <si>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</si>
  <si>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</si>
  <si>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</si>
  <si>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</si>
  <si>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</si>
  <si>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</si>
  <si>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</si>
  <si>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</si>
  <si>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</si>
  <si>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</si>
  <si>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</si>
  <si>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</si>
  <si>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</si>
  <si>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</si>
  <si>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</si>
  <si>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</si>
  <si>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</si>
  <si>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</si>
  <si>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</si>
  <si>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</si>
  <si>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</si>
  <si>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</si>
  <si>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</si>
  <si>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</si>
  <si>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</si>
  <si>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</si>
  <si>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</si>
  <si>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</si>
  <si>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</si>
  <si>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</si>
  <si>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</si>
  <si>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</si>
  <si>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</si>
  <si>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</si>
  <si>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</si>
  <si>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</si>
  <si>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</si>
  <si>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</si>
  <si>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</si>
  <si>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</si>
  <si>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</si>
  <si>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</si>
  <si>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</si>
  <si>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</si>
  <si>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</si>
  <si>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</si>
  <si>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</si>
  <si>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</si>
  <si>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</si>
  <si>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</si>
  <si>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</si>
  <si>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</si>
  <si>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</si>
  <si>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</si>
  <si>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</si>
  <si>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</si>
  <si>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</si>
  <si>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</si>
  <si>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</si>
  <si>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</si>
  <si>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</si>
  <si>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</si>
  <si>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</si>
  <si>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</si>
  <si>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</si>
  <si>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</si>
  <si>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</si>
  <si>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</si>
  <si>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</si>
  <si>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</si>
  <si>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</si>
  <si>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</si>
  <si>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</si>
  <si>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</si>
  <si>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</si>
  <si>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</si>
  <si>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</si>
  <si>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</si>
  <si>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</si>
  <si>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</si>
  <si>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</si>
  <si>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</si>
  <si>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</si>
  <si>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</si>
  <si>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</si>
  <si>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</si>
  <si>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</si>
  <si>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</si>
  <si>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</si>
  <si>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</si>
  <si>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</si>
  <si>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</si>
  <si>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</si>
  <si>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</si>
  <si>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</si>
  <si>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</si>
  <si>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</si>
  <si>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</si>
  <si>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</si>
  <si>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</si>
  <si>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</si>
  <si>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</si>
  <si>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</si>
  <si>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</si>
  <si>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</si>
  <si>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</si>
  <si>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</si>
  <si>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</si>
  <si>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</si>
  <si>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</si>
  <si>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</si>
  <si>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</si>
  <si>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</si>
  <si>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</si>
  <si>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</si>
  <si>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</si>
  <si>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</si>
  <si>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</si>
  <si>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</si>
  <si>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</si>
  <si>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</si>
  <si>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</si>
  <si>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</si>
  <si>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</si>
  <si>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</si>
  <si>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</si>
  <si>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</si>
  <si>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</si>
  <si>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</si>
  <si>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</si>
  <si>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</si>
  <si>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</si>
  <si>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</si>
  <si>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</si>
  <si>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</si>
  <si>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</si>
  <si>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</si>
  <si>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</si>
  <si>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</si>
  <si>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</si>
  <si>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</si>
  <si>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</si>
  <si>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</si>
  <si>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</si>
  <si>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</si>
  <si>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</si>
  <si>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</si>
  <si>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</si>
  <si>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</si>
  <si>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</si>
  <si>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</si>
  <si>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</si>
  <si>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</si>
  <si>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</si>
  <si>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</si>
  <si>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</si>
  <si>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</si>
  <si>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</si>
  <si>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</si>
  <si>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</si>
  <si>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</si>
  <si>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</si>
  <si>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</si>
  <si>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</si>
  <si>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</si>
  <si>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</si>
  <si>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</si>
  <si>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</si>
  <si>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</si>
  <si>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</si>
  <si>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</si>
  <si>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</si>
  <si>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</si>
  <si>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</si>
  <si>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</si>
  <si>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</si>
  <si>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</si>
  <si>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</si>
  <si>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</si>
  <si>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</si>
  <si>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</si>
  <si>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</si>
  <si>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</si>
  <si>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</si>
  <si>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</si>
  <si>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</si>
  <si>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</si>
  <si>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</si>
  <si>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</si>
  <si>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</si>
  <si>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</si>
  <si>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</si>
  <si>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</si>
  <si>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</si>
  <si>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</si>
  <si>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</si>
  <si>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</si>
  <si>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</si>
  <si>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</si>
  <si>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</si>
  <si>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</si>
  <si>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</si>
  <si>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</si>
  <si>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</si>
  <si>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</si>
  <si>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</si>
  <si>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</si>
  <si>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</si>
  <si>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</si>
  <si>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</si>
  <si>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</si>
  <si>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</si>
  <si>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</si>
  <si>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</si>
  <si>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</si>
  <si>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</si>
  <si>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</si>
  <si>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</si>
  <si>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</si>
  <si>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</si>
  <si>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</si>
  <si>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</si>
  <si>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</si>
  <si>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</si>
  <si>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</si>
  <si>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</si>
  <si>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</si>
  <si>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</si>
  <si>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</si>
  <si>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</si>
  <si>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</si>
  <si>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</si>
  <si>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</si>
  <si>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</si>
  <si>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</si>
  <si>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</si>
  <si>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</si>
  <si>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</si>
  <si>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</si>
  <si>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</si>
  <si>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</si>
  <si>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</si>
  <si>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</si>
  <si>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</si>
  <si>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</si>
  <si>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</si>
  <si>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</si>
  <si>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</si>
  <si>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</si>
  <si>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</si>
  <si>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</si>
  <si>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</si>
  <si>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</si>
  <si>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</si>
  <si>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</si>
  <si>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</si>
  <si>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</si>
  <si>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</si>
  <si>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</si>
  <si>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</si>
  <si>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</si>
  <si>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</si>
  <si>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</si>
  <si>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</si>
  <si>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</si>
  <si>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</si>
  <si>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</si>
  <si>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</si>
  <si>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</si>
  <si>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</si>
  <si>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</si>
  <si>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</si>
  <si>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</si>
  <si>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</si>
  <si>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</si>
  <si>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</si>
  <si>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</si>
  <si>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</si>
  <si>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</si>
  <si>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</si>
  <si>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</si>
  <si>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</si>
  <si>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</si>
  <si>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</si>
  <si>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</si>
  <si>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</si>
  <si>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</si>
  <si>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</si>
  <si>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</si>
  <si>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</si>
  <si>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</si>
  <si>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</si>
  <si>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</si>
  <si>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</si>
  <si>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</si>
  <si>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</si>
  <si>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</si>
  <si>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</si>
  <si>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</si>
  <si>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</si>
  <si>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</si>
  <si>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</si>
  <si>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</si>
  <si>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</si>
  <si>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</si>
  <si>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</si>
  <si>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</si>
  <si>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</si>
  <si>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</si>
  <si>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</si>
  <si>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</si>
  <si>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</si>
  <si>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</si>
  <si>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</si>
  <si>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</si>
  <si>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</si>
  <si>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</si>
  <si>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</si>
  <si>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</si>
  <si>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</si>
  <si>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</si>
  <si>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</si>
  <si>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</si>
  <si>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</si>
  <si>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</si>
  <si>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</si>
  <si>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</si>
  <si>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</si>
  <si>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</si>
  <si>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</si>
  <si>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</si>
  <si>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</si>
  <si>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</si>
  <si>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</si>
  <si>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</si>
  <si>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</si>
  <si>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</si>
  <si>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</si>
  <si>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</si>
  <si>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</si>
  <si>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</si>
  <si>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</si>
  <si>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</si>
  <si>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</si>
  <si>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</si>
  <si>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</si>
  <si>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</si>
  <si>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</si>
  <si>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</si>
  <si>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</si>
  <si>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</si>
  <si>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</si>
  <si>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</si>
  <si>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</si>
  <si>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</si>
  <si>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</si>
  <si>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</si>
  <si>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</si>
  <si>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</si>
  <si>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</si>
  <si>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</si>
  <si>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</si>
  <si>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</si>
  <si>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</si>
  <si>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</si>
  <si>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</si>
  <si>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</si>
  <si>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</si>
  <si>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</si>
  <si>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</si>
  <si>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</si>
  <si>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</si>
  <si>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</si>
  <si>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</si>
  <si>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</si>
  <si>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</si>
  <si>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</si>
  <si>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</si>
  <si>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</si>
  <si>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</si>
  <si>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</si>
  <si>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</si>
  <si>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</si>
  <si>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</si>
  <si>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</si>
  <si>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</si>
  <si>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</si>
  <si>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</si>
  <si>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</si>
  <si>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</si>
  <si>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</si>
  <si>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</si>
  <si>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</si>
  <si>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</si>
  <si>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</si>
  <si>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</si>
  <si>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</si>
  <si>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</si>
  <si>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</si>
  <si>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</si>
  <si>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</si>
  <si>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</si>
  <si>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</si>
  <si>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</si>
  <si>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</si>
  <si>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</si>
  <si>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</si>
  <si>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</si>
  <si>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</si>
  <si>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</si>
  <si>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</si>
  <si>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</si>
  <si>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</si>
  <si>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</si>
  <si>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</si>
  <si>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</si>
  <si>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</si>
  <si>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</si>
  <si>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</si>
  <si>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</si>
  <si>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</si>
  <si>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</si>
  <si>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</si>
  <si>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</si>
  <si>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</si>
  <si>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</si>
  <si>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</si>
  <si>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</si>
  <si>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</si>
  <si>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</si>
  <si>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</si>
  <si>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</si>
  <si>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</si>
  <si>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</si>
  <si>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</si>
  <si>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</si>
  <si>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</si>
  <si>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</si>
  <si>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</si>
  <si>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</si>
  <si>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</si>
  <si>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</si>
  <si>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</si>
  <si>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</si>
  <si>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</si>
  <si>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</si>
  <si>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</si>
  <si>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</si>
  <si>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</si>
  <si>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</si>
  <si>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</si>
  <si>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</si>
  <si>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</si>
  <si>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</si>
  <si>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</si>
  <si>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</si>
  <si>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</si>
  <si>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</si>
  <si>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</si>
  <si>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</si>
  <si>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</si>
  <si>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</si>
  <si>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</si>
  <si>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</si>
  <si>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</si>
  <si>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</si>
  <si>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</si>
  <si>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</si>
  <si>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</si>
  <si>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</si>
  <si>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</si>
  <si>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</si>
  <si>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</si>
  <si>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</si>
  <si>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</si>
  <si>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</si>
  <si>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</si>
  <si>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</si>
  <si>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</si>
  <si>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</si>
  <si>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</si>
  <si>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</si>
  <si>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</si>
  <si>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</si>
  <si>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</si>
  <si>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</si>
  <si>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</si>
  <si>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</si>
  <si>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</si>
  <si>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</si>
  <si>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</si>
  <si>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</si>
  <si>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</si>
  <si>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</si>
  <si>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</si>
  <si>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</si>
  <si>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</si>
  <si>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</si>
  <si>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</si>
  <si>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</si>
  <si>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</si>
  <si>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</si>
  <si>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</si>
  <si>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</si>
  <si>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</si>
  <si>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</si>
  <si>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</si>
  <si>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</si>
  <si>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</si>
  <si>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</si>
  <si>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</si>
  <si>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</si>
  <si>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</si>
  <si>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</si>
  <si>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</si>
  <si>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</si>
  <si>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</si>
  <si>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</si>
  <si>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</si>
  <si>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</si>
  <si>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</si>
  <si>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</si>
  <si>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</si>
  <si>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</si>
  <si>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</si>
  <si>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</si>
  <si>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</si>
  <si>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</si>
  <si>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</si>
  <si>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</si>
  <si>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</si>
  <si>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</si>
  <si>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</si>
  <si>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</si>
  <si>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</si>
  <si>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</si>
  <si>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</si>
  <si>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</si>
  <si>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</si>
  <si>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</si>
  <si>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</si>
  <si>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</si>
  <si>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</si>
  <si>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</si>
  <si>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</si>
  <si>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</si>
  <si>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</si>
  <si>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</si>
  <si>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</si>
  <si>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</si>
  <si>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</si>
  <si>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</si>
  <si>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</si>
  <si>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</si>
  <si>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</si>
  <si>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</si>
  <si>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</si>
  <si>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</si>
  <si>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</si>
  <si>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</si>
  <si>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</si>
  <si>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</si>
  <si>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</si>
  <si>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</si>
  <si>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</si>
  <si>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</si>
  <si>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</si>
  <si>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</si>
  <si>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</si>
  <si>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</si>
  <si>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</si>
  <si>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</si>
  <si>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</si>
  <si>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</si>
  <si>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</si>
  <si>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</si>
  <si>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</si>
  <si>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</si>
  <si>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</si>
  <si>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</si>
  <si>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</si>
  <si>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</si>
  <si>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</si>
  <si>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</si>
  <si>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</si>
  <si>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</si>
  <si>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</si>
  <si>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</si>
  <si>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</si>
  <si>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</si>
  <si>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</si>
  <si>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</si>
  <si>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</si>
  <si>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</si>
  <si>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</si>
  <si>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</si>
  <si>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</si>
  <si>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</si>
  <si>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</si>
  <si>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</si>
  <si>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</si>
  <si>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</si>
  <si>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</si>
  <si>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</si>
  <si>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</si>
  <si>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</si>
  <si>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</si>
  <si>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</si>
  <si>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</si>
  <si>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</si>
  <si>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</si>
  <si>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</si>
  <si>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</si>
  <si>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</si>
  <si>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</si>
  <si>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</si>
  <si>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</si>
  <si>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</si>
  <si>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</si>
  <si>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</si>
  <si>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</si>
  <si>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</si>
  <si>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</si>
  <si>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</si>
  <si>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</si>
  <si>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</si>
  <si>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</si>
  <si>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</si>
  <si>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</si>
  <si>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</si>
  <si>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</si>
  <si>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</si>
  <si>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</si>
  <si>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</si>
  <si>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</si>
  <si>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</si>
  <si>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</si>
  <si>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</si>
  <si>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</si>
  <si>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</si>
  <si>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</si>
  <si>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</si>
  <si>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</si>
  <si>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</si>
  <si>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</si>
  <si>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</si>
  <si>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</si>
  <si>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</si>
  <si>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</si>
  <si>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</si>
  <si>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</si>
  <si>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</si>
  <si>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</si>
  <si>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</si>
  <si>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</si>
  <si>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</si>
  <si>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</si>
  <si>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</si>
  <si>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</si>
  <si>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</si>
  <si>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</si>
  <si>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</si>
  <si>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</si>
  <si>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</si>
  <si>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</si>
  <si>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</si>
  <si>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</si>
  <si>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</si>
  <si>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</si>
  <si>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</si>
  <si>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</si>
  <si>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</si>
  <si>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</si>
  <si>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</si>
  <si>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</si>
  <si>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</si>
  <si>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</si>
  <si>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</si>
  <si>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</si>
  <si>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</si>
  <si>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</si>
  <si>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</si>
  <si>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</si>
  <si>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</si>
  <si>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</si>
  <si>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</si>
  <si>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</si>
  <si>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</si>
  <si>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</si>
  <si>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</si>
  <si>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</si>
  <si>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</si>
  <si>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</si>
  <si>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</si>
  <si>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</si>
  <si>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</si>
  <si>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</si>
  <si>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</si>
  <si>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</si>
  <si>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</si>
  <si>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</si>
  <si>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</si>
  <si>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</si>
  <si>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</si>
  <si>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</si>
  <si>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</si>
  <si>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</si>
  <si>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</si>
  <si>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</si>
  <si>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</si>
  <si>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</si>
  <si>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</si>
  <si>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</si>
  <si>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</si>
  <si>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</si>
  <si>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</si>
  <si>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</si>
  <si>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</si>
  <si>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</si>
  <si>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</si>
  <si>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</si>
  <si>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</si>
  <si>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</si>
  <si>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</si>
  <si>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</si>
  <si>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</si>
  <si>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</si>
  <si>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</si>
  <si>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</si>
  <si>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</si>
  <si>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</si>
  <si>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</si>
  <si>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</si>
  <si>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</si>
  <si>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</si>
  <si>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</si>
  <si>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</si>
  <si>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</si>
  <si>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</si>
  <si>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</si>
  <si>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</si>
  <si>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</si>
  <si>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</si>
  <si>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</si>
  <si>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</si>
  <si>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</si>
  <si>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</si>
  <si>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</si>
  <si>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</si>
  <si>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</si>
  <si>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</si>
  <si>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</si>
  <si>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</si>
  <si>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</si>
  <si>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</si>
  <si>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</si>
  <si>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</si>
  <si>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</si>
  <si>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</si>
  <si>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</si>
  <si>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</si>
  <si>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</si>
  <si>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</si>
  <si>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</si>
  <si>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</si>
  <si>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</si>
  <si>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</si>
  <si>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</si>
  <si>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</si>
  <si>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</si>
  <si>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</si>
  <si>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</si>
  <si>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</si>
  <si>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</si>
  <si>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</si>
  <si>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</si>
  <si>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</si>
  <si>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</si>
  <si>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</si>
  <si>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</si>
  <si>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</si>
  <si>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</si>
  <si>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</si>
  <si>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</si>
  <si>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</si>
  <si>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</si>
  <si>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</si>
  <si>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</si>
  <si>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</si>
  <si>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</si>
  <si>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</si>
  <si>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</si>
  <si>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</si>
  <si>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</si>
  <si>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</si>
  <si>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</si>
  <si>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</si>
  <si>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</si>
  <si>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</si>
  <si>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</si>
  <si>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</si>
  <si>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</si>
  <si>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</si>
  <si>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</si>
  <si>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</si>
  <si>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</si>
  <si>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</si>
  <si>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</si>
  <si>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</si>
  <si>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</si>
  <si>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</si>
  <si>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</si>
  <si>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</si>
  <si>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</si>
  <si>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</si>
  <si>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</si>
  <si>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</si>
  <si>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</si>
  <si>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</si>
  <si>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</si>
  <si>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</si>
  <si>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</si>
  <si>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</si>
  <si>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</si>
  <si>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</si>
  <si>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</si>
  <si>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</si>
  <si>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</si>
  <si>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</si>
  <si>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</si>
  <si>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</si>
  <si>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</si>
  <si>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</si>
  <si>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</si>
  <si>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</si>
  <si>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</si>
  <si>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</si>
  <si>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</si>
  <si>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</si>
  <si>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</si>
  <si>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</si>
  <si>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</si>
  <si>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</si>
  <si>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</si>
  <si>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</si>
  <si>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</si>
  <si>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</si>
  <si>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</si>
  <si>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</si>
  <si>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</si>
  <si>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</si>
  <si>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</si>
  <si>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</si>
  <si>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</si>
  <si>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</si>
  <si>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</si>
  <si>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</si>
  <si>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</si>
  <si>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</si>
  <si>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</si>
  <si>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</si>
  <si>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</si>
  <si>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</si>
  <si>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</si>
  <si>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</si>
  <si>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</si>
  <si>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</si>
  <si>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</si>
  <si>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</si>
  <si>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</si>
  <si>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</si>
  <si>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</si>
  <si>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</si>
  <si>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</si>
  <si>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</si>
  <si>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</si>
  <si>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</si>
  <si>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</si>
  <si>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</si>
  <si>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</si>
  <si>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</si>
  <si>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</si>
  <si>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</si>
  <si>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</si>
  <si>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</si>
  <si>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</si>
  <si>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</si>
  <si>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</si>
  <si>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</si>
  <si>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</si>
  <si>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</si>
  <si>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</si>
  <si>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</si>
  <si>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</si>
  <si>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</si>
  <si>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</si>
  <si>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</si>
  <si>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</si>
  <si>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</si>
  <si>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</si>
  <si>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</si>
  <si>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</si>
  <si>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</si>
  <si>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</si>
  <si>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</si>
  <si>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</si>
  <si>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</si>
  <si>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</si>
  <si>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</si>
  <si>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</si>
  <si>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</si>
  <si>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</si>
  <si>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</si>
  <si>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</si>
  <si>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</si>
  <si>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</si>
  <si>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</si>
  <si>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</si>
  <si>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</si>
  <si>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</si>
  <si>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</si>
  <si>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</si>
  <si>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</si>
  <si>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</si>
  <si>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</si>
  <si>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</si>
  <si>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</si>
  <si>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</si>
  <si>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</si>
  <si>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</si>
  <si>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</si>
  <si>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</si>
  <si>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</si>
  <si>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</si>
  <si>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</si>
  <si>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</si>
  <si>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</si>
  <si>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</si>
  <si>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</si>
  <si>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</si>
  <si>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</si>
  <si>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</si>
  <si>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</si>
  <si>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</si>
  <si>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</si>
  <si>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</si>
  <si>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</si>
  <si>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</si>
  <si>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</si>
  <si>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</si>
  <si>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</si>
  <si>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</si>
  <si>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</si>
  <si>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</si>
  <si>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</si>
  <si>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</si>
  <si>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</si>
  <si>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</si>
  <si>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</si>
  <si>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</si>
  <si>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</si>
  <si>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</si>
  <si>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</si>
  <si>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</si>
  <si>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</si>
  <si>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</si>
  <si>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</si>
  <si>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</si>
  <si>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</si>
  <si>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</si>
  <si>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</si>
  <si>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</si>
  <si>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</si>
  <si>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</si>
  <si>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</si>
  <si>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</si>
  <si>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</si>
  <si>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</si>
  <si>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</si>
  <si>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</si>
  <si>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</si>
  <si>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</si>
  <si>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</si>
  <si>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</si>
  <si>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</si>
  <si>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</si>
  <si>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</si>
  <si>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</si>
  <si>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</si>
  <si>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</si>
  <si>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</si>
  <si>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</si>
  <si>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</si>
  <si>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</si>
  <si>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</si>
  <si>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</si>
  <si>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</si>
  <si>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</si>
  <si>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</si>
  <si>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</si>
  <si>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</si>
  <si>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</si>
  <si>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</si>
  <si>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</si>
  <si>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</si>
  <si>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</si>
  <si>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</si>
  <si>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</si>
  <si>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</si>
  <si>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</si>
  <si>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</si>
  <si>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</si>
  <si>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</si>
  <si>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</si>
  <si>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</si>
  <si>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</si>
  <si>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</si>
  <si>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</si>
  <si>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</si>
  <si>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</si>
  <si>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</si>
  <si>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</si>
  <si>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</si>
  <si>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</si>
  <si>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</si>
  <si>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</si>
  <si>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</si>
  <si>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</si>
  <si>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</si>
  <si>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</si>
  <si>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</si>
  <si>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</si>
  <si>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</si>
  <si>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</si>
  <si>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</si>
  <si>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</si>
  <si>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</si>
  <si>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</si>
  <si>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</si>
  <si>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</si>
  <si>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</si>
  <si>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</si>
  <si>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</si>
  <si>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</si>
  <si>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</si>
  <si>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</si>
  <si>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</si>
  <si>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</si>
  <si>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</si>
  <si>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</si>
  <si>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</si>
  <si>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</si>
  <si>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</si>
  <si>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</si>
  <si>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</si>
  <si>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</si>
  <si>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</si>
  <si>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</si>
  <si>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</si>
  <si>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</si>
  <si>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</si>
  <si>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</si>
  <si>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</si>
  <si>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</si>
  <si>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</si>
  <si>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</si>
  <si>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</si>
  <si>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</si>
  <si>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</si>
  <si>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</si>
  <si>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</si>
  <si>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</si>
  <si>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</si>
  <si>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</si>
  <si>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</si>
  <si>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</si>
  <si>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</si>
  <si>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</si>
  <si>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</si>
  <si>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</si>
  <si>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</si>
  <si>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</si>
  <si>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</si>
  <si>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</si>
  <si>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</si>
  <si>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</si>
  <si>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</si>
  <si>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</si>
  <si>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</si>
  <si>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</si>
  <si>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</si>
  <si>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</si>
  <si>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</si>
  <si>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</si>
  <si>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</si>
  <si>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</si>
  <si>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</si>
  <si>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</si>
  <si>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</si>
  <si>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</si>
  <si>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</si>
  <si>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</si>
  <si>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</si>
  <si>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</si>
  <si>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</si>
  <si>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</si>
  <si>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</si>
  <si>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</si>
  <si>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</si>
  <si>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</si>
  <si>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</si>
  <si>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</si>
  <si>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</si>
  <si>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</si>
  <si>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</si>
  <si>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</si>
  <si>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</si>
  <si>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</si>
  <si>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</si>
  <si>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</si>
  <si>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</si>
  <si>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</si>
  <si>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</si>
  <si>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</si>
  <si>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</si>
  <si>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</si>
  <si>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</si>
  <si>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</si>
  <si>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</si>
  <si>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</si>
  <si>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</si>
  <si>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</si>
  <si>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</si>
  <si>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</si>
  <si>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</si>
  <si>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</si>
  <si>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</si>
  <si>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</si>
  <si>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</si>
  <si>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</si>
  <si>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</si>
  <si>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</si>
  <si>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</si>
  <si>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</si>
  <si>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</si>
  <si>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</si>
  <si>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</si>
  <si>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</si>
  <si>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</si>
  <si>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</si>
  <si>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</si>
  <si>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</si>
  <si>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</si>
  <si>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</si>
  <si>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</si>
  <si>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</si>
  <si>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</si>
  <si>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</si>
  <si>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</si>
  <si>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</si>
  <si>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</si>
  <si>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</si>
  <si>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</si>
  <si>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</si>
  <si>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</si>
  <si>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</si>
  <si>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</si>
  <si>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</si>
  <si>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</si>
  <si>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</si>
  <si>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</si>
  <si>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</si>
  <si>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</si>
  <si>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</si>
  <si>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</si>
  <si>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</si>
  <si>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</si>
  <si>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</si>
  <si>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</si>
  <si>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</si>
  <si>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</si>
  <si>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</si>
  <si>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</si>
  <si>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</si>
  <si>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</si>
  <si>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</si>
  <si>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</si>
  <si>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</si>
  <si>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</si>
  <si>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</si>
  <si>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</si>
  <si>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</si>
  <si>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</si>
  <si>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</si>
  <si>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</si>
  <si>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</si>
  <si>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</si>
  <si>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</si>
  <si>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</si>
  <si>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</si>
  <si>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</si>
  <si>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</si>
  <si>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</si>
  <si>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</si>
  <si>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</si>
  <si>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</si>
  <si>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</si>
  <si>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</si>
  <si>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</si>
  <si>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</si>
  <si>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</si>
  <si>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</si>
  <si>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</si>
  <si>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</si>
  <si>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</si>
  <si>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</si>
  <si>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</si>
  <si>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</si>
  <si>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</si>
  <si>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</si>
  <si>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</si>
  <si>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</si>
  <si>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</si>
  <si>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</si>
  <si>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</si>
  <si>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</si>
  <si>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</si>
  <si>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</si>
  <si>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</si>
  <si>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</si>
  <si>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</si>
  <si>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</si>
  <si>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</si>
  <si>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</si>
  <si>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</si>
  <si>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</si>
  <si>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</si>
  <si>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</si>
  <si>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</si>
  <si>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</si>
  <si>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</si>
  <si>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</si>
  <si>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</si>
  <si>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</si>
  <si>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</si>
  <si>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</si>
  <si>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</si>
  <si>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</si>
  <si>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</si>
  <si>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</si>
  <si>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</si>
  <si>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</si>
  <si>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</si>
  <si>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</si>
  <si>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</si>
  <si>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</si>
  <si>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</si>
  <si>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</si>
  <si>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</si>
  <si>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</si>
  <si>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</si>
  <si>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</si>
  <si>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</si>
  <si>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</si>
  <si>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</si>
  <si>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</si>
  <si>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</si>
  <si>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</si>
  <si>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</si>
  <si>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</si>
  <si>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</si>
  <si>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</si>
  <si>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</si>
  <si>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</si>
  <si>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</si>
  <si>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</si>
  <si>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</si>
  <si>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</si>
  <si>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</si>
  <si>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</si>
  <si>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</si>
  <si>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</si>
  <si>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</si>
  <si>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</si>
  <si>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</si>
  <si>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</si>
  <si>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</si>
  <si>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</si>
  <si>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</si>
  <si>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</si>
  <si>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</si>
  <si>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</si>
  <si>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</si>
  <si>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</si>
  <si>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</si>
  <si>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</si>
  <si>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</si>
  <si>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</si>
  <si>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</si>
  <si>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</si>
  <si>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</si>
  <si>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</si>
  <si>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</si>
  <si>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</si>
  <si>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</si>
  <si>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</si>
  <si>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</si>
  <si>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</si>
  <si>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</si>
  <si>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</si>
  <si>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</si>
  <si>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</si>
  <si>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</si>
  <si>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</si>
  <si>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</si>
  <si>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</si>
  <si>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</si>
  <si>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</si>
  <si>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</si>
  <si>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</si>
  <si>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</si>
  <si>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</si>
  <si>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</si>
  <si>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</si>
  <si>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</si>
  <si>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</si>
  <si>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</si>
  <si>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</si>
  <si>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</si>
  <si>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</si>
  <si>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</si>
  <si>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</si>
  <si>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</si>
  <si>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</si>
  <si>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</si>
  <si>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</si>
  <si>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</si>
  <si>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</si>
  <si>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</si>
  <si>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</si>
  <si>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</si>
  <si>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</si>
  <si>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</si>
  <si>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</si>
  <si>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</si>
  <si>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</si>
  <si>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</si>
  <si>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</si>
  <si>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</si>
  <si>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</si>
  <si>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</si>
  <si>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</si>
  <si>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</si>
  <si>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</si>
  <si>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</si>
  <si>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</si>
  <si>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</si>
  <si>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</si>
  <si>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</si>
  <si>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</si>
  <si>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</si>
  <si>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</si>
  <si>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</si>
  <si>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</si>
  <si>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</si>
  <si>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</si>
  <si>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</si>
  <si>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</si>
  <si>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</si>
  <si>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</si>
  <si>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</si>
  <si>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</si>
  <si>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</si>
  <si>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</si>
  <si>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</si>
  <si>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</si>
  <si>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</si>
  <si>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</si>
  <si>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</si>
  <si>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</si>
  <si>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</si>
  <si>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</si>
  <si>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</si>
  <si>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</si>
  <si>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</si>
  <si>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</si>
  <si>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</si>
  <si>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</si>
  <si>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</si>
  <si>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</si>
  <si>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</si>
  <si>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</si>
  <si>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</si>
  <si>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</si>
  <si>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</si>
  <si>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</si>
  <si>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</si>
  <si>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</si>
  <si>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</si>
  <si>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</si>
  <si>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</si>
  <si>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</si>
  <si>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</si>
  <si>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</si>
  <si>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</si>
  <si>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</si>
  <si>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</si>
  <si>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</si>
  <si>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</si>
  <si>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</si>
  <si>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</si>
  <si>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</si>
  <si>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</si>
  <si>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</si>
  <si>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</si>
  <si>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</si>
  <si>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</si>
  <si>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</si>
  <si>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</si>
  <si>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</si>
  <si>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</si>
  <si>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</si>
  <si>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</si>
  <si>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</si>
  <si>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</si>
  <si>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</si>
  <si>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</si>
  <si>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</si>
  <si>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</si>
  <si>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</si>
  <si>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</si>
  <si>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</si>
  <si>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</si>
  <si>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</si>
  <si>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</si>
  <si>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</si>
  <si>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</si>
  <si>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</si>
  <si>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</si>
  <si>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</si>
  <si>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</si>
  <si>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</si>
  <si>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</si>
  <si>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</si>
  <si>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</si>
  <si>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</si>
  <si>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</si>
  <si>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</si>
  <si>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</si>
  <si>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</si>
  <si>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</si>
  <si>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</si>
  <si>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</si>
  <si>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</si>
  <si>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</si>
  <si>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</si>
  <si>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</si>
  <si>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</si>
  <si>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</si>
  <si>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</si>
  <si>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</si>
  <si>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</si>
  <si>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</si>
  <si>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</si>
  <si>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</si>
  <si>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</si>
  <si>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</si>
  <si>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</si>
  <si>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</si>
  <si>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</si>
  <si>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</si>
  <si>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</si>
  <si>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</si>
  <si>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</si>
  <si>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</si>
  <si>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</si>
  <si>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</si>
  <si>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</si>
  <si>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</si>
  <si>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</si>
  <si>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</si>
  <si>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</si>
  <si>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</si>
  <si>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</si>
  <si>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</si>
  <si>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</si>
  <si>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</si>
  <si>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</si>
  <si>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</si>
  <si>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</si>
  <si>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</si>
  <si>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</si>
  <si>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</si>
  <si>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</si>
  <si>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</si>
  <si>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</si>
  <si>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</si>
  <si>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</si>
  <si>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</si>
  <si>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</si>
  <si>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</si>
  <si>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</si>
  <si>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</si>
  <si>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</si>
  <si>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</si>
  <si>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</si>
  <si>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</si>
  <si>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</si>
  <si>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</si>
  <si>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</si>
  <si>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</si>
  <si>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</si>
  <si>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</si>
  <si>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</si>
  <si>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</si>
  <si>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</si>
  <si>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</si>
  <si>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</si>
  <si>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</si>
  <si>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</si>
  <si>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</si>
  <si>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</si>
  <si>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</si>
  <si>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</si>
  <si>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</si>
  <si>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</si>
  <si>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</si>
  <si>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</si>
  <si>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</si>
  <si>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</si>
  <si>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</si>
  <si>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</si>
  <si>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</si>
  <si>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</si>
  <si>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</si>
  <si>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</si>
  <si>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</si>
  <si>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</si>
  <si>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</si>
  <si>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</si>
  <si>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</si>
  <si>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</si>
  <si>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</si>
  <si>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</si>
  <si>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</si>
  <si>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</si>
  <si>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</si>
  <si>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</si>
  <si>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</si>
  <si>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</si>
  <si>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</si>
  <si>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</si>
  <si>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</si>
  <si>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</si>
  <si>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</si>
  <si>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</si>
  <si>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</si>
  <si>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</si>
  <si>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</si>
  <si>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</si>
  <si>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</si>
  <si>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</si>
  <si>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</si>
  <si>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</si>
  <si>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</si>
  <si>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</si>
  <si>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</si>
  <si>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</si>
  <si>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</si>
  <si>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</si>
  <si>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</si>
  <si>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</si>
  <si>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</si>
  <si>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</si>
  <si>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</si>
  <si>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</si>
  <si>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</si>
  <si>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</si>
  <si>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</si>
  <si>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</si>
  <si>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</si>
  <si>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</si>
  <si>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</si>
  <si>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</si>
  <si>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</si>
  <si>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</si>
  <si>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</si>
  <si>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</si>
  <si>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</si>
  <si>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</si>
  <si>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</si>
  <si>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</si>
  <si>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</si>
  <si>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</si>
  <si>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</si>
  <si>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</si>
  <si>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</si>
  <si>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</si>
  <si>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</si>
  <si>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</si>
  <si>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</si>
  <si>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</si>
  <si>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</si>
  <si>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</si>
  <si>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</si>
  <si>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</si>
  <si>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</si>
  <si>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</si>
  <si>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</si>
  <si>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</si>
  <si>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</si>
  <si>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</si>
  <si>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</si>
  <si>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</si>
  <si>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</si>
  <si>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</si>
  <si>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</si>
  <si>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</si>
  <si>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</si>
  <si>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</si>
  <si>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</si>
  <si>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</si>
  <si>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</si>
  <si>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</si>
  <si>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</si>
  <si>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</si>
  <si>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</si>
  <si>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</si>
  <si>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</si>
  <si>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</si>
  <si>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</si>
  <si>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</si>
  <si>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</si>
  <si>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</si>
  <si>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</si>
  <si>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</si>
  <si>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</si>
  <si>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</si>
  <si>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</si>
  <si>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</si>
  <si>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</si>
  <si>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</si>
  <si>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</si>
  <si>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</si>
  <si>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</si>
  <si>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</si>
  <si>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</si>
  <si>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</si>
  <si>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</si>
  <si>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</si>
  <si>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</si>
  <si>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</si>
  <si>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</si>
  <si>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</si>
  <si>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</si>
  <si>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</si>
  <si>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</si>
  <si>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</si>
  <si>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</si>
  <si>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</si>
  <si>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</si>
  <si>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</si>
  <si>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</si>
  <si>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</si>
  <si>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</si>
  <si>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</si>
  <si>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</si>
  <si>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</si>
  <si>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</si>
  <si>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</si>
  <si>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</si>
  <si>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</si>
  <si>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</si>
  <si>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</si>
  <si>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</si>
  <si>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</si>
  <si>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</si>
  <si>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</si>
  <si>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</si>
  <si>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</si>
  <si>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</si>
  <si>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</si>
  <si>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</si>
  <si>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</si>
  <si>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</si>
  <si>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</si>
  <si>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</si>
  <si>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</si>
  <si>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</si>
  <si>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</si>
  <si>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</si>
  <si>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</si>
  <si>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</si>
  <si>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</si>
  <si>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</si>
  <si>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</si>
  <si>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</si>
  <si>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</si>
  <si>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</si>
  <si>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</si>
  <si>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</si>
  <si>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</si>
  <si>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</si>
  <si>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</si>
  <si>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</si>
  <si>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</si>
  <si>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</si>
  <si>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</si>
  <si>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</si>
  <si>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</si>
  <si>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</si>
  <si>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</si>
  <si>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</si>
  <si>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</si>
  <si>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</si>
  <si>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</si>
  <si>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</si>
  <si>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</si>
  <si>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</si>
  <si>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</si>
  <si>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</si>
  <si>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</si>
  <si>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</si>
  <si>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</si>
  <si>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</si>
  <si>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</si>
  <si>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</si>
  <si>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</si>
  <si>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</si>
  <si>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</si>
  <si>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</si>
  <si>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</si>
  <si>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</si>
  <si>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</si>
  <si>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</si>
  <si>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</si>
  <si>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</si>
  <si>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</si>
  <si>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</si>
  <si>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</si>
  <si>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</si>
  <si>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</si>
  <si>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</si>
  <si>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</si>
  <si>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</si>
  <si>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</si>
  <si>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</si>
  <si>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</si>
  <si>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</si>
  <si>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</si>
  <si>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</si>
  <si>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</si>
  <si>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</si>
  <si>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</si>
  <si>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</si>
  <si>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</si>
  <si>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</si>
  <si>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</si>
  <si>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</si>
  <si>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</si>
  <si>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</si>
  <si>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</si>
  <si>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</si>
  <si>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</si>
  <si>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</si>
  <si>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</si>
  <si>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</si>
  <si>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</si>
  <si>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</si>
  <si>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</si>
  <si>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</si>
  <si>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</si>
  <si>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</si>
  <si>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</si>
  <si>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</si>
  <si>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</si>
  <si>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</si>
  <si>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</si>
  <si>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</si>
  <si>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</si>
  <si>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</si>
  <si>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</si>
  <si>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</si>
  <si>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</si>
  <si>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</si>
  <si>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</si>
  <si>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</si>
  <si>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</si>
  <si>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</si>
  <si>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</si>
  <si>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</si>
  <si>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</si>
  <si>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</si>
  <si>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</si>
  <si>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</si>
  <si>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</si>
  <si>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</si>
  <si>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</si>
  <si>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</si>
  <si>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</si>
  <si>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</si>
  <si>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</si>
  <si>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</si>
  <si>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</si>
  <si>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</si>
  <si>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</si>
  <si>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</si>
  <si>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</si>
  <si>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</si>
  <si>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</si>
  <si>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</si>
  <si>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</si>
  <si>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</si>
  <si>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</si>
  <si>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</si>
  <si>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</si>
  <si>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</si>
  <si>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</si>
  <si>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</si>
  <si>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</si>
  <si>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</si>
  <si>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</si>
  <si>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</si>
  <si>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</si>
  <si>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</si>
  <si>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</si>
  <si>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</si>
  <si>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</si>
  <si>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</si>
  <si>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</si>
  <si>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</si>
  <si>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</si>
  <si>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</si>
  <si>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</si>
  <si>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</si>
  <si>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</si>
  <si>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</si>
  <si>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</si>
  <si>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</si>
  <si>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</si>
  <si>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</si>
  <si>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</si>
  <si>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</si>
  <si>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</si>
  <si>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</si>
  <si>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</si>
  <si>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</si>
  <si>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</si>
  <si>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</si>
  <si>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</si>
  <si>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</si>
  <si>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</si>
  <si>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</si>
  <si>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</si>
  <si>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</si>
  <si>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</si>
  <si>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</si>
  <si>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</si>
  <si>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</si>
  <si>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</si>
  <si>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</si>
  <si>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</si>
  <si>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</si>
  <si>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</si>
  <si>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</si>
  <si>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</si>
  <si>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</si>
  <si>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</si>
  <si>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</si>
  <si>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</si>
  <si>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</si>
  <si>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</si>
  <si>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</si>
  <si>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</si>
  <si>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</si>
  <si>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</si>
  <si>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</si>
  <si>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</si>
  <si>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</si>
  <si>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</si>
  <si>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</si>
  <si>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</si>
  <si>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</si>
  <si>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</si>
  <si>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</si>
  <si>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</si>
  <si>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</si>
  <si>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</si>
  <si>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</si>
  <si>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</si>
  <si>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</si>
  <si>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</si>
  <si>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</si>
  <si>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</si>
  <si>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</si>
  <si>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</si>
  <si>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</si>
  <si>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</si>
  <si>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</si>
  <si>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</si>
  <si>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</si>
  <si>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</si>
  <si>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</si>
  <si>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</si>
  <si>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</si>
  <si>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</si>
  <si>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</si>
  <si>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</si>
  <si>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</si>
  <si>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</si>
  <si>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</si>
  <si>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</si>
  <si>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</si>
  <si>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</si>
  <si>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</si>
  <si>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</si>
  <si>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</si>
  <si>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</si>
  <si>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</si>
  <si>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</si>
  <si>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</si>
  <si>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</si>
  <si>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</si>
  <si>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</si>
  <si>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</si>
  <si>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</si>
  <si>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</si>
  <si>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</si>
  <si>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</si>
  <si>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</si>
  <si>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</si>
  <si>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</si>
  <si>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</si>
  <si>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</si>
  <si>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</si>
  <si>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</si>
  <si>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</si>
  <si>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</si>
  <si>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</si>
  <si>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</si>
  <si>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</si>
  <si>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</si>
  <si>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</si>
  <si>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</si>
  <si>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</si>
  <si>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</si>
  <si>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</si>
  <si>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</si>
  <si>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</si>
  <si>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</si>
  <si>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</si>
  <si>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</si>
  <si>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</si>
  <si>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</si>
  <si>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</si>
  <si>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</si>
  <si>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</si>
  <si>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</si>
  <si>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</si>
  <si>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</si>
  <si>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</si>
  <si>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</si>
  <si>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</si>
  <si>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</si>
  <si>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</si>
  <si>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</si>
  <si>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</si>
  <si>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</si>
  <si>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</si>
  <si>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</si>
  <si>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</si>
  <si>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</si>
  <si>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</si>
  <si>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</si>
  <si>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</si>
  <si>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</si>
  <si>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</si>
  <si>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</si>
  <si>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</si>
  <si>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</si>
  <si>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</si>
  <si>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</si>
  <si>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</si>
  <si>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</si>
  <si>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</si>
  <si>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</si>
  <si>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</si>
  <si>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</si>
  <si>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</si>
  <si>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</si>
  <si>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</si>
  <si>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</si>
  <si>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</si>
  <si>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</si>
  <si>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</si>
  <si>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</si>
  <si>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</si>
  <si>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</si>
  <si>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</si>
  <si>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</si>
  <si>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</si>
  <si>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</si>
  <si>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</si>
  <si>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</si>
  <si>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</si>
  <si>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</si>
  <si>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</si>
  <si>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</si>
  <si>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</si>
  <si>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</si>
  <si>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</si>
  <si>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</si>
  <si>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</si>
  <si>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</si>
  <si>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</si>
  <si>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</si>
  <si>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</si>
  <si>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</si>
  <si>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</si>
  <si>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</si>
  <si>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</si>
  <si>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</si>
  <si>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</si>
  <si>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</si>
  <si>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</si>
  <si>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</si>
  <si>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</si>
  <si>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</si>
  <si>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</si>
  <si>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</si>
  <si>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</si>
  <si>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</si>
  <si>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</si>
  <si>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</si>
  <si>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</si>
  <si>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</si>
  <si>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</si>
  <si>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</si>
  <si>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</si>
  <si>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</si>
  <si>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</si>
  <si>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</si>
  <si>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</si>
  <si>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</si>
  <si>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</si>
  <si>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</si>
  <si>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</si>
  <si>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</si>
  <si>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</si>
  <si>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</si>
  <si>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</si>
  <si>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</si>
  <si>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</si>
  <si>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</si>
  <si>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</si>
  <si>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</si>
  <si>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</si>
  <si>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</si>
  <si>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</si>
  <si>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</si>
  <si>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</si>
  <si>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</si>
  <si>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</si>
  <si>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</si>
  <si>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</si>
  <si>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</si>
  <si>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</si>
  <si>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</si>
  <si>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</si>
  <si>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</si>
  <si>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</si>
  <si>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</si>
  <si>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</si>
  <si>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</si>
  <si>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</si>
  <si>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</si>
  <si>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</si>
  <si>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</si>
  <si>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</si>
  <si>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</si>
  <si>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</si>
  <si>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</si>
  <si>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</si>
  <si>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</si>
  <si>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</si>
  <si>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</si>
  <si>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</si>
  <si>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</si>
  <si>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</si>
  <si>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</si>
  <si>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</si>
  <si>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</si>
  <si>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</si>
  <si>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</si>
  <si>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</si>
  <si>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</si>
  <si>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</si>
  <si>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</si>
  <si>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</si>
  <si>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</si>
  <si>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</si>
  <si>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</si>
  <si>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</si>
  <si>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</si>
  <si>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</si>
  <si>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</si>
  <si>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</si>
  <si>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</si>
  <si>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</si>
  <si>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</si>
  <si>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</si>
  <si>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</si>
  <si>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</si>
  <si>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</si>
  <si>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</si>
  <si>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</si>
  <si>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</si>
  <si>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</si>
  <si>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</si>
  <si>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</si>
  <si>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</si>
  <si>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</si>
  <si>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</si>
  <si>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</si>
  <si>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</si>
  <si>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</si>
  <si>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</si>
  <si>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</si>
  <si>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</si>
  <si>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</si>
  <si>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</si>
  <si>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</si>
  <si>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</si>
  <si>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</si>
  <si>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</si>
  <si>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</si>
  <si>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</si>
  <si>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</si>
  <si>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</si>
  <si>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</si>
  <si>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</si>
  <si>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</si>
  <si>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</si>
  <si>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</si>
  <si>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</si>
  <si>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</si>
  <si>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</si>
  <si>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</si>
  <si>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</si>
  <si>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</si>
  <si>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</si>
  <si>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</si>
  <si>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</si>
  <si>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</si>
  <si>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</si>
  <si>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</si>
  <si>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</si>
  <si>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</si>
  <si>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</si>
  <si>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</si>
  <si>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</si>
  <si>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</si>
  <si>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</si>
  <si>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</si>
  <si>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</si>
  <si>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</si>
  <si>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</si>
  <si>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</si>
  <si>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</si>
  <si>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</si>
  <si>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</si>
  <si>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</si>
  <si>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</si>
  <si>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</si>
  <si>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</si>
  <si>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</si>
  <si>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</si>
  <si>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</si>
  <si>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</si>
  <si>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</si>
  <si>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</si>
  <si>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</si>
  <si>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</si>
  <si>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</si>
  <si>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</si>
  <si>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</si>
  <si>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</si>
  <si>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</si>
  <si>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</si>
  <si>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</si>
  <si>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</si>
  <si>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</si>
  <si>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</si>
  <si>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</si>
  <si>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</si>
  <si>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</si>
  <si>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</si>
  <si>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</si>
  <si>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</si>
  <si>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</si>
  <si>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</si>
  <si>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</si>
  <si>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</si>
  <si>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</si>
  <si>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</si>
  <si>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</si>
  <si>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</si>
  <si>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</si>
  <si>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</si>
  <si>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</si>
  <si>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</si>
  <si>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</si>
  <si>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</si>
  <si>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</si>
  <si>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</si>
  <si>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</si>
  <si>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</si>
  <si>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</si>
  <si>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</si>
  <si>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</si>
  <si>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</si>
  <si>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</si>
  <si>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</si>
  <si>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</si>
  <si>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</si>
  <si>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</si>
  <si>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</si>
  <si>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</si>
  <si>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</si>
  <si>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</si>
  <si>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</si>
  <si>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</si>
  <si>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</si>
  <si>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</si>
  <si>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</si>
  <si>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</si>
  <si>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</si>
  <si>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</si>
  <si>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</si>
  <si>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</si>
  <si>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</si>
  <si>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</si>
  <si>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</si>
  <si>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</si>
  <si>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</si>
  <si>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</si>
  <si>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</si>
  <si>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</si>
  <si>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</si>
  <si>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</si>
  <si>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</si>
  <si>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</si>
  <si>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</si>
  <si>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</si>
  <si>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</si>
  <si>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</si>
  <si>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</si>
  <si>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</si>
  <si>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</si>
  <si>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</si>
  <si>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</si>
  <si>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</si>
  <si>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</si>
  <si>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</si>
  <si>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</si>
  <si>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</si>
  <si>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</si>
  <si>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</si>
  <si>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</si>
  <si>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</si>
  <si>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</si>
  <si>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</si>
  <si>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</si>
  <si>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</si>
  <si>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</si>
  <si>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</si>
  <si>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</si>
  <si>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</si>
  <si>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</si>
  <si>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</si>
  <si>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</si>
  <si>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</si>
  <si>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</si>
  <si>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</si>
  <si>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</si>
  <si>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</si>
  <si>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</si>
  <si>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</si>
  <si>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</si>
  <si>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</si>
  <si>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</si>
  <si>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</si>
  <si>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</si>
  <si>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</si>
  <si>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</si>
  <si>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</si>
  <si>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</si>
  <si>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</si>
  <si>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</si>
  <si>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</si>
  <si>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</si>
  <si>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</si>
  <si>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</si>
  <si>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</si>
  <si>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</si>
  <si>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</si>
  <si>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</si>
  <si>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</si>
  <si>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</si>
  <si>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</si>
  <si>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</si>
  <si>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</si>
  <si>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</si>
  <si>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</si>
  <si>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</si>
  <si>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</si>
  <si>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</si>
  <si>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</si>
  <si>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</si>
  <si>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</si>
  <si>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</si>
  <si>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</si>
  <si>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</si>
  <si>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</si>
  <si>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</si>
  <si>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</si>
  <si>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</si>
  <si>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</si>
  <si>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</si>
  <si>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</si>
  <si>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</si>
  <si>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</si>
  <si>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</si>
  <si>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</si>
  <si>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</si>
  <si>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</si>
  <si>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</si>
  <si>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</si>
  <si>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</si>
  <si>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</si>
  <si>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</si>
  <si>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</si>
  <si>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</si>
  <si>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</si>
  <si>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</si>
  <si>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</si>
  <si>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</si>
  <si>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</si>
  <si>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</si>
  <si>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</si>
  <si>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</si>
  <si>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</si>
  <si>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</si>
  <si>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</si>
  <si>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</si>
  <si>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</si>
  <si>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</si>
  <si>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</si>
  <si>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</si>
  <si>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</si>
  <si>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</si>
  <si>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</si>
  <si>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</si>
  <si>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</si>
  <si>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</si>
  <si>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</si>
  <si>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</si>
  <si>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</si>
  <si>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</si>
  <si>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</si>
  <si>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</si>
  <si>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</si>
  <si>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</si>
  <si>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</si>
  <si>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</si>
  <si>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</si>
  <si>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</si>
  <si>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</si>
  <si>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</si>
  <si>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</si>
  <si>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</si>
  <si>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</si>
  <si>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</si>
  <si>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</si>
  <si>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</si>
  <si>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</si>
  <si>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</si>
  <si>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</si>
  <si>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</si>
  <si>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</si>
  <si>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</si>
  <si>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</si>
  <si>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</si>
  <si>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</si>
  <si>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</si>
  <si>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</si>
  <si>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</si>
  <si>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</si>
  <si>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</si>
  <si>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</si>
  <si>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</si>
  <si>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</si>
  <si>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</si>
  <si>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</si>
  <si>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</si>
  <si>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</si>
  <si>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</si>
  <si>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</si>
  <si>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</si>
  <si>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</si>
  <si>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</si>
  <si>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</si>
  <si>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</si>
  <si>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</si>
  <si>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</si>
  <si>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</si>
  <si>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</si>
  <si>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</si>
  <si>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</si>
  <si>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</si>
  <si>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</si>
  <si>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</si>
  <si>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</si>
  <si>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</si>
  <si>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</si>
  <si>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</si>
  <si>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</si>
  <si>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</si>
  <si>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</si>
  <si>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</si>
  <si>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</si>
  <si>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</si>
  <si>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</si>
  <si>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</si>
  <si>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</si>
  <si>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</si>
  <si>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</si>
  <si>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</si>
  <si>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</si>
  <si>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</si>
  <si>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</si>
  <si>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</si>
  <si>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</si>
  <si>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</si>
  <si>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</si>
  <si>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</si>
  <si>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</si>
  <si>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</si>
  <si>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</si>
  <si>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</si>
  <si>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</si>
  <si>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</si>
  <si>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</si>
  <si>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</si>
  <si>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</si>
  <si>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</si>
  <si>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</si>
  <si>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</si>
  <si>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</si>
  <si>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</si>
  <si>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</si>
  <si>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</si>
  <si>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</si>
  <si>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</si>
  <si>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</si>
  <si>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</si>
  <si>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</si>
  <si>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</si>
  <si>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</si>
  <si>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</si>
  <si>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</si>
  <si>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</si>
  <si>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</si>
  <si>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</si>
  <si>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</si>
  <si>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</si>
  <si>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</si>
  <si>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</si>
  <si>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</si>
  <si>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</si>
  <si>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</si>
  <si>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</si>
  <si>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</si>
  <si>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</si>
  <si>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</si>
  <si>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</si>
  <si>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</si>
  <si>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</si>
  <si>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</si>
  <si>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</si>
  <si>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</si>
  <si>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</si>
  <si>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</si>
  <si>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</si>
  <si>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</si>
  <si>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</si>
  <si>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</si>
  <si>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</si>
  <si>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</si>
  <si>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</si>
  <si>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</si>
  <si>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</si>
  <si>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</si>
  <si>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</si>
  <si>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</si>
  <si>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</si>
  <si>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</si>
  <si>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</si>
  <si>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</si>
  <si>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</si>
  <si>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</si>
  <si>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</si>
  <si>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</si>
  <si>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</si>
  <si>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</si>
  <si>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</si>
  <si>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</si>
  <si>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</si>
  <si>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</si>
  <si>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</si>
  <si>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</si>
  <si>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</si>
  <si>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</si>
  <si>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</si>
  <si>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</si>
  <si>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</si>
  <si>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</si>
  <si>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</si>
  <si>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</si>
  <si>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</si>
  <si>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</si>
  <si>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</si>
  <si>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</si>
  <si>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</si>
  <si>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</si>
  <si>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</si>
  <si>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</si>
  <si>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</si>
  <si>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</si>
  <si>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</si>
  <si>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</si>
  <si>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</si>
  <si>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</si>
  <si>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</si>
  <si>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</si>
  <si>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</si>
  <si>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</si>
  <si>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</si>
  <si>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</si>
  <si>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</si>
  <si>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</si>
  <si>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</si>
  <si>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</si>
  <si>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</si>
  <si>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</si>
  <si>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</si>
  <si>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</si>
  <si>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</si>
  <si>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</si>
  <si>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</si>
  <si>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</si>
  <si>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</si>
  <si>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</si>
  <si>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</si>
  <si>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</si>
  <si>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</si>
  <si>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</si>
  <si>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</si>
  <si>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</si>
  <si>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</si>
  <si>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</si>
  <si>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</si>
  <si>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</si>
  <si>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</si>
  <si>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</si>
  <si>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</si>
  <si>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</si>
  <si>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</si>
  <si>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</si>
  <si>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</si>
  <si>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</si>
  <si>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</si>
  <si>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</si>
  <si>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</si>
  <si>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</si>
  <si>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</si>
  <si>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</si>
  <si>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</si>
  <si>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</si>
  <si>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</si>
  <si>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</si>
  <si>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</si>
  <si>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</si>
  <si>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</si>
  <si>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</si>
  <si>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</si>
  <si>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</si>
  <si>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</si>
  <si>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</si>
  <si>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</si>
  <si>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</si>
  <si>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</si>
  <si>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</si>
  <si>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</si>
  <si>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</si>
  <si>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</si>
  <si>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</si>
  <si>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</si>
  <si>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</si>
  <si>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</si>
  <si>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</si>
  <si>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</si>
  <si>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</si>
  <si>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</si>
  <si>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</si>
  <si>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</si>
  <si>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</si>
  <si>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</si>
  <si>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</si>
  <si>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</si>
  <si>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</si>
  <si>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</si>
  <si>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</si>
  <si>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</si>
  <si>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</si>
  <si>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</si>
  <si>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</si>
  <si>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</si>
  <si>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</si>
  <si>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</si>
  <si>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</si>
  <si>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</si>
  <si>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</si>
  <si>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</si>
  <si>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</si>
  <si>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</si>
  <si>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</si>
  <si>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</si>
  <si>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</si>
  <si>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</si>
  <si>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</si>
  <si>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</si>
  <si>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</si>
  <si>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</si>
  <si>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</si>
  <si>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</si>
  <si>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</si>
  <si>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</si>
  <si>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</si>
  <si>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</si>
  <si>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</si>
  <si>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</si>
  <si>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</si>
  <si>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</si>
  <si>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</si>
  <si>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</si>
  <si>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</si>
  <si>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</si>
  <si>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</si>
  <si>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</si>
  <si>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</si>
  <si>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</si>
  <si>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</si>
  <si>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</si>
  <si>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</si>
  <si>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</si>
  <si>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</si>
  <si>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</si>
  <si>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</si>
  <si>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</si>
  <si>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</si>
  <si>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</si>
  <si>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</si>
  <si>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</si>
  <si>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</si>
  <si>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</si>
  <si>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</si>
  <si>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</si>
  <si>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</si>
  <si>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</si>
  <si>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</si>
  <si>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</si>
  <si>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</si>
  <si>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</si>
  <si>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</si>
  <si>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</si>
  <si>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</si>
  <si>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</si>
  <si>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</si>
  <si>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</si>
  <si>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</si>
  <si>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</si>
  <si>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</si>
  <si>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</si>
  <si>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</si>
  <si>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</si>
  <si>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</si>
  <si>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</si>
  <si>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</si>
  <si>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</si>
  <si>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</si>
  <si>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</si>
  <si>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</si>
  <si>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</si>
  <si>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</si>
  <si>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</si>
  <si>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</si>
  <si>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</si>
  <si>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</si>
  <si>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</si>
  <si>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</si>
  <si>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</si>
  <si>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</si>
  <si>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</si>
  <si>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</si>
  <si>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</si>
  <si>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</si>
  <si>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</si>
  <si>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</si>
  <si>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</si>
  <si>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</si>
  <si>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</si>
  <si>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</si>
  <si>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</si>
  <si>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</si>
  <si>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</si>
  <si>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</si>
  <si>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</si>
  <si>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</si>
  <si>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</si>
  <si>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</si>
  <si>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</si>
  <si>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</si>
  <si>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</si>
  <si>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</si>
  <si>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</si>
  <si>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</si>
  <si>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</si>
  <si>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</si>
  <si>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</si>
  <si>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</si>
  <si>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</si>
  <si>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</si>
  <si>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</si>
  <si>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</si>
  <si>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</si>
  <si>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</si>
  <si>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</si>
  <si>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</si>
  <si>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</si>
  <si>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</si>
  <si>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</si>
  <si>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</si>
  <si>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</si>
  <si>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</si>
  <si>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</si>
  <si>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</si>
  <si>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</si>
  <si>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</si>
  <si>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</si>
  <si>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</si>
  <si>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</si>
  <si>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</si>
  <si>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</si>
  <si>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</si>
  <si>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</si>
  <si>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</si>
  <si>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</si>
  <si>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</si>
  <si>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</si>
  <si>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</si>
  <si>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</si>
  <si>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</si>
  <si>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</si>
  <si>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</si>
  <si>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</si>
  <si>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</si>
  <si>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</si>
  <si>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</si>
  <si>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</si>
  <si>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</si>
  <si>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</si>
  <si>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</si>
  <si>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</si>
  <si>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</si>
  <si>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</si>
  <si>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</si>
  <si>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</si>
  <si>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</si>
  <si>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</si>
  <si>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</si>
  <si>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</si>
  <si>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</si>
  <si>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</si>
  <si>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</si>
  <si>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</si>
  <si>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</si>
  <si>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</si>
  <si>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</si>
  <si>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</si>
  <si>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</si>
  <si>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</si>
  <si>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</si>
  <si>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</si>
  <si>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</si>
  <si>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</si>
  <si>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</si>
  <si>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</si>
  <si>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</si>
  <si>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</si>
  <si>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</si>
  <si>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</si>
  <si>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</si>
  <si>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</si>
  <si>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</si>
  <si>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</si>
  <si>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</si>
  <si>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</si>
  <si>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</si>
  <si>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</si>
  <si>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</si>
  <si>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</si>
  <si>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</si>
  <si>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</si>
  <si>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</si>
  <si>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</si>
  <si>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</si>
  <si>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</si>
  <si>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</si>
  <si>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</si>
  <si>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</si>
  <si>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</si>
  <si>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</si>
  <si>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</si>
  <si>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</si>
  <si>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</si>
  <si>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</si>
  <si>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</si>
  <si>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</si>
  <si>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</si>
  <si>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</si>
  <si>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</si>
  <si>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</si>
  <si>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</si>
  <si>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</si>
  <si>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</si>
  <si>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</si>
  <si>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</si>
  <si>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</si>
  <si>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</si>
  <si>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</si>
  <si>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</si>
  <si>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</si>
  <si>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</si>
  <si>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</si>
  <si>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</si>
  <si>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</si>
  <si>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</si>
  <si>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</si>
  <si>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</si>
  <si>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</si>
  <si>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</si>
  <si>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</si>
  <si>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</si>
  <si>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</si>
  <si>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</si>
  <si>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</si>
  <si>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</si>
  <si>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</si>
  <si>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</si>
  <si>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</si>
  <si>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</si>
  <si>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</si>
  <si>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</si>
  <si>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</si>
  <si>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</si>
  <si>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</si>
  <si>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</si>
  <si>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</si>
  <si>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</si>
  <si>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</si>
  <si>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</si>
  <si>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</si>
  <si>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</si>
  <si>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</si>
  <si>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</si>
  <si>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</si>
  <si>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</si>
  <si>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</si>
  <si>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</si>
  <si>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</si>
  <si>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</si>
  <si>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</si>
  <si>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</si>
  <si>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</si>
  <si>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</si>
  <si>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</si>
  <si>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</si>
  <si>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</si>
  <si>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</si>
  <si>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</si>
  <si>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</si>
  <si>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</si>
  <si>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</si>
  <si>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</si>
  <si>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</si>
  <si>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</si>
  <si>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</si>
  <si>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</si>
  <si>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</si>
  <si>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</si>
  <si>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</si>
  <si>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</si>
  <si>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</si>
  <si>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</si>
  <si>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</si>
  <si>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</si>
  <si>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</si>
  <si>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</si>
  <si>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</si>
  <si>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</si>
  <si>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</si>
  <si>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</si>
  <si>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</si>
  <si>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</si>
  <si>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</si>
  <si>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</si>
  <si>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</si>
  <si>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</si>
  <si>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</si>
  <si>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</si>
  <si>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</si>
  <si>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</si>
  <si>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</si>
  <si>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</si>
  <si>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</si>
  <si>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</si>
  <si>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</si>
  <si>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</si>
  <si>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</si>
  <si>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</si>
  <si>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</si>
  <si>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</si>
  <si>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</si>
  <si>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</si>
  <si>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</si>
  <si>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</si>
  <si>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</si>
  <si>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</si>
  <si>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</si>
  <si>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</si>
  <si>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</si>
  <si>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</si>
  <si>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</si>
  <si>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</si>
  <si>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</si>
  <si>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</si>
  <si>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</si>
  <si>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</si>
  <si>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</si>
  <si>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</si>
  <si>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</si>
  <si>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</si>
  <si>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</si>
  <si>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</si>
  <si>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</si>
  <si>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</si>
  <si>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</si>
  <si>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</si>
  <si>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</si>
  <si>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</si>
  <si>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</si>
  <si>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</si>
  <si>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</si>
  <si>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</si>
  <si>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</si>
  <si>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</si>
  <si>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</si>
  <si>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</si>
  <si>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</si>
  <si>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</si>
  <si>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</si>
  <si>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</si>
  <si>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</si>
  <si>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</si>
  <si>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</si>
  <si>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</si>
  <si>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</si>
  <si>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</si>
  <si>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</si>
  <si>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</si>
  <si>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</si>
  <si>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</si>
  <si>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</si>
  <si>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</si>
  <si>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</si>
  <si>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</si>
  <si>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</si>
  <si>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</si>
  <si>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</si>
  <si>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</si>
  <si>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</si>
  <si>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</si>
  <si>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</si>
  <si>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</si>
  <si>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</si>
  <si>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</si>
  <si>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</si>
  <si>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</si>
  <si>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</si>
  <si>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</si>
  <si>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</si>
  <si>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</si>
  <si>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</si>
  <si>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</si>
  <si>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</si>
  <si>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</si>
  <si>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</si>
  <si>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</si>
  <si>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</si>
  <si>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</si>
  <si>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</si>
  <si>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</si>
  <si>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</si>
  <si>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</si>
  <si>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</si>
  <si>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</si>
  <si>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</si>
  <si>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</si>
  <si>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</si>
  <si>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</si>
  <si>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</si>
  <si>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</si>
  <si>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</si>
  <si>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</si>
  <si>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</si>
  <si>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</si>
  <si>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</si>
  <si>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</si>
  <si>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</si>
  <si>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</si>
  <si>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</si>
  <si>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</si>
  <si>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</si>
  <si>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</si>
  <si>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</si>
  <si>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</si>
  <si>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</si>
  <si>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</si>
  <si>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</si>
  <si>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</si>
  <si>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</si>
  <si>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</si>
  <si>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</si>
  <si>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</si>
  <si>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</si>
  <si>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</si>
  <si>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</si>
  <si>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</si>
  <si>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</si>
  <si>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</si>
  <si>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</si>
  <si>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</si>
  <si>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</si>
  <si>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</si>
  <si>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</si>
  <si>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</si>
  <si>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</si>
  <si>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</si>
  <si>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</si>
  <si>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</si>
  <si>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</si>
  <si>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</si>
  <si>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</si>
  <si>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</si>
  <si>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</si>
  <si>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</si>
  <si>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</si>
  <si>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</si>
  <si>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</si>
  <si>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</si>
  <si>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</si>
  <si>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</si>
  <si>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</si>
  <si>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</si>
  <si>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</si>
  <si>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</si>
  <si>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</si>
  <si>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</si>
  <si>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</si>
  <si>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</si>
  <si>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</si>
  <si>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</si>
  <si>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</si>
  <si>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</si>
  <si>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</si>
  <si>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</si>
  <si>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</si>
  <si>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</si>
  <si>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</si>
  <si>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</si>
  <si>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</si>
  <si>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</si>
  <si>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</si>
  <si>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</si>
  <si>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</si>
  <si>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</si>
  <si>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</si>
  <si>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</si>
  <si>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</si>
  <si>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</si>
  <si>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</si>
  <si>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</si>
  <si>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</si>
  <si>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</si>
  <si>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</si>
  <si>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</si>
  <si>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</si>
  <si>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</si>
  <si>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</si>
  <si>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</si>
  <si>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</si>
  <si>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</si>
  <si>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</si>
  <si>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</si>
  <si>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</si>
  <si>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</si>
  <si>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</si>
  <si>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</si>
  <si>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</si>
  <si>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</si>
  <si>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</si>
  <si>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</si>
  <si>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</si>
  <si>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</si>
  <si>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</si>
  <si>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</si>
  <si>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</si>
  <si>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</si>
  <si>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</si>
  <si>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</si>
  <si>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</si>
  <si>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</si>
  <si>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</si>
  <si>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</si>
  <si>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</si>
  <si>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</si>
  <si>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</si>
  <si>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</si>
  <si>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</si>
  <si>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</si>
  <si>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</si>
  <si>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</si>
  <si>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</si>
  <si>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</si>
  <si>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</si>
  <si>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</si>
  <si>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</si>
  <si>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</si>
  <si>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</si>
  <si>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</si>
  <si>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</si>
  <si>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</si>
  <si>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</si>
  <si>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</si>
  <si>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</si>
  <si>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</si>
  <si>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</si>
  <si>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</si>
  <si>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</si>
  <si>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</si>
  <si>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</si>
  <si>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</si>
  <si>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</si>
  <si>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</si>
  <si>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</si>
  <si>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</si>
  <si>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</si>
  <si>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</si>
  <si>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</si>
  <si>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</si>
  <si>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</si>
  <si>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</si>
  <si>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</si>
  <si>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</si>
  <si>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</si>
  <si>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</si>
  <si>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</si>
  <si>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</si>
  <si>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</si>
  <si>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</si>
  <si>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</si>
  <si>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</si>
  <si>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</si>
  <si>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</si>
  <si>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</si>
  <si>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</si>
  <si>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</si>
  <si>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</si>
  <si>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</si>
  <si>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</si>
  <si>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</si>
  <si>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</si>
  <si>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</si>
  <si>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</si>
  <si>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</si>
  <si>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</si>
  <si>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</si>
  <si>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</si>
  <si>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</si>
  <si>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</si>
  <si>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</si>
  <si>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</si>
  <si>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</si>
  <si>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</si>
  <si>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</si>
  <si>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</si>
  <si>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</si>
  <si>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</si>
  <si>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</si>
  <si>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</si>
  <si>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</si>
  <si>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</si>
  <si>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</si>
  <si>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</si>
  <si>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</si>
  <si>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</si>
  <si>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</si>
  <si>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</si>
  <si>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</si>
  <si>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</si>
  <si>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</si>
  <si>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</si>
  <si>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</si>
  <si>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</si>
  <si>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</si>
  <si>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</si>
  <si>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</si>
  <si>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</si>
  <si>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</si>
  <si>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</si>
  <si>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</si>
  <si>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</si>
  <si>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</si>
  <si>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</si>
  <si>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</si>
  <si>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</si>
  <si>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</si>
  <si>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</si>
  <si>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</si>
  <si>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</si>
  <si>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</si>
  <si>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</si>
  <si>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</si>
  <si>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</si>
  <si>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</si>
  <si>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</si>
  <si>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</si>
  <si>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</si>
  <si>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</si>
  <si>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</si>
  <si>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</si>
  <si>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</si>
  <si>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</si>
  <si>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</si>
  <si>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</si>
  <si>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</si>
  <si>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</si>
  <si>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</si>
  <si>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</si>
  <si>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</si>
  <si>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</si>
  <si>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</si>
  <si>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</si>
  <si>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</si>
  <si>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</si>
  <si>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</si>
  <si>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</si>
  <si>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</si>
  <si>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</si>
  <si>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</si>
  <si>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</si>
  <si>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</si>
  <si>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</si>
  <si>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</si>
  <si>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</si>
  <si>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</si>
  <si>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</si>
  <si>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</si>
  <si>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</si>
  <si>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</si>
  <si>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</si>
  <si>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</si>
  <si>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</si>
  <si>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</si>
  <si>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</si>
  <si>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</si>
  <si>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</si>
  <si>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</si>
  <si>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</si>
  <si>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</si>
  <si>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</si>
  <si>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</si>
  <si>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</si>
  <si>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</si>
  <si>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</si>
  <si>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</si>
  <si>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</si>
  <si>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</si>
  <si>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</si>
  <si>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</si>
  <si>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</si>
  <si>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</si>
  <si>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</si>
  <si>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</si>
  <si>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</si>
  <si>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</si>
  <si>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</si>
  <si>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</si>
  <si>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</si>
  <si>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</si>
  <si>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</si>
  <si>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</si>
  <si>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</si>
  <si>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</si>
  <si>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</si>
  <si>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</si>
  <si>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</si>
  <si>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</si>
  <si>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</si>
  <si>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</si>
  <si>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</si>
  <si>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</si>
  <si>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</si>
  <si>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</si>
  <si>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</si>
  <si>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</si>
  <si>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</si>
  <si>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</si>
  <si>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</si>
  <si>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</si>
  <si>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</si>
  <si>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</si>
  <si>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</si>
  <si>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</si>
  <si>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</si>
  <si>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</si>
  <si>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</si>
  <si>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</si>
  <si>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</si>
  <si>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</si>
  <si>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</si>
  <si>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</si>
  <si>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</si>
  <si>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</si>
  <si>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</si>
  <si>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</si>
  <si>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</si>
  <si>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</si>
  <si>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</si>
  <si>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</si>
  <si>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</si>
  <si>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</si>
  <si>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</si>
  <si>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</si>
  <si>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</si>
  <si>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</si>
  <si>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</si>
  <si>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</si>
  <si>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</si>
  <si>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</si>
  <si>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</si>
  <si>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</si>
  <si>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</si>
  <si>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</si>
  <si>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</si>
  <si>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</si>
  <si>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</si>
  <si>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</si>
  <si>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</si>
  <si>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</si>
  <si>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</si>
  <si>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</si>
  <si>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</si>
  <si>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</si>
  <si>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</si>
  <si>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</si>
  <si>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</si>
  <si>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</si>
  <si>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</si>
  <si>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</si>
  <si>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</si>
  <si>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</si>
  <si>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</si>
  <si>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</si>
  <si>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</si>
  <si>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</si>
  <si>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</si>
  <si>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</si>
  <si>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</si>
  <si>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</si>
  <si>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</si>
  <si>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</si>
  <si>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</si>
  <si>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</si>
  <si>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</si>
  <si>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</si>
  <si>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</si>
  <si>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</si>
  <si>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</si>
  <si>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</si>
  <si>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</si>
  <si>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</si>
  <si>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</si>
  <si>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</si>
  <si>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</si>
  <si>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</si>
  <si>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</si>
  <si>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</si>
  <si>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</si>
  <si>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</si>
  <si>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</si>
  <si>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</si>
  <si>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</si>
  <si>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</si>
  <si>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</si>
  <si>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</si>
  <si>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</si>
  <si>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</si>
  <si>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</si>
  <si>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</si>
  <si>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</si>
  <si>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</si>
  <si>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</si>
  <si>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</si>
  <si>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</si>
  <si>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</si>
  <si>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</si>
  <si>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</si>
  <si>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</si>
  <si>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</si>
  <si>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</si>
  <si>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</si>
  <si>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</si>
  <si>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</si>
  <si>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</si>
  <si>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</si>
  <si>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</si>
  <si>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</si>
  <si>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</si>
  <si>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</si>
  <si>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</si>
  <si>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</si>
  <si>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</si>
  <si>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</si>
  <si>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</si>
  <si>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</si>
  <si>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</si>
  <si>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</si>
  <si>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</si>
  <si>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</si>
  <si>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</si>
  <si>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</si>
  <si>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</si>
  <si>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</si>
  <si>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</si>
  <si>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</si>
  <si>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</si>
  <si>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</si>
  <si>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</si>
  <si>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</si>
  <si>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</si>
  <si>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</si>
  <si>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</si>
  <si>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</si>
  <si>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</si>
  <si>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</si>
  <si>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</si>
  <si>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</si>
  <si>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</si>
  <si>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</si>
  <si>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</si>
  <si>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</si>
  <si>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</si>
  <si>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</si>
  <si>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</si>
  <si>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</si>
  <si>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</si>
  <si>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</si>
  <si>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</si>
  <si>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</si>
  <si>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</si>
  <si>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</si>
  <si>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</si>
  <si>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</si>
  <si>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</si>
  <si>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</si>
  <si>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</si>
  <si>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</si>
  <si>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</si>
  <si>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</si>
  <si>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</si>
  <si>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</si>
  <si>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</si>
  <si>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</si>
  <si>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</si>
  <si>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</si>
  <si>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</si>
  <si>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</si>
  <si>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</si>
  <si>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</si>
  <si>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</si>
  <si>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</si>
  <si>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</si>
  <si>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</si>
  <si>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</si>
  <si>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</si>
  <si>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</si>
  <si>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</si>
  <si>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</si>
  <si>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</si>
  <si>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</si>
  <si>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</si>
  <si>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</si>
  <si>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</si>
  <si>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</si>
  <si>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</si>
  <si>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</si>
  <si>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</si>
  <si>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</si>
  <si>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</si>
  <si>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</si>
  <si>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</si>
  <si>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</si>
  <si>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</si>
  <si>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</si>
  <si>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</si>
  <si>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</si>
  <si>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</si>
  <si>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</si>
  <si>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</si>
  <si>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</si>
  <si>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</si>
  <si>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</si>
  <si>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</si>
  <si>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</si>
  <si>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</si>
  <si>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</si>
  <si>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</si>
  <si>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</si>
  <si>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</si>
  <si>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</si>
  <si>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</si>
  <si>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</si>
  <si>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</si>
  <si>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</si>
  <si>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</si>
  <si>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</si>
  <si>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</si>
  <si>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</si>
  <si>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</si>
  <si>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</si>
  <si>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</si>
  <si>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</si>
  <si>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</si>
  <si>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</si>
  <si>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</si>
  <si>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</si>
  <si>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</si>
  <si>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</si>
  <si>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</si>
  <si>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</si>
  <si>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</si>
  <si>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</si>
  <si>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</si>
  <si>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</si>
  <si>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</si>
  <si>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</si>
  <si>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</si>
  <si>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</si>
  <si>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</si>
  <si>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</si>
  <si>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</si>
  <si>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</si>
  <si>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</si>
  <si>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</si>
  <si>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</si>
  <si>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</si>
  <si>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</si>
  <si>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</si>
  <si>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</si>
  <si>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</si>
  <si>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</si>
  <si>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</si>
  <si>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</si>
  <si>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</si>
  <si>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</si>
  <si>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</si>
  <si>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</si>
  <si>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</si>
  <si>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</si>
  <si>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</si>
  <si>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</si>
  <si>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</si>
  <si>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</si>
  <si>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</si>
  <si>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</si>
  <si>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</si>
  <si>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</si>
  <si>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</si>
  <si>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</si>
  <si>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</si>
  <si>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</si>
  <si>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</si>
  <si>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</si>
  <si>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</si>
  <si>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</si>
  <si>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</si>
  <si>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</si>
  <si>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</si>
  <si>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</si>
  <si>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</si>
  <si>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</si>
  <si>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</si>
  <si>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</si>
  <si>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</si>
  <si>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</si>
  <si>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</si>
  <si>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</si>
  <si>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</si>
  <si>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</si>
  <si>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</si>
  <si>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</si>
  <si>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</si>
  <si>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</si>
  <si>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</si>
  <si>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</si>
  <si>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</si>
  <si>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</si>
  <si>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</si>
  <si>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</si>
  <si>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</si>
  <si>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</si>
  <si>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</si>
  <si>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</si>
  <si>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</si>
  <si>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</si>
  <si>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</si>
  <si>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</si>
  <si>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</si>
  <si>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</si>
  <si>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</si>
  <si>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</si>
  <si>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</si>
  <si>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</si>
  <si>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</si>
  <si>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</si>
  <si>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</si>
  <si>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</si>
  <si>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</si>
  <si>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</si>
  <si>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</si>
  <si>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</si>
  <si>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</si>
  <si>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</si>
  <si>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</si>
  <si>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</si>
  <si>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</si>
  <si>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</si>
  <si>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</si>
  <si>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</si>
  <si>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</si>
  <si>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</si>
  <si>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</si>
  <si>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</si>
  <si>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</si>
  <si>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</si>
  <si>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</si>
  <si>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</si>
  <si>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</si>
  <si>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</si>
  <si>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</si>
  <si>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</si>
  <si>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</si>
  <si>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</si>
  <si>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</si>
  <si>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</si>
  <si>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</si>
  <si>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</si>
  <si>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</si>
  <si>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</si>
  <si>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</si>
  <si>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</si>
  <si>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</si>
  <si>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</si>
  <si>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</si>
  <si>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</si>
  <si>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</si>
  <si>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</si>
  <si>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</si>
  <si>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</si>
  <si>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</si>
  <si>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</si>
  <si>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</si>
  <si>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</si>
  <si>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</si>
  <si>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</si>
  <si>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</si>
  <si>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</si>
  <si>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</si>
  <si>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</si>
  <si>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</si>
  <si>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</si>
  <si>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</si>
  <si>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</si>
  <si>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</si>
  <si>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</si>
  <si>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</si>
  <si>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</si>
  <si>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</si>
  <si>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</si>
  <si>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</si>
  <si>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</si>
  <si>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</si>
  <si>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</si>
  <si>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</si>
  <si>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</si>
  <si>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</si>
  <si>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</si>
  <si>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</si>
  <si>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</si>
  <si>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</si>
  <si>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</si>
  <si>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</si>
  <si>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</si>
  <si>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</si>
  <si>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</si>
  <si>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</si>
  <si>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</si>
  <si>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</si>
  <si>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</si>
  <si>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</si>
  <si>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</si>
  <si>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</si>
  <si>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</si>
  <si>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</si>
  <si>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</si>
  <si>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</si>
  <si>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</si>
  <si>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</si>
  <si>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</si>
  <si>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</si>
  <si>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</si>
  <si>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</si>
  <si>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</si>
  <si>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</si>
  <si>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</si>
  <si>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</si>
  <si>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</si>
  <si>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</si>
  <si>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</si>
  <si>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</si>
  <si>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</si>
  <si>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</si>
  <si>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</si>
  <si>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</si>
  <si>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</si>
  <si>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</si>
  <si>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</si>
  <si>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</si>
  <si>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</si>
  <si>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</si>
  <si>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</si>
  <si>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</si>
  <si>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</si>
  <si>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</si>
  <si>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</si>
  <si>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</si>
  <si>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</si>
  <si>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</si>
  <si>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</si>
  <si>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</si>
  <si>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</si>
  <si>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</si>
  <si>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</si>
  <si>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</si>
  <si>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</si>
  <si>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</si>
  <si>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</si>
  <si>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</si>
  <si>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</si>
  <si>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</si>
  <si>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</si>
  <si>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</si>
  <si>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</si>
  <si>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</si>
  <si>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</si>
  <si>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</si>
  <si>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</si>
  <si>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</si>
  <si>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</si>
  <si>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</si>
  <si>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</si>
  <si>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</si>
  <si>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</si>
  <si>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</si>
  <si>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</si>
  <si>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</si>
  <si>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</si>
  <si>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</si>
  <si>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</si>
  <si>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</si>
  <si>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</si>
  <si>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</si>
  <si>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</si>
  <si>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</si>
  <si>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</si>
  <si>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</si>
  <si>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</si>
  <si>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</si>
  <si>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</si>
  <si>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</si>
  <si>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</si>
  <si>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</si>
  <si>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</si>
  <si>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</si>
  <si>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</si>
  <si>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</si>
  <si>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</si>
  <si>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</si>
  <si>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</si>
  <si>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</si>
  <si>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</si>
  <si>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</si>
  <si>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</si>
  <si>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</si>
  <si>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</si>
  <si>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</si>
  <si>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</si>
  <si>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</si>
  <si>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</si>
  <si>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</si>
  <si>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</si>
  <si>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</si>
  <si>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</si>
  <si>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</si>
  <si>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</si>
  <si>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</si>
  <si>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</si>
  <si>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</si>
  <si>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</si>
  <si>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</si>
  <si>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</si>
  <si>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</si>
  <si>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</si>
  <si>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</si>
  <si>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</si>
  <si>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</si>
  <si>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</si>
  <si>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</si>
  <si>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</si>
  <si>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</si>
  <si>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</si>
  <si>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</si>
  <si>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</si>
  <si>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</si>
  <si>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</si>
  <si>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</si>
  <si>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</si>
  <si>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</si>
  <si>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</si>
  <si>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</si>
  <si>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</si>
  <si>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</si>
  <si>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</si>
  <si>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</si>
  <si>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</si>
  <si>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</si>
  <si>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</si>
  <si>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</si>
  <si>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</si>
  <si>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</si>
  <si>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</si>
  <si>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</si>
  <si>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</si>
  <si>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</si>
  <si>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</si>
  <si>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</si>
  <si>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</si>
  <si>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</si>
  <si>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</si>
  <si>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</si>
  <si>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</si>
  <si>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</si>
  <si>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</si>
  <si>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</si>
  <si>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</si>
  <si>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</si>
  <si>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</si>
  <si>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</si>
  <si>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</si>
  <si>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</si>
  <si>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</si>
  <si>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</si>
  <si>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</si>
  <si>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</si>
  <si>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</si>
  <si>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</si>
  <si>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</si>
  <si>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</si>
  <si>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</si>
  <si>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</si>
  <si>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</si>
  <si>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</si>
  <si>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</si>
  <si>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</si>
  <si>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</si>
  <si>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</si>
  <si>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</si>
  <si>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</si>
  <si>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</si>
  <si>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</si>
  <si>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</si>
  <si>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</si>
  <si>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</si>
  <si>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</si>
  <si>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</si>
  <si>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</si>
  <si>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</si>
  <si>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</si>
  <si>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</si>
  <si>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</si>
  <si>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</si>
  <si>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</si>
  <si>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</si>
  <si>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</si>
  <si>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</si>
  <si>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</si>
  <si>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</si>
  <si>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</si>
  <si>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</si>
  <si>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</si>
  <si>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</si>
  <si>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</si>
  <si>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</si>
  <si>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</si>
  <si>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</si>
  <si>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</si>
  <si>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</si>
  <si>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</si>
  <si>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</si>
  <si>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</si>
  <si>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</si>
  <si>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</si>
  <si>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</si>
  <si>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</si>
  <si>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</si>
  <si>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</si>
  <si>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</si>
  <si>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</si>
  <si>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</si>
  <si>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</si>
  <si>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</si>
  <si>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</si>
  <si>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</si>
  <si>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</si>
  <si>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</si>
  <si>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</si>
  <si>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</si>
  <si>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</si>
  <si>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</si>
  <si>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</si>
  <si>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</si>
  <si>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</si>
  <si>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</si>
  <si>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</si>
  <si>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</si>
  <si>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</si>
  <si>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</si>
  <si>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</si>
  <si>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</si>
  <si>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</si>
  <si>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</si>
  <si>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</si>
  <si>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</si>
  <si>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</si>
  <si>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</si>
  <si>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</si>
  <si>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</si>
  <si>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</si>
  <si>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</si>
  <si>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</si>
  <si>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</si>
  <si>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</si>
  <si>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</si>
  <si>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</si>
  <si>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</si>
  <si>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</si>
  <si>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</si>
  <si>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</si>
  <si>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</si>
  <si>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</si>
  <si>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</si>
  <si>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</si>
  <si>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</si>
  <si>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</si>
  <si>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</si>
  <si>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</si>
  <si>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</si>
  <si>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</si>
  <si>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</si>
  <si>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</si>
  <si>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</si>
  <si>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</si>
  <si>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</si>
  <si>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</si>
  <si>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</si>
  <si>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</si>
  <si>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</si>
  <si>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</si>
  <si>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</si>
  <si>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</si>
  <si>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</si>
  <si>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</si>
  <si>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</si>
  <si>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</si>
  <si>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</si>
  <si>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</si>
  <si>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</si>
  <si>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</si>
  <si>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</si>
  <si>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</si>
  <si>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</si>
  <si>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</si>
  <si>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</si>
  <si>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</si>
  <si>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</si>
  <si>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</si>
  <si>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</si>
  <si>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</si>
  <si>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</si>
  <si>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</si>
  <si>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</si>
  <si>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</si>
  <si>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</si>
  <si>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</si>
  <si>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</si>
  <si>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</si>
  <si>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</si>
  <si>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</si>
  <si>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</si>
  <si>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</si>
  <si>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</si>
  <si>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</si>
  <si>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</si>
  <si>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</si>
  <si>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</si>
  <si>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</si>
  <si>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</si>
  <si>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</si>
  <si>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</si>
  <si>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</si>
  <si>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</si>
  <si>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</si>
  <si>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</si>
  <si>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</si>
  <si>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</si>
  <si>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</si>
  <si>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</si>
  <si>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</si>
  <si>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</si>
  <si>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</si>
  <si>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</si>
  <si>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</si>
  <si>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</si>
  <si>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</si>
  <si>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</si>
  <si>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</si>
  <si>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</si>
  <si>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</si>
  <si>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</si>
  <si>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</si>
  <si>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</si>
  <si>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</si>
  <si>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</si>
  <si>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</si>
  <si>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</si>
  <si>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</si>
  <si>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</si>
  <si>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</si>
  <si>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</si>
  <si>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</si>
  <si>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</si>
  <si>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</si>
  <si>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</si>
  <si>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</si>
  <si>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</si>
  <si>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</si>
  <si>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</si>
  <si>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</si>
  <si>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</si>
  <si>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</si>
  <si>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</si>
  <si>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</si>
  <si>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</si>
  <si>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</si>
  <si>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</si>
  <si>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</si>
  <si>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</si>
  <si>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</si>
  <si>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</si>
  <si>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</si>
  <si>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</si>
  <si>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</si>
  <si>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</si>
  <si>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</si>
  <si>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</si>
  <si>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</si>
  <si>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</si>
  <si>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</si>
  <si>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</si>
  <si>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</si>
  <si>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</si>
  <si>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</si>
  <si>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</si>
  <si>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</si>
  <si>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</si>
  <si>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</si>
  <si>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</si>
  <si>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</si>
  <si>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</si>
  <si>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</si>
  <si>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</si>
  <si>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</si>
  <si>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</si>
  <si>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</si>
  <si>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</si>
  <si>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</si>
  <si>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</si>
  <si>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</si>
  <si>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</si>
  <si>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</si>
  <si>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</si>
  <si>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</si>
  <si>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</si>
  <si>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</si>
  <si>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</si>
  <si>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</si>
  <si>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</si>
  <si>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</si>
  <si>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</si>
  <si>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</si>
  <si>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</si>
  <si>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</si>
  <si>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</si>
  <si>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</si>
  <si>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</si>
  <si>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</si>
  <si>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</si>
  <si>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</si>
  <si>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</si>
  <si>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</si>
  <si>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</si>
  <si>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</si>
  <si>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</si>
  <si>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</si>
  <si>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</si>
  <si>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</si>
  <si>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</si>
  <si>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</si>
  <si>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</si>
  <si>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</si>
  <si>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</si>
  <si>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</si>
  <si>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</si>
  <si>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</si>
  <si>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</si>
  <si>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</si>
  <si>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</si>
  <si>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</si>
  <si>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</si>
  <si>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</si>
  <si>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</si>
  <si>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</si>
  <si>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</si>
  <si>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</si>
  <si>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</si>
  <si>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</si>
  <si>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</si>
  <si>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</si>
  <si>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</si>
  <si>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</si>
  <si>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</si>
  <si>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</si>
  <si>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</si>
  <si>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</si>
  <si>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</si>
  <si>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</si>
  <si>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</si>
  <si>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</si>
  <si>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</si>
  <si>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</si>
  <si>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</si>
  <si>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</si>
  <si>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</si>
  <si>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</si>
  <si>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</si>
  <si>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</si>
  <si>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</si>
  <si>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</si>
  <si>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</si>
  <si>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</si>
  <si>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</si>
  <si>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</si>
  <si>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</si>
  <si>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</si>
  <si>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</si>
  <si>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</si>
  <si>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</si>
  <si>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</si>
  <si>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</si>
  <si>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</si>
  <si>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</si>
  <si>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</si>
  <si>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</si>
  <si>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</si>
  <si>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</si>
  <si>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</si>
  <si>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</si>
  <si>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</si>
  <si>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</si>
  <si>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</si>
  <si>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</si>
  <si>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</si>
  <si>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</si>
  <si>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</si>
  <si>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</si>
  <si>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</si>
  <si>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</si>
  <si>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</si>
  <si>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</si>
  <si>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</si>
  <si>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</si>
  <si>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</si>
  <si>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</si>
  <si>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</si>
  <si>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</si>
  <si>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</si>
  <si>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</si>
  <si>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</si>
  <si>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</si>
  <si>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</si>
  <si>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</si>
  <si>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</si>
  <si>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</si>
  <si>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</si>
  <si>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</si>
  <si>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</si>
  <si>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</si>
  <si>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</si>
  <si>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</si>
  <si>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</si>
  <si>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</si>
  <si>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</si>
  <si>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</si>
  <si>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</si>
  <si>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</si>
  <si>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</si>
  <si>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</si>
  <si>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</si>
  <si>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</si>
  <si>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</si>
  <si>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</si>
  <si>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</si>
  <si>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</si>
  <si>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</si>
  <si>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</si>
  <si>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</si>
  <si>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</si>
  <si>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</si>
  <si>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</si>
  <si>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</si>
  <si>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</si>
  <si>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</si>
  <si>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</si>
  <si>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</si>
  <si>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</si>
  <si>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</si>
  <si>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</si>
  <si>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</si>
  <si>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</si>
  <si>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</si>
  <si>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</si>
  <si>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</si>
  <si>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</si>
  <si>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</si>
  <si>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</si>
  <si>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</si>
  <si>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</si>
  <si>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</si>
  <si>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</si>
  <si>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</si>
  <si>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</si>
  <si>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</si>
  <si>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</si>
  <si>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</si>
  <si>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</si>
  <si>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</si>
  <si>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</si>
  <si>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</si>
  <si>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</si>
  <si>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</si>
  <si>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</si>
  <si>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</si>
  <si>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</si>
  <si>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</si>
  <si>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</si>
  <si>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</si>
  <si>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</si>
  <si>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</si>
  <si>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</si>
  <si>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</si>
  <si>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</si>
  <si>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</si>
  <si>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</si>
  <si>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</si>
  <si>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</si>
  <si>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</si>
  <si>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</si>
  <si>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</si>
  <si>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</si>
  <si>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</si>
  <si>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</si>
  <si>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</si>
  <si>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</si>
  <si>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</si>
  <si>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</si>
  <si>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</si>
  <si>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</si>
  <si>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</si>
  <si>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</si>
  <si>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</si>
  <si>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</si>
  <si>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</si>
  <si>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</si>
  <si>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</si>
  <si>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</si>
  <si>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</si>
  <si>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</si>
  <si>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</si>
  <si>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</si>
  <si>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</si>
  <si>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</si>
  <si>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</si>
  <si>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</si>
  <si>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</si>
  <si>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</si>
  <si>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</si>
  <si>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</si>
  <si>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</si>
  <si>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</si>
  <si>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</si>
  <si>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</si>
  <si>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</si>
  <si>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</si>
  <si>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</si>
  <si>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</si>
  <si>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</si>
  <si>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</si>
  <si>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</si>
  <si>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</si>
  <si>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</si>
  <si>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</si>
  <si>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</si>
  <si>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</si>
  <si>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</si>
  <si>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</si>
  <si>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</si>
  <si>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</si>
  <si>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</si>
  <si>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</si>
  <si>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</si>
  <si>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</si>
  <si>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</si>
  <si>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</si>
  <si>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</si>
  <si>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</si>
  <si>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</si>
  <si>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</si>
  <si>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</si>
  <si>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</si>
  <si>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</si>
  <si>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</si>
  <si>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</si>
  <si>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</si>
  <si>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</si>
  <si>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</si>
  <si>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</si>
  <si>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</si>
  <si>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</si>
  <si>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</si>
  <si>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</si>
  <si>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</si>
  <si>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</si>
  <si>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</si>
  <si>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</si>
  <si>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</si>
  <si>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</si>
  <si>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</si>
  <si>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</si>
  <si>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</si>
  <si>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</si>
  <si>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</si>
  <si>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</si>
  <si>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</si>
  <si>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</si>
  <si>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</si>
  <si>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</si>
  <si>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</si>
  <si>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</si>
  <si>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</si>
  <si>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</si>
  <si>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</si>
  <si>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</si>
  <si>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</si>
  <si>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</si>
  <si>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</si>
  <si>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</si>
  <si>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</si>
  <si>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</si>
  <si>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</si>
  <si>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</si>
  <si>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</si>
  <si>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</si>
  <si>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</si>
  <si>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</si>
  <si>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</si>
  <si>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</si>
  <si>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</si>
  <si>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</si>
  <si>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</si>
  <si>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</si>
  <si>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</si>
  <si>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</si>
  <si>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</si>
  <si>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</si>
  <si>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</si>
  <si>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</si>
  <si>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</si>
  <si>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</si>
  <si>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</si>
  <si>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</si>
  <si>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</si>
  <si>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</si>
  <si>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</si>
  <si>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</si>
  <si>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</si>
  <si>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</si>
  <si>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</si>
  <si>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</si>
  <si>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</si>
  <si>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</si>
  <si>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</si>
  <si>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</si>
  <si>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</si>
  <si>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</si>
  <si>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</si>
  <si>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</si>
  <si>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</si>
  <si>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</si>
  <si>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</si>
  <si>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</si>
  <si>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</si>
  <si>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</si>
  <si>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</si>
  <si>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</si>
  <si>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</si>
  <si>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</si>
  <si>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</si>
  <si>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</si>
  <si>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</si>
  <si>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</si>
  <si>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</si>
  <si>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</si>
  <si>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</si>
  <si>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</si>
  <si>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</si>
  <si>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</si>
  <si>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</si>
  <si>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</si>
  <si>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</si>
  <si>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</si>
  <si>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</si>
  <si>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</si>
  <si>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</si>
  <si>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</si>
  <si>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</si>
  <si>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</si>
  <si>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</si>
  <si>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</si>
  <si>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</si>
  <si>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</si>
  <si>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</si>
  <si>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</si>
  <si>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</si>
  <si>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</si>
  <si>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</si>
  <si>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</si>
  <si>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</si>
  <si>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</si>
  <si>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</si>
  <si>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</si>
  <si>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</si>
  <si>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</si>
  <si>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</si>
  <si>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</si>
  <si>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</si>
  <si>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</si>
  <si>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</si>
  <si>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</si>
  <si>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</si>
  <si>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</si>
  <si>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</si>
  <si>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</si>
  <si>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</si>
  <si>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</si>
  <si>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</si>
  <si>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</si>
  <si>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</si>
  <si>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</si>
  <si>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</si>
  <si>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</si>
  <si>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</si>
  <si>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</si>
  <si>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</si>
  <si>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</si>
  <si>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</si>
  <si>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</si>
  <si>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</si>
  <si>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</si>
  <si>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</si>
  <si>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</si>
  <si>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</si>
  <si>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</si>
  <si>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</si>
  <si>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</si>
  <si>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</si>
  <si>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</si>
  <si>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</si>
  <si>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</si>
  <si>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</si>
  <si>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</si>
  <si>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</si>
  <si>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</si>
  <si>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</si>
  <si>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</si>
  <si>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</si>
  <si>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</si>
  <si>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</si>
  <si>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</si>
  <si>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</si>
  <si>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</si>
  <si>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</si>
  <si>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</si>
  <si>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</si>
  <si>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</si>
  <si>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</si>
  <si>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</si>
  <si>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</si>
  <si>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</si>
  <si>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</si>
  <si>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</si>
  <si>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</si>
  <si>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</si>
  <si>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</si>
  <si>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</si>
  <si>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</si>
  <si>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</si>
  <si>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</si>
  <si>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</si>
  <si>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</si>
  <si>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</si>
  <si>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</si>
  <si>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</si>
  <si>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</si>
  <si>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</si>
  <si>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</si>
  <si>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</si>
  <si>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</si>
  <si>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</si>
  <si>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</si>
  <si>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</si>
  <si>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</si>
  <si>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</si>
  <si>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</si>
  <si>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</si>
  <si>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</si>
  <si>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</si>
  <si>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</si>
  <si>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</si>
  <si>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</si>
  <si>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</si>
  <si>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</si>
  <si>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</si>
  <si>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</si>
  <si>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</si>
  <si>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</si>
  <si>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</si>
  <si>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</si>
  <si>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</si>
  <si>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</si>
  <si>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</si>
  <si>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</si>
  <si>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</si>
  <si>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</si>
  <si>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</si>
  <si>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</si>
  <si>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</si>
  <si>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</si>
  <si>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</si>
  <si>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</si>
  <si>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</si>
  <si>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</si>
  <si>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</si>
  <si>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</si>
  <si>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</si>
  <si>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</si>
  <si>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</si>
  <si>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</si>
  <si>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</si>
  <si>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</si>
  <si>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</si>
  <si>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</si>
  <si>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</si>
  <si>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</si>
  <si>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</si>
  <si>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</si>
  <si>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</si>
  <si>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</si>
  <si>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</si>
  <si>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</si>
  <si>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</si>
  <si>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</si>
  <si>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</si>
  <si>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</si>
  <si>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</si>
  <si>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</si>
  <si>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</si>
  <si>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</si>
  <si>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</si>
  <si>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</si>
  <si>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</si>
  <si>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</si>
  <si>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</si>
  <si>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</si>
  <si>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</si>
  <si>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</si>
  <si>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</si>
  <si>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</si>
  <si>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</si>
  <si>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</si>
  <si>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</si>
  <si>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</si>
  <si>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</si>
  <si>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</si>
  <si>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</si>
  <si>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</si>
  <si>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</si>
  <si>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</si>
  <si>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</si>
  <si>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</si>
  <si>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</si>
  <si>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</si>
  <si>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</si>
  <si>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</si>
  <si>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</si>
  <si>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</si>
  <si>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</si>
  <si>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</si>
  <si>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</si>
  <si>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</si>
  <si>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</si>
  <si>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</si>
  <si>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</si>
  <si>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</si>
  <si>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</si>
  <si>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</si>
  <si>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</si>
  <si>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</si>
  <si>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</si>
  <si>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</si>
  <si>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</si>
  <si>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</si>
  <si>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</si>
  <si>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</si>
  <si>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</si>
  <si>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</si>
  <si>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</si>
  <si>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</si>
  <si>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</si>
  <si>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</si>
  <si>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</si>
  <si>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</si>
  <si>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</si>
  <si>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</si>
  <si>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</si>
  <si>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</si>
  <si>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</si>
  <si>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</si>
  <si>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</si>
  <si>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</si>
  <si>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</si>
  <si>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</si>
  <si>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</si>
  <si>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</si>
  <si>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</si>
  <si>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</si>
  <si>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</si>
  <si>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</si>
  <si>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</si>
  <si>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</si>
  <si>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</si>
  <si>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</si>
  <si>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</si>
  <si>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</si>
  <si>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</si>
  <si>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</si>
  <si>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</si>
  <si>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</si>
  <si>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</si>
  <si>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</si>
  <si>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</si>
  <si>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</si>
  <si>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</si>
  <si>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</si>
  <si>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</si>
  <si>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</si>
  <si>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</si>
  <si>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</si>
  <si>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</si>
  <si>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</si>
  <si>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</si>
  <si>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</si>
  <si>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</si>
  <si>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</si>
  <si>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</si>
  <si>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</si>
  <si>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</si>
  <si>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</si>
  <si>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</si>
  <si>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</si>
  <si>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</si>
  <si>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</si>
  <si>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</si>
  <si>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</si>
  <si>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</si>
  <si>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</si>
  <si>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</si>
  <si>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</si>
  <si>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</si>
  <si>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</si>
  <si>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</si>
  <si>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</si>
  <si>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</si>
  <si>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</si>
  <si>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</si>
  <si>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</si>
  <si>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</si>
  <si>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</si>
  <si>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</si>
  <si>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</si>
  <si>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</si>
  <si>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</si>
  <si>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</si>
  <si>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</si>
  <si>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</si>
  <si>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</si>
  <si>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</si>
  <si>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</si>
  <si>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</si>
  <si>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</si>
  <si>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</si>
  <si>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</si>
  <si>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</si>
  <si>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</si>
  <si>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</si>
  <si>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</si>
  <si>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</si>
  <si>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</si>
  <si>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</si>
  <si>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</si>
  <si>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</si>
  <si>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</si>
  <si>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</si>
  <si>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</si>
  <si>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</si>
  <si>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</si>
  <si>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</si>
  <si>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</si>
  <si>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</si>
  <si>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</si>
  <si>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</si>
  <si>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</si>
  <si>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</si>
  <si>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 xml:space="preserve"> </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</si>
  <si>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</si>
  <si>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</si>
  <si>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</si>
  <si>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</si>
  <si>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</si>
  <si>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</si>
  <si>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</si>
  <si>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</si>
  <si>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</si>
  <si>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</si>
  <si>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</si>
  <si>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</si>
  <si>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</si>
  <si>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</si>
  <si>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</si>
  <si>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</si>
  <si>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</si>
  <si>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</si>
  <si>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</si>
  <si>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</si>
  <si>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</si>
  <si>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</si>
  <si>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</si>
  <si>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</si>
  <si>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</si>
  <si>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</si>
  <si>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</si>
  <si>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</si>
  <si>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</si>
  <si>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</si>
  <si>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</si>
  <si>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</si>
  <si>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</si>
  <si>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</si>
  <si>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</si>
  <si>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</si>
  <si>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</si>
  <si>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</si>
  <si>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</si>
  <si>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</si>
  <si>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</si>
  <si>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</si>
  <si>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</si>
  <si>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</si>
  <si>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</si>
  <si>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</si>
  <si>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</si>
  <si>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</si>
  <si>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</si>
  <si>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</si>
  <si>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</si>
  <si>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</si>
  <si>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</si>
  <si>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</si>
  <si>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</si>
  <si>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</si>
  <si>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</si>
  <si>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</si>
  <si>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</si>
  <si>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</si>
  <si>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</si>
  <si>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</si>
  <si>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</si>
  <si>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</si>
  <si>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</si>
  <si>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</si>
  <si>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</si>
  <si>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</si>
  <si>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</si>
  <si>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</si>
  <si>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</si>
  <si>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</si>
  <si>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</si>
  <si>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</si>
  <si>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</si>
  <si>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</si>
  <si>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</si>
  <si>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</si>
  <si>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</si>
  <si>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</si>
  <si>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</si>
  <si>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</si>
  <si>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</si>
  <si>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</si>
  <si>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</si>
  <si>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</si>
  <si>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</si>
  <si>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</si>
  <si>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</si>
  <si>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</si>
  <si>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</si>
  <si>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</si>
  <si>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</si>
  <si>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</si>
  <si>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</si>
  <si>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</si>
  <si>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</si>
  <si>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</si>
  <si>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</si>
  <si>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</si>
  <si>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</si>
  <si>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</si>
  <si>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</si>
  <si>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</si>
  <si>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</si>
  <si>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</si>
  <si>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</si>
  <si>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</si>
  <si>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</si>
  <si>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</si>
  <si>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</si>
  <si>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</si>
  <si>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</si>
  <si>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</si>
  <si>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</si>
  <si>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</si>
  <si>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</si>
  <si>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</si>
  <si>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</si>
  <si>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</si>
  <si>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</si>
  <si>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</si>
  <si>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</si>
  <si>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</si>
  <si>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</si>
  <si>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</si>
  <si>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</si>
  <si>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</si>
  <si>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</si>
  <si>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</si>
  <si>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</si>
  <si>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</si>
  <si>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</si>
  <si>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</si>
  <si>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</si>
  <si>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</si>
  <si>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</si>
  <si>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</si>
  <si>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</si>
  <si>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</si>
  <si>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</si>
  <si>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</si>
  <si>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</si>
  <si>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</si>
  <si>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</si>
  <si>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</si>
  <si>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</si>
  <si>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</si>
  <si>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</si>
  <si>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</si>
  <si>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</si>
  <si>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</si>
  <si>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</si>
  <si>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</si>
  <si>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</si>
  <si>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</si>
  <si>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</si>
  <si>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</si>
  <si>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</si>
  <si>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</si>
  <si>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</si>
  <si>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</si>
  <si>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</si>
  <si>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</si>
  <si>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</si>
  <si>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</si>
  <si>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</si>
  <si>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</si>
  <si>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</si>
  <si>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</si>
  <si>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</si>
  <si>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</si>
  <si>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</si>
  <si>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</si>
  <si>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</si>
  <si>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</si>
  <si>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</si>
  <si>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</si>
  <si>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</si>
  <si>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</si>
  <si>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</si>
  <si>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</si>
  <si>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</si>
  <si>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</si>
  <si>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</si>
  <si>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</si>
  <si>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</si>
  <si>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</si>
  <si>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</si>
  <si>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</si>
  <si>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</si>
  <si>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</si>
  <si>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</si>
  <si>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</si>
  <si>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</si>
  <si>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</si>
  <si>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</si>
  <si>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</si>
  <si>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</si>
  <si>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</si>
  <si>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</si>
  <si>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</si>
  <si>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</si>
  <si>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</si>
  <si>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</si>
  <si>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</si>
  <si>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</si>
  <si>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</si>
  <si>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</si>
  <si>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</si>
  <si>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</si>
  <si>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</si>
  <si>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</si>
  <si>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</si>
  <si>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</si>
  <si>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</si>
  <si>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</si>
  <si>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</si>
  <si>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</si>
  <si>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</si>
  <si>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</si>
  <si>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</si>
  <si>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</si>
  <si>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</si>
  <si>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</si>
  <si>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</si>
  <si>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</si>
  <si>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</si>
  <si>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</si>
  <si>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</si>
  <si>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</si>
  <si>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</si>
  <si>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</si>
  <si>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</si>
  <si>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</si>
  <si>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</si>
  <si>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</si>
  <si>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</si>
  <si>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</si>
  <si>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</si>
  <si>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</si>
  <si>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</si>
  <si>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</si>
  <si>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</si>
  <si>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</si>
  <si>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</si>
  <si>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</si>
  <si>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</si>
  <si>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</si>
  <si>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</si>
  <si>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</si>
  <si>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</si>
  <si>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</si>
  <si>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</si>
  <si>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</si>
  <si>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</si>
  <si>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</si>
  <si>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</si>
  <si>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</si>
  <si>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</si>
  <si>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</si>
  <si>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</si>
  <si>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</si>
  <si>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</si>
  <si>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</si>
  <si>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</si>
  <si>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</si>
  <si>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</si>
  <si>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</si>
  <si>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</si>
  <si>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</si>
  <si>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</si>
  <si>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</si>
  <si>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</si>
  <si>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</si>
  <si>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</si>
  <si>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</si>
  <si>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</si>
  <si>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</si>
  <si>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</si>
  <si>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</si>
  <si>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</si>
  <si>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</si>
  <si>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</si>
  <si>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</si>
  <si>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</si>
  <si>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</si>
  <si>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</si>
  <si>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</si>
  <si>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</si>
  <si>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</si>
  <si>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</si>
  <si>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</si>
  <si>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</si>
  <si>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</si>
  <si>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</si>
  <si>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</si>
  <si>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</si>
  <si>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</si>
  <si>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</si>
  <si>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</si>
  <si>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</si>
  <si>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</si>
  <si>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</si>
  <si>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</si>
  <si>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</si>
  <si>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</si>
  <si>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</si>
  <si>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</si>
  <si>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</si>
  <si>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</si>
  <si>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</si>
  <si>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</si>
  <si>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</si>
  <si>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</si>
  <si>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</si>
  <si>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</si>
  <si>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</si>
  <si>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</si>
  <si>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</si>
  <si>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</si>
  <si>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</si>
  <si>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</si>
  <si>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</si>
  <si>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</si>
  <si>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</si>
  <si>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</si>
  <si>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</si>
  <si>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</si>
  <si>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</si>
  <si>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</si>
  <si>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</si>
  <si>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</si>
  <si>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</si>
  <si>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</si>
  <si>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</si>
  <si>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</si>
  <si>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</si>
  <si>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</si>
  <si>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</si>
  <si>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</si>
  <si>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</si>
  <si>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</si>
  <si>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</si>
  <si>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</si>
  <si>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</si>
  <si>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</si>
  <si>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</si>
  <si>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</si>
  <si>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</si>
  <si>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</si>
  <si>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</si>
  <si>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</si>
  <si>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</si>
  <si>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</si>
  <si>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</si>
  <si>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</si>
  <si>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</si>
  <si>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</si>
  <si>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</si>
  <si>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</si>
  <si>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</si>
  <si>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</si>
  <si>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</si>
  <si>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</si>
  <si>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</si>
  <si>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</si>
  <si>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</si>
  <si>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</si>
  <si>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</si>
  <si>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</si>
  <si>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</si>
  <si>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</si>
  <si>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</si>
  <si>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</si>
  <si>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</si>
  <si>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</si>
  <si>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</si>
  <si>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</si>
  <si>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</si>
  <si>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</si>
  <si>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</si>
  <si>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</si>
  <si>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</si>
  <si>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</si>
  <si>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</si>
  <si>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</si>
  <si>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</si>
  <si>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</si>
  <si>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</si>
  <si>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</si>
  <si>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</si>
  <si>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</si>
  <si>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</si>
  <si>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</si>
  <si>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</si>
  <si>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</si>
  <si>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</si>
  <si>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</si>
  <si>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</si>
  <si>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</si>
  <si>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</si>
  <si>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</si>
  <si>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</si>
  <si>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</si>
  <si>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</si>
  <si>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</si>
  <si>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</si>
  <si>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</si>
  <si>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</si>
  <si>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</si>
  <si>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</si>
  <si>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</si>
  <si>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</si>
  <si>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</si>
  <si>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</si>
  <si>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</si>
  <si>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</si>
  <si>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</si>
  <si>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</si>
  <si>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</si>
  <si>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</si>
  <si>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</si>
  <si>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</si>
  <si>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</si>
  <si>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</si>
  <si>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</si>
  <si>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</si>
  <si>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</si>
  <si>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</si>
  <si>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</si>
  <si>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</si>
  <si>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</si>
  <si>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</si>
  <si>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</si>
  <si>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</si>
  <si>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</si>
  <si>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</si>
  <si>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</si>
  <si>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</si>
  <si>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</si>
  <si>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</si>
  <si>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</si>
  <si>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</si>
  <si>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</si>
  <si>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</si>
  <si>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</si>
  <si>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</si>
  <si>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</si>
  <si>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</si>
  <si>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</si>
  <si>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</si>
  <si>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</si>
  <si>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</si>
  <si>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</si>
  <si>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</si>
  <si>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</si>
  <si>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</si>
  <si>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</si>
  <si>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</si>
  <si>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</si>
  <si>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</si>
  <si>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</si>
  <si>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</si>
  <si>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</si>
  <si>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</si>
  <si>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</si>
  <si>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</si>
  <si>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</si>
  <si>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</si>
  <si>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</si>
  <si>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</si>
  <si>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</si>
  <si>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</si>
  <si>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</si>
  <si>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</si>
  <si>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</si>
  <si>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</si>
  <si>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</si>
  <si>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</si>
  <si>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</si>
  <si>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</si>
  <si>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</si>
  <si>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</si>
  <si>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</si>
  <si>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</si>
  <si>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</si>
  <si>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</si>
  <si>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</si>
  <si>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</si>
  <si>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</si>
  <si>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</si>
  <si>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</si>
  <si>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</si>
  <si>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</si>
  <si>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</si>
  <si>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</si>
  <si>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</si>
  <si>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</si>
  <si>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</si>
  <si>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</si>
  <si>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</si>
  <si>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</si>
  <si>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</si>
  <si>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</si>
  <si>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</si>
  <si>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</si>
  <si>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</si>
  <si>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</si>
  <si>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</si>
  <si>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</si>
  <si>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</si>
  <si>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</si>
  <si>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</si>
  <si>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</si>
  <si>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</si>
  <si>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</si>
  <si>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</si>
  <si>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</si>
  <si>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</si>
  <si>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</si>
  <si>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</si>
  <si>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</si>
  <si>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</si>
  <si>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</si>
  <si>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</si>
  <si>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</si>
  <si>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</si>
  <si>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</si>
  <si>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</si>
  <si>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</si>
  <si>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</si>
  <si>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</si>
  <si>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</si>
  <si>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</si>
  <si>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</si>
  <si>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</si>
  <si>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</si>
  <si>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</si>
  <si>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</si>
  <si>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</si>
  <si>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</si>
  <si>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</si>
  <si>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</si>
  <si>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</si>
  <si>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</si>
  <si>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</si>
  <si>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</si>
  <si>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</si>
  <si>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</si>
  <si>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</si>
  <si>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</si>
  <si>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</si>
  <si>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</si>
  <si>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</si>
  <si>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</si>
  <si>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</si>
  <si>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</si>
  <si>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</si>
  <si>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</si>
  <si>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</si>
  <si>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</si>
  <si>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</si>
  <si>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</si>
  <si>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</si>
  <si>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</si>
  <si>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</si>
  <si>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</si>
  <si>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</si>
  <si>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</si>
  <si>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</si>
  <si>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</si>
  <si>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</si>
  <si>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</si>
  <si>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</si>
  <si>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</si>
  <si>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</si>
  <si>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</si>
  <si>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</si>
  <si>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</si>
  <si>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</si>
  <si>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</si>
  <si>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</si>
  <si>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</si>
  <si>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</si>
  <si>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</si>
  <si>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</si>
  <si>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</si>
  <si>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</si>
  <si>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</si>
  <si>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</si>
  <si>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</si>
  <si>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</si>
  <si>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</si>
  <si>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</si>
  <si>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</si>
  <si>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</si>
  <si>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</si>
  <si>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</si>
  <si>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</si>
  <si>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</si>
  <si>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</si>
  <si>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</si>
  <si>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</si>
  <si>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</si>
  <si>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</si>
  <si>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</si>
  <si>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</si>
  <si>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</si>
  <si>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</si>
  <si>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</si>
  <si>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</si>
  <si>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</si>
  <si>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</si>
  <si>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</si>
  <si>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</si>
  <si>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</si>
  <si>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</si>
  <si>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</si>
  <si>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</si>
  <si>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</si>
  <si>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</si>
  <si>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</si>
  <si>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</si>
  <si>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</si>
  <si>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</si>
  <si>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</si>
  <si>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</si>
  <si>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</si>
  <si>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</si>
  <si>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</si>
  <si>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</si>
  <si>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</si>
  <si>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</si>
  <si>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</si>
  <si>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</si>
  <si>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</si>
  <si>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</si>
  <si>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</si>
  <si>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</si>
  <si>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</si>
  <si>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</si>
  <si>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</si>
  <si>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</si>
  <si>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</si>
  <si>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</si>
  <si>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</si>
  <si>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</si>
  <si>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</si>
  <si>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</si>
  <si>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</si>
  <si>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</si>
  <si>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</si>
  <si>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</si>
  <si>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</si>
  <si>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</si>
  <si>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</si>
  <si>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</si>
  <si>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</si>
  <si>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</si>
  <si>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</si>
  <si>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</si>
  <si>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</si>
  <si>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</si>
  <si>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</si>
  <si>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</si>
  <si>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</si>
  <si>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</si>
  <si>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</si>
  <si>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</si>
  <si>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</si>
  <si>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</si>
  <si>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</si>
  <si>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</si>
  <si>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</si>
  <si>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</si>
  <si>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</si>
  <si>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</si>
  <si>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</si>
  <si>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</si>
  <si>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</si>
  <si>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</si>
  <si>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</si>
  <si>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</si>
  <si>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</si>
  <si>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</si>
  <si>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</si>
  <si>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</si>
  <si>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</si>
  <si>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</si>
  <si>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</si>
  <si>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</si>
  <si>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</si>
  <si>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</si>
  <si>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</si>
  <si>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</si>
  <si>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</si>
  <si>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</si>
  <si>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</si>
  <si>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</si>
  <si>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</si>
  <si>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</si>
  <si>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</si>
  <si>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</si>
  <si>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</si>
  <si>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</si>
  <si>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</si>
  <si>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</si>
  <si>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</si>
  <si>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</si>
  <si>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</si>
  <si>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</si>
  <si>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</si>
  <si>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</si>
  <si>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</si>
  <si>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</si>
  <si>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</si>
  <si>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</si>
  <si>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</si>
  <si>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</si>
  <si>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</si>
  <si>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</si>
  <si>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</si>
  <si>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</si>
  <si>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</si>
  <si>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</si>
  <si>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</si>
  <si>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</si>
  <si>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</si>
  <si>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</si>
  <si>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</si>
  <si>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</si>
  <si>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</si>
  <si>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</si>
  <si>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</si>
  <si>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</si>
  <si>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</si>
  <si>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</si>
  <si>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</si>
  <si>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</si>
  <si>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</si>
  <si>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</si>
  <si>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</si>
  <si>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</si>
  <si>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</si>
  <si>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</si>
  <si>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</si>
  <si>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</si>
  <si>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</si>
  <si>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</si>
  <si>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</si>
  <si>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</si>
  <si>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</si>
  <si>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</si>
  <si>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</si>
  <si>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</si>
  <si>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</si>
  <si>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</si>
  <si>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</si>
  <si>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</si>
  <si>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</si>
  <si>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</si>
  <si>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</si>
  <si>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</si>
  <si>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</si>
  <si>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</si>
  <si>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</si>
  <si>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</si>
  <si>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</si>
  <si>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</si>
  <si>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</si>
  <si>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</si>
  <si>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</si>
  <si>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</si>
  <si>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</si>
  <si>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</si>
  <si>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</si>
  <si>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</si>
  <si>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</si>
  <si>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</si>
  <si>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</si>
  <si>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</si>
  <si>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</si>
  <si>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</si>
  <si>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</si>
  <si>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</si>
  <si>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</si>
  <si>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</si>
  <si>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</si>
  <si>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</si>
  <si>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</si>
  <si>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</si>
  <si>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</si>
  <si>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</si>
  <si>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</si>
  <si>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</si>
  <si>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</si>
  <si>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</si>
  <si>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</si>
  <si>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</si>
  <si>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</si>
  <si>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</si>
  <si>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</si>
  <si>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</si>
  <si>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</si>
  <si>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</si>
  <si>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</si>
  <si>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</si>
  <si>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</si>
  <si>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</si>
  <si>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</si>
  <si>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</si>
  <si>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</si>
  <si>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</si>
  <si>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</si>
  <si>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</si>
  <si>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</si>
  <si>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</si>
  <si>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</si>
  <si>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</si>
  <si>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</si>
  <si>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</si>
  <si>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</si>
  <si>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</si>
  <si>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</si>
  <si>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</si>
  <si>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</si>
  <si>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</si>
  <si>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</si>
  <si>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</si>
  <si>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</si>
  <si>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</si>
  <si>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</si>
  <si>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</si>
  <si>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</si>
  <si>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</si>
  <si>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</si>
  <si>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</si>
  <si>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</si>
  <si>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</si>
  <si>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</si>
  <si>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</si>
  <si>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</si>
  <si>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</si>
  <si>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</si>
  <si>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</si>
  <si>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</si>
  <si>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</si>
  <si>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</si>
  <si>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</si>
  <si>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</si>
  <si>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</si>
  <si>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</si>
  <si>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</si>
  <si>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</si>
  <si>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</si>
  <si>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</si>
  <si>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</si>
  <si>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</si>
  <si>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</si>
  <si>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</si>
  <si>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</si>
  <si>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</si>
  <si>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</si>
  <si>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</si>
  <si>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</si>
  <si>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</si>
  <si>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</si>
  <si>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</si>
  <si>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</si>
  <si>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</si>
  <si>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</si>
  <si>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</si>
  <si>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</si>
  <si>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</si>
  <si>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</si>
  <si>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</si>
  <si>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</si>
  <si>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</si>
  <si>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</si>
  <si>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</si>
  <si>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</si>
  <si>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</si>
  <si>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</si>
  <si>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</si>
  <si>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</si>
  <si>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</si>
  <si>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</si>
  <si>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</si>
  <si>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</si>
  <si>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</si>
  <si>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</si>
  <si>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</si>
  <si>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</si>
  <si>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</si>
  <si>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</si>
  <si>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</si>
  <si>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</si>
  <si>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</si>
  <si>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</si>
  <si>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</si>
  <si>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</si>
  <si>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</si>
  <si>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</si>
  <si>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</si>
  <si>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</si>
  <si>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</si>
  <si>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</si>
  <si>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</si>
  <si>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</si>
  <si>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</si>
  <si>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</si>
  <si>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</si>
  <si>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</si>
  <si>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</si>
  <si>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</si>
  <si>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</si>
  <si>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</si>
  <si>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</si>
  <si>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</si>
  <si>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</si>
  <si>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</si>
  <si>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</si>
  <si>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</si>
  <si>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</si>
  <si>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</si>
  <si>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</si>
  <si>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</si>
  <si>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</si>
  <si>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</si>
  <si>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</si>
  <si>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</si>
  <si>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</si>
  <si>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</si>
  <si>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</si>
  <si>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</si>
  <si>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</si>
  <si>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</si>
  <si>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</si>
  <si>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</si>
  <si>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</si>
  <si>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</si>
  <si>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</si>
  <si>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</si>
  <si>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</si>
  <si>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</si>
  <si>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</si>
  <si>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</si>
  <si>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</si>
  <si>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</si>
  <si>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</si>
  <si>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</si>
  <si>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</si>
  <si>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</si>
  <si>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</si>
  <si>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</si>
  <si>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</si>
  <si>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</si>
  <si>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</si>
  <si>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</si>
  <si>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</si>
  <si>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</si>
  <si>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</si>
  <si>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</si>
  <si>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</si>
  <si>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</si>
  <si>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</si>
  <si>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</si>
  <si>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</si>
  <si>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</si>
  <si>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</si>
  <si>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</si>
  <si>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</si>
  <si>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</si>
  <si>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</si>
  <si>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</si>
  <si>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</si>
  <si>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</si>
  <si>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</si>
  <si>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</si>
  <si>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</si>
  <si>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</si>
  <si>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</si>
  <si>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</si>
  <si>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</si>
  <si>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</si>
  <si>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</si>
  <si>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</si>
  <si>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</si>
  <si>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</si>
  <si>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</si>
  <si>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</si>
  <si>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</si>
  <si>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</si>
  <si>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</si>
  <si>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</si>
  <si>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</si>
  <si>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</si>
  <si>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</si>
  <si>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</si>
  <si>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</si>
  <si>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</si>
  <si>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</si>
  <si>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</si>
  <si>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</si>
  <si>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</si>
  <si>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</si>
  <si>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</si>
  <si>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</si>
  <si>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</si>
  <si>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</si>
  <si>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</si>
  <si>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</si>
  <si>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</si>
  <si>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</si>
  <si>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</si>
  <si>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</si>
  <si>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</si>
  <si>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</si>
  <si>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</si>
  <si>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</si>
  <si>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</si>
  <si>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</si>
  <si>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</si>
  <si>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</si>
  <si>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</si>
  <si>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</si>
  <si>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</si>
  <si>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</si>
  <si>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</si>
  <si>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</si>
  <si>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</si>
  <si>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</si>
  <si>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</si>
  <si>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</si>
  <si>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</si>
  <si>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</si>
  <si>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</si>
  <si>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</si>
  <si>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</si>
  <si>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</si>
  <si>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</si>
  <si>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</si>
  <si>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</si>
  <si>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</si>
  <si>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</si>
  <si>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</si>
  <si>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</si>
  <si>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</si>
  <si>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</si>
  <si>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</si>
  <si>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</si>
  <si>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</si>
  <si>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</si>
  <si>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</si>
  <si>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</si>
  <si>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</si>
  <si>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</si>
  <si>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</si>
  <si>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</si>
  <si>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</si>
  <si>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</si>
  <si>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</si>
  <si>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</si>
  <si>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</si>
  <si>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</si>
  <si>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</si>
  <si>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</si>
  <si>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</si>
  <si>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</si>
  <si>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</si>
  <si>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</si>
  <si>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</si>
  <si>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</si>
  <si>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</si>
  <si>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</si>
  <si>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</si>
  <si>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</si>
  <si>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</si>
  <si>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</si>
  <si>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</si>
  <si>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</si>
  <si>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</si>
  <si>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</si>
  <si>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</si>
  <si>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</si>
  <si>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</si>
  <si>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</si>
  <si>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</si>
  <si>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</si>
  <si>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</si>
  <si>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</si>
  <si>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</si>
  <si>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</si>
  <si>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</si>
  <si>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</si>
  <si>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</si>
  <si>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</si>
  <si>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</si>
  <si>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</si>
  <si>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</si>
  <si>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</si>
  <si>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</si>
  <si>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</si>
  <si>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</si>
  <si>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</si>
  <si>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</si>
  <si>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</si>
  <si>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</si>
  <si>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</si>
  <si>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</si>
  <si>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</si>
  <si>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</si>
  <si>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</si>
  <si>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</si>
  <si>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</si>
  <si>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</si>
  <si>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</si>
  <si>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</si>
  <si>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</si>
  <si>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</si>
  <si>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</si>
  <si>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</si>
  <si>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</si>
  <si>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</si>
  <si>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</si>
  <si>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</si>
  <si>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</si>
  <si>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</si>
  <si>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</si>
  <si>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</si>
  <si>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</si>
  <si>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</si>
  <si>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</si>
  <si>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</si>
  <si>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</si>
  <si>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</si>
  <si>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</si>
  <si>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</si>
  <si>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</si>
  <si>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</si>
  <si>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</si>
  <si>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</si>
  <si>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</si>
  <si>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</si>
  <si>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</si>
  <si>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</si>
  <si>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</si>
  <si>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</si>
  <si>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</si>
  <si>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</si>
  <si>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</si>
  <si>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</si>
  <si>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</si>
  <si>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</si>
  <si>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</si>
  <si>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</si>
  <si>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</si>
  <si>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</si>
  <si>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</si>
  <si>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</si>
  <si>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</si>
  <si>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</si>
  <si>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</si>
  <si>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</si>
  <si>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</si>
  <si>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</si>
  <si>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</si>
  <si>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</si>
  <si>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</si>
  <si>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</si>
  <si>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</si>
  <si>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</si>
  <si>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</si>
  <si>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</si>
  <si>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</si>
  <si>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</si>
  <si>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</si>
  <si>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</si>
  <si>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</si>
  <si>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</si>
  <si>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</si>
  <si>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</si>
  <si>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</si>
  <si>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</si>
  <si>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</si>
  <si>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</si>
  <si>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</si>
  <si>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</si>
  <si>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</si>
  <si>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</si>
  <si>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</si>
  <si>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</si>
  <si>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</si>
  <si>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</si>
  <si>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</si>
  <si>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</si>
  <si>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</si>
  <si>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</si>
  <si>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</si>
  <si>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</si>
  <si>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</si>
  <si>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</si>
  <si>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</si>
  <si>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</si>
  <si>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</si>
  <si>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</si>
  <si>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</si>
  <si>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</si>
  <si>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</si>
  <si>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</si>
  <si>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</si>
  <si>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</si>
  <si>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</si>
  <si>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</si>
  <si>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</si>
  <si>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</si>
  <si>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</si>
  <si>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</si>
  <si>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</si>
  <si>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</si>
  <si>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</si>
  <si>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</si>
  <si>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</si>
  <si>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</si>
  <si>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</si>
  <si>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</si>
  <si>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</si>
  <si>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</si>
  <si>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</si>
  <si>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</si>
  <si>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</si>
  <si>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</si>
  <si>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</si>
  <si>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</si>
  <si>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</si>
  <si>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</si>
  <si>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</si>
  <si>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</si>
  <si>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</si>
  <si>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</si>
  <si>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</si>
  <si>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</si>
  <si>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</si>
  <si>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</si>
  <si>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</si>
  <si>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</si>
  <si>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</si>
  <si>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</si>
  <si>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</si>
  <si>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</si>
  <si>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</si>
  <si>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</si>
  <si>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</si>
  <si>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</si>
  <si>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</si>
  <si>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</si>
  <si>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</si>
  <si>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</si>
  <si>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</si>
  <si>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</si>
  <si>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</si>
  <si>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</si>
  <si>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</si>
  <si>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</si>
  <si>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</si>
  <si>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</si>
  <si>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</si>
  <si>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</si>
  <si>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</si>
  <si>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</si>
  <si>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</si>
  <si>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</si>
  <si>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</si>
  <si>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</si>
  <si>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</si>
  <si>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</si>
  <si>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</si>
  <si>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</si>
  <si>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</si>
  <si>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</si>
  <si>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</si>
  <si>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</si>
  <si>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</si>
  <si>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</si>
  <si>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</si>
  <si>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</si>
  <si>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</si>
  <si>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</si>
  <si>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</si>
  <si>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</si>
  <si>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</si>
  <si>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</si>
  <si>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</si>
  <si>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</si>
  <si>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</si>
  <si>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</si>
  <si>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</si>
  <si>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</si>
  <si>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</si>
  <si>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</si>
  <si>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</si>
  <si>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</si>
  <si>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</si>
  <si>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</si>
  <si>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</si>
  <si>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</si>
  <si>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</si>
  <si>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</si>
  <si>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</si>
  <si>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</si>
  <si>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</si>
  <si>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</si>
  <si>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</si>
  <si>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</si>
  <si>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</si>
  <si>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</si>
  <si>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</si>
  <si>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</si>
  <si>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</si>
  <si>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</si>
  <si>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</si>
  <si>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</si>
  <si>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</si>
  <si>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</si>
  <si>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</si>
  <si>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</si>
  <si>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</si>
  <si>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</si>
  <si>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</si>
  <si>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</si>
  <si>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</si>
  <si>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</si>
  <si>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</si>
  <si>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</si>
  <si>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</si>
  <si>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</si>
  <si>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</si>
  <si>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</si>
  <si>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</si>
  <si>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</si>
  <si>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</si>
  <si>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</si>
  <si>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</si>
  <si>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</si>
  <si>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</si>
  <si>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</si>
  <si>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</si>
  <si>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</si>
  <si>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</si>
  <si>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</si>
  <si>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</si>
  <si>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</si>
  <si>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</si>
  <si>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</si>
  <si>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</si>
  <si>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</si>
  <si>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</si>
  <si>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</si>
  <si>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</si>
  <si>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</si>
  <si>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</si>
  <si>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</si>
  <si>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</si>
  <si>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</si>
  <si>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</si>
  <si>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</si>
  <si>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</si>
  <si>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</si>
  <si>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</si>
  <si>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</si>
  <si>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</si>
  <si>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</si>
  <si>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</si>
  <si>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</si>
  <si>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</si>
  <si>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</si>
  <si>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</si>
  <si>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</si>
  <si>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</si>
  <si>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</si>
  <si>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</si>
  <si>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</si>
  <si>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</si>
  <si>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</si>
  <si>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</si>
  <si>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</si>
  <si>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</si>
  <si>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</si>
  <si>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</si>
  <si>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</si>
  <si>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</si>
  <si>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</si>
  <si>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</si>
  <si>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</si>
  <si>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</si>
  <si>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</si>
  <si>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</si>
  <si>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</si>
  <si>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</si>
  <si>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</si>
  <si>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</si>
  <si>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</si>
  <si>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</si>
  <si>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</si>
  <si>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</si>
  <si>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</si>
  <si>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</si>
  <si>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</si>
  <si>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</si>
  <si>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</si>
  <si>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</si>
  <si>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</si>
  <si>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</si>
  <si>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</si>
  <si>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</si>
  <si>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</si>
  <si>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</si>
  <si>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</si>
  <si>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</si>
  <si>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</si>
  <si>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</si>
  <si>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</si>
  <si>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</si>
  <si>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</si>
  <si>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</si>
  <si>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</si>
  <si>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</si>
  <si>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</si>
  <si>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</si>
  <si>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</si>
  <si>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</si>
  <si>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</si>
  <si>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</si>
  <si>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</si>
  <si>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</si>
  <si>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</si>
  <si>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</si>
  <si>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</si>
  <si>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</si>
  <si>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</si>
  <si>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</si>
  <si>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</si>
  <si>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</si>
  <si>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</si>
  <si>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</si>
  <si>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</si>
  <si>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</si>
  <si>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</si>
  <si>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</si>
  <si>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</si>
  <si>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</si>
  <si>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</si>
  <si>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</si>
  <si>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</si>
  <si>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</si>
  <si>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</si>
  <si>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</si>
  <si>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</si>
  <si>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</si>
  <si>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</si>
  <si>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</si>
  <si>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</si>
  <si>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</si>
  <si>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</si>
  <si>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</si>
  <si>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</si>
  <si>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</si>
  <si>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</si>
  <si>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</si>
  <si>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</si>
  <si>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</si>
  <si>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</si>
  <si>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</si>
  <si>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</si>
  <si>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</si>
  <si>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</si>
  <si>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</si>
  <si>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</si>
  <si>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</si>
  <si>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</si>
  <si>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</si>
  <si>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</si>
  <si>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</si>
  <si>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</si>
  <si>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</si>
  <si>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</si>
  <si>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</si>
  <si>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</si>
  <si>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</si>
  <si>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</si>
  <si>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</si>
  <si>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</si>
  <si>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</si>
  <si>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</si>
  <si>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</si>
  <si>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</si>
  <si>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</si>
  <si>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</si>
  <si>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</si>
  <si>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</si>
  <si>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</si>
  <si>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</si>
  <si>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</si>
  <si>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</si>
  <si>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</si>
  <si>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</si>
  <si>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</si>
  <si>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</si>
  <si>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</si>
  <si>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</si>
  <si>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</si>
  <si>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</si>
  <si>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</si>
  <si>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</si>
  <si>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</si>
  <si>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</si>
  <si>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</si>
  <si>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</si>
  <si>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</si>
  <si>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</si>
  <si>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</si>
  <si>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</si>
  <si>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</si>
  <si>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</si>
  <si>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</si>
  <si>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</si>
  <si>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</si>
  <si>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</si>
  <si>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</si>
  <si>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</si>
  <si>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</si>
  <si>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</si>
  <si>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</si>
  <si>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</si>
  <si>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</si>
  <si>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</si>
  <si>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</si>
  <si>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</si>
  <si>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</si>
  <si>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</si>
  <si>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</si>
  <si>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</si>
  <si>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</si>
  <si>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</si>
  <si>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</si>
  <si>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</si>
  <si>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</si>
  <si>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</si>
  <si>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</si>
  <si>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</si>
  <si>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</si>
  <si>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</si>
  <si>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</si>
  <si>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</si>
  <si>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</si>
  <si>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</si>
  <si>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</si>
  <si>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</si>
  <si>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</si>
  <si>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</si>
  <si>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</si>
  <si>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</si>
  <si>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</si>
  <si>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</si>
  <si>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</si>
  <si>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</si>
  <si>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</si>
  <si>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</si>
  <si>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</si>
  <si>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</si>
  <si>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</si>
  <si>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</si>
  <si>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</si>
  <si>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</si>
  <si>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</si>
  <si>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</si>
  <si>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</si>
  <si>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</si>
  <si>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</si>
  <si>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</si>
  <si>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</si>
  <si>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</si>
  <si>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</si>
  <si>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</si>
  <si>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</si>
  <si>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</si>
  <si>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</si>
  <si>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</si>
  <si>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</si>
  <si>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</si>
  <si>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</si>
  <si>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</si>
  <si>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</si>
  <si>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</si>
  <si>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</si>
  <si>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</si>
  <si>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</si>
  <si>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</si>
  <si>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</si>
  <si>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</si>
  <si>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</si>
  <si>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</si>
  <si>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</si>
  <si>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</si>
  <si>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</si>
  <si>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</si>
  <si>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</si>
  <si>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</si>
  <si>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</si>
  <si>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</si>
  <si>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</si>
  <si>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</si>
  <si>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</si>
  <si>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</si>
  <si>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</si>
  <si>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</si>
  <si>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</si>
  <si>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</si>
  <si>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</si>
  <si>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</si>
  <si>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</si>
  <si>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</si>
  <si>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</si>
  <si>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</si>
  <si>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</si>
  <si>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</si>
  <si>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</si>
  <si>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</si>
  <si>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</si>
  <si>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</si>
  <si>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</si>
  <si>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</si>
  <si>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</si>
  <si>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</si>
  <si>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</si>
  <si>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</si>
  <si>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</si>
  <si>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</si>
  <si>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</si>
  <si>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</si>
  <si>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</si>
  <si>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</si>
  <si>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</si>
  <si>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</si>
  <si>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</si>
  <si>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</si>
  <si>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</si>
  <si>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</si>
  <si>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</si>
  <si>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</si>
  <si>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</si>
  <si>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</si>
  <si>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</si>
  <si>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</si>
  <si>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</si>
  <si>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</si>
  <si>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</si>
  <si>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</si>
  <si>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</si>
  <si>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</si>
  <si>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</si>
  <si>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</si>
  <si>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</si>
  <si>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</si>
  <si>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</si>
  <si>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</si>
  <si>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</si>
  <si>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</si>
  <si>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</si>
  <si>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</si>
  <si>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</si>
  <si>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</si>
  <si>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</si>
  <si>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</si>
  <si>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</si>
  <si>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</si>
  <si>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</si>
  <si>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</si>
  <si>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</si>
  <si>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</si>
  <si>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</si>
  <si>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</si>
  <si>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</si>
  <si>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</si>
  <si>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</si>
  <si>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</si>
  <si>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</si>
  <si>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</si>
  <si>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</si>
  <si>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</si>
  <si>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</si>
  <si>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</si>
  <si>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</si>
  <si>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</si>
  <si>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</si>
  <si>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</si>
  <si>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</si>
  <si>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</si>
  <si>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</si>
  <si>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</si>
  <si>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</si>
  <si>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</si>
  <si>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</si>
  <si>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</si>
  <si>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</si>
  <si>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</si>
  <si>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</si>
  <si>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</si>
  <si>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</si>
  <si>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</si>
  <si>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</si>
  <si>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</si>
  <si>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</si>
  <si>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</si>
  <si>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</si>
  <si>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</si>
  <si>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</si>
  <si>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</si>
  <si>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</si>
  <si>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</si>
  <si>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</si>
  <si>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</si>
  <si>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</si>
  <si>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</si>
  <si>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</si>
  <si>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</si>
  <si>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</si>
  <si>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</si>
  <si>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</si>
  <si>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</si>
  <si>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</si>
  <si>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</si>
  <si>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</si>
  <si>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</si>
  <si>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</si>
  <si>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</si>
  <si>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</si>
  <si>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</si>
  <si>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</si>
  <si>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</si>
  <si>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</si>
  <si>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</si>
  <si>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</si>
  <si>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</si>
  <si>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</si>
  <si>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</si>
  <si>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</si>
  <si>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</si>
  <si>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</si>
  <si>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</si>
  <si>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</si>
  <si>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</si>
  <si>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</si>
  <si>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</si>
  <si>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</si>
  <si>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</si>
  <si>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</si>
  <si>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</si>
  <si>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</si>
  <si>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</si>
  <si>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</si>
  <si>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</si>
  <si>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</si>
  <si>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</si>
  <si>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</si>
  <si>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</si>
  <si>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</si>
  <si>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</si>
  <si>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</si>
  <si>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</si>
  <si>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</si>
  <si>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</si>
  <si>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</si>
  <si>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</si>
  <si>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</si>
  <si>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</si>
  <si>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</si>
  <si>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</si>
  <si>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</si>
  <si>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</si>
  <si>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</si>
  <si>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</si>
  <si>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</si>
  <si>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</si>
  <si>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</si>
  <si>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</si>
  <si>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</si>
  <si>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</si>
  <si>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</si>
  <si>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</si>
  <si>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</si>
  <si>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</si>
  <si>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</si>
  <si>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</si>
  <si>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</si>
  <si>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</si>
  <si>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</si>
  <si>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</si>
  <si>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</si>
  <si>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</si>
  <si>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</si>
  <si>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</si>
  <si>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</si>
  <si>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</si>
  <si>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</si>
  <si>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</si>
  <si>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</si>
  <si>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</si>
  <si>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</si>
  <si>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</si>
  <si>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</si>
  <si>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</si>
  <si>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</si>
  <si>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</si>
  <si>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</si>
  <si>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</si>
  <si>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</si>
  <si>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</si>
  <si>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</si>
  <si>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</si>
  <si>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</si>
  <si>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</si>
  <si>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</si>
  <si>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</si>
  <si>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</si>
  <si>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</si>
  <si>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</si>
  <si>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</si>
  <si>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</si>
  <si>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</si>
  <si>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</si>
  <si>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</si>
  <si>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</si>
  <si>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</si>
  <si>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</si>
  <si>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</si>
  <si>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</si>
  <si>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</si>
  <si>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</si>
  <si>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</si>
  <si>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</si>
  <si>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</si>
  <si>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</si>
  <si>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</si>
  <si>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</si>
  <si>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</si>
  <si>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</si>
  <si>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</si>
  <si>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</si>
  <si>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</si>
  <si>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</si>
  <si>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</si>
  <si>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</si>
  <si>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</si>
  <si>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</si>
  <si>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</si>
  <si>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</si>
  <si>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</si>
  <si>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</si>
  <si>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</si>
  <si>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</si>
  <si>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</si>
  <si>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</si>
  <si>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</si>
  <si>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</si>
  <si>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</si>
  <si>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</si>
  <si>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</si>
  <si>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</si>
  <si>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</si>
  <si>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</si>
  <si>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</si>
  <si>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</si>
  <si>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</si>
  <si>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</si>
  <si>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</si>
  <si>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</si>
  <si>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</si>
  <si>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</si>
  <si>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</si>
  <si>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</si>
  <si>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</si>
  <si>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</si>
  <si>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</si>
  <si>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</si>
  <si>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</si>
  <si>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</si>
  <si>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</si>
  <si>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</si>
  <si>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</si>
  <si>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</si>
  <si>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</si>
  <si>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</si>
  <si>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</si>
  <si>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</si>
  <si>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</si>
  <si>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</si>
  <si>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</si>
  <si>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</si>
  <si>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</si>
  <si>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</si>
  <si>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</si>
  <si>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</si>
  <si>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</si>
  <si>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</si>
  <si>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</si>
  <si>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</si>
  <si>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</si>
  <si>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</si>
  <si>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</si>
  <si>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</si>
  <si>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</si>
  <si>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</si>
  <si>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</si>
  <si>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</si>
  <si>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</si>
  <si>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</si>
  <si>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</si>
  <si>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</si>
  <si>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</si>
  <si>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</si>
  <si>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</si>
  <si>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</si>
  <si>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</si>
  <si>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</si>
  <si>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</si>
  <si>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</si>
  <si>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</si>
  <si>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</si>
  <si>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</si>
  <si>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</si>
  <si>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</si>
  <si>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</si>
  <si>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</si>
  <si>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</si>
  <si>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</si>
  <si>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</si>
  <si>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</si>
  <si>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</si>
  <si>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</si>
  <si>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</si>
  <si>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</si>
  <si>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</si>
  <si>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</si>
  <si>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</si>
  <si>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</si>
  <si>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</si>
  <si>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</si>
  <si>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</si>
  <si>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</si>
  <si>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</si>
  <si>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</si>
  <si>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</si>
  <si>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</si>
  <si>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</si>
  <si>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</si>
  <si>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</si>
  <si>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</si>
  <si>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</si>
  <si>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</si>
  <si>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</si>
  <si>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</si>
  <si>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</si>
  <si>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</si>
  <si>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</si>
  <si>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</si>
  <si>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</si>
  <si>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</si>
  <si>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</si>
  <si>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</si>
  <si>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</si>
  <si>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</si>
  <si>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</si>
  <si>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</si>
  <si>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</si>
  <si>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</si>
  <si>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</si>
  <si>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</si>
  <si>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</si>
  <si>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</si>
  <si>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</si>
  <si>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</si>
  <si>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</si>
  <si>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</si>
  <si>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</si>
  <si>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</si>
  <si>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</si>
  <si>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</si>
  <si>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</si>
  <si>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</si>
  <si>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</si>
  <si>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</si>
  <si>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</si>
  <si>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</si>
  <si>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</si>
  <si>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</si>
  <si>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</si>
  <si>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</si>
  <si>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</si>
  <si>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</si>
  <si>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</si>
  <si>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</si>
  <si>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</si>
  <si>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</si>
  <si>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</si>
  <si>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</si>
  <si>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</si>
  <si>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</si>
  <si>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</si>
  <si>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</si>
  <si>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</si>
  <si>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</si>
  <si>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</si>
  <si>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</si>
  <si>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</si>
  <si>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</si>
  <si>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</si>
  <si>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</si>
  <si>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</si>
  <si>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</si>
  <si>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</si>
  <si>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</si>
  <si>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</si>
  <si>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</si>
  <si>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</si>
  <si>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</si>
  <si>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</si>
  <si>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</si>
  <si>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</si>
  <si>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</si>
  <si>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</si>
  <si>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</si>
  <si>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</si>
  <si>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</si>
  <si>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</si>
  <si>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</si>
  <si>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</si>
  <si>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</si>
  <si>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</si>
  <si>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</si>
  <si>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</si>
  <si>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</si>
  <si>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</si>
  <si>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</si>
  <si>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</si>
  <si>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</si>
  <si>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</si>
  <si>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</si>
  <si>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</si>
  <si>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</si>
  <si>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</si>
  <si>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</si>
  <si>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</si>
  <si>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</si>
  <si>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</si>
  <si>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</si>
  <si>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</si>
  <si>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</si>
  <si>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</si>
  <si>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</si>
  <si>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</si>
  <si>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</si>
  <si>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</si>
  <si>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</si>
  <si>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</si>
  <si>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</si>
  <si>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</si>
  <si>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</si>
  <si>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</si>
  <si>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</si>
  <si>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</si>
  <si>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</si>
  <si>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</si>
  <si>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</si>
  <si>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</si>
  <si>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</si>
  <si>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</si>
  <si>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</si>
  <si>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</si>
  <si>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</si>
  <si>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</si>
  <si>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</si>
  <si>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</si>
  <si>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</si>
  <si>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</si>
  <si>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</si>
  <si>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</si>
  <si>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</si>
  <si>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</si>
  <si>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</si>
  <si>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</si>
  <si>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</si>
  <si>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</si>
  <si>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</si>
  <si>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</si>
  <si>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</si>
  <si>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</si>
  <si>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</si>
  <si>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</si>
  <si>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</si>
  <si>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</si>
  <si>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</si>
  <si>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</si>
  <si>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</si>
  <si>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</si>
  <si>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</si>
  <si>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</si>
  <si>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</si>
  <si>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</si>
  <si>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</si>
  <si>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</si>
  <si>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</si>
  <si>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</si>
  <si>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</si>
  <si>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</si>
  <si>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</si>
  <si>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</si>
  <si>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</si>
  <si>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</si>
  <si>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</si>
  <si>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</si>
  <si>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</si>
  <si>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</si>
  <si>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</si>
  <si>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</si>
  <si>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</si>
  <si>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</si>
  <si>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</si>
  <si>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</si>
  <si>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</si>
  <si>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</si>
  <si>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</si>
  <si>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</si>
  <si>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</si>
  <si>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</si>
  <si>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</si>
  <si>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</si>
  <si>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</si>
  <si>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</si>
  <si>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</si>
  <si>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</si>
  <si>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</si>
  <si>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</si>
  <si>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</si>
  <si>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</si>
  <si>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</si>
  <si>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</si>
  <si>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</si>
  <si>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</si>
  <si>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</si>
  <si>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</si>
  <si>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</si>
  <si>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</si>
  <si>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</si>
  <si>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</si>
  <si>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</si>
  <si>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</si>
  <si>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</si>
  <si>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</si>
  <si>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</si>
  <si>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</si>
  <si>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</si>
  <si>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</si>
  <si>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</si>
  <si>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</si>
  <si>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</si>
  <si>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</si>
  <si>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</si>
  <si>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</si>
  <si>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</si>
  <si>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</si>
  <si>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</si>
  <si>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</si>
  <si>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</si>
  <si>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</si>
  <si>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</si>
  <si>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</si>
  <si>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</si>
  <si>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</si>
  <si>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</si>
  <si>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</si>
  <si>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</si>
  <si>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</si>
  <si>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</si>
  <si>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</si>
  <si>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</si>
  <si>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</si>
  <si>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</si>
  <si>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</si>
  <si>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</si>
  <si>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</si>
  <si>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</si>
  <si>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</si>
  <si>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</si>
  <si>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</si>
  <si>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</si>
  <si>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</si>
  <si>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</si>
  <si>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</si>
  <si>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</si>
  <si>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</si>
  <si>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</si>
  <si>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</si>
  <si>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</si>
  <si>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</si>
  <si>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</si>
  <si>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</si>
  <si>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</si>
  <si>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</si>
  <si>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</si>
  <si>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</si>
  <si>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</si>
  <si>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</si>
  <si>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</si>
  <si>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</si>
  <si>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</si>
  <si>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</si>
  <si>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</si>
  <si>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</si>
  <si>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</si>
  <si>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</si>
  <si>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</si>
  <si>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</si>
  <si>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</si>
  <si>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</si>
  <si>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</si>
  <si>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</si>
  <si>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</si>
  <si>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</si>
  <si>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</si>
  <si>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</si>
  <si>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</si>
  <si>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</si>
  <si>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</si>
  <si>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</si>
  <si>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</si>
  <si>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</si>
  <si>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</si>
  <si>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</si>
  <si>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</si>
  <si>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</si>
  <si>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</si>
  <si>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</si>
  <si>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</si>
  <si>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</si>
  <si>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</si>
  <si>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</si>
  <si>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</si>
  <si>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</si>
  <si>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</si>
  <si>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</si>
  <si>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</si>
  <si>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</si>
  <si>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</si>
  <si>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</si>
  <si>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</si>
  <si>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</si>
  <si>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</si>
  <si>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</si>
  <si>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</si>
  <si>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</si>
  <si>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</si>
  <si>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</si>
  <si>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</si>
  <si>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</si>
  <si>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</si>
  <si>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</si>
  <si>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</si>
  <si>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</si>
  <si>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</si>
  <si>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</si>
  <si>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</si>
  <si>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</si>
  <si>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</si>
  <si>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</si>
  <si>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</si>
  <si>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</si>
  <si>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</si>
  <si>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</si>
  <si>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</si>
  <si>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</si>
  <si>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</si>
  <si>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</si>
  <si>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</si>
  <si>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</si>
  <si>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</si>
  <si>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</si>
  <si>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</si>
  <si>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</si>
  <si>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</si>
  <si>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</si>
  <si>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</si>
  <si>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</si>
  <si>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</si>
  <si>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</si>
  <si>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</si>
  <si>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</si>
  <si>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</si>
  <si>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</si>
  <si>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</si>
  <si>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</si>
  <si>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</si>
  <si>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</si>
  <si>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</si>
  <si>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</si>
  <si>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</si>
  <si>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</si>
  <si>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</si>
  <si>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</si>
  <si>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</si>
  <si>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</si>
  <si>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</si>
  <si>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</si>
  <si>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</si>
  <si>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</si>
  <si>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</si>
  <si>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</si>
  <si>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</si>
  <si>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</si>
  <si>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</si>
  <si>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</si>
  <si>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</si>
  <si>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</si>
  <si>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</si>
  <si>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</si>
  <si>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</si>
  <si>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</si>
  <si>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</si>
  <si>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</si>
  <si>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</si>
  <si>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</si>
  <si>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</si>
  <si>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</si>
  <si>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</si>
  <si>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</si>
  <si>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</si>
  <si>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</si>
  <si>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</si>
  <si>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</si>
  <si>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</si>
  <si>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</si>
  <si>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</si>
  <si>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</si>
  <si>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</si>
  <si>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</si>
  <si>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</si>
  <si>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</si>
  <si>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</si>
  <si>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</si>
  <si>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</si>
  <si>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</si>
  <si>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</si>
  <si>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</si>
  <si>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</si>
  <si>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</si>
  <si>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</si>
  <si>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</si>
  <si>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</si>
  <si>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</si>
  <si>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</si>
  <si>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</si>
  <si>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</si>
  <si>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</si>
  <si>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</si>
  <si>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</si>
  <si>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</si>
  <si>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</si>
  <si>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</si>
  <si>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</si>
  <si>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</si>
  <si>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</si>
  <si>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</si>
  <si>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</si>
  <si>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</si>
  <si>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</si>
  <si>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</si>
  <si>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</si>
  <si>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</si>
  <si>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</si>
  <si>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</si>
  <si>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</si>
  <si>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</si>
  <si>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</si>
  <si>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</si>
  <si>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</si>
  <si>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</si>
  <si>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</si>
  <si>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</si>
  <si>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</si>
  <si>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</si>
  <si>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</si>
  <si>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</si>
  <si>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</si>
  <si>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</si>
  <si>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</si>
  <si>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</si>
  <si>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</si>
  <si>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</si>
  <si>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</si>
  <si>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</si>
  <si>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</si>
  <si>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</si>
  <si>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</si>
  <si>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</si>
  <si>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</si>
  <si>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</si>
  <si>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</si>
  <si>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</si>
  <si>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</si>
  <si>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</si>
  <si>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</si>
  <si>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</si>
  <si>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</si>
  <si>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</si>
  <si>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</si>
  <si>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</si>
  <si>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</si>
  <si>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</si>
  <si>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</si>
  <si>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</si>
  <si>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</si>
  <si>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</si>
  <si>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</si>
  <si>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</si>
  <si>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</si>
  <si>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</si>
  <si>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</si>
  <si>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</si>
  <si>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</si>
  <si>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</si>
  <si>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</si>
  <si>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</si>
  <si>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</si>
  <si>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</si>
  <si>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</si>
  <si>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</si>
  <si>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</si>
  <si>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</si>
  <si>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</si>
  <si>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</si>
  <si>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</si>
  <si>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</si>
  <si>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</si>
  <si>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</si>
  <si>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</si>
  <si>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</si>
  <si>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</si>
  <si>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</si>
  <si>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</si>
  <si>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</si>
  <si>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</si>
  <si>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</si>
  <si>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</si>
  <si>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</si>
  <si>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</si>
  <si>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</si>
  <si>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</si>
  <si>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</si>
  <si>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</si>
  <si>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</si>
  <si>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</si>
  <si>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</si>
  <si>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</si>
  <si>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</si>
  <si>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</si>
  <si>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</si>
  <si>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</si>
  <si>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</si>
  <si>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</si>
  <si>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</si>
  <si>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</si>
  <si>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</si>
  <si>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</si>
  <si>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</si>
  <si>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</si>
  <si>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</si>
  <si>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</si>
  <si>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</si>
  <si>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</si>
  <si>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</si>
  <si>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</si>
  <si>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</si>
  <si>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</si>
  <si>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</si>
  <si>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</si>
  <si>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</si>
  <si>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</si>
  <si>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</si>
  <si>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</si>
  <si>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</si>
  <si>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</si>
  <si>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</si>
  <si>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</si>
  <si>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</si>
  <si>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</si>
  <si>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</si>
  <si>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</si>
  <si>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</si>
  <si>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</si>
  <si>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</si>
  <si>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</si>
  <si>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</si>
  <si>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</si>
  <si>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</si>
  <si>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</si>
  <si>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</si>
  <si>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</si>
  <si>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</si>
  <si>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</si>
  <si>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</si>
  <si>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</si>
  <si>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</si>
  <si>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</si>
  <si>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</si>
  <si>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</si>
  <si>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</si>
  <si>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</si>
  <si>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</si>
  <si>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</si>
  <si>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</si>
  <si>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</si>
  <si>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</si>
  <si>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</si>
  <si>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</si>
  <si>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</si>
  <si>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</si>
  <si>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</si>
  <si>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</si>
  <si>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</si>
  <si>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</si>
  <si>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</si>
  <si>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</si>
  <si>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</si>
  <si>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</si>
  <si>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</si>
  <si>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</si>
  <si>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</si>
  <si>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</si>
  <si>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</si>
  <si>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</si>
  <si>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</si>
  <si>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</si>
  <si>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</si>
  <si>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</si>
  <si>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</si>
  <si>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</si>
  <si>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</si>
  <si>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</si>
  <si>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</si>
  <si>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</si>
  <si>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</si>
  <si>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</si>
  <si>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</si>
  <si>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</si>
  <si>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</si>
  <si>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</si>
  <si>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</si>
  <si>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</si>
  <si>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</si>
  <si>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</si>
  <si>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</si>
  <si>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(NESBWE1) Affinity Water (Three Valleys)</t>
  </si>
  <si>
    <t>4A.1</t>
  </si>
  <si>
    <t>(NESBWE2) Anglian Water (Fairstead)</t>
  </si>
  <si>
    <t>4A.2</t>
  </si>
  <si>
    <t>(NESBWE3) Anglian Water (Fuller Street)</t>
  </si>
  <si>
    <t>4A.3</t>
  </si>
  <si>
    <t>(NESBWE4) Anglian Water (Hogwells)</t>
  </si>
  <si>
    <t>4A.4</t>
  </si>
  <si>
    <t>(NESBWE5) Anglian Water (Layer)</t>
  </si>
  <si>
    <t>4A.5</t>
  </si>
  <si>
    <t>(NESBWE6) Anglian Water (Maldon)</t>
  </si>
  <si>
    <t>4A.6</t>
  </si>
  <si>
    <t>(NESBWE9) United Utilities Water</t>
  </si>
  <si>
    <t>4A.7</t>
  </si>
  <si>
    <t>(NESBWE11) Anglian Water (Stour - Tiptree)</t>
  </si>
  <si>
    <t>4A.8</t>
  </si>
  <si>
    <t>(NESBWE12) Leep Utilities - Barking</t>
  </si>
  <si>
    <t>4A.9</t>
  </si>
  <si>
    <t>(NESBWE13) Anglian Water (Woods Meadow Oulton)</t>
  </si>
  <si>
    <t>4A.10</t>
  </si>
  <si>
    <t>(NESBWE14) Thames Water</t>
  </si>
  <si>
    <t>4A.11</t>
  </si>
  <si>
    <t>(NESBWE15) Albion Water (Five Oaks)</t>
  </si>
  <si>
    <t>4A.12</t>
  </si>
  <si>
    <t>(NESBWE17) Anglian Water (2 Sisters Buxted Chickens)</t>
  </si>
  <si>
    <t>4A.13</t>
  </si>
  <si>
    <t>(NESBWE18) IWNL - Throckley</t>
  </si>
  <si>
    <t>4A.14</t>
  </si>
  <si>
    <t>(NESBWE19) IWNL (Malyon's Lane)</t>
  </si>
  <si>
    <t>4A.15</t>
  </si>
  <si>
    <t>(NESBWE25) IWNL - River View - Maldon Road</t>
  </si>
  <si>
    <t>4A.16</t>
  </si>
  <si>
    <t>(NESBWE24) LEEP - Conrad Road Witham</t>
  </si>
  <si>
    <t>4A.17</t>
  </si>
  <si>
    <t>(NESBWE21) Marsh Road, Burnham</t>
  </si>
  <si>
    <t>4A.18</t>
  </si>
  <si>
    <t>(NESBWE20) IWNL (Limebrook Way)</t>
  </si>
  <si>
    <t>4A.19</t>
  </si>
  <si>
    <t>(NESBWE21) IWNL (Naisberry Farm)</t>
  </si>
  <si>
    <t>4A.20</t>
  </si>
  <si>
    <t>(NESBWE22) IWNL (Lambton Park)</t>
  </si>
  <si>
    <t>4A.21</t>
  </si>
  <si>
    <t>(NESBWE23) IWNL - Chester Road, Pennywell</t>
  </si>
  <si>
    <t>4A.22</t>
  </si>
  <si>
    <t>(NESBWE26) IWNL (Seaton Vale)</t>
  </si>
  <si>
    <t>4A.23</t>
  </si>
  <si>
    <t>(NESBEW28) IWNL (West Benton)</t>
  </si>
  <si>
    <t>4A.24</t>
  </si>
  <si>
    <t>(NESBEW30) IWNL (Cell A)</t>
  </si>
  <si>
    <t>4A.25</t>
  </si>
  <si>
    <t>Total bulk supply exports</t>
  </si>
  <si>
    <t>4A.26</t>
  </si>
  <si>
    <t>Bulk supply imports</t>
  </si>
  <si>
    <t>(NESBWI2) Anglian Water (Cressing)</t>
  </si>
  <si>
    <t>4A.27</t>
  </si>
  <si>
    <t>4A.28</t>
  </si>
  <si>
    <t>(NESVW13) - UUW</t>
  </si>
  <si>
    <t>4A.29</t>
  </si>
  <si>
    <t>(NESBWI3) Anglian Water (Hartismere)</t>
  </si>
  <si>
    <t>4A.30</t>
  </si>
  <si>
    <t>Bulk supply 5</t>
  </si>
  <si>
    <t>4A.31</t>
  </si>
  <si>
    <t>Bulk supply 6</t>
  </si>
  <si>
    <t>4A.32</t>
  </si>
  <si>
    <t>Bulk supply 7</t>
  </si>
  <si>
    <t>4A.33</t>
  </si>
  <si>
    <t>Bulk supply 8</t>
  </si>
  <si>
    <t>4A.34</t>
  </si>
  <si>
    <t>Bulk supply 9</t>
  </si>
  <si>
    <t>4A.35</t>
  </si>
  <si>
    <t>Bulk supply 10</t>
  </si>
  <si>
    <t>4A.36</t>
  </si>
  <si>
    <t>Bulk supply 11</t>
  </si>
  <si>
    <t>4A.37</t>
  </si>
  <si>
    <t>Bulk supply 12</t>
  </si>
  <si>
    <t>4A.38</t>
  </si>
  <si>
    <t>Bulk supply 13</t>
  </si>
  <si>
    <t>4A.39</t>
  </si>
  <si>
    <t>Bulk supply 14</t>
  </si>
  <si>
    <t>4A.40</t>
  </si>
  <si>
    <t>Bulk supply 15</t>
  </si>
  <si>
    <t>4A.41</t>
  </si>
  <si>
    <t>Bulk supply 16</t>
  </si>
  <si>
    <t>4A.42</t>
  </si>
  <si>
    <t>Bulk supply 17</t>
  </si>
  <si>
    <t>4A.43</t>
  </si>
  <si>
    <t>Bulk supply 18</t>
  </si>
  <si>
    <t>4A.44</t>
  </si>
  <si>
    <t>Bulk supply 19</t>
  </si>
  <si>
    <t>4A.45</t>
  </si>
  <si>
    <t>Bulk supply 20</t>
  </si>
  <si>
    <t>4A.46</t>
  </si>
  <si>
    <t>Bulk supply 21</t>
  </si>
  <si>
    <t>4A.47</t>
  </si>
  <si>
    <t>Bulk supply 22</t>
  </si>
  <si>
    <t>4A.48</t>
  </si>
  <si>
    <t>Bulk supply 23</t>
  </si>
  <si>
    <t>4A.49</t>
  </si>
  <si>
    <t>Bulk supply 24</t>
  </si>
  <si>
    <t>4A.50</t>
  </si>
  <si>
    <t>Bulk supply 25</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</si>
  <si>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</si>
  <si>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</si>
  <si>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</si>
  <si>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</si>
  <si>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</si>
  <si>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</si>
  <si>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</si>
  <si>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</si>
  <si>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</si>
  <si>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</si>
  <si>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</si>
  <si>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</si>
  <si>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</si>
  <si>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</si>
  <si>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</si>
  <si>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</si>
  <si>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</si>
  <si>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</si>
  <si>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</si>
  <si>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</si>
  <si>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</si>
  <si>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</si>
  <si>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</si>
  <si>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</si>
  <si>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</si>
  <si>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</si>
  <si>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</si>
  <si>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</si>
  <si>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</si>
  <si>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</si>
  <si>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</si>
  <si>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</si>
  <si>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</si>
  <si>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</si>
  <si>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</si>
  <si>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</si>
  <si>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</si>
  <si>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</si>
  <si>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</si>
  <si>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</si>
  <si>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</si>
  <si>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</si>
  <si>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Fixed rate instrument 1</t>
  </si>
  <si>
    <t>Northumbrian Water Limited</t>
  </si>
  <si>
    <t>EIB loan</t>
  </si>
  <si>
    <t>Amortising</t>
  </si>
  <si>
    <t/>
  </si>
  <si>
    <t>Senior</t>
  </si>
  <si>
    <t>GBP</t>
  </si>
  <si>
    <t>-</t>
  </si>
  <si>
    <t>4B.1</t>
  </si>
  <si>
    <t>Fixed rate instrument 2</t>
  </si>
  <si>
    <t>4B.2</t>
  </si>
  <si>
    <t>Fixed rate instrument 3</t>
  </si>
  <si>
    <t>4B.3</t>
  </si>
  <si>
    <t>Fixed rate instrument 4</t>
  </si>
  <si>
    <t>Finance lease</t>
  </si>
  <si>
    <t>4B.4</t>
  </si>
  <si>
    <t>Fixed rate instrument 5</t>
  </si>
  <si>
    <t>4B.5</t>
  </si>
  <si>
    <t>Fixed rate instrument 6</t>
  </si>
  <si>
    <t>Debenture</t>
  </si>
  <si>
    <t>Bullet</t>
  </si>
  <si>
    <t>Super-senior</t>
  </si>
  <si>
    <t>4B.6</t>
  </si>
  <si>
    <t>Fixed rate instrument 7</t>
  </si>
  <si>
    <t>Northumbrian Water Finance Plc</t>
  </si>
  <si>
    <t>Bond</t>
  </si>
  <si>
    <t>XS0083567775</t>
  </si>
  <si>
    <t>BBB+</t>
  </si>
  <si>
    <t>4B.7</t>
  </si>
  <si>
    <t>Fixed rate instrument 8</t>
  </si>
  <si>
    <t>XS0159898153</t>
  </si>
  <si>
    <t>4B.8</t>
  </si>
  <si>
    <t>Fixed rate instrument 9</t>
  </si>
  <si>
    <t>XS0733486848</t>
  </si>
  <si>
    <t>4B.9</t>
  </si>
  <si>
    <t>Fixed rate instrument 10</t>
  </si>
  <si>
    <t>XS1499724638</t>
  </si>
  <si>
    <t>4B.10</t>
  </si>
  <si>
    <t>Fixed rate instrument 11</t>
  </si>
  <si>
    <t>XS1694779734</t>
  </si>
  <si>
    <t>4B.11</t>
  </si>
  <si>
    <t>Fixed rate instrument 12</t>
  </si>
  <si>
    <t>XS2550206333</t>
  </si>
  <si>
    <t>4B.12</t>
  </si>
  <si>
    <t>Fixed rate instrument 13</t>
  </si>
  <si>
    <t>XS2585804946</t>
  </si>
  <si>
    <t>4B.13</t>
  </si>
  <si>
    <t>Fixed rate instrument 14</t>
  </si>
  <si>
    <t>Intercompany loan</t>
  </si>
  <si>
    <t>Revolving</t>
  </si>
  <si>
    <t>Junior/Subordinated</t>
  </si>
  <si>
    <t>4B.14</t>
  </si>
  <si>
    <t>Fixed rate instrument 15</t>
  </si>
  <si>
    <t>4B.15</t>
  </si>
  <si>
    <t>Fixed rate instrument 16</t>
  </si>
  <si>
    <t>4B.16</t>
  </si>
  <si>
    <t>Fixed rate instrument 17</t>
  </si>
  <si>
    <t>4B.17</t>
  </si>
  <si>
    <t>Fixed rate instrument 18</t>
  </si>
  <si>
    <t>4B.18</t>
  </si>
  <si>
    <t>Fixed rate instrument 19</t>
  </si>
  <si>
    <t>4B.19</t>
  </si>
  <si>
    <t>Fixed rate instrument 20</t>
  </si>
  <si>
    <t>4B.20</t>
  </si>
  <si>
    <t>Fixed rate instrument 21</t>
  </si>
  <si>
    <t>4B.21</t>
  </si>
  <si>
    <t>Fixed rate instrument 22</t>
  </si>
  <si>
    <t>4B.22</t>
  </si>
  <si>
    <t>Fixed rate instrument 23</t>
  </si>
  <si>
    <t>4B.23</t>
  </si>
  <si>
    <t>Fixed rate instrument 24</t>
  </si>
  <si>
    <t>4B.24</t>
  </si>
  <si>
    <t>Fixed rate instrument 25</t>
  </si>
  <si>
    <t>4B.25</t>
  </si>
  <si>
    <t>Fixed rate instrument 26</t>
  </si>
  <si>
    <t>4B.26</t>
  </si>
  <si>
    <t>Fixed rate instrument 27</t>
  </si>
  <si>
    <t>4B.27</t>
  </si>
  <si>
    <t>Fixed rate instrument 28</t>
  </si>
  <si>
    <t>4B.28</t>
  </si>
  <si>
    <t>Fixed rate instrument 29</t>
  </si>
  <si>
    <t>4B.29</t>
  </si>
  <si>
    <t>Fixed rate instrument 30</t>
  </si>
  <si>
    <t>4B.30</t>
  </si>
  <si>
    <t>Fixed rate instrument 31</t>
  </si>
  <si>
    <t>4B.31</t>
  </si>
  <si>
    <t>Fixed rate instrument 32</t>
  </si>
  <si>
    <t>4B.32</t>
  </si>
  <si>
    <t>Fixed rate instrument 33</t>
  </si>
  <si>
    <t>4B.33</t>
  </si>
  <si>
    <t>Fixed rate instrument 34</t>
  </si>
  <si>
    <t>4B.34</t>
  </si>
  <si>
    <t>Fixed rate instrument 35</t>
  </si>
  <si>
    <t>4B.35</t>
  </si>
  <si>
    <t>Fixed rate instrument 36</t>
  </si>
  <si>
    <t>4B.36</t>
  </si>
  <si>
    <t>Fixed rate instrument 37</t>
  </si>
  <si>
    <t>4B.37</t>
  </si>
  <si>
    <t>Fixed rate instrument 38</t>
  </si>
  <si>
    <t>4B.38</t>
  </si>
  <si>
    <t>Fixed rate instrument 39</t>
  </si>
  <si>
    <t>4B.39</t>
  </si>
  <si>
    <t>Fixed rate instrument 40</t>
  </si>
  <si>
    <t>4B.40</t>
  </si>
  <si>
    <t>Fixed rate instrument 41</t>
  </si>
  <si>
    <t>4B.41</t>
  </si>
  <si>
    <t>Fixed rate instrument 42</t>
  </si>
  <si>
    <t>4B.42</t>
  </si>
  <si>
    <t>Fixed rate instrument 43</t>
  </si>
  <si>
    <t>4B.43</t>
  </si>
  <si>
    <t>Fixed rate instrument 44</t>
  </si>
  <si>
    <t>4B.44</t>
  </si>
  <si>
    <t>Fixed rate instrument 45</t>
  </si>
  <si>
    <t>4B.45</t>
  </si>
  <si>
    <t>Fixed rate instrument 46</t>
  </si>
  <si>
    <t>4B.46</t>
  </si>
  <si>
    <t>Fixed rate instrument 47</t>
  </si>
  <si>
    <t>4B.47</t>
  </si>
  <si>
    <t>Fixed rate instrument 48</t>
  </si>
  <si>
    <t>4B.48</t>
  </si>
  <si>
    <t>Fixed rate instrument 49</t>
  </si>
  <si>
    <t>4B.49</t>
  </si>
  <si>
    <t>Fixed rate instrument 50</t>
  </si>
  <si>
    <t>4B.50</t>
  </si>
  <si>
    <t>Fixed rate instrument 51</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</si>
  <si>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</si>
  <si>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</si>
  <si>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</si>
  <si>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</si>
  <si>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</si>
  <si>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</si>
  <si>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</si>
  <si>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</si>
  <si>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</si>
  <si>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</si>
  <si>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</si>
  <si>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</si>
  <si>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</si>
  <si>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</si>
  <si>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</si>
  <si>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</si>
  <si>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</si>
  <si>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</si>
  <si>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</si>
  <si>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</si>
  <si>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</si>
  <si>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</si>
  <si>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</si>
  <si>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</si>
  <si>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</si>
  <si>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</si>
  <si>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</si>
  <si>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</si>
  <si>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</si>
  <si>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</si>
  <si>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</si>
  <si>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</si>
  <si>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</si>
  <si>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</si>
  <si>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</si>
  <si>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</si>
  <si>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</si>
  <si>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</si>
  <si>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</si>
  <si>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</si>
  <si>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</si>
  <si>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</si>
  <si>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</si>
  <si>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</si>
  <si>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</si>
  <si>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</si>
  <si>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</si>
  <si>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</si>
  <si>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</si>
  <si>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</si>
  <si>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</si>
  <si>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</si>
  <si>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</si>
  <si>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</si>
  <si>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</si>
  <si>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</si>
  <si>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</si>
  <si>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</si>
  <si>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</si>
  <si>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</si>
  <si>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</si>
  <si>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</si>
  <si>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</si>
  <si>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</si>
  <si>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</si>
  <si>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</si>
  <si>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</si>
  <si>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</si>
  <si>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</si>
  <si>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</si>
  <si>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</si>
  <si>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</si>
  <si>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</si>
  <si>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</si>
  <si>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</si>
  <si>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</si>
  <si>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</si>
  <si>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</si>
  <si>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</si>
  <si>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</si>
  <si>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</si>
  <si>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</si>
  <si>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</si>
  <si>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</si>
  <si>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</si>
  <si>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</si>
  <si>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</si>
  <si>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</si>
  <si>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</si>
  <si>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</si>
  <si>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</si>
  <si>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</si>
  <si>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</si>
  <si>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</si>
  <si>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</si>
  <si>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</si>
  <si>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</si>
  <si>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</si>
  <si>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</si>
  <si>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</si>
  <si>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</si>
  <si>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</si>
  <si>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</si>
  <si>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</si>
  <si>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SONIA</t>
  </si>
  <si>
    <t>4B.202</t>
  </si>
  <si>
    <t>Floating rate instrument 2</t>
  </si>
  <si>
    <t>RCF</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</si>
  <si>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</si>
  <si>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</si>
  <si>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</si>
  <si>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</si>
  <si>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</si>
  <si>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</si>
  <si>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</si>
  <si>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</si>
  <si>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</si>
  <si>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</si>
  <si>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</si>
  <si>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</si>
  <si>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</si>
  <si>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</si>
  <si>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</si>
  <si>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</si>
  <si>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</si>
  <si>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</si>
  <si>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</si>
  <si>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</si>
  <si>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</si>
  <si>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</si>
  <si>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</si>
  <si>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</si>
  <si>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</si>
  <si>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</si>
  <si>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</si>
  <si>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</si>
  <si>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</si>
  <si>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</si>
  <si>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</si>
  <si>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</si>
  <si>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</si>
  <si>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</si>
  <si>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</si>
  <si>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</si>
  <si>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</si>
  <si>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</si>
  <si>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</si>
  <si>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</si>
  <si>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</si>
  <si>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</si>
  <si>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</si>
  <si>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</si>
  <si>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</si>
  <si>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</si>
  <si>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</si>
  <si>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</si>
  <si>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</si>
  <si>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</si>
  <si>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</si>
  <si>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</si>
  <si>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</si>
  <si>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</si>
  <si>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</si>
  <si>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</si>
  <si>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</si>
  <si>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</si>
  <si>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</si>
  <si>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</si>
  <si>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</si>
  <si>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</si>
  <si>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</si>
  <si>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</si>
  <si>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</si>
  <si>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</si>
  <si>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</si>
  <si>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</si>
  <si>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</si>
  <si>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</si>
  <si>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</si>
  <si>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</si>
  <si>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</si>
  <si>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</si>
  <si>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</si>
  <si>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</si>
  <si>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</si>
  <si>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</si>
  <si>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</si>
  <si>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</si>
  <si>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</si>
  <si>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</si>
  <si>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</si>
  <si>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</si>
  <si>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</si>
  <si>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</si>
  <si>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</si>
  <si>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</si>
  <si>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</si>
  <si>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</si>
  <si>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</si>
  <si>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</si>
  <si>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</si>
  <si>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</si>
  <si>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</si>
  <si>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</si>
  <si>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</si>
  <si>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</si>
  <si>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</si>
  <si>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</si>
  <si>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</si>
  <si>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</si>
  <si>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</si>
  <si>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</si>
  <si>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</si>
  <si>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</si>
  <si>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</si>
  <si>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</si>
  <si>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</si>
  <si>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</si>
  <si>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</si>
  <si>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</si>
  <si>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</si>
  <si>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</si>
  <si>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</si>
  <si>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</si>
  <si>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</si>
  <si>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</si>
  <si>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</si>
  <si>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</si>
  <si>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</si>
  <si>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</si>
  <si>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</si>
  <si>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</si>
  <si>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</si>
  <si>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</si>
  <si>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</si>
  <si>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</si>
  <si>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</si>
  <si>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</si>
  <si>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</si>
  <si>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</si>
  <si>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</si>
  <si>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</si>
  <si>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</si>
  <si>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</si>
  <si>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</si>
  <si>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</si>
  <si>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</si>
  <si>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</si>
  <si>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</si>
  <si>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</si>
  <si>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</si>
  <si>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</si>
  <si>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</si>
  <si>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</si>
  <si>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</si>
  <si>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</si>
  <si>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</si>
  <si>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</si>
  <si>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</si>
  <si>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</si>
  <si>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instruments 1</t>
  </si>
  <si>
    <t>4B.403</t>
  </si>
  <si>
    <t>RPI linked instruments 2</t>
  </si>
  <si>
    <t>4B.404</t>
  </si>
  <si>
    <t>RPI linked instruments 3</t>
  </si>
  <si>
    <t>D</t>
  </si>
  <si>
    <t>4B.405</t>
  </si>
  <si>
    <t>RPI linked instruments 4</t>
  </si>
  <si>
    <t>4B.406</t>
  </si>
  <si>
    <t>RPI linked instruments 5</t>
  </si>
  <si>
    <t>4B.407</t>
  </si>
  <si>
    <t>RPI linked instruments 6</t>
  </si>
  <si>
    <t>XS0230235474</t>
  </si>
  <si>
    <t>4B.408</t>
  </si>
  <si>
    <t>RPI linked instruments 7</t>
  </si>
  <si>
    <t>XS0240294339</t>
  </si>
  <si>
    <t>4B.409</t>
  </si>
  <si>
    <t>RPI linked instruments 8</t>
  </si>
  <si>
    <t>XS0257411297</t>
  </si>
  <si>
    <t>4B.410</t>
  </si>
  <si>
    <t>RPI linked instruments 9</t>
  </si>
  <si>
    <t>XS0257412261</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</si>
  <si>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</si>
  <si>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</si>
  <si>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</si>
  <si>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</si>
  <si>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</si>
  <si>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</si>
  <si>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</si>
  <si>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</si>
  <si>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</si>
  <si>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</si>
  <si>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</si>
  <si>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</si>
  <si>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</si>
  <si>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</si>
  <si>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</si>
  <si>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</si>
  <si>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</si>
  <si>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</si>
  <si>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</si>
  <si>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</si>
  <si>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</si>
  <si>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</si>
  <si>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</si>
  <si>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</si>
  <si>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</si>
  <si>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</si>
  <si>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</si>
  <si>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</si>
  <si>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</si>
  <si>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</si>
  <si>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</si>
  <si>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</si>
  <si>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</si>
  <si>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</si>
  <si>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</si>
  <si>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</si>
  <si>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</si>
  <si>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</si>
  <si>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</si>
  <si>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</si>
  <si>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</si>
  <si>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</si>
  <si>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</si>
  <si>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</si>
  <si>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</si>
  <si>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</si>
  <si>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</si>
  <si>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</si>
  <si>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</si>
  <si>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</si>
  <si>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</si>
  <si>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</si>
  <si>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</si>
  <si>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</si>
  <si>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</si>
  <si>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</si>
  <si>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</si>
  <si>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</si>
  <si>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</si>
  <si>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</si>
  <si>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</si>
  <si>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</si>
  <si>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</si>
  <si>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</si>
  <si>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</si>
  <si>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</si>
  <si>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</si>
  <si>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</si>
  <si>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</si>
  <si>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</si>
  <si>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</si>
  <si>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</si>
  <si>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</si>
  <si>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</si>
  <si>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</si>
  <si>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</si>
  <si>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</si>
  <si>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</si>
  <si>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</si>
  <si>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</si>
  <si>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</si>
  <si>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</si>
  <si>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</si>
  <si>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</si>
  <si>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</si>
  <si>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</si>
  <si>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</si>
  <si>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</si>
  <si>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</si>
  <si>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</si>
  <si>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</si>
  <si>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</si>
  <si>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</si>
  <si>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</si>
  <si>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</si>
  <si>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</si>
  <si>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</si>
  <si>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</si>
  <si>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</si>
  <si>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</si>
  <si>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</si>
  <si>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</si>
  <si>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</si>
  <si>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</si>
  <si>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</si>
  <si>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</si>
  <si>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</si>
  <si>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</si>
  <si>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</si>
  <si>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</si>
  <si>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</si>
  <si>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</si>
  <si>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</si>
  <si>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</si>
  <si>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</si>
  <si>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</si>
  <si>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</si>
  <si>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</si>
  <si>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</si>
  <si>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</si>
  <si>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</si>
  <si>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</si>
  <si>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</si>
  <si>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</si>
  <si>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</si>
  <si>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</si>
  <si>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</si>
  <si>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</si>
  <si>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</si>
  <si>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</si>
  <si>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</si>
  <si>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</si>
  <si>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</si>
  <si>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</si>
  <si>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</si>
  <si>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</si>
  <si>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</si>
  <si>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</si>
  <si>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</si>
  <si>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</si>
  <si>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</si>
  <si>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</si>
  <si>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</si>
  <si>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</si>
  <si>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</si>
  <si>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CPI linked instrument 1</t>
  </si>
  <si>
    <t>Private placement</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</si>
  <si>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</si>
  <si>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</si>
  <si>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</si>
  <si>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</si>
  <si>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</si>
  <si>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</si>
  <si>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</si>
  <si>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</si>
  <si>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</si>
  <si>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</si>
  <si>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</si>
  <si>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</si>
  <si>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</si>
  <si>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</si>
  <si>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</si>
  <si>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</si>
  <si>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</si>
  <si>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</si>
  <si>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</si>
  <si>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</si>
  <si>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</si>
  <si>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</si>
  <si>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</si>
  <si>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</si>
  <si>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</si>
  <si>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</si>
  <si>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</si>
  <si>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</si>
  <si>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</si>
  <si>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</si>
  <si>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</si>
  <si>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</si>
  <si>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</si>
  <si>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</si>
  <si>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</si>
  <si>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</si>
  <si>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</si>
  <si>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</si>
  <si>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</si>
  <si>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</si>
  <si>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</si>
  <si>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</si>
  <si>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</si>
  <si>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</si>
  <si>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</si>
  <si>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</si>
  <si>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</si>
  <si>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</si>
  <si>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</si>
  <si>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</si>
  <si>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</si>
  <si>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</si>
  <si>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</si>
  <si>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</si>
  <si>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</si>
  <si>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</si>
  <si>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</si>
  <si>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</si>
  <si>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</si>
  <si>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</si>
  <si>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</si>
  <si>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</si>
  <si>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</si>
  <si>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</si>
  <si>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</si>
  <si>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</si>
  <si>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</si>
  <si>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</si>
  <si>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</si>
  <si>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</si>
  <si>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</si>
  <si>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</si>
  <si>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</si>
  <si>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</si>
  <si>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</si>
  <si>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</si>
  <si>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</si>
  <si>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</si>
  <si>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</si>
  <si>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</si>
  <si>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</si>
  <si>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</si>
  <si>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</si>
  <si>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</si>
  <si>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</si>
  <si>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</si>
  <si>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</si>
  <si>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</si>
  <si>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</si>
  <si>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</si>
  <si>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</si>
  <si>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</si>
  <si>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</si>
  <si>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</si>
  <si>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</si>
  <si>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</si>
  <si>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</si>
  <si>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</si>
  <si>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</si>
  <si>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</si>
  <si>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</si>
  <si>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</si>
  <si>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</si>
  <si>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</si>
  <si>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</si>
  <si>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</si>
  <si>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</si>
  <si>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</si>
  <si>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</si>
  <si>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</si>
  <si>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</si>
  <si>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</si>
  <si>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</si>
  <si>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</si>
  <si>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</si>
  <si>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</si>
  <si>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</si>
  <si>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</si>
  <si>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</si>
  <si>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</si>
  <si>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</si>
  <si>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</si>
  <si>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</si>
  <si>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</si>
  <si>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</si>
  <si>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</si>
  <si>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</si>
  <si>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</si>
  <si>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</si>
  <si>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</si>
  <si>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</si>
  <si>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</si>
  <si>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</si>
  <si>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</si>
  <si>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</si>
  <si>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</si>
  <si>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</si>
  <si>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</si>
  <si>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</si>
  <si>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</si>
  <si>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</si>
  <si>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</si>
  <si>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</si>
  <si>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</si>
  <si>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</si>
  <si>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</si>
  <si>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</si>
  <si>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</si>
  <si>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</si>
  <si>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</si>
  <si>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</si>
  <si>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</si>
  <si>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</si>
  <si>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</si>
  <si>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</si>
  <si>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</si>
  <si>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</si>
  <si>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</si>
  <si>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</si>
  <si>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</si>
  <si>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</si>
  <si>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</si>
  <si>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</si>
  <si>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</si>
  <si>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</si>
  <si>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</si>
  <si>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</si>
  <si>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</si>
  <si>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</si>
  <si>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</si>
  <si>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</si>
  <si>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</si>
  <si>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</si>
  <si>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</si>
  <si>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</si>
  <si>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</si>
  <si>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</si>
  <si>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</si>
  <si>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</si>
  <si>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</si>
  <si>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</si>
  <si>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</si>
  <si>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</si>
  <si>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</si>
  <si>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</si>
  <si>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</si>
  <si>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</si>
  <si>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</si>
  <si>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</si>
  <si>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</si>
  <si>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</si>
  <si>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</si>
  <si>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</si>
  <si>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</si>
  <si>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</si>
  <si>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</si>
  <si>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</si>
  <si>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</si>
  <si>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</si>
  <si>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</si>
  <si>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</si>
  <si>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</si>
  <si>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</si>
  <si>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</si>
  <si>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</si>
  <si>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</si>
  <si>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</si>
  <si>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</si>
  <si>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</si>
  <si>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</si>
  <si>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</si>
  <si>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</si>
  <si>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</si>
  <si>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</si>
  <si>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</si>
  <si>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</si>
  <si>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</si>
  <si>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</si>
  <si>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</si>
  <si>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</si>
  <si>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</si>
  <si>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</si>
  <si>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</si>
  <si>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</si>
  <si>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</si>
  <si>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</si>
  <si>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</si>
  <si>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</si>
  <si>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</si>
  <si>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</si>
  <si>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</si>
  <si>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</si>
  <si>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</si>
  <si>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</si>
  <si>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</si>
  <si>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</si>
  <si>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</si>
  <si>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</si>
  <si>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</si>
  <si>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</si>
  <si>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</si>
  <si>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</si>
  <si>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</si>
  <si>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</si>
  <si>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</si>
  <si>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</si>
  <si>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</si>
  <si>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</si>
  <si>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</si>
  <si>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</si>
  <si>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</si>
  <si>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</si>
  <si>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</si>
  <si>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</si>
  <si>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</si>
  <si>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</si>
  <si>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</si>
  <si>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</si>
  <si>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</si>
  <si>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</si>
  <si>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</si>
  <si>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</si>
  <si>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</si>
  <si>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</si>
  <si>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</si>
  <si>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</si>
  <si>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</si>
  <si>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</si>
  <si>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</si>
  <si>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</si>
  <si>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</si>
  <si>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</si>
  <si>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</si>
  <si>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</si>
  <si>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</si>
  <si>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</si>
  <si>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</si>
  <si>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</si>
  <si>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</si>
  <si>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</si>
  <si>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</si>
  <si>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</si>
  <si>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</si>
  <si>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</si>
  <si>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</si>
  <si>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</si>
  <si>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</si>
  <si>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</si>
  <si>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</si>
  <si>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</si>
  <si>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</si>
  <si>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</si>
  <si>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</si>
  <si>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</si>
  <si>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</si>
  <si>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</si>
  <si>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</si>
  <si>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</si>
  <si>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</si>
  <si>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</si>
  <si>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</si>
  <si>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</si>
  <si>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</si>
  <si>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</si>
  <si>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</si>
  <si>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</si>
  <si>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</si>
  <si>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</si>
  <si>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</si>
  <si>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</si>
  <si>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</si>
  <si>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</si>
  <si>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</si>
  <si>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</si>
  <si>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</si>
  <si>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</si>
  <si>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</si>
  <si>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</si>
  <si>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</si>
  <si>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</si>
  <si>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</si>
  <si>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</si>
  <si>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</si>
  <si>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</si>
  <si>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</si>
  <si>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</si>
  <si>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</si>
  <si>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</si>
  <si>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</si>
  <si>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</si>
  <si>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</si>
  <si>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</si>
  <si>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</si>
  <si>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</si>
  <si>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</si>
  <si>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</si>
  <si>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</si>
  <si>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</si>
  <si>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</si>
  <si>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</si>
  <si>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</si>
  <si>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</si>
  <si>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</si>
  <si>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</si>
  <si>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</si>
  <si>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</si>
  <si>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</si>
  <si>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</si>
  <si>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</si>
  <si>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</si>
  <si>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</si>
  <si>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</si>
  <si>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</si>
  <si>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</si>
  <si>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</si>
  <si>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</si>
  <si>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</si>
  <si>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</si>
  <si>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</si>
  <si>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</si>
  <si>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</si>
  <si>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</si>
  <si>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</si>
  <si>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</si>
  <si>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</si>
  <si>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</si>
  <si>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</si>
  <si>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</si>
  <si>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</si>
  <si>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</si>
  <si>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</si>
  <si>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</si>
  <si>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</si>
  <si>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</si>
  <si>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</si>
  <si>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</si>
  <si>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</si>
  <si>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</si>
  <si>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</si>
  <si>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</si>
  <si>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</si>
  <si>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</si>
  <si>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</si>
  <si>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</si>
  <si>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</si>
  <si>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</si>
  <si>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</si>
  <si>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</si>
  <si>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</si>
  <si>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</si>
  <si>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</si>
  <si>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</si>
  <si>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</si>
  <si>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</si>
  <si>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</si>
  <si>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</si>
  <si>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</si>
  <si>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</si>
  <si>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</si>
  <si>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</si>
  <si>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</si>
  <si>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</si>
  <si>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</si>
  <si>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</si>
  <si>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</si>
  <si>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</si>
  <si>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</si>
  <si>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</si>
  <si>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</si>
  <si>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</si>
  <si>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</si>
  <si>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</si>
  <si>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</si>
  <si>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</si>
  <si>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</si>
  <si>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</si>
  <si>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</si>
  <si>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</si>
  <si>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</si>
  <si>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</si>
  <si>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</si>
  <si>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</si>
  <si>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</si>
  <si>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</si>
  <si>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</si>
  <si>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</si>
  <si>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</si>
  <si>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</si>
  <si>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</si>
  <si>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</si>
  <si>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</si>
  <si>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</si>
  <si>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</si>
  <si>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</si>
  <si>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</si>
  <si>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</si>
  <si>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</si>
  <si>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</si>
  <si>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</si>
  <si>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</si>
  <si>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</si>
  <si>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</si>
  <si>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</si>
  <si>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</si>
  <si>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</si>
  <si>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</si>
  <si>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</si>
  <si>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</si>
  <si>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</si>
  <si>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</si>
  <si>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</si>
  <si>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</si>
  <si>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</si>
  <si>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</si>
  <si>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</si>
  <si>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</si>
  <si>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</si>
  <si>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</si>
  <si>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</si>
  <si>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</si>
  <si>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</si>
  <si>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</si>
  <si>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</si>
  <si>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</si>
  <si>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</si>
  <si>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</si>
  <si>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</si>
  <si>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</si>
  <si>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</si>
  <si>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</si>
  <si>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</si>
  <si>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</si>
  <si>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</si>
  <si>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</si>
  <si>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</si>
  <si>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</si>
  <si>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</si>
  <si>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</si>
  <si>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</si>
  <si>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</si>
  <si>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</si>
  <si>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</si>
  <si>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</si>
  <si>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</si>
  <si>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</si>
  <si>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</si>
  <si>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</si>
  <si>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</si>
  <si>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</si>
  <si>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</si>
  <si>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</si>
  <si>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</si>
  <si>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</si>
  <si>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</si>
  <si>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</si>
  <si>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</si>
  <si>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</si>
  <si>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</si>
  <si>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</si>
  <si>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</si>
  <si>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</si>
  <si>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</si>
  <si>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</si>
  <si>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</si>
  <si>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</si>
  <si>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</si>
  <si>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</si>
  <si>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</si>
  <si>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</si>
  <si>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</si>
  <si>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</si>
  <si>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</si>
  <si>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</si>
  <si>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</si>
  <si>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</si>
  <si>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</si>
  <si>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</si>
  <si>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</si>
  <si>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</si>
  <si>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</si>
  <si>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</si>
  <si>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</si>
  <si>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</si>
  <si>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</si>
  <si>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</si>
  <si>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</si>
  <si>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</si>
  <si>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</si>
  <si>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</si>
  <si>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</si>
  <si>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</si>
  <si>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</si>
  <si>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</si>
  <si>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</si>
  <si>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</si>
  <si>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</si>
  <si>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</si>
  <si>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</si>
  <si>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</si>
  <si>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</si>
  <si>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</si>
  <si>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</si>
  <si>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</si>
  <si>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</si>
  <si>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</si>
  <si>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</si>
  <si>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</si>
  <si>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</si>
  <si>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</si>
  <si>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</si>
  <si>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</si>
  <si>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</si>
  <si>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</si>
  <si>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</si>
  <si>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</si>
  <si>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</si>
  <si>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</si>
  <si>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</si>
  <si>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</si>
  <si>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</si>
  <si>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</si>
  <si>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</si>
  <si>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</si>
  <si>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</si>
  <si>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</si>
  <si>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</si>
  <si>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</si>
  <si>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</si>
  <si>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</si>
  <si>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</si>
  <si>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</si>
  <si>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</si>
  <si>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</si>
  <si>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</si>
  <si>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</si>
  <si>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</si>
  <si>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</si>
  <si>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</si>
  <si>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</si>
  <si>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</si>
  <si>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</si>
  <si>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</si>
  <si>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</si>
  <si>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</si>
  <si>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</si>
  <si>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</si>
  <si>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</si>
  <si>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</si>
  <si>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</si>
  <si>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</si>
  <si>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</si>
  <si>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</si>
  <si>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</si>
  <si>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</si>
  <si>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</si>
  <si>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</si>
  <si>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</si>
  <si>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</si>
  <si>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</si>
  <si>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</si>
  <si>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</si>
  <si>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</si>
  <si>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</si>
  <si>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</si>
  <si>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</si>
  <si>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</si>
  <si>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</si>
  <si>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</si>
  <si>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</si>
  <si>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</si>
  <si>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</si>
  <si>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</si>
  <si>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</si>
  <si>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</si>
  <si>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</si>
  <si>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</si>
  <si>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</si>
  <si>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</si>
  <si>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</si>
  <si>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</si>
  <si>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</si>
  <si>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</si>
  <si>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</si>
  <si>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</si>
  <si>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</si>
  <si>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</si>
  <si>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</si>
  <si>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</si>
  <si>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</si>
  <si>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</si>
  <si>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</si>
  <si>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</si>
  <si>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</si>
  <si>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</si>
  <si>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</si>
  <si>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</si>
  <si>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</si>
  <si>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</si>
  <si>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</si>
  <si>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</si>
  <si>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</si>
  <si>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</si>
  <si>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</si>
  <si>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</si>
  <si>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</si>
  <si>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</si>
  <si>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</si>
  <si>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</si>
  <si>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</si>
  <si>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</si>
  <si>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</si>
  <si>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</si>
  <si>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</si>
  <si>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</si>
  <si>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</si>
  <si>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</si>
  <si>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</si>
  <si>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</si>
  <si>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</si>
  <si>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</si>
  <si>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</si>
  <si>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</si>
  <si>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</si>
  <si>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</si>
  <si>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</si>
  <si>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</si>
  <si>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</si>
  <si>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</si>
  <si>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</si>
  <si>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</si>
  <si>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</si>
  <si>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</si>
  <si>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</si>
  <si>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</si>
  <si>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</si>
  <si>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</si>
  <si>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</si>
  <si>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</si>
  <si>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</si>
  <si>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</si>
  <si>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Pension past service credit (non-cash)</t>
  </si>
  <si>
    <t>4D.19</t>
  </si>
  <si>
    <t>Item 1</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</si>
  <si>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</si>
  <si>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</si>
  <si>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</si>
  <si>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</si>
  <si>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</si>
  <si>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</si>
  <si>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</si>
  <si>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</si>
  <si>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</si>
  <si>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</si>
  <si>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</si>
  <si>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</si>
  <si>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</si>
  <si>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</si>
  <si>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</si>
  <si>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</si>
  <si>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</si>
  <si>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</si>
  <si>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</si>
  <si>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</si>
  <si>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</si>
  <si>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</si>
  <si>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</si>
  <si>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</si>
  <si>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</si>
  <si>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</si>
  <si>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</si>
  <si>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</si>
  <si>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</si>
  <si>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</si>
  <si>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</si>
  <si>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</si>
  <si>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</si>
  <si>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</si>
  <si>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</si>
  <si>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</si>
  <si>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</si>
  <si>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</si>
  <si>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</si>
  <si>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</si>
  <si>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</si>
  <si>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</si>
  <si>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</si>
  <si>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</si>
  <si>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</si>
  <si>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</si>
  <si>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</si>
  <si>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</si>
  <si>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</si>
  <si>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</si>
  <si>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</si>
  <si>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</si>
  <si>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</si>
  <si>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</si>
  <si>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</si>
  <si>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</si>
  <si>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</si>
  <si>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</si>
  <si>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</si>
  <si>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</si>
  <si>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</si>
  <si>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</si>
  <si>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</si>
  <si>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</si>
  <si>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</si>
  <si>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</si>
  <si>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</si>
  <si>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</si>
  <si>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</si>
  <si>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</si>
  <si>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</si>
  <si>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</si>
  <si>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</si>
  <si>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</si>
  <si>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</si>
  <si>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</si>
  <si>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</si>
  <si>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</si>
  <si>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</si>
  <si>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</si>
  <si>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</si>
  <si>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</si>
  <si>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</si>
  <si>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</si>
  <si>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</si>
  <si>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</si>
  <si>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</si>
  <si>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</si>
  <si>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</si>
  <si>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</si>
  <si>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</si>
  <si>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</si>
  <si>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</si>
  <si>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</si>
  <si>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</si>
  <si>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</si>
  <si>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</si>
  <si>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</si>
  <si>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</si>
  <si>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</si>
  <si>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</si>
  <si>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</si>
  <si>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</si>
  <si>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</si>
  <si>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</si>
  <si>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</si>
  <si>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</si>
  <si>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</si>
  <si>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</si>
  <si>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</si>
  <si>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</si>
  <si>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</si>
  <si>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</si>
  <si>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</si>
  <si>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</si>
  <si>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</si>
  <si>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</si>
  <si>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</si>
  <si>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</si>
  <si>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</si>
  <si>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</si>
  <si>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</si>
  <si>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</si>
  <si>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</si>
  <si>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</si>
  <si>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</si>
  <si>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</si>
  <si>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</si>
  <si>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</si>
  <si>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</si>
  <si>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</si>
  <si>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</si>
  <si>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</si>
  <si>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</si>
  <si>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</si>
  <si>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</si>
  <si>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</si>
  <si>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</si>
  <si>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</si>
  <si>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</si>
  <si>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</si>
  <si>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</si>
  <si>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</si>
  <si>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</si>
  <si>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</si>
  <si>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</si>
  <si>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</si>
  <si>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</si>
  <si>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</si>
  <si>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</si>
  <si>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</si>
  <si>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</si>
  <si>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</si>
  <si>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</si>
  <si>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</si>
  <si>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</si>
  <si>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</si>
  <si>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</si>
  <si>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</si>
  <si>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</si>
  <si>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</si>
  <si>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</si>
  <si>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</si>
  <si>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</si>
  <si>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</si>
  <si>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</si>
  <si>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</si>
  <si>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</si>
  <si>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</si>
  <si>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</si>
  <si>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</si>
  <si>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</si>
  <si>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</si>
  <si>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</si>
  <si>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</si>
  <si>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</si>
  <si>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</si>
  <si>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</si>
  <si>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</si>
  <si>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</si>
  <si>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</si>
  <si>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</si>
  <si>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</si>
  <si>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</si>
  <si>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</si>
  <si>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</si>
  <si>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</si>
  <si>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</si>
  <si>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</si>
  <si>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</si>
  <si>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</si>
  <si>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</si>
  <si>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</si>
  <si>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</si>
  <si>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</si>
  <si>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</si>
  <si>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</si>
  <si>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</si>
  <si>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</si>
  <si>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</si>
  <si>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</si>
  <si>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</si>
  <si>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</si>
  <si>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</si>
  <si>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</si>
  <si>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</si>
  <si>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</si>
  <si>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</si>
  <si>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</si>
  <si>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</si>
  <si>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</si>
  <si>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</si>
  <si>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</si>
  <si>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</si>
  <si>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</si>
  <si>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</si>
  <si>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</si>
  <si>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</si>
  <si>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</si>
  <si>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</si>
  <si>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</si>
  <si>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</si>
  <si>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</si>
  <si>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</si>
  <si>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</si>
  <si>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</si>
  <si>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</si>
  <si>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</si>
  <si>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</si>
  <si>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</si>
  <si>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</si>
  <si>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</si>
  <si>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</si>
  <si>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</si>
  <si>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</si>
  <si>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</si>
  <si>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</si>
  <si>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</si>
  <si>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</si>
  <si>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</si>
  <si>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</si>
  <si>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</si>
  <si>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</si>
  <si>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</si>
  <si>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</si>
  <si>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</si>
  <si>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</si>
  <si>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</si>
  <si>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</si>
  <si>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</si>
  <si>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</si>
  <si>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</si>
  <si>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</si>
  <si>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</si>
  <si>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</si>
  <si>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</si>
  <si>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</si>
  <si>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</si>
  <si>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</si>
  <si>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</si>
  <si>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</si>
  <si>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</si>
  <si>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</si>
  <si>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</si>
  <si>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</si>
  <si>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</si>
  <si>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</si>
  <si>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</si>
  <si>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</si>
  <si>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</si>
  <si>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</si>
  <si>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</si>
  <si>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</si>
  <si>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</si>
  <si>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</si>
  <si>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</si>
  <si>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</si>
  <si>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</si>
  <si>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</si>
  <si>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</si>
  <si>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</si>
  <si>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</si>
  <si>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</si>
  <si>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</si>
  <si>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</si>
  <si>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</si>
  <si>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</si>
  <si>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</si>
  <si>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</si>
  <si>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</si>
  <si>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</si>
  <si>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</si>
  <si>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</si>
  <si>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</si>
  <si>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</si>
  <si>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</si>
  <si>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</si>
  <si>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</si>
  <si>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</si>
  <si>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</si>
  <si>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</si>
  <si>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</si>
  <si>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</si>
  <si>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</si>
  <si>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</si>
  <si>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</si>
  <si>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</si>
  <si>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</si>
  <si>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</si>
  <si>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</si>
  <si>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</si>
  <si>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</si>
  <si>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</si>
  <si>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</si>
  <si>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</si>
  <si>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</si>
  <si>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</si>
  <si>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</si>
  <si>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</si>
  <si>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</si>
  <si>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</si>
  <si>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</si>
  <si>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</si>
  <si>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</si>
  <si>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</si>
  <si>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</si>
  <si>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</si>
  <si>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</si>
  <si>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</si>
  <si>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</si>
  <si>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</si>
  <si>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</si>
  <si>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</si>
  <si>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</si>
  <si>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</si>
  <si>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</si>
  <si>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</si>
  <si>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</si>
  <si>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</si>
  <si>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</si>
  <si>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</si>
  <si>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</si>
  <si>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</si>
  <si>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</si>
  <si>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</si>
  <si>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</si>
  <si>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</si>
  <si>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</si>
  <si>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</si>
  <si>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</si>
  <si>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</si>
  <si>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</si>
  <si>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</si>
  <si>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</si>
  <si>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</si>
  <si>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</si>
  <si>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</si>
  <si>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</si>
  <si>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</si>
  <si>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</si>
  <si>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</si>
  <si>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</si>
  <si>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</si>
  <si>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</si>
  <si>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</si>
  <si>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</si>
  <si>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</si>
  <si>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</si>
  <si>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</si>
  <si>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</si>
  <si>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</si>
  <si>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</si>
  <si>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</si>
  <si>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</si>
  <si>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</si>
  <si>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</si>
  <si>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</si>
  <si>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</si>
  <si>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</si>
  <si>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</si>
  <si>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</si>
  <si>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</si>
  <si>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</si>
  <si>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</si>
  <si>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</si>
  <si>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</si>
  <si>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</si>
  <si>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</si>
  <si>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</si>
  <si>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</si>
  <si>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</si>
  <si>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</si>
  <si>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</si>
  <si>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</si>
  <si>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</si>
  <si>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</si>
  <si>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</si>
  <si>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</si>
  <si>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</si>
  <si>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</si>
  <si>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</si>
  <si>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</si>
  <si>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</si>
  <si>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</si>
  <si>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</si>
  <si>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</si>
  <si>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</si>
  <si>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</si>
  <si>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</si>
  <si>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</si>
  <si>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</si>
  <si>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</si>
  <si>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</si>
  <si>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</si>
  <si>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</si>
  <si>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</si>
  <si>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</si>
  <si>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</si>
  <si>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</si>
  <si>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</si>
  <si>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</si>
  <si>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</si>
  <si>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</si>
  <si>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</si>
  <si>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</si>
  <si>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</si>
  <si>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</si>
  <si>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</si>
  <si>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</si>
  <si>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</si>
  <si>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Baa1 (Stable)</t>
  </si>
  <si>
    <t>4H.10</t>
  </si>
  <si>
    <t>B0203FMCRM</t>
  </si>
  <si>
    <t>Credit rating - Standard and Poor's</t>
  </si>
  <si>
    <t>BBB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</si>
  <si>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</si>
  <si>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</si>
  <si>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</si>
  <si>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</si>
  <si>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</si>
  <si>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</si>
  <si>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</si>
  <si>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</si>
  <si>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</si>
  <si>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</si>
  <si>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</si>
  <si>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</si>
  <si>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</si>
  <si>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</si>
  <si>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</si>
  <si>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</si>
  <si>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</si>
  <si>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</si>
  <si>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</si>
  <si>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</si>
  <si>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</si>
  <si>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</si>
  <si>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</si>
  <si>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</si>
  <si>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</si>
  <si>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</si>
  <si>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</si>
  <si>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</si>
  <si>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</si>
  <si>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</si>
  <si>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</si>
  <si>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</si>
  <si>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</si>
  <si>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</si>
  <si>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</si>
  <si>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</si>
  <si>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</si>
  <si>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</si>
  <si>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</si>
  <si>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</si>
  <si>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</si>
  <si>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</si>
  <si>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</si>
  <si>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</si>
  <si>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</si>
  <si>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</si>
  <si>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</si>
  <si>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</si>
  <si>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</si>
  <si>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</si>
  <si>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</si>
  <si>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</si>
  <si>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</si>
  <si>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</si>
  <si>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</si>
  <si>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</si>
  <si>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</si>
  <si>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</si>
  <si>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</si>
  <si>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</si>
  <si>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</si>
  <si>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</si>
  <si>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</si>
  <si>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</si>
  <si>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</si>
  <si>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</si>
  <si>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</si>
  <si>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</si>
  <si>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</si>
  <si>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</si>
  <si>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</si>
  <si>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</si>
  <si>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</si>
  <si>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</si>
  <si>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</si>
  <si>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</si>
  <si>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</si>
  <si>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</si>
  <si>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</si>
  <si>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</si>
  <si>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</si>
  <si>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</si>
  <si>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</si>
  <si>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</si>
  <si>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</si>
  <si>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</si>
  <si>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</si>
  <si>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</si>
  <si>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</si>
  <si>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</si>
  <si>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</si>
  <si>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</si>
  <si>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</si>
  <si>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</si>
  <si>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</si>
  <si>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</si>
  <si>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</si>
  <si>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</si>
  <si>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</si>
  <si>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</si>
  <si>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</si>
  <si>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</si>
  <si>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</si>
  <si>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</si>
  <si>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</si>
  <si>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</si>
  <si>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</si>
  <si>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</si>
  <si>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</si>
  <si>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</si>
  <si>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</si>
  <si>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</si>
  <si>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</si>
  <si>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</si>
  <si>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</si>
  <si>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</si>
  <si>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</si>
  <si>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</si>
  <si>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</si>
  <si>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</si>
  <si>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</si>
  <si>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</si>
  <si>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</si>
  <si>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</si>
  <si>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</si>
  <si>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</si>
  <si>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</si>
  <si>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</si>
  <si>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</si>
  <si>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</si>
  <si>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</si>
  <si>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</si>
  <si>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</si>
  <si>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</si>
  <si>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</si>
  <si>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</si>
  <si>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</si>
  <si>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</si>
  <si>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</si>
  <si>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</si>
  <si>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</si>
  <si>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</si>
  <si>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</si>
  <si>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</si>
  <si>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</si>
  <si>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</si>
  <si>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</si>
  <si>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</si>
  <si>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</si>
  <si>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</si>
  <si>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</si>
  <si>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</si>
  <si>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</si>
  <si>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</si>
  <si>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</si>
  <si>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</si>
  <si>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</si>
  <si>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</si>
  <si>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</si>
  <si>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</si>
  <si>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</si>
  <si>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</si>
  <si>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</si>
  <si>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</si>
  <si>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</si>
  <si>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</si>
  <si>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</si>
  <si>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</si>
  <si>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</si>
  <si>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</si>
  <si>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</si>
  <si>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</si>
  <si>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</si>
  <si>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</si>
  <si>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</si>
  <si>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</si>
  <si>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</si>
  <si>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</si>
  <si>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</si>
  <si>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</si>
  <si>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</si>
  <si>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</si>
  <si>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</si>
  <si>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</si>
  <si>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</si>
  <si>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</si>
  <si>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</si>
  <si>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</si>
  <si>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</si>
  <si>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</si>
  <si>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</si>
  <si>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</si>
  <si>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</si>
  <si>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</si>
  <si>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</si>
  <si>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</si>
  <si>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</si>
  <si>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</si>
  <si>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</si>
  <si>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</si>
  <si>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</si>
  <si>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</si>
  <si>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</si>
  <si>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</si>
  <si>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</si>
  <si>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</si>
  <si>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</si>
  <si>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</si>
  <si>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</si>
  <si>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</si>
  <si>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</si>
  <si>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</si>
  <si>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</si>
  <si>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</si>
  <si>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</si>
  <si>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</si>
  <si>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</si>
  <si>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</si>
  <si>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</si>
  <si>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</si>
  <si>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</si>
  <si>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</si>
  <si>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</si>
  <si>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</si>
  <si>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</si>
  <si>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</si>
  <si>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</si>
  <si>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</si>
  <si>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</si>
  <si>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</si>
  <si>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</si>
  <si>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</si>
  <si>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</si>
  <si>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</si>
  <si>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</si>
  <si>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</si>
  <si>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</si>
  <si>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</si>
  <si>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</si>
  <si>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</si>
  <si>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</si>
  <si>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</si>
  <si>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</si>
  <si>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</si>
  <si>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</si>
  <si>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</si>
  <si>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</si>
  <si>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</si>
  <si>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</si>
  <si>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</si>
  <si>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</si>
  <si>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</si>
  <si>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</si>
  <si>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</si>
  <si>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</si>
  <si>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</si>
  <si>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</si>
  <si>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</si>
  <si>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</si>
  <si>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</si>
  <si>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</si>
  <si>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</si>
  <si>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</si>
  <si>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</si>
  <si>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</si>
  <si>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</si>
  <si>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</si>
  <si>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</si>
  <si>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</si>
  <si>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</si>
  <si>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</si>
  <si>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</si>
  <si>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</si>
  <si>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</si>
  <si>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</si>
  <si>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</si>
  <si>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</si>
  <si>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</si>
  <si>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</si>
  <si>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</si>
  <si>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</si>
  <si>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</si>
  <si>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</si>
  <si>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</si>
  <si>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</si>
  <si>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</si>
  <si>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</si>
  <si>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</si>
  <si>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</si>
  <si>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</si>
  <si>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</si>
  <si>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</si>
  <si>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</si>
  <si>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</si>
  <si>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</si>
  <si>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</si>
  <si>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</si>
  <si>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</si>
  <si>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</si>
  <si>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</si>
  <si>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</si>
  <si>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</si>
  <si>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</si>
  <si>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</si>
  <si>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</si>
  <si>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</si>
  <si>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</si>
  <si>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</si>
  <si>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</si>
  <si>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</si>
  <si>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</si>
  <si>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</si>
  <si>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</si>
  <si>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</si>
  <si>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</si>
  <si>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</si>
  <si>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</si>
  <si>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</si>
  <si>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</si>
  <si>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</si>
  <si>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</si>
  <si>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</si>
  <si>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</si>
  <si>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</si>
  <si>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</si>
  <si>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</si>
  <si>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</si>
  <si>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</si>
  <si>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</si>
  <si>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</si>
  <si>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</si>
  <si>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</si>
  <si>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</si>
  <si>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</si>
  <si>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</si>
  <si>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</si>
  <si>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</si>
  <si>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</si>
  <si>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</si>
  <si>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</si>
  <si>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</si>
  <si>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</si>
  <si>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</si>
  <si>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</si>
  <si>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</si>
  <si>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</si>
  <si>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</si>
  <si>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</si>
  <si>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</si>
  <si>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</si>
  <si>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</si>
  <si>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</si>
  <si>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</si>
  <si>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</si>
  <si>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</si>
  <si>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</si>
  <si>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</si>
  <si>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</si>
  <si>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</si>
  <si>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</si>
  <si>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</si>
  <si>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</si>
  <si>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</si>
  <si>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</si>
  <si>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</si>
  <si>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</si>
  <si>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</si>
  <si>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</si>
  <si>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</si>
  <si>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</si>
  <si>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</si>
  <si>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</si>
  <si>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</si>
  <si>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</si>
  <si>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</si>
  <si>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</si>
  <si>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</si>
  <si>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</si>
  <si>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</si>
  <si>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</si>
  <si>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</si>
  <si>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</si>
  <si>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</si>
  <si>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</si>
  <si>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</si>
  <si>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</si>
  <si>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</si>
  <si>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</si>
  <si>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</si>
  <si>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</si>
  <si>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</si>
  <si>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</si>
  <si>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</si>
  <si>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</si>
  <si>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</si>
  <si>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</si>
  <si>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</si>
  <si>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</si>
  <si>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</si>
  <si>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</si>
  <si>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</si>
  <si>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</si>
  <si>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</si>
  <si>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</si>
  <si>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</si>
  <si>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</si>
  <si>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</si>
  <si>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</si>
  <si>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</si>
  <si>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</si>
  <si>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</si>
  <si>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</si>
  <si>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</si>
  <si>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</si>
  <si>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</si>
  <si>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</si>
  <si>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</si>
  <si>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</si>
  <si>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</si>
  <si>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</si>
  <si>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</si>
  <si>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</si>
  <si>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</si>
  <si>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</si>
  <si>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</si>
  <si>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</si>
  <si>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</si>
  <si>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</si>
  <si>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</si>
  <si>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</si>
  <si>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</si>
  <si>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</si>
  <si>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</si>
  <si>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</si>
  <si>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</si>
  <si>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</si>
  <si>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</si>
  <si>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</si>
  <si>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</si>
  <si>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</si>
  <si>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</si>
  <si>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</si>
  <si>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</si>
  <si>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</si>
  <si>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</si>
  <si>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</si>
  <si>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</si>
  <si>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</si>
  <si>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</si>
  <si>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</si>
  <si>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</si>
  <si>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</si>
  <si>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</si>
  <si>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</si>
  <si>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</si>
  <si>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</si>
  <si>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</si>
  <si>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</si>
  <si>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</si>
  <si>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</si>
  <si>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</si>
  <si>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</si>
  <si>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</si>
  <si>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</si>
  <si>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</si>
  <si>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</si>
  <si>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</si>
  <si>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</si>
  <si>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</si>
  <si>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</si>
  <si>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</si>
  <si>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</si>
  <si>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</si>
  <si>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</si>
  <si>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</si>
  <si>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</si>
  <si>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</si>
  <si>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</si>
  <si>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</si>
  <si>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</si>
  <si>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</si>
  <si>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</si>
  <si>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</si>
  <si>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</si>
  <si>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</si>
  <si>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</si>
  <si>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</si>
  <si>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</si>
  <si>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</si>
  <si>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</si>
  <si>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</si>
  <si>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</si>
  <si>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</si>
  <si>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</si>
  <si>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</si>
  <si>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</si>
  <si>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</si>
  <si>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</si>
  <si>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</si>
  <si>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</si>
  <si>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</si>
  <si>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</si>
  <si>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</si>
  <si>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</si>
  <si>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</si>
  <si>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</si>
  <si>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</si>
  <si>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</si>
  <si>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</si>
  <si>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</si>
  <si>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</si>
  <si>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</si>
  <si>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</si>
  <si>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</si>
  <si>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</si>
  <si>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</si>
  <si>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</si>
  <si>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</si>
  <si>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</si>
  <si>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</si>
  <si>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</si>
  <si>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</si>
  <si>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</si>
  <si>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</si>
  <si>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</si>
  <si>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</si>
  <si>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</si>
  <si>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</si>
  <si>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</si>
  <si>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</si>
  <si>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</si>
  <si>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</si>
  <si>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</si>
  <si>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</si>
  <si>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</si>
  <si>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</si>
  <si>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</si>
  <si>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</si>
  <si>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</si>
  <si>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</si>
  <si>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</si>
  <si>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</si>
  <si>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</si>
  <si>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</si>
  <si>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</si>
  <si>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</si>
  <si>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</si>
  <si>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</si>
  <si>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</si>
  <si>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</si>
  <si>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</si>
  <si>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</si>
  <si>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</si>
  <si>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</si>
  <si>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</si>
  <si>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</si>
  <si>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</si>
  <si>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</si>
  <si>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</si>
  <si>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</si>
  <si>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</si>
  <si>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</si>
  <si>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</si>
  <si>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</si>
  <si>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</si>
  <si>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</si>
  <si>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</si>
  <si>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</si>
  <si>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</si>
  <si>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</si>
  <si>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</si>
  <si>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</si>
  <si>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</si>
  <si>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</si>
  <si>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</si>
  <si>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</si>
  <si>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</si>
  <si>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</si>
  <si>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</si>
  <si>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</si>
  <si>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</si>
  <si>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</si>
  <si>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</si>
  <si>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</si>
  <si>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</si>
  <si>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</si>
  <si>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</si>
  <si>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</si>
  <si>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</si>
  <si>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</si>
  <si>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</si>
  <si>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</si>
  <si>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</si>
  <si>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</si>
  <si>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</si>
  <si>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</si>
  <si>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</si>
  <si>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</si>
  <si>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</si>
  <si>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</si>
  <si>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</si>
  <si>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</si>
  <si>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</si>
  <si>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</si>
  <si>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</si>
  <si>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</si>
  <si>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</si>
  <si>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</si>
  <si>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</si>
  <si>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</si>
  <si>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</si>
  <si>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</si>
  <si>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</si>
  <si>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</si>
  <si>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</si>
  <si>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</si>
  <si>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</si>
  <si>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</si>
  <si>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</si>
  <si>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</si>
  <si>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</si>
  <si>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</si>
  <si>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</si>
  <si>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</si>
  <si>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</si>
  <si>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</si>
  <si>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</si>
  <si>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</si>
  <si>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</si>
  <si>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</si>
  <si>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</si>
  <si>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</si>
  <si>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</si>
  <si>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</si>
  <si>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</si>
  <si>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</si>
  <si>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</si>
  <si>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</si>
  <si>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</si>
  <si>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</si>
  <si>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</si>
  <si>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</si>
  <si>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</si>
  <si>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</si>
  <si>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</si>
  <si>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</si>
  <si>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</si>
  <si>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</si>
  <si>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</si>
  <si>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</si>
  <si>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</si>
  <si>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</si>
  <si>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</si>
  <si>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</si>
  <si>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</si>
  <si>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</si>
  <si>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</si>
  <si>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</si>
  <si>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</si>
  <si>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</si>
  <si>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</si>
  <si>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</si>
  <si>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</si>
  <si>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</si>
  <si>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</si>
  <si>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</si>
  <si>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</si>
  <si>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</si>
  <si>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</si>
  <si>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</si>
  <si>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</si>
  <si>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</si>
  <si>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</si>
  <si>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</si>
  <si>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</si>
  <si>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</si>
  <si>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</si>
  <si>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</si>
  <si>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</si>
  <si>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</si>
  <si>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</si>
  <si>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</si>
  <si>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</si>
  <si>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</si>
  <si>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</si>
  <si>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</si>
  <si>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</si>
  <si>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</si>
  <si>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</si>
  <si>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</si>
  <si>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</si>
  <si>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</si>
  <si>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</si>
  <si>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</si>
  <si>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</si>
  <si>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</si>
  <si>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</si>
  <si>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</si>
  <si>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</si>
  <si>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</si>
  <si>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</si>
  <si>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</si>
  <si>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</si>
  <si>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</si>
  <si>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</si>
  <si>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</si>
  <si>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</si>
  <si>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</si>
  <si>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</si>
  <si>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</si>
  <si>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</si>
  <si>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</si>
  <si>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</si>
  <si>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</si>
  <si>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</si>
  <si>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</si>
  <si>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</si>
  <si>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</si>
  <si>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</si>
  <si>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</si>
  <si>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</si>
  <si>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</si>
  <si>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</si>
  <si>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</si>
  <si>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</si>
  <si>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</si>
  <si>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</si>
  <si>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</si>
  <si>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</si>
  <si>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</si>
  <si>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</si>
  <si>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</si>
  <si>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</si>
  <si>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</si>
  <si>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</si>
  <si>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</si>
  <si>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</si>
  <si>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</si>
  <si>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</si>
  <si>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</si>
  <si>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</si>
  <si>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</si>
  <si>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</si>
  <si>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</si>
  <si>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</si>
  <si>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</si>
  <si>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</si>
  <si>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</si>
  <si>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</si>
  <si>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</si>
  <si>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</si>
  <si>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</si>
  <si>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</si>
  <si>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</si>
  <si>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</si>
  <si>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</si>
  <si>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</si>
  <si>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</si>
  <si>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</si>
  <si>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</si>
  <si>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</si>
  <si>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</si>
  <si>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</si>
  <si>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</si>
  <si>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</si>
  <si>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</si>
  <si>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</si>
  <si>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</si>
  <si>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</si>
  <si>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</si>
  <si>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</si>
  <si>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</si>
  <si>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</si>
  <si>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</si>
  <si>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</si>
  <si>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</si>
  <si>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</si>
  <si>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</si>
  <si>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</si>
  <si>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</si>
  <si>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</si>
  <si>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</si>
  <si>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</si>
  <si>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</si>
  <si>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</si>
  <si>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</si>
  <si>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</si>
  <si>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</si>
  <si>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</si>
  <si>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</si>
  <si>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</si>
  <si>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</si>
  <si>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</si>
  <si>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</si>
  <si>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</si>
  <si>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</si>
  <si>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</si>
  <si>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</si>
  <si>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</si>
  <si>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</si>
  <si>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</si>
  <si>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</si>
  <si>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</si>
  <si>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</si>
  <si>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</si>
  <si>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</si>
  <si>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</si>
  <si>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</si>
  <si>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</si>
  <si>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</si>
  <si>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</si>
  <si>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</si>
  <si>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</si>
  <si>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</si>
  <si>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</si>
  <si>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</si>
  <si>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</si>
  <si>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</si>
  <si>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</si>
  <si>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</si>
  <si>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</si>
  <si>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</si>
  <si>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</si>
  <si>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</si>
  <si>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</si>
  <si>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</si>
  <si>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</si>
  <si>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</si>
  <si>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</si>
  <si>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</si>
  <si>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</si>
  <si>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</si>
  <si>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</si>
  <si>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</si>
  <si>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</si>
  <si>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</si>
  <si>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</si>
  <si>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</si>
  <si>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</si>
  <si>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</si>
  <si>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</si>
  <si>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</si>
  <si>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</si>
  <si>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</si>
  <si>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</si>
  <si>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</si>
  <si>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</si>
  <si>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</si>
  <si>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</si>
  <si>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</si>
  <si>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</si>
  <si>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</si>
  <si>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</si>
  <si>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</si>
  <si>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</si>
  <si>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</si>
  <si>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</si>
  <si>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</si>
  <si>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</si>
  <si>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</si>
  <si>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</si>
  <si>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</si>
  <si>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</si>
  <si>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</si>
  <si>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</si>
  <si>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</si>
  <si>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</si>
  <si>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</si>
  <si>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</si>
  <si>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</si>
  <si>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</si>
  <si>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</si>
  <si>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</si>
  <si>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</si>
  <si>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</si>
  <si>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</si>
  <si>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</si>
  <si>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</si>
  <si>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</si>
  <si>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</si>
  <si>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</si>
  <si>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</si>
  <si>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</si>
  <si>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</si>
  <si>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</si>
  <si>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</si>
  <si>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</si>
  <si>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</si>
  <si>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</si>
  <si>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</si>
  <si>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</si>
  <si>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</si>
  <si>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</si>
  <si>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</si>
  <si>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</si>
  <si>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</si>
  <si>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</si>
  <si>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</si>
  <si>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</si>
  <si>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</si>
  <si>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</si>
  <si>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</si>
  <si>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</si>
  <si>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</si>
  <si>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</si>
  <si>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</si>
  <si>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</si>
  <si>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</si>
  <si>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</si>
  <si>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</si>
  <si>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</si>
  <si>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</si>
  <si>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</si>
  <si>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</si>
  <si>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</si>
  <si>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</si>
  <si>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</si>
  <si>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</si>
  <si>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</si>
  <si>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</si>
  <si>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</si>
  <si>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</si>
  <si>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</si>
  <si>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</si>
  <si>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</si>
  <si>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</si>
  <si>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</si>
  <si>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</si>
  <si>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</si>
  <si>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</si>
  <si>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</si>
  <si>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</si>
  <si>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</si>
  <si>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</si>
  <si>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</si>
  <si>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</si>
  <si>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</si>
  <si>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</si>
  <si>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</si>
  <si>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</si>
  <si>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</si>
  <si>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</si>
  <si>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</si>
  <si>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</si>
  <si>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</si>
  <si>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</si>
  <si>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</si>
  <si>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</si>
  <si>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</si>
  <si>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</si>
  <si>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</si>
  <si>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</si>
  <si>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</si>
  <si>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</si>
  <si>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</si>
  <si>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</si>
  <si>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</si>
  <si>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</si>
  <si>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</si>
  <si>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</si>
  <si>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</si>
  <si>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</si>
  <si>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</si>
  <si>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</si>
  <si>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</si>
  <si>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</si>
  <si>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</si>
  <si>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</si>
  <si>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</si>
  <si>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</si>
  <si>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</si>
  <si>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</si>
  <si>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</si>
  <si>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</si>
  <si>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</si>
  <si>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</si>
  <si>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</si>
  <si>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</si>
  <si>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</si>
  <si>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</si>
  <si>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</si>
  <si>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</si>
  <si>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</si>
  <si>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</si>
  <si>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</si>
  <si>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</si>
  <si>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</si>
  <si>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</si>
  <si>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</si>
  <si>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</si>
  <si>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</si>
  <si>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</si>
  <si>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</si>
  <si>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</si>
  <si>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</si>
  <si>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</si>
  <si>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</si>
  <si>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</si>
  <si>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</si>
  <si>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</si>
  <si>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</si>
  <si>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</si>
  <si>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</si>
  <si>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</si>
  <si>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</si>
  <si>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</si>
  <si>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</si>
  <si>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</si>
  <si>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</si>
  <si>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</si>
  <si>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</si>
  <si>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</si>
  <si>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</si>
  <si>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</si>
  <si>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</si>
  <si>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</si>
  <si>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</si>
  <si>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</si>
  <si>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</si>
  <si>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</si>
  <si>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</si>
  <si>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</si>
  <si>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</si>
  <si>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</si>
  <si>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</si>
  <si>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</si>
  <si>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</si>
  <si>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</si>
  <si>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</si>
  <si>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</si>
  <si>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</si>
  <si>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</si>
  <si>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</si>
  <si>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</si>
  <si>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</si>
  <si>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</si>
  <si>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</si>
  <si>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</si>
  <si>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</si>
  <si>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</si>
  <si>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</si>
  <si>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</si>
  <si>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</si>
  <si>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</si>
  <si>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</si>
  <si>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</si>
  <si>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</si>
  <si>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</si>
  <si>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</si>
  <si>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</si>
  <si>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</si>
  <si>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</si>
  <si>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</si>
  <si>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</si>
  <si>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</si>
  <si>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</si>
  <si>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</si>
  <si>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</si>
  <si>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</si>
  <si>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</si>
  <si>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</si>
  <si>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</si>
  <si>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</si>
  <si>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</si>
  <si>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</si>
  <si>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</si>
  <si>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</si>
  <si>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</si>
  <si>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</si>
  <si>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</si>
  <si>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</si>
  <si>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</si>
  <si>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</si>
  <si>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</si>
  <si>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</si>
  <si>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</si>
  <si>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</si>
  <si>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</si>
  <si>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</si>
  <si>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</si>
  <si>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</si>
  <si>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</si>
  <si>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</si>
  <si>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</si>
  <si>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</si>
  <si>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</si>
  <si>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</si>
  <si>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</si>
  <si>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</si>
  <si>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</si>
  <si>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</si>
  <si>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</si>
  <si>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</si>
  <si>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</si>
  <si>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</si>
  <si>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</si>
  <si>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</si>
  <si>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</si>
  <si>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</si>
  <si>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</si>
  <si>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</si>
  <si>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</si>
  <si>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</si>
  <si>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</si>
  <si>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</si>
  <si>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</si>
  <si>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</si>
  <si>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</si>
  <si>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</si>
  <si>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</si>
  <si>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</si>
  <si>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</si>
  <si>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</si>
  <si>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</si>
  <si>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</si>
  <si>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</si>
  <si>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</si>
  <si>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</si>
  <si>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</si>
  <si>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</si>
  <si>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</si>
  <si>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</si>
  <si>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</si>
  <si>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</si>
  <si>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</si>
  <si>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</si>
  <si>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</si>
  <si>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</si>
  <si>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</si>
  <si>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</si>
  <si>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</si>
  <si>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</si>
  <si>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</si>
  <si>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</si>
  <si>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</si>
  <si>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</si>
  <si>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</si>
  <si>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</si>
  <si>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</si>
  <si>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</si>
  <si>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</si>
  <si>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</si>
  <si>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</si>
  <si>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</si>
  <si>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</si>
  <si>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</si>
  <si>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</si>
  <si>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</si>
  <si>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</si>
  <si>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</si>
  <si>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</si>
  <si>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</si>
  <si>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</si>
  <si>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</si>
  <si>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</si>
  <si>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</si>
  <si>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</si>
  <si>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</si>
  <si>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</si>
  <si>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</si>
  <si>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</si>
  <si>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</si>
  <si>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</si>
  <si>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</si>
  <si>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</si>
  <si>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</si>
  <si>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</si>
  <si>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</si>
  <si>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</si>
  <si>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</si>
  <si>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</si>
  <si>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</si>
  <si>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</si>
  <si>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</si>
  <si>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</si>
  <si>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</si>
  <si>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</si>
  <si>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</si>
  <si>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</si>
  <si>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</si>
  <si>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</si>
  <si>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</si>
  <si>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</si>
  <si>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</si>
  <si>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</si>
  <si>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</si>
  <si>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</si>
  <si>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</si>
  <si>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</si>
  <si>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</si>
  <si>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</si>
  <si>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</si>
  <si>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</si>
  <si>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</si>
  <si>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</si>
  <si>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</si>
  <si>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</si>
  <si>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</si>
  <si>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</si>
  <si>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</si>
  <si>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</si>
  <si>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</si>
  <si>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</si>
  <si>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</si>
  <si>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</si>
  <si>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</si>
  <si>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</si>
  <si>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</si>
  <si>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</si>
  <si>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</si>
  <si>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</si>
  <si>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</si>
  <si>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</si>
  <si>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</si>
  <si>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</si>
  <si>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</si>
  <si>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</si>
  <si>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</si>
  <si>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</si>
  <si>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</si>
  <si>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</si>
  <si>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</si>
  <si>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</si>
  <si>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</si>
  <si>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</si>
  <si>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</si>
  <si>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</si>
  <si>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</si>
  <si>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</si>
  <si>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</si>
  <si>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</si>
  <si>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</si>
  <si>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</si>
  <si>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</si>
  <si>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</si>
  <si>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</si>
  <si>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</si>
  <si>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</si>
  <si>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</si>
  <si>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</si>
  <si>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</si>
  <si>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</si>
  <si>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</si>
  <si>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</si>
  <si>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</si>
  <si>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</si>
  <si>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</si>
  <si>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</si>
  <si>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</si>
  <si>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</si>
  <si>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</si>
  <si>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</si>
  <si>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</si>
  <si>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</si>
  <si>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</si>
  <si>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</si>
  <si>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</si>
  <si>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</si>
  <si>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</si>
  <si>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</si>
  <si>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</si>
  <si>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</si>
  <si>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</si>
  <si>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</si>
  <si>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</si>
  <si>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</si>
  <si>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</si>
  <si>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</si>
  <si>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</si>
  <si>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</si>
  <si>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</si>
  <si>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</si>
  <si>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</si>
  <si>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</si>
  <si>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</si>
  <si>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</si>
  <si>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</si>
  <si>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</si>
  <si>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</si>
  <si>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</si>
  <si>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</si>
  <si>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</si>
  <si>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</si>
  <si>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</si>
  <si>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</si>
  <si>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</si>
  <si>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</si>
  <si>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</si>
  <si>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</si>
  <si>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</si>
  <si>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</si>
  <si>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</si>
  <si>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</si>
  <si>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</si>
  <si>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</si>
  <si>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</si>
  <si>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</si>
  <si>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</si>
  <si>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</si>
  <si>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</si>
  <si>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</si>
  <si>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</si>
  <si>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</si>
  <si>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</si>
  <si>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</si>
  <si>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</si>
  <si>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</si>
  <si>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</si>
  <si>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</si>
  <si>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</si>
  <si>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</si>
  <si>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</si>
  <si>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</si>
  <si>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</si>
  <si>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</si>
  <si>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</si>
  <si>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</si>
  <si>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</si>
  <si>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</si>
  <si>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</si>
  <si>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</si>
  <si>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</si>
  <si>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</si>
  <si>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</si>
  <si>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</si>
  <si>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</si>
  <si>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</si>
  <si>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</si>
  <si>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</si>
  <si>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</si>
  <si>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</si>
  <si>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</si>
  <si>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</si>
  <si>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</si>
  <si>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</si>
  <si>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</si>
  <si>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</si>
  <si>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</si>
  <si>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</si>
  <si>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</si>
  <si>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</si>
  <si>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</si>
  <si>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</si>
  <si>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</si>
  <si>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</si>
  <si>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</si>
  <si>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</si>
  <si>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</si>
  <si>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</si>
  <si>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</si>
  <si>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</si>
  <si>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</si>
  <si>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</si>
  <si>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</si>
  <si>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</si>
  <si>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</si>
  <si>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</si>
  <si>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</si>
  <si>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</si>
  <si>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</si>
  <si>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</si>
  <si>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</si>
  <si>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</si>
  <si>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</si>
  <si>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</si>
  <si>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</si>
  <si>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</si>
  <si>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</si>
  <si>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</si>
  <si>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</si>
  <si>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</si>
  <si>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</si>
  <si>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</si>
  <si>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</si>
  <si>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</si>
  <si>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</si>
  <si>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</si>
  <si>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</si>
  <si>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</si>
  <si>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</si>
  <si>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</si>
  <si>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</si>
  <si>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</si>
  <si>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</si>
  <si>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</si>
  <si>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</si>
  <si>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</si>
  <si>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</si>
  <si>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</si>
  <si>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</si>
  <si>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</si>
  <si>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</si>
  <si>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</si>
  <si>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</si>
  <si>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</si>
  <si>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</si>
  <si>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</si>
  <si>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</si>
  <si>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</si>
  <si>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</si>
  <si>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</si>
  <si>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</si>
  <si>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</si>
  <si>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</si>
  <si>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</si>
  <si>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</si>
  <si>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</si>
  <si>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</si>
  <si>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</si>
  <si>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</si>
  <si>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</si>
  <si>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</si>
  <si>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</si>
  <si>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</si>
  <si>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</si>
  <si>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</si>
  <si>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</si>
  <si>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</si>
  <si>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</si>
  <si>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</si>
  <si>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</si>
  <si>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</si>
  <si>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</si>
  <si>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</si>
  <si>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</si>
  <si>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</si>
  <si>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</si>
  <si>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</si>
  <si>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</si>
  <si>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</si>
  <si>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</si>
  <si>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</si>
  <si>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</si>
  <si>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</si>
  <si>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</si>
  <si>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</si>
  <si>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</si>
  <si>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</si>
  <si>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</si>
  <si>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</si>
  <si>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</si>
  <si>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</si>
  <si>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</si>
  <si>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</si>
  <si>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</si>
  <si>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</si>
  <si>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</si>
  <si>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</si>
  <si>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</si>
  <si>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</si>
  <si>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</si>
  <si>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</si>
  <si>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</si>
  <si>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</si>
  <si>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</si>
  <si>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</si>
  <si>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</si>
  <si>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</si>
  <si>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</si>
  <si>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</si>
  <si>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</si>
  <si>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</si>
  <si>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</si>
  <si>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</si>
  <si>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</si>
  <si>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</si>
  <si>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</si>
  <si>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</si>
  <si>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</si>
  <si>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</si>
  <si>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</si>
  <si>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</si>
  <si>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</si>
  <si>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</si>
  <si>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</si>
  <si>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</si>
  <si>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</si>
  <si>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</si>
  <si>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</si>
  <si>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</si>
  <si>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</si>
  <si>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</si>
  <si>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</si>
  <si>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</si>
  <si>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</si>
  <si>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</si>
  <si>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</si>
  <si>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</si>
  <si>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</si>
  <si>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</si>
  <si>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</si>
  <si>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</si>
  <si>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</si>
  <si>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</si>
  <si>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</si>
  <si>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</si>
  <si>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</si>
  <si>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</si>
  <si>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</si>
  <si>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</si>
  <si>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</si>
  <si>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</si>
  <si>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</si>
  <si>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</si>
  <si>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</si>
  <si>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</si>
  <si>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</si>
  <si>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</si>
  <si>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</si>
  <si>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</si>
  <si>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</si>
  <si>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</si>
  <si>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</si>
  <si>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</si>
  <si>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</si>
  <si>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</si>
  <si>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</si>
  <si>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</si>
  <si>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</si>
  <si>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</si>
  <si>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</si>
  <si>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</si>
  <si>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</si>
  <si>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</si>
  <si>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</si>
  <si>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</si>
  <si>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</si>
  <si>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</si>
  <si>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</si>
  <si>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</si>
  <si>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</si>
  <si>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</si>
  <si>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</si>
  <si>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</si>
  <si>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</si>
  <si>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</si>
  <si>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</si>
  <si>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</si>
  <si>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</si>
  <si>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</si>
  <si>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</si>
  <si>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</si>
  <si>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</si>
  <si>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</si>
  <si>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</si>
  <si>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</si>
  <si>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</si>
  <si>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</si>
  <si>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</si>
  <si>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</si>
  <si>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</si>
  <si>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</si>
  <si>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</si>
  <si>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</si>
  <si>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</si>
  <si>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</si>
  <si>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</si>
  <si>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</si>
  <si>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</si>
  <si>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</si>
  <si>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</si>
  <si>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</si>
  <si>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</si>
  <si>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</si>
  <si>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</si>
  <si>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</si>
  <si>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</si>
  <si>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</si>
  <si>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</si>
  <si>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</si>
  <si>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</si>
  <si>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</si>
  <si>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</si>
  <si>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</si>
  <si>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</si>
  <si>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</si>
  <si>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</si>
  <si>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</si>
  <si>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</si>
  <si>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</si>
  <si>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</si>
  <si>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</si>
  <si>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</si>
  <si>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</si>
  <si>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</si>
  <si>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</si>
  <si>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</si>
  <si>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</si>
  <si>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</si>
  <si>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</si>
  <si>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</si>
  <si>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</si>
  <si>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</si>
  <si>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</si>
  <si>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</si>
  <si>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</si>
  <si>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</si>
  <si>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</si>
  <si>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</si>
  <si>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</si>
  <si>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</si>
  <si>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</si>
  <si>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</si>
  <si>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</si>
  <si>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</si>
  <si>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</si>
  <si>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</si>
  <si>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</si>
  <si>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</si>
  <si>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</si>
  <si>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</si>
  <si>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</si>
  <si>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</si>
  <si>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</si>
  <si>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</si>
  <si>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</si>
  <si>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</si>
  <si>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</si>
  <si>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</si>
  <si>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</si>
  <si>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</si>
  <si>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</si>
  <si>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</si>
  <si>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</si>
  <si>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</si>
  <si>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</si>
  <si>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</si>
  <si>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</si>
  <si>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</si>
  <si>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</si>
  <si>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</si>
  <si>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</si>
  <si>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</si>
  <si>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</si>
  <si>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</si>
  <si>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</si>
  <si>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</si>
  <si>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</si>
  <si>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</si>
  <si>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</si>
  <si>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</si>
  <si>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</si>
  <si>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</si>
  <si>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</si>
  <si>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</si>
  <si>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</si>
  <si>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</si>
  <si>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</si>
  <si>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</si>
  <si>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</si>
  <si>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</si>
  <si>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</si>
  <si>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</si>
  <si>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</si>
  <si>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</si>
  <si>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</si>
  <si>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</si>
  <si>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</si>
  <si>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</si>
  <si>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</si>
  <si>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</si>
  <si>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</si>
  <si>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</si>
  <si>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</si>
  <si>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</si>
  <si>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</si>
  <si>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</si>
  <si>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</si>
  <si>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</si>
  <si>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</si>
  <si>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</si>
  <si>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</si>
  <si>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</si>
  <si>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</si>
  <si>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</si>
  <si>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</si>
  <si>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</si>
  <si>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</si>
  <si>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</si>
  <si>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</si>
  <si>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</si>
  <si>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</si>
  <si>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</si>
  <si>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</si>
  <si>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</si>
  <si>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</si>
  <si>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</si>
  <si>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</si>
  <si>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</si>
  <si>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</si>
  <si>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</si>
  <si>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</si>
  <si>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</si>
  <si>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</si>
  <si>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</si>
  <si>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</si>
  <si>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</si>
  <si>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</si>
  <si>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</si>
  <si>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</si>
  <si>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</si>
  <si>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</si>
  <si>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</si>
  <si>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</si>
  <si>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</si>
  <si>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</si>
  <si>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</si>
  <si>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</si>
  <si>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</si>
  <si>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</si>
  <si>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</si>
  <si>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</si>
  <si>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</si>
  <si>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</si>
  <si>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</si>
  <si>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</si>
  <si>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</si>
  <si>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</si>
  <si>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</si>
  <si>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</si>
  <si>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</si>
  <si>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</si>
  <si>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</si>
  <si>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</si>
  <si>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</si>
  <si>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</si>
  <si>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</si>
  <si>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</si>
  <si>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</si>
  <si>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</si>
  <si>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</si>
  <si>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</si>
  <si>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</si>
  <si>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</si>
  <si>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</si>
  <si>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</si>
  <si>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</si>
  <si>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</si>
  <si>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</si>
  <si>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</si>
  <si>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</si>
  <si>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</si>
  <si>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</si>
  <si>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</si>
  <si>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</si>
  <si>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</si>
  <si>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</si>
  <si>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</si>
  <si>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</si>
  <si>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</si>
  <si>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</si>
  <si>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</si>
  <si>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</si>
  <si>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</si>
  <si>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</si>
  <si>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</si>
  <si>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</si>
  <si>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</si>
  <si>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</si>
  <si>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</si>
  <si>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</si>
  <si>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</si>
  <si>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</si>
  <si>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</si>
  <si>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</si>
  <si>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</si>
  <si>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</si>
  <si>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</si>
  <si>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</si>
  <si>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</si>
  <si>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</si>
  <si>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</si>
  <si>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</si>
  <si>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</si>
  <si>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</si>
  <si>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</si>
  <si>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</si>
  <si>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</si>
  <si>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</si>
  <si>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</si>
  <si>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</si>
  <si>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</si>
  <si>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</si>
  <si>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</si>
  <si>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</si>
  <si>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</si>
  <si>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</si>
  <si>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</si>
  <si>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</si>
  <si>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</si>
  <si>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</si>
  <si>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</si>
  <si>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</si>
  <si>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</si>
  <si>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</si>
  <si>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</si>
  <si>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</si>
  <si>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</si>
  <si>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</si>
  <si>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</si>
  <si>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</si>
  <si>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</si>
  <si>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</si>
  <si>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</si>
  <si>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</si>
  <si>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</si>
  <si>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</si>
  <si>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</si>
  <si>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</si>
  <si>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</si>
  <si>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</si>
  <si>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</si>
  <si>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</si>
  <si>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</si>
  <si>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</si>
  <si>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</si>
  <si>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</si>
  <si>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</si>
  <si>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</si>
  <si>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</si>
  <si>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</si>
  <si>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</si>
  <si>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</si>
  <si>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</si>
  <si>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</si>
  <si>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</si>
  <si>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</si>
  <si>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</si>
  <si>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</si>
  <si>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</si>
  <si>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</si>
  <si>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</si>
  <si>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</si>
  <si>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</si>
  <si>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</si>
  <si>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</si>
  <si>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</si>
  <si>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</si>
  <si>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</si>
  <si>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</si>
  <si>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</si>
  <si>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</si>
  <si>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</si>
  <si>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</si>
  <si>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</si>
  <si>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</si>
  <si>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</si>
  <si>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</si>
  <si>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</si>
  <si>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</si>
  <si>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</si>
  <si>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</si>
  <si>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</si>
  <si>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</si>
  <si>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</si>
  <si>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</si>
  <si>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</si>
  <si>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</si>
  <si>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</si>
  <si>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</si>
  <si>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</si>
  <si>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</si>
  <si>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</si>
  <si>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</si>
  <si>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</si>
  <si>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</si>
  <si>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</si>
  <si>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</si>
  <si>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</si>
  <si>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</si>
  <si>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</si>
  <si>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</si>
  <si>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</si>
  <si>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</si>
  <si>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</si>
  <si>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</si>
  <si>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</si>
  <si>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</si>
  <si>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</si>
  <si>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</si>
  <si>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</si>
  <si>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</si>
  <si>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</si>
  <si>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</si>
  <si>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</si>
  <si>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</si>
  <si>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</si>
  <si>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</si>
  <si>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</si>
  <si>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</si>
  <si>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</si>
  <si>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</si>
  <si>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</si>
  <si>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</si>
  <si>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</si>
  <si>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</si>
  <si>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</si>
  <si>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</si>
  <si>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</si>
  <si>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</si>
  <si>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</si>
  <si>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</si>
  <si>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</si>
  <si>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</si>
  <si>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</si>
  <si>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</si>
  <si>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</si>
  <si>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</si>
  <si>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</si>
  <si>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</si>
  <si>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</si>
  <si>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</si>
  <si>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</si>
  <si>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</si>
  <si>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</si>
  <si>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</si>
  <si>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</si>
  <si>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</si>
  <si>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</si>
  <si>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</si>
  <si>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</si>
  <si>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</si>
  <si>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</si>
  <si>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</si>
  <si>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</si>
  <si>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</si>
  <si>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</si>
  <si>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</si>
  <si>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</si>
  <si>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</si>
  <si>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</si>
  <si>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</si>
  <si>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</si>
  <si>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</si>
  <si>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</si>
  <si>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</si>
  <si>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</si>
  <si>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</si>
  <si>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</si>
  <si>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</si>
  <si>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</si>
  <si>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</si>
  <si>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</si>
  <si>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</si>
  <si>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</si>
  <si>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</si>
  <si>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</si>
  <si>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</si>
  <si>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</si>
  <si>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</si>
  <si>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</si>
  <si>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</si>
  <si>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</si>
  <si>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</si>
  <si>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</si>
  <si>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</si>
  <si>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</si>
  <si>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</si>
  <si>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</si>
  <si>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</si>
  <si>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</si>
  <si>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</si>
  <si>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</si>
  <si>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</si>
  <si>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</si>
  <si>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</si>
  <si>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</si>
  <si>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</si>
  <si>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</si>
  <si>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</si>
  <si>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</si>
  <si>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</si>
  <si>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</si>
  <si>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</si>
  <si>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</si>
  <si>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</si>
  <si>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</si>
  <si>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</si>
  <si>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</si>
  <si>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</si>
  <si>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</si>
  <si>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</si>
  <si>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</si>
  <si>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</si>
  <si>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</si>
  <si>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</si>
  <si>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</si>
  <si>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</si>
  <si>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</si>
  <si>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</si>
  <si>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</si>
  <si>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</si>
  <si>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</si>
  <si>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</si>
  <si>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</si>
  <si>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</si>
  <si>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</si>
  <si>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</si>
  <si>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</si>
  <si>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</si>
  <si>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</si>
  <si>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</si>
  <si>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</si>
  <si>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</si>
  <si>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</si>
  <si>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</si>
  <si>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</si>
  <si>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</si>
  <si>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</si>
  <si>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</si>
  <si>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</si>
  <si>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</si>
  <si>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</si>
  <si>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</si>
  <si>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</si>
  <si>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</si>
  <si>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</si>
  <si>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</si>
  <si>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</si>
  <si>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</si>
  <si>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</si>
  <si>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</si>
  <si>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</si>
  <si>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</si>
  <si>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</si>
  <si>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</si>
  <si>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</si>
  <si>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</si>
  <si>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</si>
  <si>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</si>
  <si>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</si>
  <si>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</si>
  <si>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</si>
  <si>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</si>
  <si>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</si>
  <si>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</si>
  <si>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</si>
  <si>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</si>
  <si>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</si>
  <si>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</si>
  <si>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</si>
  <si>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</si>
  <si>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</si>
  <si>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</si>
  <si>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</si>
  <si>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</si>
  <si>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</si>
  <si>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</si>
  <si>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</si>
  <si>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</si>
  <si>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</si>
  <si>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</si>
  <si>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</si>
  <si>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</si>
  <si>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</si>
  <si>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</si>
  <si>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</si>
  <si>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</si>
  <si>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</si>
  <si>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</si>
  <si>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</si>
  <si>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</si>
  <si>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</si>
  <si>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</si>
  <si>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</si>
  <si>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</si>
  <si>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</si>
  <si>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</si>
  <si>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</si>
  <si>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</si>
  <si>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</si>
  <si>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</si>
  <si>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</si>
  <si>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</si>
  <si>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</si>
  <si>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</si>
  <si>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</si>
  <si>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</si>
  <si>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</si>
  <si>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</si>
  <si>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</si>
  <si>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</si>
  <si>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</si>
  <si>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</si>
  <si>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</si>
  <si>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</si>
  <si>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</si>
  <si>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</si>
  <si>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</si>
  <si>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</si>
  <si>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</si>
  <si>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</si>
  <si>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</si>
  <si>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</si>
  <si>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</si>
  <si>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</si>
  <si>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</si>
  <si>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</si>
  <si>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</si>
  <si>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</si>
  <si>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</si>
  <si>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</si>
  <si>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</si>
  <si>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</si>
  <si>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</si>
  <si>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</si>
  <si>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</si>
  <si>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</si>
  <si>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</si>
  <si>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</si>
  <si>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</si>
  <si>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</si>
  <si>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</si>
  <si>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</si>
  <si>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</si>
  <si>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</si>
  <si>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</si>
  <si>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</si>
  <si>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</si>
  <si>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</si>
  <si>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</si>
  <si>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</si>
  <si>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</si>
  <si>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</si>
  <si>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</si>
  <si>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</si>
  <si>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</si>
  <si>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</si>
  <si>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</si>
  <si>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</si>
  <si>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</si>
  <si>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</si>
  <si>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</si>
  <si>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</si>
  <si>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</si>
  <si>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</si>
  <si>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</si>
  <si>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</si>
  <si>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</si>
  <si>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</si>
  <si>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</si>
  <si>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</si>
  <si>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</si>
  <si>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</si>
  <si>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</si>
  <si>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</si>
  <si>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</si>
  <si>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</si>
  <si>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</si>
  <si>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</si>
  <si>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</si>
  <si>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</si>
  <si>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</si>
  <si>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</si>
  <si>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</si>
  <si>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</si>
  <si>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</si>
  <si>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</si>
  <si>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</si>
  <si>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</si>
  <si>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</si>
  <si>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</si>
  <si>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</si>
  <si>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</si>
  <si>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</si>
  <si>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</si>
  <si>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</si>
  <si>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</si>
  <si>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</si>
  <si>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</si>
  <si>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</si>
  <si>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</si>
  <si>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</si>
  <si>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</si>
  <si>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</si>
  <si>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</si>
  <si>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</si>
  <si>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</si>
  <si>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</si>
  <si>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</si>
  <si>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</si>
  <si>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</si>
  <si>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</si>
  <si>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</si>
  <si>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</si>
  <si>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</si>
  <si>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</si>
  <si>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</si>
  <si>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</si>
  <si>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</si>
  <si>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</si>
  <si>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</si>
  <si>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</si>
  <si>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</si>
  <si>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</si>
  <si>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</si>
  <si>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</si>
  <si>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</si>
  <si>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</si>
  <si>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</si>
  <si>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</si>
  <si>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</si>
  <si>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</si>
  <si>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</si>
  <si>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</si>
  <si>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</si>
  <si>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</si>
  <si>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</si>
  <si>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</si>
  <si>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</si>
  <si>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</si>
  <si>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</si>
  <si>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</si>
  <si>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</si>
  <si>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</si>
  <si>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</si>
  <si>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</si>
  <si>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</si>
  <si>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</si>
  <si>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</si>
  <si>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</si>
  <si>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</si>
  <si>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</si>
  <si>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</si>
  <si>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</si>
  <si>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</si>
  <si>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</si>
  <si>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</si>
  <si>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</si>
  <si>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</si>
  <si>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</si>
  <si>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</si>
  <si>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</si>
  <si>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</si>
  <si>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</si>
  <si>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</si>
  <si>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</si>
  <si>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</si>
  <si>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</si>
  <si>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</si>
  <si>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</si>
  <si>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</si>
  <si>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</si>
  <si>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</si>
  <si>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</si>
  <si>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</si>
  <si>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</si>
  <si>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</si>
  <si>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</si>
  <si>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</si>
  <si>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</si>
  <si>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</si>
  <si>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</si>
  <si>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</si>
  <si>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</si>
  <si>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</si>
  <si>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</si>
  <si>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</si>
  <si>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</si>
  <si>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</si>
  <si>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</si>
  <si>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</si>
  <si>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</si>
  <si>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</si>
  <si>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</si>
  <si>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</si>
  <si>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</si>
  <si>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</si>
  <si>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</si>
  <si>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</si>
  <si>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</si>
  <si>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</si>
  <si>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</si>
  <si>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</si>
  <si>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</si>
  <si>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</si>
  <si>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</si>
  <si>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</si>
  <si>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</si>
  <si>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</si>
  <si>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</si>
  <si>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</si>
  <si>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</si>
  <si>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</si>
  <si>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</si>
  <si>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</si>
  <si>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</si>
  <si>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</si>
  <si>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</si>
  <si>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</si>
  <si>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</si>
  <si>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</si>
  <si>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</si>
  <si>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</si>
  <si>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</si>
  <si>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</si>
  <si>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</si>
  <si>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</si>
  <si>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</si>
  <si>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</si>
  <si>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</si>
  <si>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</si>
  <si>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</si>
  <si>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</si>
  <si>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</si>
  <si>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</si>
  <si>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</si>
  <si>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</si>
  <si>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</si>
  <si>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</si>
  <si>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</si>
  <si>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</si>
  <si>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</si>
  <si>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</si>
  <si>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</si>
  <si>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</si>
  <si>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</si>
  <si>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</si>
  <si>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</si>
  <si>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</si>
  <si>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</si>
  <si>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</si>
  <si>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</si>
  <si>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</si>
  <si>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</si>
  <si>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</si>
  <si>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</si>
  <si>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</si>
  <si>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</si>
  <si>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</si>
  <si>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</si>
  <si>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</si>
  <si>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</si>
  <si>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</si>
  <si>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</si>
  <si>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</si>
  <si>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</si>
  <si>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</si>
  <si>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</si>
  <si>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</si>
  <si>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</si>
  <si>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</si>
  <si>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</si>
  <si>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</si>
  <si>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</si>
  <si>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</si>
  <si>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</si>
  <si>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</si>
  <si>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</si>
  <si>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</si>
  <si>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</si>
  <si>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</si>
  <si>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</si>
  <si>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</si>
  <si>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</si>
  <si>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</si>
  <si>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</si>
  <si>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</si>
  <si>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</si>
  <si>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</si>
  <si>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</si>
  <si>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</si>
  <si>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</si>
  <si>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</si>
  <si>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</si>
  <si>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</si>
  <si>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</si>
  <si>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</si>
  <si>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</si>
  <si>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</si>
  <si>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</si>
  <si>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</si>
  <si>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</si>
  <si>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</si>
  <si>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</si>
  <si>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</si>
  <si>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</si>
  <si>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</si>
  <si>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</si>
  <si>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</si>
  <si>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</si>
  <si>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</si>
  <si>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</si>
  <si>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</si>
  <si>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</si>
  <si>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</si>
  <si>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</si>
  <si>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</si>
  <si>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</si>
  <si>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</si>
  <si>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</si>
  <si>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</si>
  <si>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</si>
  <si>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</si>
  <si>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</si>
  <si>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</si>
  <si>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</si>
  <si>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</si>
  <si>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</si>
  <si>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</si>
  <si>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</si>
  <si>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</si>
  <si>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</si>
  <si>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</si>
  <si>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</si>
  <si>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</si>
  <si>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</si>
  <si>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</si>
  <si>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</si>
  <si>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</si>
  <si>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</si>
  <si>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</si>
  <si>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</si>
  <si>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</si>
  <si>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</si>
  <si>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</si>
  <si>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</si>
  <si>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</si>
  <si>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</si>
  <si>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</si>
  <si>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</si>
  <si>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</si>
  <si>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</si>
  <si>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</si>
  <si>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</si>
  <si>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</si>
  <si>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</si>
  <si>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</si>
  <si>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</si>
  <si>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</si>
  <si>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</si>
  <si>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</si>
  <si>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</si>
  <si>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</si>
  <si>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</si>
  <si>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</si>
  <si>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</si>
  <si>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</si>
  <si>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</si>
  <si>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</si>
  <si>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</si>
  <si>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</si>
  <si>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</si>
  <si>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</si>
  <si>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</si>
  <si>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</si>
  <si>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</si>
  <si>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</si>
  <si>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</si>
  <si>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</si>
  <si>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</si>
  <si>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</si>
  <si>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</si>
  <si>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</si>
  <si>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</si>
  <si>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</si>
  <si>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</si>
  <si>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</si>
  <si>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</si>
  <si>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</si>
  <si>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</si>
  <si>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</si>
  <si>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</si>
  <si>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</si>
  <si>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</si>
  <si>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</si>
  <si>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</si>
  <si>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</si>
  <si>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</si>
  <si>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</si>
  <si>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</si>
  <si>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</si>
  <si>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</si>
  <si>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</si>
  <si>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</si>
  <si>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</si>
  <si>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</si>
  <si>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</si>
  <si>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</si>
  <si>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</si>
  <si>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</si>
  <si>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</si>
  <si>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</si>
  <si>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</si>
  <si>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</si>
  <si>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</si>
  <si>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</si>
  <si>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</si>
  <si>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</si>
  <si>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</si>
  <si>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</si>
  <si>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</si>
  <si>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</si>
  <si>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</si>
  <si>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</si>
  <si>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</si>
  <si>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</si>
  <si>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</si>
  <si>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</si>
  <si>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</si>
  <si>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</si>
  <si>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</si>
  <si>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</si>
  <si>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</si>
  <si>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</si>
  <si>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</si>
  <si>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</si>
  <si>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</si>
  <si>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</si>
  <si>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</si>
  <si>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</si>
  <si>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</si>
  <si>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</si>
  <si>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</si>
  <si>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</si>
  <si>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</si>
  <si>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</si>
  <si>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</si>
  <si>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</si>
  <si>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</si>
  <si>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</si>
  <si>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</si>
  <si>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</si>
  <si>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</si>
  <si>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</si>
  <si>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</si>
  <si>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</si>
  <si>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</si>
  <si>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</si>
  <si>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</si>
  <si>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</si>
  <si>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</si>
  <si>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</si>
  <si>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</si>
  <si>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</si>
  <si>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</si>
  <si>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</si>
  <si>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</si>
  <si>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</si>
  <si>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</si>
  <si>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</si>
  <si>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</si>
  <si>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</si>
  <si>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</si>
  <si>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</si>
  <si>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</si>
  <si>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</si>
  <si>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</si>
  <si>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</si>
  <si>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</si>
  <si>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</si>
  <si>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</si>
  <si>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</si>
  <si>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</si>
  <si>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</si>
  <si>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</si>
  <si>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</si>
  <si>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</si>
  <si>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</si>
  <si>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</si>
  <si>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</si>
  <si>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</si>
  <si>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</si>
  <si>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</si>
  <si>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</si>
  <si>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</si>
  <si>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</si>
  <si>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</si>
  <si>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</si>
  <si>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</si>
  <si>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</si>
  <si>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</si>
  <si>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</si>
  <si>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</si>
  <si>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</si>
  <si>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</si>
  <si>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</si>
  <si>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</si>
  <si>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</si>
  <si>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</si>
  <si>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</si>
  <si>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</si>
  <si>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</si>
  <si>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</si>
  <si>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</si>
  <si>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</si>
  <si>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</si>
  <si>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</si>
  <si>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</si>
  <si>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</si>
  <si>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</si>
  <si>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</si>
  <si>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</si>
  <si>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</si>
  <si>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</si>
  <si>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</si>
  <si>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</si>
  <si>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</si>
  <si>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</si>
  <si>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</si>
  <si>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</si>
  <si>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</si>
  <si>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</si>
  <si>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</si>
  <si>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</si>
  <si>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</si>
  <si>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</si>
  <si>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</si>
  <si>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</si>
  <si>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</si>
  <si>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</si>
  <si>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</si>
  <si>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</si>
  <si>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</si>
  <si>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</si>
  <si>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</si>
  <si>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</si>
  <si>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</si>
  <si>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</si>
  <si>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</si>
  <si>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</si>
  <si>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</si>
  <si>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</si>
  <si>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</si>
  <si>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</si>
  <si>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</si>
  <si>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</si>
  <si>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</si>
  <si>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</si>
  <si>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</si>
  <si>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</si>
  <si>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</si>
  <si>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</si>
  <si>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</si>
  <si>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</si>
  <si>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</si>
  <si>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</si>
  <si>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</si>
  <si>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</si>
  <si>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</si>
  <si>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</si>
  <si>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</si>
  <si>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</si>
  <si>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</si>
  <si>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</si>
  <si>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</si>
  <si>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</si>
  <si>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</si>
  <si>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</si>
  <si>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</si>
  <si>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</si>
  <si>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</si>
  <si>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</si>
  <si>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</si>
  <si>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</si>
  <si>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</si>
  <si>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</si>
  <si>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</si>
  <si>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</si>
  <si>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</si>
  <si>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</si>
  <si>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</si>
  <si>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</si>
  <si>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</si>
  <si>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</si>
  <si>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</si>
  <si>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</si>
  <si>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</si>
  <si>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</si>
  <si>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</si>
  <si>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</si>
  <si>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</si>
  <si>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</si>
  <si>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</si>
  <si>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</si>
  <si>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</si>
  <si>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</si>
  <si>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</si>
  <si>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</si>
  <si>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</si>
  <si>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</si>
  <si>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</si>
  <si>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</si>
  <si>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</si>
  <si>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</si>
  <si>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</si>
  <si>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</si>
  <si>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</si>
  <si>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</si>
  <si>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</si>
  <si>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</si>
  <si>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</si>
  <si>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</si>
  <si>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</si>
  <si>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</si>
  <si>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</si>
  <si>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</si>
  <si>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</si>
  <si>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</si>
  <si>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</si>
  <si>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</si>
  <si>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</si>
  <si>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</si>
  <si>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</si>
  <si>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</si>
  <si>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</si>
  <si>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</si>
  <si>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</si>
  <si>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</si>
  <si>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</si>
  <si>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</si>
  <si>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</si>
  <si>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</si>
  <si>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</si>
  <si>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</si>
  <si>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</si>
  <si>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</si>
  <si>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</si>
  <si>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</si>
  <si>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</si>
  <si>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</si>
  <si>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</si>
  <si>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</si>
  <si>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</si>
  <si>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</si>
  <si>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</si>
  <si>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</si>
  <si>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</si>
  <si>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</si>
  <si>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</si>
  <si>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</si>
  <si>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</si>
  <si>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</si>
  <si>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</si>
  <si>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</si>
  <si>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</si>
  <si>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</si>
  <si>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</si>
  <si>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</si>
  <si>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</si>
  <si>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</si>
  <si>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</si>
  <si>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</si>
  <si>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</si>
  <si>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</si>
  <si>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</si>
  <si>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</si>
  <si>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</si>
  <si>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</si>
  <si>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</si>
  <si>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</si>
  <si>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</si>
  <si>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</si>
  <si>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</si>
  <si>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</si>
  <si>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</si>
  <si>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</si>
  <si>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</si>
  <si>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</si>
  <si>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</si>
  <si>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</si>
  <si>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</si>
  <si>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</si>
  <si>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</si>
  <si>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</si>
  <si>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</si>
  <si>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</si>
  <si>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</si>
  <si>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</si>
  <si>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</si>
  <si>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</si>
  <si>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</si>
  <si>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</si>
  <si>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</si>
  <si>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</si>
  <si>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</si>
  <si>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</si>
  <si>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</si>
  <si>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</si>
  <si>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</si>
  <si>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</si>
  <si>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</si>
  <si>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</si>
  <si>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</si>
  <si>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</si>
  <si>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</si>
  <si>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</si>
  <si>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</si>
  <si>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</si>
  <si>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</si>
  <si>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</si>
  <si>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</si>
  <si>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</si>
  <si>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</si>
  <si>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</si>
  <si>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</si>
  <si>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</si>
  <si>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</si>
  <si>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</si>
  <si>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</si>
  <si>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</si>
  <si>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</si>
  <si>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</si>
  <si>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</si>
  <si>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</si>
  <si>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</si>
  <si>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</si>
  <si>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</si>
  <si>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</si>
  <si>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</si>
  <si>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</si>
  <si>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</si>
  <si>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</si>
  <si>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</si>
  <si>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</si>
  <si>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</si>
  <si>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</si>
  <si>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</si>
  <si>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</si>
  <si>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</si>
  <si>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</si>
  <si>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</si>
  <si>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</si>
  <si>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</si>
  <si>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</si>
  <si>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</si>
  <si>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</si>
  <si>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</si>
  <si>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</si>
  <si>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</si>
  <si>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</si>
  <si>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</si>
  <si>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</si>
  <si>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</si>
  <si>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</si>
  <si>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</si>
  <si>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</si>
  <si>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</si>
  <si>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</si>
  <si>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</si>
  <si>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</si>
  <si>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</si>
  <si>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</si>
  <si>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</si>
  <si>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</si>
  <si>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</si>
  <si>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</si>
  <si>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</si>
  <si>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</si>
  <si>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</si>
  <si>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</si>
  <si>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</si>
  <si>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</si>
  <si>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</si>
  <si>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</si>
  <si>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</si>
  <si>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</si>
  <si>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</si>
  <si>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</si>
  <si>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</si>
  <si>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</si>
  <si>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</si>
  <si>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</si>
  <si>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</si>
  <si>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</si>
  <si>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</si>
  <si>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</si>
  <si>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</si>
  <si>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</si>
  <si>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</si>
  <si>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</si>
  <si>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</si>
  <si>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</si>
  <si>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</si>
  <si>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</si>
  <si>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</si>
  <si>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</si>
  <si>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</si>
  <si>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</si>
  <si>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</si>
  <si>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</si>
  <si>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</si>
  <si>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</si>
  <si>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</si>
  <si>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</si>
  <si>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</si>
  <si>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</si>
  <si>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</si>
  <si>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</si>
  <si>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</si>
  <si>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</si>
  <si>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</si>
  <si>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</si>
  <si>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</si>
  <si>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</si>
  <si>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</si>
  <si>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</si>
  <si>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</si>
  <si>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</si>
  <si>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</si>
  <si>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</si>
  <si>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</si>
  <si>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</si>
  <si>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</si>
  <si>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</si>
  <si>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</si>
  <si>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</si>
  <si>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</si>
  <si>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</si>
  <si>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</si>
  <si>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</si>
  <si>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</si>
  <si>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</si>
  <si>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</si>
  <si>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</si>
  <si>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</si>
  <si>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</si>
  <si>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</si>
  <si>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</si>
  <si>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</si>
  <si>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</si>
  <si>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</si>
  <si>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</si>
  <si>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</si>
  <si>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</si>
  <si>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</si>
  <si>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</si>
  <si>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</si>
  <si>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</si>
  <si>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</si>
  <si>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</si>
  <si>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</si>
  <si>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</si>
  <si>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</si>
  <si>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</si>
  <si>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</si>
  <si>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</si>
  <si>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</si>
  <si>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</si>
  <si>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</si>
  <si>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</si>
  <si>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</si>
  <si>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</si>
  <si>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</si>
  <si>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</si>
  <si>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</si>
  <si>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</si>
  <si>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</si>
  <si>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</si>
  <si>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</si>
  <si>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</si>
  <si>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</si>
  <si>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</si>
  <si>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</si>
  <si>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</si>
  <si>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</si>
  <si>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</si>
  <si>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</si>
  <si>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</si>
  <si>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</si>
  <si>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</si>
  <si>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</si>
  <si>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</si>
  <si>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</si>
  <si>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</si>
  <si>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</si>
  <si>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</si>
  <si>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</si>
  <si>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</si>
  <si>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</si>
  <si>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</si>
  <si>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</si>
  <si>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</si>
  <si>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</si>
  <si>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</si>
  <si>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</si>
  <si>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</si>
  <si>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</si>
  <si>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</si>
  <si>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</si>
  <si>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</si>
  <si>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</si>
  <si>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</si>
  <si>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</si>
  <si>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</si>
  <si>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</si>
  <si>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</si>
  <si>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</si>
  <si>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</si>
  <si>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</si>
  <si>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</si>
  <si>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</si>
  <si>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</si>
  <si>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</si>
  <si>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</si>
  <si>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</si>
  <si>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</si>
  <si>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</si>
  <si>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</si>
  <si>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</si>
  <si>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</si>
  <si>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</si>
  <si>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</si>
  <si>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</si>
  <si>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</si>
  <si>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</si>
  <si>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</si>
  <si>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</si>
  <si>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</si>
  <si>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</si>
  <si>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</si>
  <si>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</si>
  <si>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</si>
  <si>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</si>
  <si>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</si>
  <si>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</si>
  <si>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</si>
  <si>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</si>
  <si>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</si>
  <si>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</si>
  <si>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</si>
  <si>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</si>
  <si>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</si>
  <si>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</si>
  <si>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</si>
  <si>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</si>
  <si>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</si>
  <si>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</si>
  <si>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</si>
  <si>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</si>
  <si>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</si>
  <si>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</si>
  <si>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</si>
  <si>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</si>
  <si>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</si>
  <si>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</si>
  <si>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</si>
  <si>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</si>
  <si>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</si>
  <si>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</si>
  <si>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</si>
  <si>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</si>
  <si>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</si>
  <si>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</si>
  <si>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</si>
  <si>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</si>
  <si>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</si>
  <si>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</si>
  <si>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</si>
  <si>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</si>
  <si>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</si>
  <si>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</si>
  <si>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</si>
  <si>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</si>
  <si>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</si>
  <si>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</si>
  <si>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</si>
  <si>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</si>
  <si>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</si>
  <si>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</si>
  <si>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</si>
  <si>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</si>
  <si>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</si>
  <si>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</si>
  <si>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</si>
  <si>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</si>
  <si>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</si>
  <si>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</si>
  <si>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</si>
  <si>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</si>
  <si>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</si>
  <si>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</si>
  <si>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</si>
  <si>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</si>
  <si>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</si>
  <si>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</si>
  <si>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</si>
  <si>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</si>
  <si>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</si>
  <si>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</si>
  <si>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</si>
  <si>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</si>
  <si>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</si>
  <si>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</si>
  <si>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</si>
  <si>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</si>
  <si>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</si>
  <si>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</si>
  <si>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</si>
  <si>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</si>
  <si>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</si>
  <si>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</si>
  <si>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</si>
  <si>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</si>
  <si>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</si>
  <si>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</si>
  <si>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</si>
  <si>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</si>
  <si>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</si>
  <si>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</si>
  <si>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</si>
  <si>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</si>
  <si>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</si>
  <si>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</si>
  <si>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</si>
  <si>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</si>
  <si>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</si>
  <si>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</si>
  <si>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</si>
  <si>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</si>
  <si>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</si>
  <si>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</si>
  <si>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</si>
  <si>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</si>
  <si>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</si>
  <si>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</si>
  <si>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</si>
  <si>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</si>
  <si>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</si>
  <si>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</si>
  <si>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</si>
  <si>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</si>
  <si>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</si>
  <si>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</si>
  <si>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</si>
  <si>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</si>
  <si>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</si>
  <si>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</si>
  <si>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</si>
  <si>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</si>
  <si>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</si>
  <si>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</si>
  <si>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</si>
  <si>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</si>
  <si>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</si>
  <si>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</si>
  <si>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</si>
  <si>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</si>
  <si>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</si>
  <si>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</si>
  <si>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</si>
  <si>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</si>
  <si>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</si>
  <si>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</si>
  <si>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</si>
  <si>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</si>
  <si>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</si>
  <si>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</si>
  <si>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</si>
  <si>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</si>
  <si>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</si>
  <si>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</si>
  <si>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</si>
  <si>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</si>
  <si>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</si>
  <si>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</si>
  <si>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</si>
  <si>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</si>
  <si>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</si>
  <si>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</si>
  <si>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</si>
  <si>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</si>
  <si>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</si>
  <si>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</si>
  <si>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</si>
  <si>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</si>
  <si>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</si>
  <si>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</si>
  <si>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</si>
  <si>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</si>
  <si>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</si>
  <si>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</si>
  <si>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</si>
  <si>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</si>
  <si>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</si>
  <si>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</si>
  <si>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</si>
  <si>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</si>
  <si>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</si>
  <si>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</si>
  <si>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</si>
  <si>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</si>
  <si>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</si>
  <si>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</si>
  <si>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</si>
  <si>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</si>
  <si>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</si>
  <si>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</si>
  <si>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</si>
  <si>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</si>
  <si>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</si>
  <si>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</si>
  <si>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</si>
  <si>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</si>
  <si>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</si>
  <si>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</si>
  <si>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</si>
  <si>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</si>
  <si>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</si>
  <si>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</si>
  <si>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</si>
  <si>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</si>
  <si>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</si>
  <si>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</si>
  <si>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</si>
  <si>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</si>
  <si>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</si>
  <si>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</si>
  <si>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</si>
  <si>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</si>
  <si>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</si>
  <si>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</si>
  <si>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</si>
  <si>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</si>
  <si>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</si>
  <si>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</si>
  <si>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</si>
  <si>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</si>
  <si>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</si>
  <si>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</si>
  <si>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</si>
  <si>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</si>
  <si>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</si>
  <si>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</si>
  <si>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</si>
  <si>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</si>
  <si>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</si>
  <si>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</si>
  <si>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Non-resident household populations N/A</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</si>
  <si>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</si>
  <si>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</si>
  <si>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</si>
  <si>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</si>
  <si>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</si>
  <si>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</si>
  <si>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</si>
  <si>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</si>
  <si>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</si>
  <si>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</si>
  <si>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</si>
  <si>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</si>
  <si>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</si>
  <si>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</si>
  <si>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</si>
  <si>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</si>
  <si>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</si>
  <si>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</si>
  <si>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</si>
  <si>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</si>
  <si>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</si>
  <si>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</si>
  <si>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</si>
  <si>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</si>
  <si>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</si>
  <si>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</si>
  <si>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</si>
  <si>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</si>
  <si>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</si>
  <si>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</si>
  <si>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</si>
  <si>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</si>
  <si>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</si>
  <si>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</si>
  <si>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</si>
  <si>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</si>
  <si>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</si>
  <si>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</si>
  <si>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</si>
  <si>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</si>
  <si>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</si>
  <si>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</si>
  <si>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</si>
  <si>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</si>
  <si>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</si>
  <si>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</si>
  <si>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</si>
  <si>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</si>
  <si>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</si>
  <si>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</si>
  <si>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</si>
  <si>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</si>
  <si>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</si>
  <si>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</si>
  <si>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</si>
  <si>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</si>
  <si>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</si>
  <si>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</si>
  <si>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</si>
  <si>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</si>
  <si>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</si>
  <si>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</si>
  <si>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</si>
  <si>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</si>
  <si>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</si>
  <si>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</si>
  <si>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</si>
  <si>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</si>
  <si>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</si>
  <si>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</si>
  <si>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</si>
  <si>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</si>
  <si>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</si>
  <si>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</si>
  <si>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</si>
  <si>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</si>
  <si>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</si>
  <si>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</si>
  <si>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</si>
  <si>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</si>
  <si>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</si>
  <si>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</si>
  <si>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</si>
  <si>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</si>
  <si>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</si>
  <si>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</si>
  <si>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</si>
  <si>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</si>
  <si>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</si>
  <si>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</si>
  <si>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</si>
  <si>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</si>
  <si>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</si>
  <si>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</si>
  <si>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</si>
  <si>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</si>
  <si>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</si>
  <si>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</si>
  <si>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</si>
  <si>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</si>
  <si>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</si>
  <si>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</si>
  <si>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</si>
  <si>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</si>
  <si>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</si>
  <si>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</si>
  <si>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</si>
  <si>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</si>
  <si>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</si>
  <si>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</si>
  <si>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</si>
  <si>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</si>
  <si>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</si>
  <si>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</si>
  <si>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</si>
  <si>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</si>
  <si>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</si>
  <si>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</si>
  <si>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</si>
  <si>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</si>
  <si>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</si>
  <si>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</si>
  <si>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</si>
  <si>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</si>
  <si>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</si>
  <si>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</si>
  <si>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</si>
  <si>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</si>
  <si>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</si>
  <si>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</si>
  <si>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</si>
  <si>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</si>
  <si>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</si>
  <si>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</si>
  <si>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</si>
  <si>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</si>
  <si>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</si>
  <si>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</si>
  <si>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</si>
  <si>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</si>
  <si>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</si>
  <si>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</si>
  <si>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</si>
  <si>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</si>
  <si>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</si>
  <si>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</si>
  <si>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</si>
  <si>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</si>
  <si>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</si>
  <si>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</si>
  <si>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</si>
  <si>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</si>
  <si>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</si>
  <si>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</si>
  <si>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</si>
  <si>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</si>
  <si>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</si>
  <si>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</si>
  <si>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</si>
  <si>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</si>
  <si>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</si>
  <si>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</si>
  <si>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</si>
  <si>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</si>
  <si>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</si>
  <si>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</si>
  <si>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</si>
  <si>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</si>
  <si>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</si>
  <si>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</si>
  <si>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</si>
  <si>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</si>
  <si>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</si>
  <si>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</si>
  <si>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</si>
  <si>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</si>
  <si>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</si>
  <si>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</si>
  <si>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</si>
  <si>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</si>
  <si>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</si>
  <si>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</si>
  <si>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</si>
  <si>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</si>
  <si>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</si>
  <si>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</si>
  <si>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</si>
  <si>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</si>
  <si>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</si>
  <si>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</si>
  <si>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</si>
  <si>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</si>
  <si>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</si>
  <si>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</si>
  <si>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</si>
  <si>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</si>
  <si>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</si>
  <si>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</si>
  <si>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</si>
  <si>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</si>
  <si>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</si>
  <si>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</si>
  <si>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</si>
  <si>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</si>
  <si>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</si>
  <si>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</si>
  <si>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</si>
  <si>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</si>
  <si>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</si>
  <si>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</si>
  <si>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</si>
  <si>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</si>
  <si>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</si>
  <si>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</si>
  <si>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</si>
  <si>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</si>
  <si>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</si>
  <si>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</si>
  <si>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</si>
  <si>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</si>
  <si>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</si>
  <si>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</si>
  <si>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</si>
  <si>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</si>
  <si>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</si>
  <si>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</si>
  <si>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</si>
  <si>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</si>
  <si>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</si>
  <si>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</si>
  <si>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</si>
  <si>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</si>
  <si>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</si>
  <si>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</si>
  <si>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</si>
  <si>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</si>
  <si>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</si>
  <si>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</si>
  <si>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</si>
  <si>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</si>
  <si>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</si>
  <si>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</si>
  <si>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</si>
  <si>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</si>
  <si>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</si>
  <si>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</si>
  <si>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</si>
  <si>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</si>
  <si>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</si>
  <si>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</si>
  <si>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</si>
  <si>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</si>
  <si>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</si>
  <si>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</si>
  <si>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</si>
  <si>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</si>
  <si>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</si>
  <si>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</si>
  <si>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</si>
  <si>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</si>
  <si>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</si>
  <si>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</si>
  <si>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</si>
  <si>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</si>
  <si>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</si>
  <si>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</si>
  <si>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</si>
  <si>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</si>
  <si>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</si>
  <si>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</si>
  <si>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</si>
  <si>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</si>
  <si>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</si>
  <si>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</si>
  <si>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</si>
  <si>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</si>
  <si>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</si>
  <si>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</si>
  <si>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</si>
  <si>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</si>
  <si>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</si>
  <si>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</si>
  <si>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</si>
  <si>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</si>
  <si>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</si>
  <si>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</si>
  <si>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</si>
  <si>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</si>
  <si>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</si>
  <si>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</si>
  <si>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</si>
  <si>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</si>
  <si>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</si>
  <si>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</si>
  <si>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</si>
  <si>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</si>
  <si>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</si>
  <si>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</si>
  <si>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</si>
  <si>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</si>
  <si>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</si>
  <si>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</si>
  <si>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</si>
  <si>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</si>
  <si>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</si>
  <si>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</si>
  <si>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</si>
  <si>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</si>
  <si>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</si>
  <si>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</si>
  <si>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</si>
  <si>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</si>
  <si>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</si>
  <si>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</si>
  <si>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</si>
  <si>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</si>
  <si>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</si>
  <si>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</si>
  <si>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</si>
  <si>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</si>
  <si>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</si>
  <si>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</si>
  <si>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</si>
  <si>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</si>
  <si>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</si>
  <si>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</si>
  <si>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</si>
  <si>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</si>
  <si>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</si>
  <si>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</si>
  <si>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</si>
  <si>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</si>
  <si>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</si>
  <si>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</si>
  <si>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</si>
  <si>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</si>
  <si>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</si>
  <si>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</si>
  <si>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</si>
  <si>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</si>
  <si>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</si>
  <si>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</si>
  <si>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</si>
  <si>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</si>
  <si>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</si>
  <si>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</si>
  <si>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</si>
  <si>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</si>
  <si>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</si>
  <si>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</si>
  <si>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</si>
  <si>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</si>
  <si>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</si>
  <si>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</si>
  <si>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</si>
  <si>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</si>
  <si>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</si>
  <si>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</si>
  <si>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</si>
  <si>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</si>
  <si>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</si>
  <si>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</si>
  <si>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</si>
  <si>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</si>
  <si>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</si>
  <si>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</si>
  <si>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</si>
  <si>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</si>
  <si>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</si>
  <si>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</si>
  <si>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</si>
  <si>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</si>
  <si>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</si>
  <si>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</si>
  <si>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</si>
  <si>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</si>
  <si>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</si>
  <si>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</si>
  <si>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</si>
  <si>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</si>
  <si>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</si>
  <si>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</si>
  <si>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</si>
  <si>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</si>
  <si>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</si>
  <si>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</si>
  <si>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</si>
  <si>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</si>
  <si>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</si>
  <si>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</si>
  <si>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</si>
  <si>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</si>
  <si>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</si>
  <si>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</si>
  <si>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</si>
  <si>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</si>
  <si>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</si>
  <si>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</si>
  <si>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</si>
  <si>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</si>
  <si>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</si>
  <si>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</si>
  <si>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</si>
  <si>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</si>
  <si>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</si>
  <si>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</si>
  <si>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</si>
  <si>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</si>
  <si>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</si>
  <si>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</si>
  <si>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</si>
  <si>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</si>
  <si>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</si>
  <si>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</si>
  <si>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</si>
  <si>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</si>
  <si>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</si>
  <si>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</si>
  <si>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</si>
  <si>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</si>
  <si>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</si>
  <si>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</si>
  <si>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</si>
  <si>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</si>
  <si>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</si>
  <si>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</si>
  <si>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</si>
  <si>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</si>
  <si>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</si>
  <si>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</si>
  <si>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</si>
  <si>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</si>
  <si>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</si>
  <si>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</si>
  <si>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</si>
  <si>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</si>
  <si>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</si>
  <si>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</si>
  <si>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</si>
  <si>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</si>
  <si>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</si>
  <si>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</si>
  <si>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</si>
  <si>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</si>
  <si>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</si>
  <si>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</si>
  <si>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</si>
  <si>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</si>
  <si>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</si>
  <si>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</si>
  <si>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</si>
  <si>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</si>
  <si>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</si>
  <si>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</si>
  <si>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</si>
  <si>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</si>
  <si>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</si>
  <si>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</si>
  <si>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</si>
  <si>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</si>
  <si>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</si>
  <si>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</si>
  <si>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</si>
  <si>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</si>
  <si>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</si>
  <si>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</si>
  <si>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</si>
  <si>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</si>
  <si>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</si>
  <si>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</si>
  <si>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</si>
  <si>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</si>
  <si>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</si>
  <si>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</si>
  <si>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</si>
  <si>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</si>
  <si>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</si>
  <si>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</si>
  <si>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</si>
  <si>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</si>
  <si>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</si>
  <si>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</si>
  <si>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</si>
  <si>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</si>
  <si>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</si>
  <si>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</si>
  <si>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</si>
  <si>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</si>
  <si>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</si>
  <si>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</si>
  <si>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</si>
  <si>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</si>
  <si>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</si>
  <si>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</si>
  <si>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</si>
  <si>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</si>
  <si>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</si>
  <si>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</si>
  <si>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</si>
  <si>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</si>
  <si>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</si>
  <si>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</si>
  <si>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</si>
  <si>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</si>
  <si>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</si>
  <si>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</si>
  <si>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</si>
  <si>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</si>
  <si>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</si>
  <si>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</si>
  <si>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</si>
  <si>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</si>
  <si>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</si>
  <si>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</si>
  <si>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</si>
  <si>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</si>
  <si>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</si>
  <si>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</si>
  <si>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</si>
  <si>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</si>
  <si>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</si>
  <si>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</si>
  <si>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</si>
  <si>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</si>
  <si>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</si>
  <si>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</si>
  <si>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</si>
  <si>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</si>
  <si>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</si>
  <si>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</si>
  <si>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</si>
  <si>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</si>
  <si>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</si>
  <si>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</si>
  <si>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</si>
  <si>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</si>
  <si>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</si>
  <si>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</si>
  <si>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</si>
  <si>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</si>
  <si>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</si>
  <si>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</si>
  <si>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</si>
  <si>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</si>
  <si>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</si>
  <si>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</si>
  <si>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</si>
  <si>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</si>
  <si>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</si>
  <si>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</si>
  <si>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</si>
  <si>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</si>
  <si>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</si>
  <si>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</si>
  <si>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</si>
  <si>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</si>
  <si>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</si>
  <si>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</si>
  <si>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</si>
  <si>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</si>
  <si>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</si>
  <si>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</si>
  <si>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</si>
  <si>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</si>
  <si>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</si>
  <si>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</si>
  <si>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</si>
  <si>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</si>
  <si>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</si>
  <si>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</si>
  <si>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</si>
  <si>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</si>
  <si>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</si>
  <si>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</si>
  <si>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</si>
  <si>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</si>
  <si>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</si>
  <si>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</si>
  <si>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</si>
  <si>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</si>
  <si>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</si>
  <si>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</si>
  <si>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</si>
  <si>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</si>
  <si>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</si>
  <si>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</si>
  <si>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</si>
  <si>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</si>
  <si>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</si>
  <si>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</si>
  <si>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</si>
  <si>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</si>
  <si>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</si>
  <si>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</si>
  <si>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</si>
  <si>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</si>
  <si>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</si>
  <si>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</si>
  <si>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</si>
  <si>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</si>
  <si>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</si>
  <si>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</si>
  <si>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</si>
  <si>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</si>
  <si>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</si>
  <si>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</si>
  <si>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</si>
  <si>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</si>
  <si>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</si>
  <si>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</si>
  <si>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</si>
  <si>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</si>
  <si>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</si>
  <si>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</si>
  <si>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</si>
  <si>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</si>
  <si>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</si>
  <si>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</si>
  <si>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</si>
  <si>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</si>
  <si>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</si>
  <si>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</si>
  <si>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</si>
  <si>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</si>
  <si>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</si>
  <si>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</si>
  <si>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</si>
  <si>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</si>
  <si>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</si>
  <si>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</si>
  <si>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</si>
  <si>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</si>
  <si>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</si>
  <si>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</si>
  <si>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</si>
  <si>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</si>
  <si>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</si>
  <si>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</si>
  <si>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</si>
  <si>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</si>
  <si>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</si>
  <si>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</si>
  <si>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</si>
  <si>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</si>
  <si>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</si>
  <si>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</si>
  <si>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</si>
  <si>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</si>
  <si>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</si>
  <si>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</si>
  <si>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</si>
  <si>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</si>
  <si>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</si>
  <si>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</si>
  <si>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</si>
  <si>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</si>
  <si>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</si>
  <si>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</si>
  <si>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</si>
  <si>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</si>
  <si>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</si>
  <si>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</si>
  <si>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</si>
  <si>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</si>
  <si>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</si>
  <si>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</si>
  <si>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</si>
  <si>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</si>
  <si>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</si>
  <si>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</si>
  <si>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</si>
  <si>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</si>
  <si>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</si>
  <si>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NWPS</t>
  </si>
  <si>
    <t>4W.1</t>
  </si>
  <si>
    <t>TEMP_BON_642718</t>
  </si>
  <si>
    <t>TEMP_BON_8783761</t>
  </si>
  <si>
    <t>TEMP_BON_5124913</t>
  </si>
  <si>
    <t>Scheme status</t>
  </si>
  <si>
    <t>Closed to accrual of future defined benefits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</si>
  <si>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</si>
  <si>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</si>
  <si>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</si>
  <si>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</si>
  <si>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</si>
  <si>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</si>
  <si>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</si>
  <si>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</si>
  <si>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</si>
  <si>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</si>
  <si>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</si>
  <si>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</si>
  <si>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</si>
  <si>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</si>
  <si>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</si>
  <si>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</si>
  <si>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</si>
  <si>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</si>
  <si>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</si>
  <si>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</si>
  <si>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</si>
  <si>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</si>
  <si>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</si>
  <si>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</si>
  <si>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</si>
  <si>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</si>
  <si>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</si>
  <si>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</si>
  <si>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</si>
  <si>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</si>
  <si>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</si>
  <si>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31 December 2019</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</si>
  <si>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</si>
  <si>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</si>
  <si>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</si>
  <si>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</si>
  <si>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</si>
  <si>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</si>
  <si>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</si>
  <si>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</si>
  <si>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</si>
  <si>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</si>
  <si>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</si>
  <si>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</si>
  <si>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</si>
  <si>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</si>
  <si>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</si>
  <si>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</si>
  <si>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</si>
  <si>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</si>
  <si>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</si>
  <si>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</si>
  <si>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pre-retirement:  gilts +1.6%;  post-retirement:  gilts +0.7%</t>
  </si>
  <si>
    <t>4W.12</t>
  </si>
  <si>
    <t>TEMP_BON_958514</t>
  </si>
  <si>
    <t>TEMP_BON_2390837</t>
  </si>
  <si>
    <t>TEMP_BON_4133138</t>
  </si>
  <si>
    <t>Recovery plan (where applicable)</t>
  </si>
  <si>
    <t>Recovery Plan Structure</t>
  </si>
  <si>
    <t>Recovery Plan signed on 24 March 2021.
  Schedule of contributions requires employers to pay the following deficit reduction contributions:
£12.187m pa, with effect from 1 January 2020 to 31 March 2020;
£12.455m pa, with effect from 1 April 2020 to 31 March 2021;
£20.0m pa, with effect from 1 April 2021 to 31 March 2022;
£23.8m pa, with effect from 1 April 2022, increasing annually by RPI each 1 April</t>
  </si>
  <si>
    <t>4W.13</t>
  </si>
  <si>
    <t>TEMP_BON_7858299</t>
  </si>
  <si>
    <t>TEMP_BON_6579263</t>
  </si>
  <si>
    <t>TEMP_BON_1976266</t>
  </si>
  <si>
    <t xml:space="preserve">Recovery plan end date </t>
  </si>
  <si>
    <t>31 August 2027</t>
  </si>
  <si>
    <t>4W.14</t>
  </si>
  <si>
    <t>TEMP_BON_1424498</t>
  </si>
  <si>
    <t>TEMP_BON_8348942</t>
  </si>
  <si>
    <t>TEMP_BON_9227688</t>
  </si>
  <si>
    <t>Asset Backed Funding (ABF) arrangements</t>
  </si>
  <si>
    <t>Not applicable</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</si>
  <si>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</si>
  <si>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</si>
  <si>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</si>
  <si>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</si>
  <si>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</si>
  <si>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</si>
  <si>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</si>
  <si>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</si>
  <si>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</si>
  <si>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</si>
  <si>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</si>
  <si>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</si>
  <si>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</si>
  <si>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</si>
  <si>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</si>
  <si>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</si>
  <si>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</si>
  <si>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</si>
  <si>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</si>
  <si>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</si>
  <si>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</si>
  <si>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</si>
  <si>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</si>
  <si>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</si>
  <si>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</si>
  <si>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</si>
  <si>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</si>
  <si>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</si>
  <si>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</si>
  <si>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</si>
  <si>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</si>
  <si>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</si>
  <si>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</si>
  <si>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</si>
  <si>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</si>
  <si>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</si>
  <si>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</si>
  <si>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</si>
  <si>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</si>
  <si>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</si>
  <si>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</si>
  <si>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</si>
  <si>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</si>
  <si>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</si>
  <si>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</si>
  <si>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</si>
  <si>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</si>
  <si>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</si>
  <si>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</si>
  <si>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</si>
  <si>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</si>
  <si>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</si>
  <si>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</si>
  <si>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</si>
  <si>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</si>
  <si>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</si>
  <si>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</si>
  <si>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</si>
  <si>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</si>
  <si>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</si>
  <si>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</si>
  <si>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</si>
  <si>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</si>
  <si>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</si>
  <si>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</si>
  <si>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</si>
  <si>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</si>
  <si>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</si>
  <si>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</si>
  <si>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</si>
  <si>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</si>
  <si>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</si>
  <si>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</si>
  <si>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</si>
  <si>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</si>
  <si>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</si>
  <si>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</si>
  <si>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</si>
  <si>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</si>
  <si>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</si>
  <si>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</si>
  <si>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</si>
  <si>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</si>
  <si>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</si>
  <si>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</si>
  <si>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</si>
  <si>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</si>
  <si>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</si>
  <si>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</si>
  <si>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</si>
  <si>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</si>
  <si>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</si>
  <si>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</si>
  <si>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</si>
  <si>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</si>
  <si>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</si>
  <si>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</si>
  <si>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</si>
  <si>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</si>
  <si>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</si>
  <si>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</si>
  <si>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</si>
  <si>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</si>
  <si>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</si>
  <si>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</si>
  <si>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</si>
  <si>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</si>
  <si>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</si>
  <si>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</si>
  <si>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</si>
  <si>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</si>
  <si>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</si>
  <si>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</si>
  <si>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</si>
  <si>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</si>
  <si>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</si>
  <si>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</si>
  <si>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</si>
  <si>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</si>
  <si>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</si>
  <si>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</si>
  <si>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</si>
  <si>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</si>
  <si>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</si>
  <si>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</si>
  <si>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</si>
  <si>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</si>
  <si>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</si>
  <si>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</si>
  <si>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</si>
  <si>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</si>
  <si>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</si>
  <si>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</si>
  <si>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</si>
  <si>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</si>
  <si>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</si>
  <si>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</si>
  <si>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</si>
  <si>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</si>
  <si>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</si>
  <si>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</si>
  <si>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</si>
  <si>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</si>
  <si>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</si>
  <si>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</si>
  <si>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</si>
  <si>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</si>
  <si>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</si>
  <si>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</si>
  <si>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</si>
  <si>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</si>
  <si>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</si>
  <si>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</si>
  <si>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</si>
  <si>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</si>
  <si>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</si>
  <si>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</si>
  <si>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</si>
  <si>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</si>
  <si>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</si>
  <si>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</si>
  <si>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</si>
  <si>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</si>
  <si>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</si>
  <si>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</si>
  <si>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</si>
  <si>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</si>
  <si>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</si>
  <si>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</si>
  <si>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</si>
  <si>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</si>
  <si>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</si>
  <si>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</si>
  <si>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</si>
  <si>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</si>
  <si>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</si>
  <si>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</si>
  <si>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</si>
  <si>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</si>
  <si>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</si>
  <si>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</si>
  <si>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</si>
  <si>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</si>
  <si>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</si>
  <si>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</si>
  <si>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</si>
  <si>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</si>
  <si>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</si>
  <si>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</si>
  <si>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</si>
  <si>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</si>
  <si>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</si>
  <si>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</si>
  <si>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</si>
  <si>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</si>
  <si>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</si>
  <si>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</si>
  <si>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</si>
  <si>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</si>
  <si>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</si>
  <si>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</si>
  <si>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</si>
  <si>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</si>
  <si>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</si>
  <si>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</si>
  <si>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</si>
  <si>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</si>
  <si>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</si>
  <si>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</si>
  <si>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</si>
  <si>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</si>
  <si>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</si>
  <si>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</si>
  <si>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</si>
  <si>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</si>
  <si>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</si>
  <si>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</si>
  <si>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</si>
  <si>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</si>
  <si>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</si>
  <si>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</si>
  <si>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</si>
  <si>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</si>
  <si>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</si>
  <si>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</si>
  <si>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</si>
  <si>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</si>
  <si>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</si>
  <si>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</si>
  <si>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</si>
  <si>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</si>
  <si>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</si>
  <si>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</si>
  <si>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</si>
  <si>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</si>
  <si>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</si>
  <si>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</si>
  <si>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</si>
  <si>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</si>
  <si>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</si>
  <si>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</si>
  <si>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</si>
  <si>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</si>
  <si>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</si>
  <si>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</si>
  <si>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</si>
  <si>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</si>
  <si>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</si>
  <si>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</si>
  <si>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</si>
  <si>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</si>
  <si>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</si>
  <si>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</si>
  <si>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</si>
  <si>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</si>
  <si>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</si>
  <si>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</si>
  <si>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</si>
  <si>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</si>
  <si>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</si>
  <si>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</si>
  <si>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</si>
  <si>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</si>
  <si>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</si>
  <si>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</si>
  <si>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</si>
  <si>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</si>
  <si>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</si>
  <si>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</si>
  <si>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</si>
  <si>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</si>
  <si>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</si>
  <si>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</si>
  <si>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</si>
  <si>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</si>
  <si>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</si>
  <si>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</si>
  <si>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</si>
  <si>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</si>
  <si>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</si>
  <si>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</si>
  <si>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</si>
  <si>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</si>
  <si>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</si>
  <si>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</si>
  <si>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</si>
  <si>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</si>
  <si>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</si>
  <si>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</si>
  <si>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</si>
  <si>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</si>
  <si>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</si>
  <si>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</si>
  <si>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</si>
  <si>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</si>
  <si>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</si>
  <si>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</si>
  <si>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</si>
  <si>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</si>
  <si>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</si>
  <si>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</si>
  <si>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</si>
  <si>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</si>
  <si>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</si>
  <si>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</si>
  <si>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</si>
  <si>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</si>
  <si>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</si>
  <si>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</si>
  <si>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</si>
  <si>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</si>
  <si>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</si>
  <si>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</si>
  <si>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</si>
  <si>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</si>
  <si>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</si>
  <si>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</si>
  <si>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</si>
  <si>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</si>
  <si>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</si>
  <si>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</si>
  <si>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</si>
  <si>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</si>
  <si>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</si>
  <si>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</si>
  <si>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</si>
  <si>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</si>
  <si>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</si>
  <si>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</si>
  <si>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</si>
  <si>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</si>
  <si>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</si>
  <si>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</si>
  <si>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</si>
  <si>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</si>
  <si>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</si>
  <si>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</si>
  <si>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</si>
  <si>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</si>
  <si>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</si>
  <si>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</si>
  <si>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</si>
  <si>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</si>
  <si>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</si>
  <si>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</si>
  <si>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</si>
  <si>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</si>
  <si>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</si>
  <si>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</si>
  <si>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</si>
  <si>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</si>
  <si>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</si>
  <si>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</si>
  <si>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</si>
  <si>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</si>
  <si>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</si>
  <si>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</si>
  <si>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</si>
  <si>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</si>
  <si>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</si>
  <si>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</si>
  <si>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</si>
  <si>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</si>
  <si>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</si>
  <si>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</si>
  <si>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</si>
  <si>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</si>
  <si>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</si>
  <si>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</si>
  <si>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</si>
  <si>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</si>
  <si>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</si>
  <si>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</si>
  <si>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</si>
  <si>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</si>
  <si>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</si>
  <si>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</si>
  <si>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</si>
  <si>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</si>
  <si>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</si>
  <si>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</si>
  <si>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</si>
  <si>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</si>
  <si>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</si>
  <si>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</si>
  <si>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</si>
  <si>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</si>
  <si>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</si>
  <si>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</si>
  <si>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</si>
  <si>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</si>
  <si>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</si>
  <si>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</si>
  <si>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</si>
  <si>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</si>
  <si>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</si>
  <si>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</si>
  <si>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</si>
  <si>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</si>
  <si>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</si>
  <si>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</si>
  <si>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</si>
  <si>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</si>
  <si>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</si>
  <si>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</si>
  <si>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</si>
  <si>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</si>
  <si>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</si>
  <si>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</si>
  <si>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</si>
  <si>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</si>
  <si>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</si>
  <si>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</si>
  <si>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</si>
  <si>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</si>
  <si>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</si>
  <si>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</si>
  <si>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</si>
  <si>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</si>
  <si>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</si>
  <si>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</si>
  <si>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</si>
  <si>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</si>
  <si>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</si>
  <si>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</si>
  <si>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</si>
  <si>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</si>
  <si>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</si>
  <si>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</si>
  <si>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</si>
  <si>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</si>
  <si>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</si>
  <si>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</si>
  <si>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</si>
  <si>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</si>
  <si>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</si>
  <si>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</si>
  <si>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</si>
  <si>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</si>
  <si>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</si>
  <si>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</si>
  <si>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</si>
  <si>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</si>
  <si>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</si>
  <si>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</si>
  <si>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</si>
  <si>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</si>
  <si>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</si>
  <si>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</si>
  <si>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</si>
  <si>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</si>
  <si>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</si>
  <si>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</si>
  <si>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</si>
  <si>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</si>
  <si>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</si>
  <si>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</si>
  <si>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</si>
  <si>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</si>
  <si>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</si>
  <si>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</si>
  <si>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</si>
  <si>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</si>
  <si>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</si>
  <si>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</si>
  <si>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</si>
  <si>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</si>
  <si>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</si>
  <si>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</si>
  <si>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</si>
  <si>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</si>
  <si>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</si>
  <si>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</si>
  <si>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</si>
  <si>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</si>
  <si>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</si>
  <si>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</si>
  <si>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</si>
  <si>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</si>
  <si>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</si>
  <si>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</si>
  <si>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</si>
  <si>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</si>
  <si>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</si>
  <si>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</si>
  <si>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</si>
  <si>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</si>
  <si>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 (Northumbrian water)</t>
  </si>
  <si>
    <t>Water balance - region 1</t>
  </si>
  <si>
    <t>6B.40</t>
  </si>
  <si>
    <t>6B.41</t>
  </si>
  <si>
    <t>6B.42</t>
  </si>
  <si>
    <t>6B.43</t>
  </si>
  <si>
    <t>6B.44</t>
  </si>
  <si>
    <t>6B.45</t>
  </si>
  <si>
    <t>6B.46</t>
  </si>
  <si>
    <t>6B.47</t>
  </si>
  <si>
    <t>6B.48</t>
  </si>
  <si>
    <t>Water balance - region 2 (Essex &amp; Suffolk water)</t>
  </si>
  <si>
    <t>Water balance - region 2</t>
  </si>
  <si>
    <t>6B.49</t>
  </si>
  <si>
    <t>6B.50</t>
  </si>
  <si>
    <t>6B.51</t>
  </si>
  <si>
    <t>6B.52</t>
  </si>
  <si>
    <t>6B.53</t>
  </si>
  <si>
    <t>6B.54</t>
  </si>
  <si>
    <t>6B.55</t>
  </si>
  <si>
    <t>6B.56</t>
  </si>
  <si>
    <t>6B.57</t>
  </si>
  <si>
    <t>Components of total leakage (post MLE) - company level</t>
  </si>
  <si>
    <t>Leakage upstream of DMA</t>
  </si>
  <si>
    <t>6B.58</t>
  </si>
  <si>
    <t>BN20020</t>
  </si>
  <si>
    <t>Distribution main losses</t>
  </si>
  <si>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</si>
  <si>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</si>
  <si>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</si>
  <si>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</si>
  <si>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</si>
  <si>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</si>
  <si>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</si>
  <si>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</si>
  <si>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</si>
  <si>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</si>
  <si>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</si>
  <si>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</si>
  <si>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</si>
  <si>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</si>
  <si>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</si>
  <si>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</si>
  <si>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</si>
  <si>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</si>
  <si>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</si>
  <si>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</si>
  <si>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</si>
  <si>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</si>
  <si>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</si>
  <si>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</si>
  <si>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</si>
  <si>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</si>
  <si>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</si>
  <si>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</si>
  <si>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</si>
  <si>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</si>
  <si>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</si>
  <si>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</si>
  <si>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</si>
  <si>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</si>
  <si>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</si>
  <si>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</si>
  <si>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</si>
  <si>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</si>
  <si>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</si>
  <si>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</si>
  <si>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</si>
  <si>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</si>
  <si>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</si>
  <si>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</si>
  <si>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</si>
  <si>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</si>
  <si>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</si>
  <si>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</si>
  <si>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</si>
  <si>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</si>
  <si>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</si>
  <si>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</si>
  <si>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</si>
  <si>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</si>
  <si>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</si>
  <si>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</si>
  <si>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</si>
  <si>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</si>
  <si>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</si>
  <si>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</si>
  <si>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</si>
  <si>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</si>
  <si>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</si>
  <si>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</si>
  <si>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</si>
  <si>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</si>
  <si>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</si>
  <si>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</si>
  <si>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</si>
  <si>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</si>
  <si>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</si>
  <si>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</si>
  <si>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</si>
  <si>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</si>
  <si>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</si>
  <si>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</si>
  <si>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</si>
  <si>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</si>
  <si>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</si>
  <si>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</si>
  <si>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</si>
  <si>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</si>
  <si>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</si>
  <si>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</si>
  <si>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</si>
  <si>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</si>
  <si>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</si>
  <si>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</si>
  <si>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</si>
  <si>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</si>
  <si>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</si>
  <si>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</si>
  <si>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</si>
  <si>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</si>
  <si>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</si>
  <si>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</si>
  <si>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</si>
  <si>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</si>
  <si>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</si>
  <si>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</si>
  <si>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</si>
  <si>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</si>
  <si>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</si>
  <si>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</si>
  <si>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</si>
  <si>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</si>
  <si>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</si>
  <si>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</si>
  <si>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</si>
  <si>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</si>
  <si>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</si>
  <si>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</si>
  <si>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</si>
  <si>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</si>
  <si>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</si>
  <si>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</si>
  <si>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</si>
  <si>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</si>
  <si>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</si>
  <si>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</si>
  <si>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</si>
  <si>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</si>
  <si>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</si>
  <si>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</si>
  <si>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</si>
  <si>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</si>
  <si>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</si>
  <si>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</si>
  <si>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</si>
  <si>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</si>
  <si>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</si>
  <si>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</si>
  <si>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</si>
  <si>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</si>
  <si>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</si>
  <si>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</si>
  <si>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</si>
  <si>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</si>
  <si>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</si>
  <si>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</si>
  <si>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</si>
  <si>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</si>
  <si>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</si>
  <si>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</si>
  <si>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</si>
  <si>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</si>
  <si>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</si>
  <si>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</si>
  <si>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</si>
  <si>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</si>
  <si>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</si>
  <si>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</si>
  <si>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</si>
  <si>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</si>
  <si>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</si>
  <si>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</si>
  <si>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</si>
  <si>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</si>
  <si>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</si>
  <si>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</si>
  <si>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</si>
  <si>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</si>
  <si>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</si>
  <si>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</si>
  <si>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</si>
  <si>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</si>
  <si>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</si>
  <si>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</si>
  <si>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</si>
  <si>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</si>
  <si>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</si>
  <si>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</si>
  <si>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</si>
  <si>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</si>
  <si>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</si>
  <si>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</si>
  <si>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</si>
  <si>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</si>
  <si>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</si>
  <si>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</si>
  <si>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</si>
  <si>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</si>
  <si>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</si>
  <si>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</si>
  <si>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</si>
  <si>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</si>
  <si>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</si>
  <si>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</si>
  <si>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</si>
  <si>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</si>
  <si>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</si>
  <si>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</si>
  <si>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</si>
  <si>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</si>
  <si>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</si>
  <si>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</si>
  <si>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</si>
  <si>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</si>
  <si>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</si>
  <si>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</si>
  <si>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</si>
  <si>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</si>
  <si>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</si>
  <si>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</si>
  <si>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</si>
  <si>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</si>
  <si>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</si>
  <si>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</si>
  <si>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</si>
  <si>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</si>
  <si>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</si>
  <si>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</si>
  <si>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</si>
  <si>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</si>
  <si>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</si>
  <si>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</si>
  <si>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</si>
  <si>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</si>
  <si>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</si>
  <si>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</si>
  <si>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</si>
  <si>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</si>
  <si>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</si>
  <si>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</si>
  <si>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</si>
  <si>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</si>
  <si>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</si>
  <si>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</si>
  <si>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</si>
  <si>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</si>
  <si>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</si>
  <si>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</si>
  <si>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</si>
  <si>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</si>
  <si>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</si>
  <si>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</si>
  <si>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</si>
  <si>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</si>
  <si>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</si>
  <si>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</si>
  <si>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</si>
  <si>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</si>
  <si>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</si>
  <si>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</si>
  <si>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</si>
  <si>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</si>
  <si>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</si>
  <si>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</si>
  <si>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</si>
  <si>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</si>
  <si>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</si>
  <si>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</si>
  <si>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</si>
  <si>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</si>
  <si>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</si>
  <si>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</si>
  <si>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</si>
  <si>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</si>
  <si>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</si>
  <si>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</si>
  <si>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</si>
  <si>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</si>
  <si>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</si>
  <si>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</si>
  <si>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</si>
  <si>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</si>
  <si>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</si>
  <si>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</si>
  <si>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</si>
  <si>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</si>
  <si>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</si>
  <si>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</si>
  <si>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</si>
  <si>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</si>
  <si>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</si>
  <si>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</si>
  <si>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</si>
  <si>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WRMP scheme 1</t>
  </si>
  <si>
    <t>N/A</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</si>
  <si>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</si>
  <si>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</si>
  <si>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</si>
  <si>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</si>
  <si>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</si>
  <si>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</si>
  <si>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</si>
  <si>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</si>
  <si>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</si>
  <si>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</si>
  <si>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</si>
  <si>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</si>
  <si>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</si>
  <si>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</si>
  <si>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</si>
  <si>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</si>
  <si>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</si>
  <si>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</si>
  <si>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</si>
  <si>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</si>
  <si>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</si>
  <si>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</si>
  <si>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</si>
  <si>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</si>
  <si>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</si>
  <si>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</si>
  <si>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</si>
  <si>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</si>
  <si>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</si>
  <si>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</si>
  <si>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</si>
  <si>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</si>
  <si>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</si>
  <si>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</si>
  <si>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</si>
  <si>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</si>
  <si>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</si>
  <si>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</si>
  <si>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</si>
  <si>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</si>
  <si>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</si>
  <si>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</si>
  <si>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</si>
  <si>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</si>
  <si>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</si>
  <si>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</si>
  <si>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</si>
  <si>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</si>
  <si>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</si>
  <si>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</si>
  <si>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</si>
  <si>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</si>
  <si>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</si>
  <si>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</si>
  <si>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</si>
  <si>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</si>
  <si>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</si>
  <si>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</si>
  <si>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</si>
  <si>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</si>
  <si>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</si>
  <si>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</si>
  <si>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</si>
  <si>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</si>
  <si>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</si>
  <si>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</si>
  <si>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</si>
  <si>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</si>
  <si>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</si>
  <si>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</si>
  <si>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</si>
  <si>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</si>
  <si>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</si>
  <si>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</si>
  <si>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</si>
  <si>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</si>
  <si>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</si>
  <si>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</si>
  <si>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</si>
  <si>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</si>
  <si>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</si>
  <si>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</si>
  <si>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</si>
  <si>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</si>
  <si>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</si>
  <si>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</si>
  <si>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</si>
  <si>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</si>
  <si>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</si>
  <si>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</si>
  <si>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</si>
  <si>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</si>
  <si>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</si>
  <si>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</si>
  <si>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</si>
  <si>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</si>
  <si>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</si>
  <si>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</si>
  <si>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</si>
  <si>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</si>
  <si>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</si>
  <si>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</si>
  <si>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</si>
  <si>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</si>
  <si>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</si>
  <si>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</si>
  <si>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</si>
  <si>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</si>
  <si>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</si>
  <si>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</si>
  <si>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</si>
  <si>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</si>
  <si>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</si>
  <si>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</si>
  <si>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</si>
  <si>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</si>
  <si>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</si>
  <si>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</si>
  <si>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</si>
  <si>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</si>
  <si>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</si>
  <si>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</si>
  <si>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</si>
  <si>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</si>
  <si>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</si>
  <si>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</si>
  <si>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</si>
  <si>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</si>
  <si>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</si>
  <si>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</si>
  <si>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</si>
  <si>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</si>
  <si>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</si>
  <si>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</si>
  <si>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</si>
  <si>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</si>
  <si>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</si>
  <si>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</si>
  <si>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</si>
  <si>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</si>
  <si>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</si>
  <si>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</si>
  <si>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</si>
  <si>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</si>
  <si>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</si>
  <si>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</si>
  <si>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</si>
  <si>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</si>
  <si>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</si>
  <si>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</si>
  <si>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</si>
  <si>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</si>
  <si>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</si>
  <si>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</si>
  <si>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</si>
  <si>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</si>
  <si>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</si>
  <si>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Aycliffe</t>
  </si>
  <si>
    <t>Barkers Haugh</t>
  </si>
  <si>
    <t>Bishop Auckland</t>
  </si>
  <si>
    <t>Blyth</t>
  </si>
  <si>
    <t>Bran Sands Municipal</t>
  </si>
  <si>
    <t>Cambois</t>
  </si>
  <si>
    <t>Chester le St</t>
  </si>
  <si>
    <t>Consett</t>
  </si>
  <si>
    <t>Cramlington</t>
  </si>
  <si>
    <t>Hendon</t>
  </si>
  <si>
    <t>Horden</t>
  </si>
  <si>
    <t>Howdon</t>
  </si>
  <si>
    <t>Marske</t>
  </si>
  <si>
    <t>Newbiggin</t>
  </si>
  <si>
    <t>Seaham</t>
  </si>
  <si>
    <t>Seaton Carew</t>
  </si>
  <si>
    <t>Sedgeletch</t>
  </si>
  <si>
    <t>Stressholme</t>
  </si>
  <si>
    <t>Washington</t>
  </si>
  <si>
    <t>7B.1</t>
  </si>
  <si>
    <t>Works name (new works)</t>
  </si>
  <si>
    <t>Works name</t>
  </si>
  <si>
    <t>TA2</t>
  </si>
  <si>
    <t>TB2</t>
  </si>
  <si>
    <t>SAS</t>
  </si>
  <si>
    <t>SB</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</si>
  <si>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</si>
  <si>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</si>
  <si>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</si>
  <si>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</si>
  <si>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</si>
  <si>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</si>
  <si>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</si>
  <si>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</si>
  <si>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</si>
  <si>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</si>
  <si>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</si>
  <si>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</si>
  <si>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</si>
  <si>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</si>
  <si>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</si>
  <si>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</si>
  <si>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</si>
  <si>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</si>
  <si>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</si>
  <si>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</si>
  <si>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</si>
  <si>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</si>
  <si>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</si>
  <si>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</si>
  <si>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</si>
  <si>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</si>
  <si>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</si>
  <si>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</si>
  <si>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</si>
  <si>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</si>
  <si>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</si>
  <si>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</si>
  <si>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</si>
  <si>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</si>
  <si>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</si>
  <si>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</si>
  <si>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</si>
  <si>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</si>
  <si>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</si>
  <si>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</si>
  <si>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</si>
  <si>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</si>
  <si>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</si>
  <si>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</si>
  <si>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</si>
  <si>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</si>
  <si>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</si>
  <si>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</si>
  <si>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</si>
  <si>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</si>
  <si>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</si>
  <si>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</si>
  <si>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</si>
  <si>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</si>
  <si>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</si>
  <si>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</si>
  <si>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</si>
  <si>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</si>
  <si>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</si>
  <si>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</si>
  <si>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</si>
  <si>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</si>
  <si>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</si>
  <si>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</si>
  <si>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</si>
  <si>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</si>
  <si>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</si>
  <si>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</si>
  <si>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</si>
  <si>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</si>
  <si>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</si>
  <si>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</si>
  <si>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</si>
  <si>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</si>
  <si>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</si>
  <si>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</si>
  <si>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</si>
  <si>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</si>
  <si>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</si>
  <si>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</si>
  <si>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</si>
  <si>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</si>
  <si>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</si>
  <si>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</si>
  <si>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</si>
  <si>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</si>
  <si>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</si>
  <si>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</si>
  <si>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</si>
  <si>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</si>
  <si>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</si>
  <si>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</si>
  <si>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</si>
  <si>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</si>
  <si>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</si>
  <si>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</si>
  <si>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</si>
  <si>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</si>
  <si>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</si>
  <si>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</si>
  <si>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</si>
  <si>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</si>
  <si>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</si>
  <si>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</si>
  <si>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</si>
  <si>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</si>
  <si>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</si>
  <si>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</si>
  <si>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</si>
  <si>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</si>
  <si>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</si>
  <si>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</si>
  <si>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</si>
  <si>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</si>
  <si>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</si>
  <si>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</si>
  <si>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</si>
  <si>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</si>
  <si>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</si>
  <si>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</si>
  <si>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</si>
  <si>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</si>
  <si>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</si>
  <si>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</si>
  <si>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</si>
  <si>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</si>
  <si>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</si>
  <si>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</si>
  <si>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</si>
  <si>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</si>
  <si>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</si>
  <si>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</si>
  <si>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</si>
  <si>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</si>
  <si>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</si>
  <si>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</si>
  <si>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</si>
  <si>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</si>
  <si>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</si>
  <si>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</si>
  <si>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</si>
  <si>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</si>
  <si>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</si>
  <si>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</si>
  <si>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</si>
  <si>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</si>
  <si>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</si>
  <si>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</si>
  <si>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</si>
  <si>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</si>
  <si>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</si>
  <si>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</si>
  <si>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</si>
  <si>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</si>
  <si>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</si>
  <si>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</si>
  <si>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</si>
  <si>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</si>
  <si>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</si>
  <si>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</si>
  <si>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</si>
  <si>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</si>
  <si>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</si>
  <si>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</si>
  <si>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</si>
  <si>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</si>
  <si>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</si>
  <si>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</si>
  <si>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</si>
  <si>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</si>
  <si>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</si>
  <si>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</si>
  <si>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</si>
  <si>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</si>
  <si>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</si>
  <si>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</si>
  <si>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</si>
  <si>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</si>
  <si>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</si>
  <si>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</si>
  <si>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</si>
  <si>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</si>
  <si>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</si>
  <si>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</si>
  <si>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</si>
  <si>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</si>
  <si>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</si>
  <si>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</si>
  <si>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</si>
  <si>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</si>
  <si>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</si>
  <si>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</si>
  <si>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</si>
  <si>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</si>
  <si>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</si>
  <si>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</si>
  <si>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</si>
  <si>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</si>
  <si>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</si>
  <si>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</si>
  <si>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</si>
  <si>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</si>
  <si>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</si>
  <si>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</si>
  <si>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</si>
  <si>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</si>
  <si>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</si>
  <si>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</si>
  <si>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</si>
  <si>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</si>
  <si>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</si>
  <si>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</si>
  <si>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</si>
  <si>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</si>
  <si>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</si>
  <si>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</si>
  <si>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</si>
  <si>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</si>
  <si>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</si>
  <si>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</si>
  <si>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</si>
  <si>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</si>
  <si>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</si>
  <si>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</si>
  <si>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</si>
  <si>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</si>
  <si>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</si>
  <si>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</si>
  <si>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</si>
  <si>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</si>
  <si>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</si>
  <si>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</si>
  <si>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</si>
  <si>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</si>
  <si>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</si>
  <si>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</si>
  <si>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</si>
  <si>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</si>
  <si>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</si>
  <si>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</si>
  <si>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</si>
  <si>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</si>
  <si>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</si>
  <si>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</si>
  <si>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</si>
  <si>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</si>
  <si>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</si>
  <si>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</si>
  <si>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</si>
  <si>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</si>
  <si>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</si>
  <si>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</si>
  <si>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</si>
  <si>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</si>
  <si>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</si>
  <si>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</si>
  <si>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</si>
  <si>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</si>
  <si>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</si>
  <si>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</si>
  <si>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</si>
  <si>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</si>
  <si>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</si>
  <si>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</si>
  <si>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</si>
  <si>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</si>
  <si>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</si>
  <si>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</si>
  <si>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</si>
  <si>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</si>
  <si>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</si>
  <si>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</si>
  <si>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</si>
  <si>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</si>
  <si>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</si>
  <si>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</si>
  <si>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</si>
  <si>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</si>
  <si>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</si>
  <si>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</si>
  <si>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</si>
  <si>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</si>
  <si>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</si>
  <si>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</si>
  <si>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</si>
  <si>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</si>
  <si>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</si>
  <si>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</si>
  <si>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</si>
  <si>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</si>
  <si>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</si>
  <si>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</si>
  <si>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</si>
  <si>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</si>
  <si>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</si>
  <si>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</si>
  <si>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</si>
  <si>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</si>
  <si>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</si>
  <si>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</si>
  <si>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</si>
  <si>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</si>
  <si>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</si>
  <si>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</si>
  <si>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</si>
  <si>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</si>
  <si>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</si>
  <si>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</si>
  <si>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</si>
  <si>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</si>
  <si>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</si>
  <si>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</si>
  <si>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</si>
  <si>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</si>
  <si>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</si>
  <si>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</si>
  <si>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</si>
  <si>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</si>
  <si>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</si>
  <si>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</si>
  <si>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</si>
  <si>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</si>
  <si>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</si>
  <si>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</si>
  <si>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</si>
  <si>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</si>
  <si>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</si>
  <si>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</si>
  <si>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</si>
  <si>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</si>
  <si>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</si>
  <si>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</si>
  <si>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</si>
  <si>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</si>
  <si>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</si>
  <si>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</si>
  <si>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</si>
  <si>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</si>
  <si>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</si>
  <si>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</si>
  <si>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</si>
  <si>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</si>
  <si>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</si>
  <si>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</si>
  <si>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</si>
  <si>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</si>
  <si>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</si>
  <si>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</si>
  <si>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</si>
  <si>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</si>
  <si>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</si>
  <si>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</si>
  <si>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</si>
  <si>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</si>
  <si>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</si>
  <si>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</si>
  <si>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</si>
  <si>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</si>
  <si>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</si>
  <si>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</si>
  <si>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</si>
  <si>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</si>
  <si>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</si>
  <si>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</si>
  <si>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</si>
  <si>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</si>
  <si>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</si>
  <si>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</si>
  <si>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</si>
  <si>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</si>
  <si>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</si>
  <si>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</si>
  <si>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</si>
  <si>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</si>
  <si>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</si>
  <si>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</si>
  <si>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</si>
  <si>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</si>
  <si>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</si>
  <si>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</si>
  <si>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</si>
  <si>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</si>
  <si>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</si>
  <si>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</si>
  <si>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</si>
  <si>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</si>
  <si>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</si>
  <si>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</si>
  <si>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</si>
  <si>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</si>
  <si>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</si>
  <si>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</si>
  <si>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</si>
  <si>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</si>
  <si>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</si>
  <si>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</si>
  <si>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</si>
  <si>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</si>
  <si>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</si>
  <si>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</si>
  <si>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</si>
  <si>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</si>
  <si>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</si>
  <si>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</si>
  <si>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</si>
  <si>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</si>
  <si>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</si>
  <si>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</si>
  <si>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</si>
  <si>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</si>
  <si>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</si>
  <si>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</si>
  <si>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</si>
  <si>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</si>
  <si>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</si>
  <si>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</si>
  <si>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</si>
  <si>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</si>
  <si>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</si>
  <si>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</si>
  <si>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</si>
  <si>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</si>
  <si>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</si>
  <si>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</si>
  <si>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</si>
  <si>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</si>
  <si>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</si>
  <si>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</si>
  <si>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</si>
  <si>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</si>
  <si>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</si>
  <si>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</si>
  <si>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</si>
  <si>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</si>
  <si>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</si>
  <si>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</si>
  <si>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</si>
  <si>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</si>
  <si>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</si>
  <si>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</si>
  <si>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</si>
  <si>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</si>
  <si>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</si>
  <si>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</si>
  <si>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</si>
  <si>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</si>
  <si>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</si>
  <si>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</si>
  <si>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</si>
  <si>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</si>
  <si>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</si>
  <si>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</si>
  <si>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</si>
  <si>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</si>
  <si>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</si>
  <si>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</si>
  <si>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</si>
  <si>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</si>
  <si>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</si>
  <si>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</si>
  <si>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</si>
  <si>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</si>
  <si>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</si>
  <si>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</si>
  <si>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</si>
  <si>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</si>
  <si>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</si>
  <si>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</si>
  <si>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</si>
  <si>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</si>
  <si>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</si>
  <si>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</si>
  <si>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</si>
  <si>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</si>
  <si>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</si>
  <si>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</si>
  <si>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</si>
  <si>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</si>
  <si>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</si>
  <si>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</si>
  <si>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</si>
  <si>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</si>
  <si>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</si>
  <si>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</si>
  <si>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</si>
  <si>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</si>
  <si>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</si>
  <si>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</si>
  <si>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</si>
  <si>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</si>
  <si>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</si>
  <si>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</si>
  <si>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</si>
  <si>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</si>
  <si>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</si>
  <si>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</si>
  <si>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</si>
  <si>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</si>
  <si>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</si>
  <si>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</si>
  <si>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</si>
  <si>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</si>
  <si>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</si>
  <si>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</si>
  <si>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</si>
  <si>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</si>
  <si>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</si>
  <si>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</si>
  <si>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</si>
  <si>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</si>
  <si>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</si>
  <si>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</si>
  <si>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</si>
  <si>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</si>
  <si>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</si>
  <si>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</si>
  <si>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</si>
  <si>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</si>
  <si>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</si>
  <si>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</si>
  <si>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</si>
  <si>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</si>
  <si>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</si>
  <si>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</si>
  <si>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</si>
  <si>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</si>
  <si>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</si>
  <si>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</si>
  <si>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</si>
  <si>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</si>
  <si>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</si>
  <si>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</si>
  <si>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</si>
  <si>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</si>
  <si>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</si>
  <si>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</si>
  <si>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</si>
  <si>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</si>
  <si>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</si>
  <si>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</si>
  <si>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</si>
  <si>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</si>
  <si>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</si>
  <si>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</si>
  <si>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</si>
  <si>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</si>
  <si>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</si>
  <si>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</si>
  <si>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</si>
  <si>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</si>
  <si>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</si>
  <si>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</si>
  <si>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</si>
  <si>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</si>
  <si>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</si>
  <si>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</si>
  <si>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</si>
  <si>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</si>
  <si>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</si>
  <si>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</si>
  <si>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</si>
  <si>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</si>
  <si>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</si>
  <si>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</si>
  <si>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</si>
  <si>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</si>
  <si>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</si>
  <si>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</si>
  <si>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</si>
  <si>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</si>
  <si>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</si>
  <si>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</si>
  <si>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</si>
  <si>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</si>
  <si>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</si>
  <si>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</si>
  <si>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</si>
  <si>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</si>
  <si>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</si>
  <si>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</si>
  <si>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</si>
  <si>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</si>
  <si>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</si>
  <si>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</si>
  <si>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</si>
  <si>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</si>
  <si>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</si>
  <si>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</si>
  <si>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</si>
  <si>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</si>
  <si>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</si>
  <si>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</si>
  <si>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</si>
  <si>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</si>
  <si>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</si>
  <si>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</si>
  <si>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</si>
  <si>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</si>
  <si>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</si>
  <si>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</si>
  <si>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</si>
  <si>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</si>
  <si>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</si>
  <si>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</si>
  <si>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</si>
  <si>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</si>
  <si>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</si>
  <si>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</si>
  <si>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</si>
  <si>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</si>
  <si>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</si>
  <si>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</si>
  <si>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</si>
  <si>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</si>
  <si>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</si>
  <si>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</si>
  <si>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</si>
  <si>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</si>
  <si>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</si>
  <si>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</si>
  <si>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</si>
  <si>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</si>
  <si>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</si>
  <si>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</si>
  <si>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</si>
  <si>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</si>
  <si>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</si>
  <si>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</si>
  <si>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</si>
  <si>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</si>
  <si>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</si>
  <si>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</si>
  <si>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</si>
  <si>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</si>
  <si>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</si>
  <si>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</si>
  <si>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</si>
  <si>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</si>
  <si>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</si>
  <si>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</si>
  <si>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</si>
  <si>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</si>
  <si>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</si>
  <si>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</si>
  <si>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</si>
  <si>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WFD_IMPg - Aldin Grange</t>
  </si>
  <si>
    <t>See column heading</t>
  </si>
  <si>
    <t>N</t>
  </si>
  <si>
    <t>7F.1</t>
  </si>
  <si>
    <t>WFD_IMPg - Bishop Middleham</t>
  </si>
  <si>
    <t>7F.2</t>
  </si>
  <si>
    <t>WFD_IMPm - Bowburn</t>
  </si>
  <si>
    <t>7F.3</t>
  </si>
  <si>
    <t>WFD_IMPm - Browney</t>
  </si>
  <si>
    <t>7F.4</t>
  </si>
  <si>
    <t>WFD_IMPg - Carlton Redmarshall</t>
  </si>
  <si>
    <t>7F.5</t>
  </si>
  <si>
    <t>WFD_IMPg /WFD_ND - Chilton Lane</t>
  </si>
  <si>
    <t>7F.6</t>
  </si>
  <si>
    <t>WFD_IMPp - Crookhall</t>
  </si>
  <si>
    <t>7F.7</t>
  </si>
  <si>
    <t>WFD_IMPp - Dipton</t>
  </si>
  <si>
    <t>7F.8</t>
  </si>
  <si>
    <t>WFD_IMPm / WFD_ND - Esh Winning</t>
  </si>
  <si>
    <t>7F.9</t>
  </si>
  <si>
    <t>WFD_IMPg / WFD_ND - Fishburn</t>
  </si>
  <si>
    <t>7F.10</t>
  </si>
  <si>
    <t>WFD_IMPg - Kelloe</t>
  </si>
  <si>
    <t>7F.11</t>
  </si>
  <si>
    <t>WFD_IMPg - Kirklevington</t>
  </si>
  <si>
    <t>7F.12</t>
  </si>
  <si>
    <t>WFD_IMPm / WFD_ND - Knitsley</t>
  </si>
  <si>
    <t>7F.13</t>
  </si>
  <si>
    <t>WFD_IMPm - Lanchester</t>
  </si>
  <si>
    <t>7F.14</t>
  </si>
  <si>
    <t>WFD_ND - Longhorsley</t>
  </si>
  <si>
    <t>7F.15</t>
  </si>
  <si>
    <t>WFD_IMPg - Longnewton</t>
  </si>
  <si>
    <t>7F.16</t>
  </si>
  <si>
    <t>WFD_IMPm / WFD_ND - New Moors</t>
  </si>
  <si>
    <t>7F.17</t>
  </si>
  <si>
    <t>WFD_IMPg - Pittington now Sherburn</t>
  </si>
  <si>
    <t>7F.18</t>
  </si>
  <si>
    <t>WFD_IMPm - Pity Me - Durham Transfer</t>
  </si>
  <si>
    <t>7F.19</t>
  </si>
  <si>
    <t>WFD_IMPg - Plawsworth - Durham Transfer</t>
  </si>
  <si>
    <t>7F.20</t>
  </si>
  <si>
    <t>WFD_IMPm - Sacriston</t>
  </si>
  <si>
    <t>7F.21</t>
  </si>
  <si>
    <t>WFD_IMPm / WFD_ND - Sedgefield</t>
  </si>
  <si>
    <t>7F.22</t>
  </si>
  <si>
    <t>WFD_IMPm / WFD_ND - Sherburn</t>
  </si>
  <si>
    <t>7F.23</t>
  </si>
  <si>
    <t>WFD_IMPg - Slaley</t>
  </si>
  <si>
    <t>7F.24</t>
  </si>
  <si>
    <t>WFD_IMPm - Teesside Airport</t>
  </si>
  <si>
    <t>7F.25</t>
  </si>
  <si>
    <t>WFD_IMPm / WFD_ND - Trimdon</t>
  </si>
  <si>
    <t>Y</t>
  </si>
  <si>
    <t>7F.26</t>
  </si>
  <si>
    <t>WFD_IMPg - Witton Gilbert</t>
  </si>
  <si>
    <t>7F.27</t>
  </si>
  <si>
    <t>AMP7 Winep Procurement</t>
  </si>
  <si>
    <t>7F.28</t>
  </si>
  <si>
    <t>AMP6 schemes</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</si>
  <si>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</si>
  <si>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</si>
  <si>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</si>
  <si>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</si>
  <si>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</si>
  <si>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</si>
  <si>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</si>
  <si>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</si>
  <si>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</si>
  <si>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</si>
  <si>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</si>
  <si>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</si>
  <si>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</si>
  <si>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</si>
  <si>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</si>
  <si>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</si>
  <si>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</si>
  <si>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</si>
  <si>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</si>
  <si>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</si>
  <si>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</si>
  <si>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</si>
  <si>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</si>
  <si>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</si>
  <si>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</si>
  <si>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</si>
  <si>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</si>
  <si>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</si>
  <si>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</si>
  <si>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</si>
  <si>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</si>
  <si>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</si>
  <si>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</si>
  <si>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</si>
  <si>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</si>
  <si>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</si>
  <si>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</si>
  <si>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</si>
  <si>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</si>
  <si>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</si>
  <si>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</si>
  <si>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</si>
  <si>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</si>
  <si>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</si>
  <si>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</si>
  <si>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</si>
  <si>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</si>
  <si>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</si>
  <si>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</si>
  <si>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</si>
  <si>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</si>
  <si>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</si>
  <si>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</si>
  <si>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</si>
  <si>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</si>
  <si>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</si>
  <si>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</si>
  <si>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</si>
  <si>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</si>
  <si>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</si>
  <si>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</si>
  <si>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</si>
  <si>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</si>
  <si>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</si>
  <si>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</si>
  <si>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</si>
  <si>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</si>
  <si>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</si>
  <si>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</si>
  <si>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</si>
  <si>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</si>
  <si>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</si>
  <si>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</si>
  <si>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</si>
  <si>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</si>
  <si>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</si>
  <si>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</si>
  <si>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</si>
  <si>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</si>
  <si>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</si>
  <si>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</si>
  <si>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</si>
  <si>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</si>
  <si>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</si>
  <si>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</si>
  <si>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</si>
  <si>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</si>
  <si>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</si>
  <si>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</si>
  <si>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</si>
  <si>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</si>
  <si>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</si>
  <si>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</si>
  <si>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</si>
  <si>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</si>
  <si>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</si>
  <si>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</si>
  <si>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</si>
  <si>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</si>
  <si>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</si>
  <si>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</si>
  <si>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</si>
  <si>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</si>
  <si>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</si>
  <si>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</si>
  <si>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</si>
  <si>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</si>
  <si>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</si>
  <si>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</si>
  <si>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</si>
  <si>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</si>
  <si>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</si>
  <si>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</si>
  <si>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</si>
  <si>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</si>
  <si>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</si>
  <si>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</si>
  <si>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</si>
  <si>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</si>
  <si>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</si>
  <si>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</si>
  <si>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</si>
  <si>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</si>
  <si>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</si>
  <si>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</si>
  <si>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</si>
  <si>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</si>
  <si>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</si>
  <si>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</si>
  <si>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</si>
  <si>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</si>
  <si>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</si>
  <si>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</si>
  <si>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</si>
  <si>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</si>
  <si>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</si>
  <si>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</si>
  <si>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</si>
  <si>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</si>
  <si>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</si>
  <si>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</si>
  <si>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</si>
  <si>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</si>
  <si>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</si>
  <si>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</si>
  <si>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</si>
  <si>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</si>
  <si>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</si>
  <si>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</si>
  <si>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</si>
  <si>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</si>
  <si>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</si>
  <si>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</si>
  <si>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</si>
  <si>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</si>
  <si>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</si>
  <si>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</si>
  <si>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</si>
  <si>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</si>
  <si>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</si>
  <si>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</si>
  <si>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</si>
  <si>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</si>
  <si>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</si>
  <si>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</si>
  <si>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</si>
  <si>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</si>
  <si>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</si>
  <si>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</si>
  <si>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</si>
  <si>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</si>
  <si>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</si>
  <si>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</si>
  <si>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</si>
  <si>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</si>
  <si>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</si>
  <si>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</si>
  <si>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</si>
  <si>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</si>
  <si>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</si>
  <si>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</si>
  <si>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</si>
  <si>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</si>
  <si>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</si>
  <si>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</si>
  <si>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</si>
  <si>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</si>
  <si>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</si>
  <si>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</si>
  <si>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</si>
  <si>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</si>
  <si>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</si>
  <si>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</si>
  <si>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</si>
  <si>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</si>
  <si>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</si>
  <si>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</si>
  <si>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</si>
  <si>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</si>
  <si>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</si>
  <si>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</si>
  <si>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</si>
  <si>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</si>
  <si>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</si>
  <si>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</si>
  <si>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</si>
  <si>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</si>
  <si>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</si>
  <si>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</si>
  <si>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</si>
  <si>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</si>
  <si>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</si>
  <si>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</si>
  <si>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</si>
  <si>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</si>
  <si>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</si>
  <si>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</si>
  <si>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</si>
  <si>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</si>
  <si>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</si>
  <si>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</si>
  <si>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</si>
  <si>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</si>
  <si>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</si>
  <si>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</si>
  <si>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</si>
  <si>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</si>
  <si>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</si>
  <si>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</si>
  <si>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</si>
  <si>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</si>
  <si>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</si>
  <si>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</si>
  <si>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</si>
  <si>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</si>
  <si>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</si>
  <si>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</si>
  <si>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</si>
  <si>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</si>
  <si>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</si>
  <si>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</si>
  <si>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</si>
  <si>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</si>
  <si>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</si>
  <si>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</si>
  <si>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</si>
  <si>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</si>
  <si>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</si>
  <si>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</si>
  <si>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</si>
  <si>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</si>
  <si>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</si>
  <si>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</si>
  <si>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</si>
  <si>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</si>
  <si>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</si>
  <si>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</si>
  <si>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</si>
  <si>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</si>
  <si>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</si>
  <si>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</si>
  <si>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</si>
  <si>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</si>
  <si>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</si>
  <si>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</si>
  <si>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</si>
  <si>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</si>
  <si>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</si>
  <si>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</si>
  <si>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</si>
  <si>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</si>
  <si>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</si>
  <si>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</si>
  <si>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</si>
  <si>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</si>
  <si>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</si>
  <si>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</si>
  <si>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</si>
  <si>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</si>
  <si>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</si>
  <si>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</si>
  <si>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</si>
  <si>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</si>
  <si>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</si>
  <si>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</si>
  <si>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</si>
  <si>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</si>
  <si>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</si>
  <si>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</si>
  <si>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</si>
  <si>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</si>
  <si>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</si>
  <si>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</si>
  <si>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</si>
  <si>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</si>
  <si>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</si>
  <si>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</si>
  <si>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</si>
  <si>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</si>
  <si>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</si>
  <si>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</si>
  <si>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</si>
  <si>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</si>
  <si>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</si>
  <si>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</si>
  <si>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</si>
  <si>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</si>
  <si>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</si>
  <si>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</si>
  <si>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</si>
  <si>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</si>
  <si>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</si>
  <si>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</si>
  <si>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</si>
  <si>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</si>
  <si>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</si>
  <si>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</si>
  <si>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</si>
  <si>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</si>
  <si>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</si>
  <si>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</si>
  <si>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</si>
  <si>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</si>
  <si>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</si>
  <si>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</si>
  <si>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</si>
  <si>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</si>
  <si>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</si>
  <si>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</si>
  <si>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</si>
  <si>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</si>
  <si>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</si>
  <si>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</si>
  <si>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</si>
  <si>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</si>
  <si>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</si>
  <si>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</si>
  <si>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</si>
  <si>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</si>
  <si>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</si>
  <si>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</si>
  <si>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</si>
  <si>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</si>
  <si>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</si>
  <si>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</si>
  <si>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</si>
  <si>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</si>
  <si>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</si>
  <si>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</si>
  <si>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</si>
  <si>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</si>
  <si>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</si>
  <si>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</si>
  <si>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</si>
  <si>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</si>
  <si>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</si>
  <si>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</si>
  <si>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</si>
  <si>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</si>
  <si>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</si>
  <si>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</si>
  <si>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</si>
  <si>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</si>
  <si>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</si>
  <si>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</si>
  <si>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</si>
  <si>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</si>
  <si>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</si>
  <si>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</si>
  <si>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</si>
  <si>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</si>
  <si>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</si>
  <si>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</si>
  <si>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</si>
  <si>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</si>
  <si>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</si>
  <si>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</si>
  <si>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</si>
  <si>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</si>
  <si>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</si>
  <si>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</si>
  <si>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</si>
  <si>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</si>
  <si>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</si>
  <si>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</si>
  <si>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</si>
  <si>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</si>
  <si>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</si>
  <si>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</si>
  <si>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</si>
  <si>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</si>
  <si>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</si>
  <si>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</si>
  <si>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</si>
  <si>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</si>
  <si>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</si>
  <si>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</si>
  <si>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</si>
  <si>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</si>
  <si>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</si>
  <si>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</si>
  <si>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</si>
  <si>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</si>
  <si>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</si>
  <si>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</si>
  <si>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</si>
  <si>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</si>
  <si>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</si>
  <si>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</si>
  <si>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</si>
  <si>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</si>
  <si>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</si>
  <si>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</si>
  <si>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</si>
  <si>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</si>
  <si>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</si>
  <si>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</si>
  <si>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</si>
  <si>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</si>
  <si>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</si>
  <si>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</si>
  <si>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</si>
  <si>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</si>
  <si>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</si>
  <si>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</si>
  <si>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</si>
  <si>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</si>
  <si>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</si>
  <si>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</si>
  <si>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</si>
  <si>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</si>
  <si>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</si>
  <si>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</si>
  <si>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</si>
  <si>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</si>
  <si>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</si>
  <si>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</si>
  <si>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</si>
  <si>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</si>
  <si>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</si>
  <si>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</si>
  <si>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</si>
  <si>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</si>
  <si>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</si>
  <si>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</si>
  <si>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</si>
  <si>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</si>
  <si>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</si>
  <si>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</si>
  <si>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</si>
  <si>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</si>
  <si>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</si>
  <si>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</si>
  <si>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</si>
  <si>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</si>
  <si>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</si>
  <si>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</si>
  <si>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</si>
  <si>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</si>
  <si>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</si>
  <si>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</si>
  <si>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</si>
  <si>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</si>
  <si>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</si>
  <si>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</si>
  <si>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</si>
  <si>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</si>
  <si>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</si>
  <si>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</si>
  <si>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</si>
  <si>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</si>
  <si>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</si>
  <si>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</si>
  <si>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</si>
  <si>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</si>
  <si>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</si>
  <si>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</si>
  <si>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</si>
  <si>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</si>
  <si>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</si>
  <si>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</si>
  <si>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</si>
  <si>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</si>
  <si>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</si>
  <si>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</si>
  <si>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</si>
  <si>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</si>
  <si>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</si>
  <si>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</si>
  <si>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</si>
  <si>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</si>
  <si>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</si>
  <si>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</si>
  <si>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</si>
  <si>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</si>
  <si>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</si>
  <si>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</si>
  <si>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</si>
  <si>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</si>
  <si>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</si>
  <si>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</si>
  <si>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</si>
  <si>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</si>
  <si>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</si>
  <si>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</si>
  <si>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</si>
  <si>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</si>
  <si>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</si>
  <si>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</si>
  <si>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</si>
  <si>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</si>
  <si>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</si>
  <si>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</si>
  <si>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</si>
  <si>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</si>
  <si>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</si>
  <si>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</si>
  <si>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</si>
  <si>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</si>
  <si>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</si>
  <si>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</si>
  <si>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</si>
  <si>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</si>
  <si>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</si>
  <si>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</si>
  <si>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</si>
  <si>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</si>
  <si>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</si>
  <si>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</si>
  <si>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</si>
  <si>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</si>
  <si>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</si>
  <si>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</si>
  <si>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</si>
  <si>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</si>
  <si>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</si>
  <si>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</si>
  <si>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</si>
  <si>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</si>
  <si>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</si>
  <si>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</si>
  <si>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</si>
  <si>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</si>
  <si>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</si>
  <si>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</si>
  <si>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</si>
  <si>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</si>
  <si>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</si>
  <si>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</si>
  <si>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</si>
  <si>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</si>
  <si>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</si>
  <si>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</si>
  <si>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</si>
  <si>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</si>
  <si>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</si>
  <si>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</si>
  <si>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</si>
  <si>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</si>
  <si>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</si>
  <si>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</si>
  <si>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</si>
  <si>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</si>
  <si>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</si>
  <si>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</si>
  <si>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</si>
  <si>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</si>
  <si>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</si>
  <si>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</si>
  <si>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</si>
  <si>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</si>
  <si>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</si>
  <si>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</si>
  <si>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</si>
  <si>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</si>
  <si>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</si>
  <si>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</si>
  <si>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</si>
  <si>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</si>
  <si>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</si>
  <si>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</si>
  <si>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</si>
  <si>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</si>
  <si>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</si>
  <si>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</si>
  <si>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</si>
  <si>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</si>
  <si>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</si>
  <si>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</si>
  <si>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</si>
  <si>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</si>
  <si>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</si>
  <si>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</si>
  <si>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</si>
  <si>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</si>
  <si>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</si>
  <si>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</si>
  <si>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</si>
  <si>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</si>
  <si>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</si>
  <si>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</si>
  <si>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</si>
  <si>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</si>
  <si>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</si>
  <si>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</si>
  <si>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</si>
  <si>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</si>
  <si>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</si>
  <si>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</si>
  <si>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</si>
  <si>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</si>
  <si>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</si>
  <si>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</si>
  <si>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</si>
  <si>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</si>
  <si>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</si>
  <si>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</si>
  <si>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</si>
  <si>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</si>
  <si>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</si>
  <si>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</si>
  <si>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</si>
  <si>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</si>
  <si>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</si>
  <si>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</si>
  <si>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</si>
  <si>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</si>
  <si>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</si>
  <si>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</si>
  <si>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</si>
  <si>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</si>
  <si>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</si>
  <si>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</si>
  <si>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</si>
  <si>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</si>
  <si>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</si>
  <si>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</si>
  <si>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</si>
  <si>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</si>
  <si>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</si>
  <si>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</si>
  <si>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</si>
  <si>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</si>
  <si>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</si>
  <si>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</si>
  <si>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</si>
  <si>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</si>
  <si>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</si>
  <si>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</si>
  <si>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</si>
  <si>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</si>
  <si>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</si>
  <si>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</si>
  <si>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</si>
  <si>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</si>
  <si>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</si>
  <si>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</si>
  <si>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</si>
  <si>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</si>
  <si>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</si>
  <si>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</si>
  <si>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</si>
  <si>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</si>
  <si>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</si>
  <si>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</si>
  <si>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</si>
  <si>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</si>
  <si>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</si>
  <si>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</si>
  <si>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</si>
  <si>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</si>
  <si>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</si>
  <si>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</si>
  <si>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</si>
  <si>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</si>
  <si>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</si>
  <si>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</si>
  <si>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</si>
  <si>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</si>
  <si>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</si>
  <si>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</si>
  <si>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</si>
  <si>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</si>
  <si>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</si>
  <si>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</si>
  <si>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</si>
  <si>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</si>
  <si>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</si>
  <si>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</si>
  <si>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</si>
  <si>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</si>
  <si>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</si>
  <si>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</si>
  <si>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</si>
  <si>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</si>
  <si>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</si>
  <si>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</si>
  <si>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</si>
  <si>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</si>
  <si>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</si>
  <si>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</si>
  <si>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</si>
  <si>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</si>
  <si>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</si>
  <si>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</si>
  <si>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</si>
  <si>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</si>
  <si>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</si>
  <si>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</si>
  <si>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</si>
  <si>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</si>
  <si>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</si>
  <si>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</si>
  <si>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</si>
  <si>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</si>
  <si>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</si>
  <si>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</si>
  <si>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</si>
  <si>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</si>
  <si>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</si>
  <si>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</si>
  <si>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</si>
  <si>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</si>
  <si>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</si>
  <si>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</si>
  <si>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</si>
  <si>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</si>
  <si>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</si>
  <si>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</si>
  <si>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</si>
  <si>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</si>
  <si>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</si>
  <si>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</si>
  <si>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</si>
  <si>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</si>
  <si>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</si>
  <si>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</si>
  <si>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</si>
  <si>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</si>
  <si>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</si>
  <si>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</si>
  <si>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</si>
  <si>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</si>
  <si>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</si>
  <si>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</si>
  <si>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</si>
  <si>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</si>
  <si>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</si>
  <si>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</si>
  <si>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</si>
  <si>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</si>
  <si>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</si>
  <si>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</si>
  <si>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</si>
  <si>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</si>
  <si>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</si>
  <si>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</si>
  <si>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</si>
  <si>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</si>
  <si>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</si>
  <si>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</si>
  <si>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</si>
  <si>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</si>
  <si>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</si>
  <si>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</si>
  <si>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</si>
  <si>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</si>
  <si>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</si>
  <si>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</si>
  <si>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</si>
  <si>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</si>
  <si>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</si>
  <si>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</si>
  <si>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</si>
  <si>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</si>
  <si>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</si>
  <si>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</si>
  <si>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</si>
  <si>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</si>
  <si>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</si>
  <si>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</si>
  <si>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</si>
  <si>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</si>
  <si>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</si>
  <si>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</si>
  <si>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</si>
  <si>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</si>
  <si>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</si>
  <si>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</si>
  <si>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</si>
  <si>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</si>
  <si>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</si>
  <si>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</si>
  <si>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</si>
  <si>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</si>
  <si>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</si>
  <si>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</si>
  <si>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</si>
  <si>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</si>
  <si>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</si>
  <si>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</si>
  <si>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</si>
  <si>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</si>
  <si>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</si>
  <si>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</si>
  <si>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</si>
  <si>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</si>
  <si>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</si>
  <si>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</si>
  <si>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</si>
  <si>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</si>
  <si>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</si>
  <si>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</si>
  <si>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</si>
  <si>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</si>
  <si>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</si>
  <si>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</si>
  <si>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</si>
  <si>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</si>
  <si>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</si>
  <si>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</si>
  <si>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</si>
  <si>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</si>
  <si>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</si>
  <si>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</si>
  <si>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</si>
  <si>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</si>
  <si>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</si>
  <si>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</si>
  <si>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</si>
  <si>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</si>
  <si>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</si>
  <si>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</si>
  <si>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</si>
  <si>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</si>
  <si>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</si>
  <si>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</si>
  <si>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</si>
  <si>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</si>
  <si>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</si>
  <si>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</si>
  <si>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</si>
  <si>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</si>
  <si>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</si>
  <si>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</si>
  <si>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</si>
  <si>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</si>
  <si>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</si>
  <si>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</si>
  <si>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</si>
  <si>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</si>
  <si>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</si>
  <si>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</si>
  <si>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</si>
  <si>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</si>
  <si>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</si>
  <si>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</si>
  <si>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</si>
  <si>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</si>
  <si>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</si>
  <si>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</si>
  <si>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</si>
  <si>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</si>
  <si>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</si>
  <si>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</si>
  <si>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</si>
  <si>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</si>
  <si>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</si>
  <si>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</si>
  <si>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</si>
  <si>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</si>
  <si>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</si>
  <si>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</si>
  <si>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</si>
  <si>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</si>
  <si>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</si>
  <si>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</si>
  <si>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</si>
  <si>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</si>
  <si>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</si>
  <si>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</si>
  <si>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</si>
  <si>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</si>
  <si>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</si>
  <si>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</si>
  <si>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</si>
  <si>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</si>
  <si>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</si>
  <si>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</si>
  <si>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</si>
  <si>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</si>
  <si>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Fairwater</t>
  </si>
  <si>
    <t>9A.9</t>
  </si>
  <si>
    <t>Innovation project 1 &lt;please insert project name&gt;</t>
  </si>
  <si>
    <t>National Leakage Research Centre</t>
  </si>
  <si>
    <t>9A.10</t>
  </si>
  <si>
    <t>Innovation project 2</t>
  </si>
  <si>
    <t>Stream phase 1 - Open data sharing platform</t>
  </si>
  <si>
    <t>9A.11</t>
  </si>
  <si>
    <t>Innovation project 3</t>
  </si>
  <si>
    <t>Support For All</t>
  </si>
  <si>
    <t>9A.12</t>
  </si>
  <si>
    <t>Innovation project 4</t>
  </si>
  <si>
    <t>SuPR Loofah (Sustainable Phosphorus Recovery)</t>
  </si>
  <si>
    <t>9A.13</t>
  </si>
  <si>
    <t>Innovation project 5</t>
  </si>
  <si>
    <t>Water Quality As-A-Service Treatment-2-Tap</t>
  </si>
  <si>
    <t>9A.14</t>
  </si>
  <si>
    <t>Innovation project 6</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</si>
  <si>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</si>
  <si>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</si>
  <si>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</si>
  <si>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</si>
  <si>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</si>
  <si>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</si>
  <si>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</si>
  <si>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</si>
  <si>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</si>
  <si>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</si>
  <si>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</si>
  <si>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</si>
  <si>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</si>
  <si>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</si>
  <si>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</si>
  <si>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</si>
  <si>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</si>
  <si>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</si>
  <si>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</si>
  <si>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</si>
  <si>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</si>
  <si>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</si>
  <si>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</si>
  <si>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</si>
  <si>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</si>
  <si>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</si>
  <si>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</si>
  <si>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</si>
  <si>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</si>
  <si>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</si>
  <si>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</si>
  <si>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</si>
  <si>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</si>
  <si>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</si>
  <si>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</si>
  <si>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</si>
  <si>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</si>
  <si>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</si>
  <si>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</si>
  <si>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</si>
  <si>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</si>
  <si>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</si>
  <si>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</si>
  <si>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</si>
  <si>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</si>
  <si>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</si>
  <si>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</si>
  <si>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</si>
  <si>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</si>
  <si>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</si>
  <si>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</si>
  <si>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</si>
  <si>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</si>
  <si>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</si>
  <si>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</si>
  <si>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</si>
  <si>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</si>
  <si>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</si>
  <si>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</si>
  <si>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</si>
  <si>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</si>
  <si>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</si>
  <si>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</si>
  <si>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</si>
  <si>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</si>
  <si>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</si>
  <si>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</si>
  <si>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</si>
  <si>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</si>
  <si>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</si>
  <si>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</si>
  <si>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</si>
  <si>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</si>
  <si>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</si>
  <si>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</si>
  <si>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</si>
  <si>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</si>
  <si>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</si>
  <si>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</si>
  <si>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</si>
  <si>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</si>
  <si>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</si>
  <si>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</si>
  <si>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</si>
  <si>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</si>
  <si>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</si>
  <si>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</si>
  <si>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</si>
  <si>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</si>
  <si>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</si>
  <si>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</si>
  <si>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</si>
  <si>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</si>
  <si>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</si>
  <si>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</si>
  <si>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</si>
  <si>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</si>
  <si>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</si>
  <si>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</si>
  <si>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</si>
  <si>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</si>
  <si>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</si>
  <si>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</si>
  <si>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</si>
  <si>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</si>
  <si>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</si>
  <si>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</si>
  <si>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</si>
  <si>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</si>
  <si>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</si>
  <si>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</si>
  <si>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</si>
  <si>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</si>
  <si>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</si>
  <si>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</si>
  <si>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</si>
  <si>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</si>
  <si>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</si>
  <si>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</si>
  <si>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</si>
  <si>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</si>
  <si>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</si>
  <si>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</si>
  <si>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</si>
  <si>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</si>
  <si>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</si>
  <si>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</si>
  <si>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</si>
  <si>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</si>
  <si>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</si>
  <si>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</si>
  <si>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</si>
  <si>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</si>
  <si>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</si>
  <si>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</si>
  <si>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</si>
  <si>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</si>
  <si>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</si>
  <si>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</si>
  <si>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</si>
  <si>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</si>
  <si>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</si>
  <si>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</si>
  <si>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</si>
  <si>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</si>
  <si>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</si>
  <si>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</si>
  <si>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</si>
  <si>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</si>
  <si>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</si>
  <si>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</si>
  <si>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</si>
  <si>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</si>
  <si>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</si>
  <si>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</si>
  <si>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</si>
  <si>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</si>
  <si>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</si>
  <si>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</si>
  <si>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</si>
  <si>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</si>
  <si>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</si>
  <si>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</si>
  <si>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</si>
  <si>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</si>
  <si>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</si>
  <si>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</si>
  <si>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</si>
  <si>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</si>
  <si>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</si>
  <si>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</si>
  <si>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</si>
  <si>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</si>
  <si>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</si>
  <si>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</si>
  <si>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</si>
  <si>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</si>
  <si>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</si>
  <si>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</si>
  <si>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</si>
  <si>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</si>
  <si>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</si>
  <si>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</si>
  <si>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</si>
  <si>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</si>
  <si>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</si>
  <si>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</si>
  <si>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</si>
  <si>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</si>
  <si>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</si>
  <si>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</si>
  <si>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</si>
  <si>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</si>
  <si>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</si>
  <si>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</si>
  <si>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</si>
  <si>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</si>
  <si>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</si>
  <si>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</si>
  <si>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</si>
  <si>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</si>
  <si>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</si>
  <si>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</si>
  <si>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</si>
  <si>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</si>
  <si>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</si>
  <si>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</si>
  <si>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</si>
  <si>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</si>
  <si>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</si>
  <si>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</si>
  <si>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</si>
  <si>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</si>
  <si>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</si>
  <si>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</si>
  <si>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</si>
  <si>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</si>
  <si>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</si>
  <si>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</si>
  <si>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</si>
  <si>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</si>
  <si>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</si>
  <si>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</si>
  <si>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</si>
  <si>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</si>
  <si>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</si>
  <si>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</si>
  <si>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</si>
  <si>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</si>
  <si>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</si>
  <si>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</si>
  <si>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</si>
  <si>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</si>
  <si>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</si>
  <si>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</si>
  <si>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</si>
  <si>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</si>
  <si>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</si>
  <si>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</si>
  <si>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</si>
  <si>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</si>
  <si>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</si>
  <si>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</si>
  <si>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</si>
  <si>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</si>
  <si>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</si>
  <si>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</si>
  <si>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</si>
  <si>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</si>
  <si>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</si>
  <si>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</si>
  <si>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</si>
  <si>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</si>
  <si>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</si>
  <si>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</si>
  <si>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</si>
  <si>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</si>
  <si>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</si>
  <si>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</si>
  <si>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</si>
  <si>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</si>
  <si>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</si>
  <si>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</si>
  <si>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</si>
  <si>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</si>
  <si>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</si>
  <si>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</si>
  <si>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</si>
  <si>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</si>
  <si>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</si>
  <si>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</si>
  <si>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</si>
  <si>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</si>
  <si>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</si>
  <si>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</si>
  <si>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</si>
  <si>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</si>
  <si>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</si>
  <si>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</si>
  <si>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</si>
  <si>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</si>
  <si>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</si>
  <si>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</si>
  <si>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</si>
  <si>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</si>
  <si>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</si>
  <si>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</si>
  <si>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</si>
  <si>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</si>
  <si>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</si>
  <si>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</si>
  <si>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</si>
  <si>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</si>
  <si>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</si>
  <si>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</si>
  <si>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</si>
  <si>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</si>
  <si>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</si>
  <si>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</si>
  <si>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</si>
  <si>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</si>
  <si>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</si>
  <si>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</si>
  <si>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</si>
  <si>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</si>
  <si>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</si>
  <si>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</si>
  <si>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</si>
  <si>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</si>
  <si>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</si>
  <si>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</si>
  <si>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</si>
  <si>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</si>
  <si>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</si>
  <si>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</si>
  <si>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</si>
  <si>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</si>
  <si>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</si>
  <si>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</si>
  <si>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</si>
  <si>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</si>
  <si>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</si>
  <si>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</si>
  <si>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</si>
  <si>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</si>
  <si>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</si>
  <si>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</si>
  <si>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</si>
  <si>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</si>
  <si>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</si>
  <si>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</si>
  <si>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</si>
  <si>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</si>
  <si>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</si>
  <si>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</si>
  <si>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</si>
  <si>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</si>
  <si>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</si>
  <si>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</si>
  <si>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</si>
  <si>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</si>
  <si>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</si>
  <si>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</si>
  <si>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</si>
  <si>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</si>
  <si>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</si>
  <si>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</si>
  <si>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</si>
  <si>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</si>
  <si>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</si>
  <si>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</si>
  <si>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</si>
  <si>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</si>
  <si>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</si>
  <si>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</si>
  <si>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</si>
  <si>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</si>
  <si>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</si>
  <si>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</si>
  <si>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</si>
  <si>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</si>
  <si>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</si>
  <si>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</si>
  <si>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</si>
  <si>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</si>
  <si>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</si>
  <si>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</si>
  <si>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</si>
  <si>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</si>
  <si>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</si>
  <si>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</si>
  <si>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</si>
  <si>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</si>
  <si>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</si>
  <si>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</si>
  <si>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</si>
  <si>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</si>
  <si>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</si>
  <si>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</si>
  <si>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</si>
  <si>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</si>
  <si>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</si>
  <si>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</si>
  <si>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</si>
  <si>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</si>
  <si>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</si>
  <si>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</si>
  <si>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</si>
  <si>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</si>
  <si>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</si>
  <si>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</si>
  <si>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</si>
  <si>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</si>
  <si>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</si>
  <si>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</si>
  <si>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</si>
  <si>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</si>
  <si>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</si>
  <si>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</si>
  <si>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</si>
  <si>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</si>
  <si>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</si>
  <si>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</si>
  <si>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</si>
  <si>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</si>
  <si>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</si>
  <si>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</si>
  <si>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</si>
  <si>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</si>
  <si>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</si>
  <si>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</si>
  <si>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</si>
  <si>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</si>
  <si>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</si>
  <si>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</si>
  <si>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</si>
  <si>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</si>
  <si>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</si>
  <si>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</si>
  <si>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</si>
  <si>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</si>
  <si>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</si>
  <si>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</si>
  <si>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</si>
  <si>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</si>
  <si>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</si>
  <si>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</si>
  <si>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</si>
  <si>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</si>
  <si>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</si>
  <si>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</si>
  <si>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</si>
  <si>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</si>
  <si>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</si>
  <si>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</si>
  <si>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</si>
  <si>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</si>
  <si>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</si>
  <si>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</si>
  <si>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</si>
  <si>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</si>
  <si>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</si>
  <si>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</si>
  <si>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</si>
  <si>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</si>
  <si>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</si>
  <si>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</si>
  <si>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</si>
  <si>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</si>
  <si>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</si>
  <si>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</si>
  <si>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</si>
  <si>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</si>
  <si>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</si>
  <si>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</si>
  <si>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</si>
  <si>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</si>
  <si>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</si>
  <si>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</si>
  <si>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</si>
  <si>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</si>
  <si>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</si>
  <si>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</si>
  <si>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</si>
  <si>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</si>
  <si>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</si>
  <si>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</si>
  <si>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</si>
  <si>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</si>
  <si>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</si>
  <si>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</si>
  <si>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</si>
  <si>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</si>
  <si>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</si>
  <si>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</si>
  <si>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</si>
  <si>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</si>
  <si>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</si>
  <si>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</si>
  <si>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</si>
  <si>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</si>
  <si>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</si>
  <si>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</si>
  <si>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</si>
  <si>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</si>
  <si>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</si>
  <si>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</si>
  <si>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</si>
  <si>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</si>
  <si>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</si>
  <si>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</si>
  <si>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</si>
  <si>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</si>
  <si>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</si>
  <si>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</si>
  <si>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</si>
  <si>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Use of chemicals</t>
  </si>
  <si>
    <t>Disposal of waste</t>
  </si>
  <si>
    <t>11A.30</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</si>
  <si>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</si>
  <si>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</si>
  <si>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</si>
  <si>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</si>
  <si>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</si>
  <si>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</si>
  <si>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</si>
  <si>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</si>
  <si>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</si>
  <si>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</si>
  <si>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</si>
  <si>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</si>
  <si>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</si>
  <si>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</si>
  <si>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</si>
  <si>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</si>
  <si>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</si>
  <si>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</si>
  <si>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</si>
  <si>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</si>
  <si>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</si>
  <si>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</si>
  <si>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</si>
  <si>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</si>
  <si>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</si>
  <si>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</si>
  <si>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</si>
  <si>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</si>
  <si>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</si>
  <si>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</si>
  <si>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</si>
  <si>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</si>
  <si>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</si>
  <si>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</si>
  <si>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</si>
  <si>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</si>
  <si>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</si>
  <si>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</si>
  <si>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</si>
  <si>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</si>
  <si>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</si>
  <si>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</si>
  <si>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</si>
  <si>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</si>
  <si>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</si>
  <si>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</si>
  <si>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</si>
  <si>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</si>
  <si>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</si>
  <si>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</si>
  <si>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</si>
  <si>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</si>
  <si>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</si>
  <si>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</si>
  <si>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</si>
  <si>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</si>
  <si>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</si>
  <si>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</si>
  <si>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</si>
  <si>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</si>
  <si>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</si>
  <si>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</si>
  <si>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</si>
  <si>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</si>
  <si>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</si>
  <si>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</si>
  <si>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</si>
  <si>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</si>
  <si>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</si>
  <si>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</si>
  <si>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</si>
  <si>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BR103_IRWTW</t>
  </si>
  <si>
    <t>Emissions per Ml of sewage treated</t>
  </si>
  <si>
    <t>11A.47</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</si>
  <si>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</si>
  <si>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</si>
  <si>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</si>
  <si>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</si>
  <si>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</si>
  <si>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</si>
  <si>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</si>
  <si>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</si>
  <si>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</si>
  <si>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</si>
  <si>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</si>
  <si>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</si>
  <si>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Purchased goods and services</t>
  </si>
  <si>
    <t>11A.51</t>
  </si>
  <si>
    <t>Purchased goods and services (please specify)</t>
  </si>
  <si>
    <t>Query</t>
  </si>
  <si>
    <t>Cells</t>
  </si>
  <si>
    <t>11a</t>
  </si>
  <si>
    <t>Notes</t>
  </si>
  <si>
    <t>Additional Data added.</t>
  </si>
  <si>
    <t>NES-APR-GH-001</t>
  </si>
  <si>
    <t>NES-APR-CA-006</t>
  </si>
  <si>
    <t>4L.85, 4L.88</t>
  </si>
  <si>
    <t>Column</t>
  </si>
  <si>
    <t>J - Treated Water</t>
  </si>
  <si>
    <t>NES-APR-CA-008</t>
  </si>
  <si>
    <t>Various highlighted red</t>
  </si>
  <si>
    <t>AMP6 Schemes data for column V is aggregated across schemes</t>
  </si>
  <si>
    <t>6F</t>
  </si>
  <si>
    <t>R / Y</t>
  </si>
  <si>
    <t>NES-APR-CA-010</t>
  </si>
  <si>
    <t>1F</t>
  </si>
  <si>
    <t>1F.5 / 1F.11 / 1F.14</t>
  </si>
  <si>
    <t>J / P</t>
  </si>
  <si>
    <t>NES-APR-FR-003</t>
  </si>
  <si>
    <t>NES-APR-FR-002</t>
  </si>
  <si>
    <t>4V.1 / 4V.2 / 4V.3 / 4V.5</t>
  </si>
  <si>
    <t xml:space="preserve">E/ I </t>
  </si>
  <si>
    <t>NES-APR-IC-001</t>
  </si>
  <si>
    <t>2K</t>
  </si>
  <si>
    <t>E / F</t>
  </si>
  <si>
    <t>NES-APR-DE-001</t>
  </si>
  <si>
    <t>J20 - 22, K20 - 21, E162,315,323,468, R315-323, S468</t>
  </si>
  <si>
    <t>J/K/E/R/S</t>
  </si>
  <si>
    <t>Change Log - updated text / numbers in red</t>
  </si>
  <si>
    <t>PR24: OFW-OBQ-NES-123</t>
  </si>
  <si>
    <t>2M</t>
  </si>
  <si>
    <t>G13</t>
  </si>
  <si>
    <t>G - Wastewater</t>
  </si>
  <si>
    <t>Corrected to align with BP RFI model</t>
  </si>
  <si>
    <t>PR24: OFW-OBQ-NES-138</t>
  </si>
  <si>
    <t xml:space="preserve">Reverts data to original submission.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</si>
</sst>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9">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9">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n">
        <color indexed="64"/>
      </left>
      <right style="thin">
        <color indexed="64"/>
      </right>
      <top style="thin">
        <color indexed="64"/>
      </top>
      <bottom style="thin">
        <color indexed="64"/>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cellStyleXfs>
  <cellXfs count="2952">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7"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5" fillId="0" borderId="156" xfId="0" applyFont="1" applyBorder="1" applyAlignment="1">
      <alignment horizontal="left" vertical="center" wrapText="1"/>
    </xf>
    <xf numFmtId="0" fontId="135" fillId="0" borderId="33" xfId="0" applyFont="1" applyBorder="1" applyAlignment="1">
      <alignment horizontal="left" vertical="center" wrapText="1"/>
    </xf>
    <xf numFmtId="0" fontId="135" fillId="0" borderId="33" xfId="0" applyFont="1" applyBorder="1" applyAlignment="1">
      <alignment horizontal="center" vertical="center" wrapText="1"/>
    </xf>
    <xf numFmtId="0" fontId="135" fillId="0" borderId="155" xfId="0" applyFont="1" applyBorder="1" applyAlignment="1">
      <alignment horizontal="left" vertical="center" wrapText="1"/>
    </xf>
    <xf numFmtId="0" fontId="135" fillId="0" borderId="157" xfId="0" applyFont="1" applyBorder="1" applyAlignment="1">
      <alignment horizontal="left" vertical="center" wrapText="1"/>
    </xf>
    <xf numFmtId="0" fontId="135"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5" fillId="0" borderId="71" xfId="0" applyFont="1" applyBorder="1" applyAlignment="1">
      <alignment horizontal="left" vertical="center" wrapText="1"/>
    </xf>
    <xf numFmtId="0" fontId="43" fillId="0" borderId="156" xfId="0" applyFont="1" applyBorder="1" applyAlignment="1">
      <alignment horizontal="left" vertical="top"/>
    </xf>
    <xf numFmtId="0" fontId="135"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39" fillId="0" borderId="0" xfId="30" applyFont="1" applyFill="1" applyBorder="1" applyAlignment="1">
      <alignment vertical="center"/>
    </xf>
    <xf numFmtId="0" fontId="140" fillId="0" borderId="0" xfId="30" applyFont="1" applyFill="1" applyBorder="1" applyAlignment="1">
      <alignment vertical="center"/>
    </xf>
    <xf numFmtId="0" fontId="141"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5" fillId="0" borderId="62" xfId="0" applyFont="1" applyBorder="1" applyAlignment="1">
      <alignment horizontal="left" vertical="center" wrapText="1"/>
    </xf>
    <xf numFmtId="0" fontId="135"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5" fillId="0" borderId="65" xfId="0" applyFont="1" applyBorder="1" applyAlignment="1">
      <alignment horizontal="left" vertical="center" wrapText="1"/>
    </xf>
    <xf numFmtId="0" fontId="135" fillId="0" borderId="0" xfId="0" applyFont="1"/>
    <xf numFmtId="0" fontId="135"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5"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6"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2"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3"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36" borderId="163" xfId="0" applyFont="1" applyFill="1" applyBorder="1" applyAlignment="1">
      <alignment vertical="top"/>
    </xf>
    <xf numFmtId="0" fontId="145" fillId="36" borderId="163" xfId="0" applyFont="1" applyFill="1" applyBorder="1" applyAlignment="1">
      <alignment vertical="top"/>
    </xf>
    <xf numFmtId="0" fontId="145" fillId="36" borderId="0" xfId="0" applyFont="1" applyFill="1" applyAlignment="1">
      <alignment vertical="top"/>
    </xf>
    <xf numFmtId="0" fontId="146" fillId="36" borderId="0" xfId="0" applyFont="1" applyFill="1" applyAlignment="1">
      <alignment vertical="top"/>
    </xf>
    <xf numFmtId="0" fontId="146" fillId="36" borderId="0" xfId="0" applyFont="1" applyFill="1" applyAlignment="1">
      <alignment horizontal="left" vertical="top"/>
    </xf>
    <xf numFmtId="0" fontId="147"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42" fillId="0" borderId="84" xfId="37"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0" fontId="0" fillId="0" borderId="0" xfId="0" applyAlignment="1">
      <alignment horizontal="left" vertical="top"/>
    </xf>
    <xf numFmtId="0" fontId="148"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48" fillId="26" borderId="177" xfId="0" applyFont="1" applyFill="1" applyBorder="1" applyAlignment="1">
      <alignment vertical="center" wrapText="1"/>
    </xf>
    <xf numFmtId="15" fontId="146" fillId="38" borderId="0" xfId="0" applyNumberFormat="1" applyFont="1" applyFill="1" applyAlignment="1">
      <alignment horizontal="left" vertical="top"/>
    </xf>
    <xf numFmtId="167" fontId="41" fillId="12" borderId="63" xfId="0" quotePrefix="1" applyNumberFormat="1" applyFont="1" applyFill="1" applyBorder="1" applyAlignment="1" applyProtection="1">
      <alignment horizontal="center" vertical="center" wrapText="1"/>
      <protection locked="0"/>
    </xf>
    <xf numFmtId="3" fontId="41" fillId="12" borderId="72" xfId="0" applyNumberFormat="1" applyFont="1" applyFill="1" applyBorder="1" applyAlignment="1" applyProtection="1">
      <alignment horizontal="center" vertical="center" wrapText="1"/>
      <protection locked="0"/>
    </xf>
    <xf numFmtId="1" fontId="41" fillId="12" borderId="72" xfId="0" applyNumberFormat="1" applyFont="1" applyFill="1" applyBorder="1" applyAlignment="1" applyProtection="1">
      <alignment horizontal="center" vertical="center" wrapText="1"/>
      <protection locked="0"/>
    </xf>
    <xf numFmtId="1" fontId="41" fillId="12" borderId="67" xfId="0" applyNumberFormat="1" applyFont="1" applyFill="1" applyBorder="1" applyAlignment="1" applyProtection="1">
      <alignment horizontal="center" vertical="center" wrapText="1"/>
      <protection locked="0"/>
    </xf>
    <xf numFmtId="1" fontId="43" fillId="12" borderId="14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0" fontId="43" fillId="13" borderId="67" xfId="38"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172" fontId="41" fillId="12" borderId="87" xfId="37" applyNumberFormat="1" applyFont="1" applyFill="1" applyBorder="1" applyAlignment="1" applyProtection="1">
      <alignment horizontal="center" vertical="center" wrapText="1"/>
      <protection locked="0"/>
    </xf>
    <xf numFmtId="173" fontId="50" fillId="12" borderId="76" xfId="0" applyNumberFormat="1" applyFont="1" applyFill="1" applyBorder="1" applyAlignment="1" applyProtection="1">
      <alignment horizontal="center" vertical="center" wrapText="1"/>
      <protection locked="0"/>
    </xf>
    <xf numFmtId="173" fontId="50" fillId="12" borderId="75" xfId="39" applyNumberFormat="1" applyFont="1" applyFill="1" applyBorder="1" applyAlignment="1" applyProtection="1">
      <alignment horizontal="center" vertical="center" wrapText="1"/>
    </xf>
    <xf numFmtId="172" fontId="50" fillId="12" borderId="33" xfId="0" applyNumberFormat="1" applyFont="1" applyFill="1" applyBorder="1" applyAlignment="1" applyProtection="1">
      <alignment horizontal="center" vertical="center" wrapText="1"/>
      <protection locked="0"/>
    </xf>
    <xf numFmtId="172" fontId="50" fillId="12" borderId="150" xfId="0" applyNumberFormat="1" applyFont="1" applyFill="1" applyBorder="1" applyAlignment="1" applyProtection="1">
      <alignment horizontal="center" vertical="center" wrapText="1"/>
      <protection locked="0"/>
    </xf>
    <xf numFmtId="172" fontId="50" fillId="12" borderId="20" xfId="0" applyNumberFormat="1" applyFont="1" applyFill="1" applyBorder="1" applyAlignment="1" applyProtection="1">
      <alignment horizontal="center" vertical="center" wrapText="1"/>
      <protection locked="0"/>
    </xf>
    <xf numFmtId="172" fontId="50" fillId="12" borderId="95" xfId="0" applyNumberFormat="1" applyFont="1" applyFill="1" applyBorder="1" applyAlignment="1" applyProtection="1">
      <alignment horizontal="center" vertical="center" wrapText="1"/>
      <protection locked="0"/>
    </xf>
    <xf numFmtId="172" fontId="41" fillId="12" borderId="20" xfId="0" applyNumberFormat="1" applyFont="1" applyFill="1" applyBorder="1" applyAlignment="1" applyProtection="1">
      <alignment horizontal="center" vertical="center" wrapText="1"/>
      <protection locked="0"/>
    </xf>
    <xf numFmtId="172" fontId="50" fillId="12" borderId="94" xfId="0" applyNumberFormat="1" applyFont="1" applyFill="1" applyBorder="1" applyAlignment="1" applyProtection="1">
      <alignment horizontal="center" vertical="center" wrapText="1"/>
      <protection locked="0"/>
    </xf>
    <xf numFmtId="172" fontId="50" fillId="21" borderId="150" xfId="0" applyNumberFormat="1" applyFont="1" applyFill="1" applyBorder="1" applyAlignment="1" applyProtection="1">
      <alignment horizontal="center" vertical="center" wrapText="1"/>
      <protection locked="0"/>
    </xf>
    <xf numFmtId="172" fontId="50" fillId="12" borderId="87" xfId="45" applyNumberFormat="1" applyFont="1" applyFill="1" applyBorder="1" applyAlignment="1" applyProtection="1">
      <alignment horizontal="center" vertical="center" wrapText="1"/>
      <protection locked="0"/>
    </xf>
    <xf numFmtId="4" fontId="50" fillId="12" borderId="87" xfId="45" applyNumberFormat="1" applyFont="1" applyFill="1" applyBorder="1" applyAlignment="1" applyProtection="1">
      <alignment horizontal="center" vertical="center" wrapText="1"/>
      <protection locked="0"/>
    </xf>
    <xf numFmtId="167" fontId="50" fillId="32" borderId="33" xfId="38" applyNumberFormat="1" applyFont="1" applyFill="1" applyBorder="1" applyAlignment="1" applyProtection="1">
      <alignment vertical="center"/>
      <protection locked="0"/>
    </xf>
    <xf numFmtId="167" fontId="50" fillId="32" borderId="72" xfId="38" applyNumberFormat="1" applyFont="1" applyFill="1" applyBorder="1" applyAlignment="1" applyProtection="1">
      <alignment vertical="center"/>
      <protection locked="0"/>
    </xf>
    <xf numFmtId="172" fontId="50" fillId="21" borderId="63" xfId="0" applyNumberFormat="1" applyFont="1" applyFill="1" applyBorder="1" applyAlignment="1" applyProtection="1">
      <alignment horizontal="center" vertical="center" wrapText="1"/>
      <protection locked="0"/>
    </xf>
    <xf numFmtId="172" fontId="50" fillId="21" borderId="33" xfId="0" applyNumberFormat="1" applyFont="1" applyFill="1" applyBorder="1" applyAlignment="1" applyProtection="1">
      <alignment horizontal="center" vertical="center" wrapText="1"/>
      <protection locked="0"/>
    </xf>
    <xf numFmtId="172" fontId="50" fillId="12" borderId="63" xfId="39" applyNumberFormat="1" applyFont="1" applyFill="1" applyBorder="1" applyAlignment="1" applyProtection="1">
      <alignment horizontal="center" vertical="center" wrapText="1"/>
      <protection locked="0"/>
    </xf>
    <xf numFmtId="172" fontId="41" fillId="12" borderId="148" xfId="0" applyNumberFormat="1" applyFont="1" applyFill="1" applyBorder="1" applyAlignment="1" applyProtection="1">
      <alignment horizontal="center" vertical="center" wrapText="1"/>
      <protection locked="0"/>
    </xf>
    <xf numFmtId="0" fontId="143" fillId="0" borderId="178" xfId="0" applyFont="1" applyBorder="1"/>
    <xf numFmtId="0" fontId="0" fillId="0" borderId="178" xfId="0" applyBorder="1"/>
    <xf numFmtId="14" fontId="50" fillId="12" borderId="20" xfId="3" applyNumberFormat="1" applyFont="1" applyFill="1" applyBorder="1" applyAlignment="1" applyProtection="1">
      <alignment horizontal="center" vertical="top"/>
      <protection locked="0"/>
    </xf>
    <xf numFmtId="166" fontId="50" fillId="12" borderId="20" xfId="3" applyNumberFormat="1" applyFont="1" applyFill="1" applyBorder="1" applyAlignment="1" applyProtection="1">
      <alignment horizontal="right" vertical="top"/>
      <protection locked="0"/>
    </xf>
    <xf numFmtId="49" fontId="50" fillId="12" borderId="86" xfId="3" quotePrefix="1" applyNumberFormat="1" applyFont="1" applyFill="1" applyBorder="1" applyAlignment="1" applyProtection="1">
      <alignment horizontal="left" vertical="top"/>
      <protection locked="0"/>
    </xf>
    <xf numFmtId="49" fontId="50" fillId="12" borderId="20" xfId="3" quotePrefix="1" applyNumberFormat="1" applyFont="1" applyFill="1" applyBorder="1" applyAlignment="1" applyProtection="1">
      <alignment horizontal="left" vertical="top"/>
      <protection locked="0"/>
    </xf>
    <xf numFmtId="10" fontId="50" fillId="12" borderId="86" xfId="47" applyNumberFormat="1" applyFont="1" applyFill="1" applyBorder="1" applyAlignment="1" applyProtection="1">
      <alignment horizontal="left" vertical="top"/>
      <protection locked="0"/>
    </xf>
    <xf numFmtId="10" fontId="50" fillId="12" borderId="20" xfId="47" applyNumberFormat="1" applyFont="1" applyFill="1" applyBorder="1" applyAlignment="1" applyProtection="1">
      <alignment horizontal="left" vertical="top"/>
      <protection locked="0"/>
    </xf>
    <xf numFmtId="166" fontId="50" fillId="12" borderId="86" xfId="3" applyNumberFormat="1" applyFont="1" applyFill="1" applyBorder="1" applyAlignment="1" applyProtection="1">
      <alignment horizontal="left" vertical="top"/>
      <protection locked="0"/>
    </xf>
    <xf numFmtId="166" fontId="50" fillId="12" borderId="20" xfId="3"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center" vertical="top"/>
      <protection locked="0"/>
    </xf>
    <xf numFmtId="0" fontId="0" fillId="0" borderId="178" xfId="0" applyFill="1" applyBorder="1"/>
    <xf numFmtId="172" fontId="87" fillId="12" borderId="63" xfId="39" applyNumberFormat="1" applyFont="1" applyFill="1" applyBorder="1" applyAlignment="1" applyProtection="1">
      <alignment horizontal="center" vertical="center" wrapText="1"/>
      <protection locked="0"/>
    </xf>
    <xf numFmtId="0" fontId="0" fillId="5" borderId="178" xfId="0" applyFill="1" applyBorder="1"/>
    <xf numFmtId="0" fontId="147" fillId="0" borderId="168" xfId="58" applyFill="1" applyBorder="1" applyAlignment="1">
      <alignment horizontal="left" vertical="top" wrapText="1"/>
    </xf>
    <xf numFmtId="0" fontId="147" fillId="0" borderId="0" xfId="58" applyFill="1" applyBorder="1" applyAlignment="1">
      <alignment horizontal="left" vertical="top" wrapText="1"/>
    </xf>
    <xf numFmtId="0" fontId="147"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39" fillId="10" borderId="165" xfId="0" applyFont="1" applyFill="1" applyBorder="1" applyAlignment="1">
      <alignment horizontal="left" vertical="center"/>
    </xf>
    <xf numFmtId="0" fontId="39" fillId="10" borderId="166" xfId="0" applyFont="1" applyFill="1" applyBorder="1" applyAlignment="1">
      <alignment horizontal="left" vertical="center"/>
    </xf>
    <xf numFmtId="0" fontId="39" fillId="10" borderId="167" xfId="0" applyFont="1" applyFill="1" applyBorder="1" applyAlignment="1">
      <alignment horizontal="left" vertical="center"/>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145" fillId="36" borderId="163" xfId="0" applyFont="1" applyFill="1" applyBorder="1" applyAlignment="1">
      <alignment vertical="top"/>
    </xf>
    <xf numFmtId="0" fontId="145" fillId="36" borderId="164" xfId="0" applyFont="1" applyFill="1" applyBorder="1" applyAlignment="1">
      <alignment vertical="top"/>
    </xf>
    <xf numFmtId="0" fontId="145"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54" fillId="14"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10"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39" fillId="18" borderId="124" xfId="15" applyFont="1" applyFill="1" applyBorder="1" applyAlignment="1">
      <alignment horizontal="center" vertical="center"/>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4" xfId="15" applyFont="1" applyFill="1" applyBorder="1" applyAlignment="1">
      <alignment horizontal="center" vertical="center"/>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81" xfId="15" applyFont="1" applyFill="1" applyBorder="1" applyAlignment="1">
      <alignment horizontal="center" vertical="center" wrapText="1"/>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10" borderId="89" xfId="0"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33" fillId="0" borderId="0" xfId="0" applyFont="1" applyAlignment="1"/>
    <xf numFmtId="0" fontId="90"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89" fillId="11" borderId="0" xfId="0" applyFont="1" applyFill="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64"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62" fillId="5" borderId="0" xfId="0" applyFont="1" applyFill="1" applyAlignment="1">
      <alignment horizontal="left"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61" fillId="0" borderId="0" xfId="0" applyFont="1" applyAlignment="1"/>
    <xf numFmtId="0" fontId="43" fillId="0" borderId="0" xfId="0" applyFont="1" applyAlignment="1">
      <alignment vertical="center" textRotation="90"/>
    </xf>
    <xf numFmtId="0" fontId="43" fillId="0" borderId="0" xfId="0" applyFont="1" applyAlignment="1"/>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20"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8">
          <cell r="N8" t="str">
            <v>ANH</v>
          </cell>
          <cell r="O8" t="str">
            <v>PR19ANH_7</v>
          </cell>
          <cell r="P8" t="str">
            <v>ANH</v>
          </cell>
          <cell r="Q8" t="str">
            <v>PR19ANH_8</v>
          </cell>
          <cell r="R8" t="str">
            <v>ANH</v>
          </cell>
          <cell r="S8" t="str">
            <v>PR19ANH_13</v>
          </cell>
        </row>
        <row r="9">
          <cell r="N9" t="str">
            <v>HDD</v>
          </cell>
          <cell r="O9" t="str">
            <v>PR19HDD_E1</v>
          </cell>
          <cell r="P9" t="str">
            <v>HDD</v>
          </cell>
          <cell r="Q9" t="str">
            <v>PR19HDD_E2</v>
          </cell>
          <cell r="R9" t="str">
            <v>HDD</v>
          </cell>
          <cell r="S9" t="str">
            <v>PR19HDD_E5</v>
          </cell>
        </row>
        <row r="10">
          <cell r="N10" t="str">
            <v>NES</v>
          </cell>
          <cell r="O10" t="str">
            <v>PR19NES_COM08</v>
          </cell>
          <cell r="P10" t="str">
            <v>NES</v>
          </cell>
          <cell r="Q10" t="str">
            <v>PR19NES_COM09</v>
          </cell>
          <cell r="R10" t="str">
            <v>NES</v>
          </cell>
          <cell r="S10" t="str">
            <v>PR19NES_COM14</v>
          </cell>
        </row>
        <row r="11">
          <cell r="N11" t="str">
            <v>SRN</v>
          </cell>
          <cell r="O11" t="str">
            <v>PR19SRN_WWN01</v>
          </cell>
          <cell r="R11" t="str">
            <v>SRN</v>
          </cell>
          <cell r="S11" t="str">
            <v>PR19SRN_WWN04</v>
          </cell>
        </row>
        <row r="12">
          <cell r="N12" t="str">
            <v>SVE</v>
          </cell>
          <cell r="O12" t="str">
            <v>PR19SVE_F01</v>
          </cell>
          <cell r="P12" t="str">
            <v>SRN</v>
          </cell>
          <cell r="Q12" t="str">
            <v>PR19SRN_WWN02</v>
          </cell>
          <cell r="R12" t="str">
            <v>SVE</v>
          </cell>
          <cell r="S12" t="str">
            <v>PR19SVE_F03</v>
          </cell>
        </row>
        <row r="13">
          <cell r="N13" t="str">
            <v>SWB</v>
          </cell>
          <cell r="O13" t="str">
            <v>PR19SWB_PC B1</v>
          </cell>
          <cell r="P13" t="str">
            <v>SVE</v>
          </cell>
          <cell r="Q13" t="str">
            <v>PR19SVE_F02</v>
          </cell>
          <cell r="R13" t="str">
            <v>SWB</v>
          </cell>
          <cell r="S13" t="str">
            <v>PR19SWB_PC B3</v>
          </cell>
        </row>
        <row r="14">
          <cell r="N14" t="str">
            <v>TMS</v>
          </cell>
          <cell r="O14" t="str">
            <v>PR19TMS_CS03</v>
          </cell>
          <cell r="P14" t="str">
            <v>SWB</v>
          </cell>
          <cell r="Q14" t="str">
            <v>PR19SWB_PC F1</v>
          </cell>
          <cell r="R14" t="str">
            <v>TMS</v>
          </cell>
          <cell r="S14" t="str">
            <v>PR19TMS_CS02</v>
          </cell>
        </row>
        <row r="15">
          <cell r="N15" t="str">
            <v>UUW</v>
          </cell>
          <cell r="O15" t="str">
            <v>PR19UUW_G02-WWN</v>
          </cell>
          <cell r="P15" t="str">
            <v>TMS</v>
          </cell>
          <cell r="Q15" t="str">
            <v>PR19TMS_ES01</v>
          </cell>
          <cell r="R15" t="str">
            <v>UUW</v>
          </cell>
          <cell r="S15" t="str">
            <v>PR19UUW_F01-WWN</v>
          </cell>
        </row>
        <row r="16">
          <cell r="N16" t="str">
            <v>WSH</v>
          </cell>
          <cell r="O16" t="str">
            <v>PR19WSH_Rt1</v>
          </cell>
          <cell r="P16" t="str">
            <v>UUW</v>
          </cell>
          <cell r="Q16" t="str">
            <v>PR19UUW_C01-WWN</v>
          </cell>
          <cell r="R16" t="str">
            <v>WSH</v>
          </cell>
          <cell r="S16" t="str">
            <v>PR19WSH_Rt3</v>
          </cell>
        </row>
        <row r="17">
          <cell r="N17" t="str">
            <v>WSX</v>
          </cell>
          <cell r="O17" t="str">
            <v>PR19WSX_F1</v>
          </cell>
          <cell r="P17" t="str">
            <v>WSH</v>
          </cell>
          <cell r="Q17" t="str">
            <v>PR19WSH_En3</v>
          </cell>
          <cell r="R17" t="str">
            <v>WSX</v>
          </cell>
          <cell r="S17" t="str">
            <v>PR19WSX_R6</v>
          </cell>
        </row>
        <row r="18">
          <cell r="N18" t="str">
            <v>YKY</v>
          </cell>
          <cell r="O18" t="str">
            <v>PR19YKY_31</v>
          </cell>
          <cell r="P18" t="str">
            <v>WSX</v>
          </cell>
          <cell r="Q18" t="str">
            <v>PR19WSX_E2</v>
          </cell>
          <cell r="R18" t="str">
            <v>YKY</v>
          </cell>
          <cell r="S18" t="str">
            <v>PR19YKY_33</v>
          </cell>
        </row>
        <row r="19">
          <cell r="P19" t="str">
            <v>YKY</v>
          </cell>
          <cell r="Q19" t="str">
            <v>PR19YKY_30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66</v>
      </c>
      <c r="D8" s="231" t="s">
        <v>67</v>
      </c>
      <c r="E8" s="232" t="s">
        <v>36</v>
      </c>
      <c r="G8" s="233" t="s">
        <v>68</v>
      </c>
      <c r="H8" s="233" t="s">
        <v>69</v>
      </c>
      <c r="I8" s="233" t="s">
        <v>70</v>
      </c>
      <c r="J8" s="233" t="s">
        <v>71</v>
      </c>
      <c r="K8" s="233" t="s">
        <v>72</v>
      </c>
      <c r="L8" s="233" t="s">
        <v>73</v>
      </c>
      <c r="M8" s="233" t="s">
        <v>74</v>
      </c>
      <c r="N8" s="233" t="s">
        <v>75</v>
      </c>
      <c r="O8" s="233" t="s">
        <v>76</v>
      </c>
      <c r="P8" s="233" t="s">
        <v>77</v>
      </c>
      <c r="Q8" s="233" t="s">
        <v>78</v>
      </c>
      <c r="S8" s="230" t="s">
        <v>79</v>
      </c>
      <c r="U8" s="230" t="s">
        <v>80</v>
      </c>
    </row>
    <row r="9" spans="2:21" s="228" customFormat="1" ht="15" customHeight="1">
      <c r="B9" s="230" t="s">
        <v>81</v>
      </c>
      <c r="C9" s="231" t="s">
        <v>14</v>
      </c>
      <c r="D9" s="231" t="s">
        <v>82</v>
      </c>
      <c r="E9" s="232" t="s">
        <v>20</v>
      </c>
      <c r="G9" s="233" t="s">
        <v>83</v>
      </c>
      <c r="H9" s="233" t="s">
        <v>84</v>
      </c>
      <c r="I9" s="233" t="s">
        <v>85</v>
      </c>
      <c r="J9" s="233" t="s">
        <v>86</v>
      </c>
      <c r="K9" s="233" t="s">
        <v>87</v>
      </c>
      <c r="L9" s="233" t="s">
        <v>88</v>
      </c>
      <c r="M9" s="233" t="s">
        <v>89</v>
      </c>
      <c r="N9" s="233" t="s">
        <v>90</v>
      </c>
      <c r="O9" s="233" t="s">
        <v>91</v>
      </c>
      <c r="P9" s="233" t="s">
        <v>92</v>
      </c>
      <c r="Q9" s="233" t="s">
        <v>93</v>
      </c>
      <c r="S9" s="230" t="s">
        <v>94</v>
      </c>
    </row>
    <row r="10" spans="2:21" s="228" customFormat="1" ht="15" customHeight="1">
      <c r="B10" s="230" t="s">
        <v>95</v>
      </c>
      <c r="C10" s="231" t="s">
        <v>96</v>
      </c>
      <c r="D10" s="231" t="s">
        <v>97</v>
      </c>
      <c r="E10" s="232" t="s">
        <v>20</v>
      </c>
      <c r="G10" s="233" t="s">
        <v>98</v>
      </c>
      <c r="H10" s="233" t="s">
        <v>99</v>
      </c>
      <c r="I10" s="233" t="s">
        <v>100</v>
      </c>
      <c r="J10" s="233" t="s">
        <v>101</v>
      </c>
      <c r="K10" s="233" t="s">
        <v>102</v>
      </c>
      <c r="L10" s="233" t="s">
        <v>103</v>
      </c>
      <c r="M10" s="233" t="s">
        <v>104</v>
      </c>
      <c r="N10" s="233" t="s">
        <v>105</v>
      </c>
      <c r="O10" s="233" t="s">
        <v>106</v>
      </c>
      <c r="P10" s="233" t="s">
        <v>107</v>
      </c>
      <c r="Q10" s="233" t="s">
        <v>108</v>
      </c>
      <c r="S10" s="230" t="s">
        <v>109</v>
      </c>
    </row>
    <row r="11" spans="2:21" s="228" customFormat="1" ht="15" customHeight="1">
      <c r="B11" s="230" t="s">
        <v>110</v>
      </c>
      <c r="C11" s="231" t="s">
        <v>7</v>
      </c>
      <c r="D11" s="231" t="s">
        <v>111</v>
      </c>
      <c r="E11" s="232" t="s">
        <v>20</v>
      </c>
      <c r="G11" s="233" t="s">
        <v>112</v>
      </c>
      <c r="H11" s="233" t="s">
        <v>113</v>
      </c>
      <c r="I11" s="233" t="s">
        <v>114</v>
      </c>
      <c r="J11" s="233" t="s">
        <v>115</v>
      </c>
      <c r="K11" s="233" t="s">
        <v>116</v>
      </c>
      <c r="L11" s="233" t="s">
        <v>117</v>
      </c>
      <c r="M11" s="233" t="s">
        <v>118</v>
      </c>
      <c r="N11" s="233" t="s">
        <v>119</v>
      </c>
      <c r="O11" s="233" t="s">
        <v>120</v>
      </c>
      <c r="P11" s="233" t="s">
        <v>121</v>
      </c>
      <c r="Q11" s="233" t="s">
        <v>122</v>
      </c>
      <c r="S11" s="230" t="s">
        <v>123</v>
      </c>
    </row>
    <row r="12" spans="2:21" s="228" customFormat="1" ht="15" customHeight="1">
      <c r="B12" s="230" t="s">
        <v>124</v>
      </c>
      <c r="C12" s="231" t="s">
        <v>125</v>
      </c>
      <c r="D12" s="231" t="s">
        <v>126</v>
      </c>
      <c r="E12" s="232" t="s">
        <v>36</v>
      </c>
      <c r="G12" s="233" t="s">
        <v>127</v>
      </c>
      <c r="H12" s="233" t="s">
        <v>128</v>
      </c>
      <c r="I12" s="233" t="s">
        <v>129</v>
      </c>
      <c r="J12" s="233" t="s">
        <v>130</v>
      </c>
      <c r="K12" s="233" t="s">
        <v>131</v>
      </c>
      <c r="L12" s="233" t="s">
        <v>132</v>
      </c>
      <c r="M12" s="233" t="s">
        <v>133</v>
      </c>
      <c r="N12" s="233" t="s">
        <v>134</v>
      </c>
      <c r="O12" s="233" t="s">
        <v>135</v>
      </c>
      <c r="P12" s="233" t="s">
        <v>136</v>
      </c>
      <c r="Q12" s="233" t="s">
        <v>137</v>
      </c>
    </row>
    <row r="13" spans="2:21" s="228" customFormat="1" ht="15" customHeight="1">
      <c r="B13" s="230" t="s">
        <v>138</v>
      </c>
      <c r="C13" s="231" t="s">
        <v>139</v>
      </c>
      <c r="D13" s="231" t="s">
        <v>140</v>
      </c>
      <c r="E13" s="232" t="s">
        <v>20</v>
      </c>
      <c r="G13" s="233" t="s">
        <v>141</v>
      </c>
      <c r="H13" s="233" t="s">
        <v>142</v>
      </c>
      <c r="I13" s="233" t="s">
        <v>143</v>
      </c>
      <c r="J13" s="233" t="s">
        <v>144</v>
      </c>
      <c r="K13" s="233" t="s">
        <v>145</v>
      </c>
      <c r="L13" s="233" t="s">
        <v>146</v>
      </c>
      <c r="M13" s="233" t="s">
        <v>147</v>
      </c>
      <c r="N13" s="233" t="s">
        <v>148</v>
      </c>
      <c r="O13" s="233" t="s">
        <v>149</v>
      </c>
      <c r="P13" s="233" t="s">
        <v>150</v>
      </c>
      <c r="Q13" s="233" t="s">
        <v>151</v>
      </c>
    </row>
    <row r="14" spans="2:21" s="228" customFormat="1" ht="15" customHeight="1">
      <c r="B14" s="230" t="s">
        <v>152</v>
      </c>
      <c r="C14" s="231" t="s">
        <v>153</v>
      </c>
      <c r="D14" s="231" t="s">
        <v>154</v>
      </c>
      <c r="E14" s="232" t="s">
        <v>36</v>
      </c>
      <c r="G14" s="233" t="s">
        <v>155</v>
      </c>
      <c r="H14" s="233" t="s">
        <v>156</v>
      </c>
      <c r="I14" s="233" t="s">
        <v>157</v>
      </c>
      <c r="J14" s="233" t="s">
        <v>158</v>
      </c>
      <c r="K14" s="233" t="s">
        <v>159</v>
      </c>
      <c r="L14" s="233" t="s">
        <v>160</v>
      </c>
      <c r="M14" s="233" t="s">
        <v>161</v>
      </c>
      <c r="N14" s="233" t="s">
        <v>162</v>
      </c>
      <c r="O14" s="233" t="s">
        <v>163</v>
      </c>
      <c r="P14" s="233" t="s">
        <v>164</v>
      </c>
      <c r="Q14" s="233" t="s">
        <v>165</v>
      </c>
    </row>
    <row r="15" spans="2:21" s="228" customFormat="1" ht="15" customHeight="1">
      <c r="B15" s="230" t="s">
        <v>166</v>
      </c>
      <c r="C15" s="231" t="s">
        <v>167</v>
      </c>
      <c r="D15" s="231" t="s">
        <v>168</v>
      </c>
      <c r="E15" s="232" t="s">
        <v>36</v>
      </c>
      <c r="G15" s="233" t="s">
        <v>169</v>
      </c>
      <c r="H15" s="233" t="s">
        <v>170</v>
      </c>
      <c r="I15" s="233" t="s">
        <v>171</v>
      </c>
      <c r="J15" s="233" t="s">
        <v>172</v>
      </c>
      <c r="K15" s="233" t="s">
        <v>173</v>
      </c>
      <c r="L15" s="233" t="s">
        <v>174</v>
      </c>
      <c r="M15" s="233" t="s">
        <v>175</v>
      </c>
      <c r="N15" s="233" t="s">
        <v>176</v>
      </c>
      <c r="O15" s="233" t="s">
        <v>177</v>
      </c>
      <c r="P15" s="233" t="s">
        <v>178</v>
      </c>
      <c r="Q15" s="233" t="s">
        <v>179</v>
      </c>
    </row>
    <row r="16" spans="2:21" s="228" customFormat="1" ht="15" customHeight="1">
      <c r="B16" s="230" t="s">
        <v>180</v>
      </c>
      <c r="C16" s="231" t="s">
        <v>181</v>
      </c>
      <c r="D16" s="231" t="s">
        <v>182</v>
      </c>
      <c r="E16" s="232" t="s">
        <v>20</v>
      </c>
      <c r="G16" s="233" t="s">
        <v>183</v>
      </c>
      <c r="H16" s="233" t="s">
        <v>184</v>
      </c>
      <c r="I16" s="233" t="s">
        <v>185</v>
      </c>
      <c r="J16" s="233" t="s">
        <v>186</v>
      </c>
      <c r="K16" s="233" t="s">
        <v>187</v>
      </c>
      <c r="L16" s="233" t="s">
        <v>188</v>
      </c>
      <c r="M16" s="233" t="s">
        <v>189</v>
      </c>
      <c r="N16" s="233" t="s">
        <v>190</v>
      </c>
      <c r="O16" s="233" t="s">
        <v>191</v>
      </c>
      <c r="P16" s="233" t="s">
        <v>192</v>
      </c>
      <c r="Q16" s="233" t="s">
        <v>193</v>
      </c>
    </row>
    <row r="17" spans="2:17" s="228" customFormat="1" ht="15" customHeight="1">
      <c r="B17" s="230" t="s">
        <v>194</v>
      </c>
      <c r="C17" s="231" t="s">
        <v>195</v>
      </c>
      <c r="D17" s="231" t="s">
        <v>196</v>
      </c>
      <c r="E17" s="232" t="s">
        <v>20</v>
      </c>
      <c r="G17" s="233" t="s">
        <v>197</v>
      </c>
      <c r="H17" s="233" t="s">
        <v>198</v>
      </c>
      <c r="I17" s="233" t="s">
        <v>199</v>
      </c>
      <c r="J17" s="233" t="s">
        <v>200</v>
      </c>
      <c r="K17" s="233" t="s">
        <v>201</v>
      </c>
      <c r="L17" s="233" t="s">
        <v>202</v>
      </c>
      <c r="M17" s="233" t="s">
        <v>203</v>
      </c>
      <c r="N17" s="233" t="s">
        <v>204</v>
      </c>
      <c r="O17" s="233" t="s">
        <v>205</v>
      </c>
      <c r="P17" s="233" t="s">
        <v>206</v>
      </c>
      <c r="Q17" s="233" t="s">
        <v>207</v>
      </c>
    </row>
    <row r="18" spans="2:17" s="228" customFormat="1" ht="15" customHeight="1">
      <c r="B18" s="230" t="s">
        <v>208</v>
      </c>
      <c r="C18" s="231" t="s">
        <v>9</v>
      </c>
      <c r="D18" s="231" t="s">
        <v>209</v>
      </c>
      <c r="E18" s="232" t="s">
        <v>20</v>
      </c>
      <c r="G18" s="233" t="s">
        <v>210</v>
      </c>
      <c r="H18" s="233" t="s">
        <v>211</v>
      </c>
      <c r="I18" s="233" t="s">
        <v>212</v>
      </c>
      <c r="J18" s="233" t="s">
        <v>213</v>
      </c>
      <c r="K18" s="233" t="s">
        <v>214</v>
      </c>
      <c r="L18" s="233" t="s">
        <v>215</v>
      </c>
      <c r="M18" s="233" t="s">
        <v>216</v>
      </c>
      <c r="N18" s="233" t="s">
        <v>217</v>
      </c>
      <c r="O18" s="233" t="s">
        <v>218</v>
      </c>
      <c r="P18" s="233" t="s">
        <v>219</v>
      </c>
      <c r="Q18" s="233" t="s">
        <v>220</v>
      </c>
    </row>
    <row r="19" spans="2:17" s="228" customFormat="1" ht="15" customHeight="1">
      <c r="B19" s="230" t="s">
        <v>221</v>
      </c>
      <c r="C19" s="231" t="s">
        <v>222</v>
      </c>
      <c r="D19" s="231" t="s">
        <v>223</v>
      </c>
      <c r="E19" s="232" t="s">
        <v>36</v>
      </c>
      <c r="G19" s="233" t="s">
        <v>224</v>
      </c>
      <c r="H19" s="233" t="s">
        <v>225</v>
      </c>
      <c r="I19" s="233" t="s">
        <v>226</v>
      </c>
      <c r="J19" s="233" t="s">
        <v>227</v>
      </c>
      <c r="K19" s="233" t="s">
        <v>228</v>
      </c>
      <c r="L19" s="233" t="s">
        <v>229</v>
      </c>
      <c r="M19" s="233" t="s">
        <v>230</v>
      </c>
      <c r="N19" s="233" t="s">
        <v>231</v>
      </c>
      <c r="O19" s="233" t="s">
        <v>232</v>
      </c>
      <c r="P19" s="233" t="s">
        <v>233</v>
      </c>
      <c r="Q19" s="233" t="s">
        <v>234</v>
      </c>
    </row>
    <row r="20" spans="2:17" s="228" customFormat="1" ht="15" customHeight="1">
      <c r="B20" s="230" t="s">
        <v>235</v>
      </c>
      <c r="C20" s="231" t="s">
        <v>235</v>
      </c>
      <c r="D20" s="231" t="s">
        <v>236</v>
      </c>
      <c r="E20" s="232" t="s">
        <v>20</v>
      </c>
      <c r="G20" s="233" t="s">
        <v>237</v>
      </c>
      <c r="H20" s="233" t="s">
        <v>238</v>
      </c>
      <c r="I20" s="233" t="s">
        <v>239</v>
      </c>
      <c r="J20" s="233" t="s">
        <v>240</v>
      </c>
      <c r="K20" s="233" t="s">
        <v>241</v>
      </c>
      <c r="L20" s="233" t="s">
        <v>242</v>
      </c>
      <c r="M20" s="233" t="s">
        <v>243</v>
      </c>
      <c r="N20" s="233" t="s">
        <v>244</v>
      </c>
      <c r="O20" s="233" t="s">
        <v>245</v>
      </c>
      <c r="P20" s="233" t="s">
        <v>246</v>
      </c>
      <c r="Q20" s="233" t="s">
        <v>247</v>
      </c>
    </row>
    <row r="21" spans="2:17" s="228" customFormat="1" ht="15" customHeight="1">
      <c r="B21" s="230" t="s">
        <v>248</v>
      </c>
      <c r="C21" s="231" t="s">
        <v>12</v>
      </c>
      <c r="D21" s="231" t="s">
        <v>249</v>
      </c>
      <c r="E21" s="232" t="s">
        <v>20</v>
      </c>
      <c r="G21" s="233" t="s">
        <v>250</v>
      </c>
      <c r="H21" s="233" t="s">
        <v>251</v>
      </c>
      <c r="I21" s="233" t="s">
        <v>252</v>
      </c>
      <c r="J21" s="233" t="s">
        <v>253</v>
      </c>
      <c r="K21" s="233" t="s">
        <v>254</v>
      </c>
      <c r="L21" s="233" t="s">
        <v>255</v>
      </c>
      <c r="M21" s="233" t="s">
        <v>256</v>
      </c>
      <c r="N21" s="233" t="s">
        <v>257</v>
      </c>
      <c r="O21" s="233" t="s">
        <v>258</v>
      </c>
      <c r="P21" s="233" t="s">
        <v>259</v>
      </c>
      <c r="Q21" s="233" t="s">
        <v>260</v>
      </c>
    </row>
    <row r="22" spans="2:17" s="228" customFormat="1" ht="15" customHeight="1">
      <c r="B22" s="230" t="s">
        <v>261</v>
      </c>
      <c r="C22" s="231" t="s">
        <v>8</v>
      </c>
      <c r="D22" s="231" t="s">
        <v>262</v>
      </c>
      <c r="E22" s="232" t="s">
        <v>20</v>
      </c>
      <c r="G22" s="233" t="s">
        <v>263</v>
      </c>
      <c r="H22" s="233" t="s">
        <v>264</v>
      </c>
      <c r="I22" s="233" t="s">
        <v>265</v>
      </c>
      <c r="J22" s="233" t="s">
        <v>266</v>
      </c>
      <c r="K22" s="233" t="s">
        <v>267</v>
      </c>
      <c r="L22" s="233" t="s">
        <v>268</v>
      </c>
      <c r="M22" s="233" t="s">
        <v>269</v>
      </c>
      <c r="N22" s="233" t="s">
        <v>270</v>
      </c>
      <c r="O22" s="233" t="s">
        <v>271</v>
      </c>
      <c r="P22" s="233" t="s">
        <v>272</v>
      </c>
      <c r="Q22" s="233" t="s">
        <v>273</v>
      </c>
    </row>
    <row r="23" spans="2:17" s="228" customFormat="1" ht="15" customHeight="1">
      <c r="B23" s="230" t="s">
        <v>274</v>
      </c>
      <c r="C23" s="231" t="s">
        <v>13</v>
      </c>
      <c r="D23" s="231" t="s">
        <v>275</v>
      </c>
      <c r="E23" s="232" t="s">
        <v>20</v>
      </c>
      <c r="G23" s="233" t="s">
        <v>276</v>
      </c>
      <c r="H23" s="233" t="s">
        <v>277</v>
      </c>
      <c r="I23" s="233" t="s">
        <v>278</v>
      </c>
      <c r="J23" s="233" t="s">
        <v>279</v>
      </c>
      <c r="K23" s="233" t="s">
        <v>280</v>
      </c>
      <c r="L23" s="233" t="s">
        <v>281</v>
      </c>
      <c r="M23" s="233" t="s">
        <v>282</v>
      </c>
      <c r="N23" s="233" t="s">
        <v>283</v>
      </c>
      <c r="O23" s="233" t="s">
        <v>284</v>
      </c>
      <c r="P23" s="233" t="s">
        <v>285</v>
      </c>
      <c r="Q23" s="233" t="s">
        <v>286</v>
      </c>
    </row>
    <row r="24" spans="2:17" s="228" customFormat="1" ht="15" customHeight="1" thickBot="1">
      <c r="B24" s="235" t="s">
        <v>287</v>
      </c>
      <c r="C24" s="236" t="s">
        <v>15</v>
      </c>
      <c r="D24" s="236" t="s">
        <v>288</v>
      </c>
      <c r="E24" s="237" t="s">
        <v>20</v>
      </c>
      <c r="G24" s="233" t="s">
        <v>289</v>
      </c>
      <c r="H24" s="233" t="s">
        <v>290</v>
      </c>
      <c r="I24" s="233" t="s">
        <v>291</v>
      </c>
      <c r="J24" s="233" t="s">
        <v>292</v>
      </c>
      <c r="K24" s="233" t="s">
        <v>293</v>
      </c>
      <c r="L24" s="233" t="s">
        <v>294</v>
      </c>
      <c r="M24" s="233" t="s">
        <v>295</v>
      </c>
      <c r="N24" s="233" t="s">
        <v>296</v>
      </c>
      <c r="O24" s="233" t="s">
        <v>297</v>
      </c>
      <c r="P24" s="233" t="s">
        <v>298</v>
      </c>
      <c r="Q24" s="233" t="s">
        <v>299</v>
      </c>
    </row>
    <row r="25" spans="2:17" s="228" customFormat="1" ht="15" customHeight="1">
      <c r="G25" s="233" t="s">
        <v>300</v>
      </c>
      <c r="H25" s="233" t="s">
        <v>301</v>
      </c>
      <c r="I25" s="233" t="s">
        <v>302</v>
      </c>
      <c r="J25" s="233" t="s">
        <v>303</v>
      </c>
      <c r="K25" s="233" t="s">
        <v>304</v>
      </c>
      <c r="L25" s="233" t="s">
        <v>305</v>
      </c>
      <c r="M25" s="233"/>
      <c r="N25" s="233" t="s">
        <v>306</v>
      </c>
      <c r="O25" s="233" t="s">
        <v>307</v>
      </c>
      <c r="P25" s="233" t="s">
        <v>308</v>
      </c>
      <c r="Q25" s="233" t="s">
        <v>309</v>
      </c>
    </row>
    <row r="26" spans="2:17">
      <c r="B26" s="228"/>
      <c r="C26" s="228"/>
      <c r="D26" s="228"/>
      <c r="E26" s="228"/>
      <c r="G26" s="233" t="s">
        <v>310</v>
      </c>
      <c r="H26" s="233" t="s">
        <v>311</v>
      </c>
      <c r="I26" s="233" t="s">
        <v>312</v>
      </c>
      <c r="J26" s="233" t="s">
        <v>313</v>
      </c>
      <c r="K26" s="234" t="s">
        <v>314</v>
      </c>
      <c r="L26" s="233" t="s">
        <v>315</v>
      </c>
      <c r="M26" s="233"/>
      <c r="N26" s="233" t="s">
        <v>316</v>
      </c>
      <c r="O26" s="233" t="s">
        <v>317</v>
      </c>
      <c r="P26" s="233" t="s">
        <v>318</v>
      </c>
      <c r="Q26" s="233" t="s">
        <v>319</v>
      </c>
    </row>
    <row r="27" spans="2:17">
      <c r="G27" s="234" t="s">
        <v>320</v>
      </c>
      <c r="H27" s="234" t="s">
        <v>321</v>
      </c>
      <c r="I27" s="234" t="s">
        <v>322</v>
      </c>
      <c r="J27" s="234" t="s">
        <v>323</v>
      </c>
      <c r="K27" s="234" t="s">
        <v>324</v>
      </c>
      <c r="L27" s="234" t="s">
        <v>325</v>
      </c>
      <c r="M27" s="234"/>
      <c r="N27" s="234" t="s">
        <v>326</v>
      </c>
      <c r="O27" s="234" t="s">
        <v>327</v>
      </c>
      <c r="P27" s="234" t="s">
        <v>328</v>
      </c>
      <c r="Q27" s="234" t="s">
        <v>329</v>
      </c>
    </row>
    <row r="28" spans="2:17">
      <c r="B28" s="1943" t="s">
        <v>330</v>
      </c>
      <c r="C28" s="1944"/>
      <c r="D28" s="1944"/>
      <c r="E28" s="1945"/>
      <c r="G28" s="234" t="s">
        <v>331</v>
      </c>
      <c r="H28" s="234" t="s">
        <v>332</v>
      </c>
      <c r="I28" s="234" t="s">
        <v>333</v>
      </c>
      <c r="J28" s="234" t="s">
        <v>334</v>
      </c>
      <c r="K28" s="234" t="s">
        <v>335</v>
      </c>
      <c r="L28" s="234" t="s">
        <v>336</v>
      </c>
      <c r="M28" s="234"/>
      <c r="N28" s="234" t="s">
        <v>337</v>
      </c>
      <c r="O28" s="234" t="s">
        <v>338</v>
      </c>
      <c r="P28" s="234" t="s">
        <v>339</v>
      </c>
      <c r="Q28" s="234" t="s">
        <v>340</v>
      </c>
    </row>
    <row r="29" spans="2:17">
      <c r="B29" s="1946"/>
      <c r="E29" s="1947"/>
      <c r="G29" s="234" t="s">
        <v>341</v>
      </c>
      <c r="H29" s="234" t="s">
        <v>342</v>
      </c>
      <c r="I29" s="234" t="s">
        <v>343</v>
      </c>
      <c r="J29" s="234" t="s">
        <v>344</v>
      </c>
      <c r="K29" s="234" t="s">
        <v>345</v>
      </c>
      <c r="L29" s="234" t="s">
        <v>346</v>
      </c>
      <c r="M29" s="234"/>
      <c r="N29" s="234" t="s">
        <v>347</v>
      </c>
      <c r="O29" s="234" t="s">
        <v>348</v>
      </c>
      <c r="P29" s="234" t="s">
        <v>349</v>
      </c>
      <c r="Q29" s="234" t="s">
        <v>350</v>
      </c>
    </row>
    <row r="30" spans="2:17">
      <c r="B30" s="1946" t="s">
        <v>351</v>
      </c>
      <c r="E30" s="1947"/>
      <c r="G30" s="234" t="s">
        <v>352</v>
      </c>
      <c r="H30" s="234" t="s">
        <v>353</v>
      </c>
      <c r="I30" s="234" t="s">
        <v>295</v>
      </c>
      <c r="J30" s="234" t="s">
        <v>354</v>
      </c>
      <c r="K30" s="234" t="s">
        <v>355</v>
      </c>
      <c r="L30" s="234" t="s">
        <v>356</v>
      </c>
      <c r="M30" s="234"/>
      <c r="N30" s="234" t="s">
        <v>357</v>
      </c>
      <c r="O30" s="234" t="s">
        <v>358</v>
      </c>
      <c r="P30" s="234" t="s">
        <v>359</v>
      </c>
      <c r="Q30" s="234" t="s">
        <v>360</v>
      </c>
    </row>
    <row r="31" spans="2:17">
      <c r="B31" s="1946" t="s">
        <v>361</v>
      </c>
      <c r="E31" s="1947"/>
      <c r="G31" s="1915" t="s">
        <v>362</v>
      </c>
      <c r="H31" s="234" t="s">
        <v>363</v>
      </c>
      <c r="I31" s="234"/>
      <c r="J31" s="234" t="s">
        <v>364</v>
      </c>
      <c r="K31" s="234" t="s">
        <v>365</v>
      </c>
      <c r="L31" s="234" t="s">
        <v>366</v>
      </c>
      <c r="M31" s="234"/>
      <c r="N31" s="234" t="s">
        <v>367</v>
      </c>
      <c r="O31" s="234" t="s">
        <v>368</v>
      </c>
      <c r="P31" s="234" t="s">
        <v>369</v>
      </c>
      <c r="Q31" s="234" t="s">
        <v>370</v>
      </c>
    </row>
    <row r="32" spans="2:17">
      <c r="B32" s="1948" t="s">
        <v>371</v>
      </c>
      <c r="C32" s="1949"/>
      <c r="D32" s="1949"/>
      <c r="E32" s="1950"/>
      <c r="G32" s="1915" t="s">
        <v>372</v>
      </c>
      <c r="H32" s="234" t="s">
        <v>373</v>
      </c>
      <c r="I32" s="234"/>
      <c r="J32" s="234" t="s">
        <v>374</v>
      </c>
      <c r="K32" s="234" t="s">
        <v>375</v>
      </c>
      <c r="L32" s="234" t="s">
        <v>376</v>
      </c>
      <c r="M32" s="234"/>
      <c r="N32" s="234" t="s">
        <v>377</v>
      </c>
      <c r="O32" s="234" t="s">
        <v>378</v>
      </c>
      <c r="P32" s="234" t="s">
        <v>379</v>
      </c>
      <c r="Q32" s="234" t="s">
        <v>380</v>
      </c>
    </row>
    <row r="33" spans="2:17">
      <c r="B33" s="228"/>
      <c r="C33" s="228"/>
      <c r="D33" s="228"/>
      <c r="E33" s="228"/>
      <c r="G33" s="234" t="s">
        <v>381</v>
      </c>
      <c r="H33" s="234" t="s">
        <v>382</v>
      </c>
      <c r="I33" s="234"/>
      <c r="J33" s="234" t="s">
        <v>383</v>
      </c>
      <c r="K33" s="234" t="s">
        <v>384</v>
      </c>
      <c r="L33" s="234" t="s">
        <v>385</v>
      </c>
      <c r="M33" s="234"/>
      <c r="N33" s="234" t="s">
        <v>386</v>
      </c>
      <c r="O33" s="234" t="s">
        <v>295</v>
      </c>
      <c r="P33" s="234" t="s">
        <v>387</v>
      </c>
      <c r="Q33" s="234" t="s">
        <v>388</v>
      </c>
    </row>
    <row r="34" spans="2:17">
      <c r="G34" s="234" t="s">
        <v>389</v>
      </c>
      <c r="H34" s="234" t="s">
        <v>390</v>
      </c>
      <c r="I34" s="234"/>
      <c r="J34" s="234" t="s">
        <v>391</v>
      </c>
      <c r="K34" s="234" t="s">
        <v>392</v>
      </c>
      <c r="L34" s="234" t="s">
        <v>393</v>
      </c>
      <c r="M34" s="234"/>
      <c r="N34" s="234" t="s">
        <v>394</v>
      </c>
      <c r="O34" s="234"/>
      <c r="P34" s="234" t="s">
        <v>295</v>
      </c>
      <c r="Q34" s="234" t="s">
        <v>395</v>
      </c>
    </row>
    <row r="35" spans="2:17">
      <c r="G35" s="234" t="s">
        <v>396</v>
      </c>
      <c r="H35" s="234" t="s">
        <v>397</v>
      </c>
      <c r="I35" s="234"/>
      <c r="J35" s="234" t="s">
        <v>398</v>
      </c>
      <c r="K35" s="234" t="s">
        <v>399</v>
      </c>
      <c r="L35" s="234" t="s">
        <v>400</v>
      </c>
      <c r="M35" s="234"/>
      <c r="N35" s="234" t="s">
        <v>401</v>
      </c>
      <c r="O35" s="234"/>
      <c r="P35" s="234"/>
      <c r="Q35" s="234" t="s">
        <v>402</v>
      </c>
    </row>
    <row r="36" spans="2:17">
      <c r="G36" s="234" t="s">
        <v>403</v>
      </c>
      <c r="H36" s="234" t="s">
        <v>404</v>
      </c>
      <c r="I36" s="234"/>
      <c r="J36" s="234" t="s">
        <v>405</v>
      </c>
      <c r="K36" s="234" t="s">
        <v>406</v>
      </c>
      <c r="L36" s="234" t="s">
        <v>407</v>
      </c>
      <c r="M36" s="234"/>
      <c r="N36" s="234" t="s">
        <v>408</v>
      </c>
      <c r="O36" s="234"/>
      <c r="P36" s="234"/>
      <c r="Q36" s="234" t="s">
        <v>409</v>
      </c>
    </row>
    <row r="37" spans="2:17">
      <c r="G37" s="234" t="s">
        <v>410</v>
      </c>
      <c r="H37" s="234" t="s">
        <v>411</v>
      </c>
      <c r="I37" s="234"/>
      <c r="J37" s="234" t="s">
        <v>412</v>
      </c>
      <c r="K37" s="234" t="s">
        <v>413</v>
      </c>
      <c r="L37" s="234" t="s">
        <v>414</v>
      </c>
      <c r="M37" s="234"/>
      <c r="N37" s="234" t="s">
        <v>415</v>
      </c>
      <c r="O37" s="234"/>
      <c r="P37" s="234"/>
      <c r="Q37" s="234" t="s">
        <v>416</v>
      </c>
    </row>
    <row r="38" spans="2:17">
      <c r="G38" s="234" t="s">
        <v>417</v>
      </c>
      <c r="H38" s="234" t="s">
        <v>418</v>
      </c>
      <c r="I38" s="234"/>
      <c r="J38" s="234" t="s">
        <v>419</v>
      </c>
      <c r="K38" s="234" t="s">
        <v>420</v>
      </c>
      <c r="L38" s="234" t="s">
        <v>421</v>
      </c>
      <c r="M38" s="234"/>
      <c r="N38" s="234" t="s">
        <v>422</v>
      </c>
      <c r="O38" s="234"/>
      <c r="P38" s="234"/>
      <c r="Q38" s="234" t="s">
        <v>423</v>
      </c>
    </row>
    <row r="39" spans="2:17">
      <c r="G39" s="234" t="s">
        <v>424</v>
      </c>
      <c r="H39" s="234" t="s">
        <v>425</v>
      </c>
      <c r="I39" s="234"/>
      <c r="J39" s="234" t="s">
        <v>426</v>
      </c>
      <c r="K39" s="234" t="s">
        <v>427</v>
      </c>
      <c r="L39" s="234" t="s">
        <v>428</v>
      </c>
      <c r="M39" s="234"/>
      <c r="N39" s="234" t="s">
        <v>429</v>
      </c>
      <c r="O39" s="234"/>
      <c r="P39" s="234"/>
      <c r="Q39" s="234" t="s">
        <v>430</v>
      </c>
    </row>
    <row r="40" spans="2:17">
      <c r="G40" s="234" t="s">
        <v>431</v>
      </c>
      <c r="H40" s="234" t="s">
        <v>432</v>
      </c>
      <c r="I40" s="234"/>
      <c r="J40" s="234" t="s">
        <v>433</v>
      </c>
      <c r="K40" s="234" t="s">
        <v>434</v>
      </c>
      <c r="L40" s="234" t="s">
        <v>435</v>
      </c>
      <c r="M40" s="234"/>
      <c r="N40" s="234" t="s">
        <v>436</v>
      </c>
      <c r="O40" s="234"/>
      <c r="P40" s="234"/>
      <c r="Q40" s="234" t="s">
        <v>437</v>
      </c>
    </row>
    <row r="41" spans="2:17">
      <c r="G41" s="234" t="s">
        <v>438</v>
      </c>
      <c r="H41" s="234" t="s">
        <v>439</v>
      </c>
      <c r="I41" s="234"/>
      <c r="J41" s="234" t="s">
        <v>440</v>
      </c>
      <c r="K41" s="234" t="s">
        <v>441</v>
      </c>
      <c r="L41" s="234" t="s">
        <v>442</v>
      </c>
      <c r="M41" s="234"/>
      <c r="N41" s="234" t="s">
        <v>443</v>
      </c>
      <c r="O41" s="234"/>
      <c r="P41" s="234"/>
      <c r="Q41" s="234" t="s">
        <v>444</v>
      </c>
    </row>
    <row r="42" spans="2:17">
      <c r="G42" s="234" t="s">
        <v>445</v>
      </c>
      <c r="H42" s="234" t="s">
        <v>446</v>
      </c>
      <c r="I42" s="234"/>
      <c r="J42" s="234" t="s">
        <v>447</v>
      </c>
      <c r="K42" s="234" t="s">
        <v>448</v>
      </c>
      <c r="L42" s="234" t="s">
        <v>449</v>
      </c>
      <c r="M42" s="234"/>
      <c r="N42" s="234" t="s">
        <v>450</v>
      </c>
      <c r="O42" s="234"/>
      <c r="P42" s="234"/>
      <c r="Q42" s="234" t="s">
        <v>451</v>
      </c>
    </row>
    <row r="43" spans="2:17">
      <c r="G43" s="234" t="s">
        <v>452</v>
      </c>
      <c r="H43" s="234" t="s">
        <v>453</v>
      </c>
      <c r="I43" s="234"/>
      <c r="J43" s="234" t="s">
        <v>454</v>
      </c>
      <c r="K43" s="234" t="s">
        <v>455</v>
      </c>
      <c r="L43" s="234" t="s">
        <v>456</v>
      </c>
      <c r="M43" s="234"/>
      <c r="N43" s="234" t="s">
        <v>457</v>
      </c>
      <c r="O43" s="234"/>
      <c r="P43" s="234"/>
      <c r="Q43" s="234" t="s">
        <v>458</v>
      </c>
    </row>
    <row r="44" spans="2:17">
      <c r="G44" s="234" t="s">
        <v>459</v>
      </c>
      <c r="H44" s="234" t="s">
        <v>460</v>
      </c>
      <c r="I44" s="234"/>
      <c r="J44" s="234" t="s">
        <v>461</v>
      </c>
      <c r="K44" s="234" t="s">
        <v>462</v>
      </c>
      <c r="L44" s="234" t="s">
        <v>463</v>
      </c>
      <c r="M44" s="234"/>
      <c r="N44" s="234" t="s">
        <v>464</v>
      </c>
      <c r="O44" s="234"/>
      <c r="P44" s="234"/>
      <c r="Q44" s="234" t="s">
        <v>465</v>
      </c>
    </row>
    <row r="45" spans="2:17">
      <c r="G45" s="234" t="s">
        <v>466</v>
      </c>
      <c r="H45" s="234" t="s">
        <v>467</v>
      </c>
      <c r="I45" s="234"/>
      <c r="J45" s="234" t="s">
        <v>468</v>
      </c>
      <c r="K45" s="234" t="s">
        <v>469</v>
      </c>
      <c r="L45" s="234" t="s">
        <v>470</v>
      </c>
      <c r="M45" s="234"/>
      <c r="N45" s="234" t="s">
        <v>471</v>
      </c>
      <c r="O45" s="234"/>
      <c r="P45" s="234"/>
      <c r="Q45" s="234" t="s">
        <v>472</v>
      </c>
    </row>
    <row r="46" spans="2:17">
      <c r="G46" s="234" t="s">
        <v>473</v>
      </c>
      <c r="H46" s="234" t="s">
        <v>474</v>
      </c>
      <c r="I46" s="234"/>
      <c r="J46" s="234" t="s">
        <v>475</v>
      </c>
      <c r="K46" s="234" t="s">
        <v>476</v>
      </c>
      <c r="L46" s="234" t="s">
        <v>477</v>
      </c>
      <c r="M46" s="234"/>
      <c r="N46" s="234" t="s">
        <v>478</v>
      </c>
      <c r="O46" s="234"/>
      <c r="P46" s="234"/>
      <c r="Q46" s="234" t="s">
        <v>479</v>
      </c>
    </row>
    <row r="47" spans="2:17">
      <c r="G47" s="234" t="s">
        <v>480</v>
      </c>
      <c r="H47" s="234" t="s">
        <v>481</v>
      </c>
      <c r="I47" s="234"/>
      <c r="J47" s="234" t="s">
        <v>482</v>
      </c>
      <c r="K47" s="234" t="s">
        <v>295</v>
      </c>
      <c r="L47" s="234" t="s">
        <v>483</v>
      </c>
      <c r="M47" s="234"/>
      <c r="N47" s="234" t="s">
        <v>484</v>
      </c>
      <c r="O47" s="234"/>
      <c r="P47" s="234"/>
      <c r="Q47" s="234" t="s">
        <v>485</v>
      </c>
    </row>
    <row r="48" spans="2:17">
      <c r="G48" s="234" t="s">
        <v>486</v>
      </c>
      <c r="H48" s="234" t="s">
        <v>487</v>
      </c>
      <c r="I48" s="234"/>
      <c r="J48" s="234" t="s">
        <v>488</v>
      </c>
      <c r="L48" s="234" t="s">
        <v>489</v>
      </c>
      <c r="M48" s="234"/>
      <c r="N48" s="234" t="s">
        <v>490</v>
      </c>
      <c r="O48" s="234"/>
      <c r="P48" s="234"/>
      <c r="Q48" s="234" t="s">
        <v>491</v>
      </c>
    </row>
    <row r="49" spans="2:17">
      <c r="G49" s="234" t="s">
        <v>492</v>
      </c>
      <c r="H49" s="234" t="s">
        <v>493</v>
      </c>
      <c r="I49" s="234"/>
      <c r="J49" s="234" t="s">
        <v>494</v>
      </c>
      <c r="L49" s="234" t="s">
        <v>495</v>
      </c>
      <c r="M49" s="234"/>
      <c r="N49" s="234" t="s">
        <v>496</v>
      </c>
      <c r="O49" s="234"/>
      <c r="P49" s="234"/>
      <c r="Q49" s="234" t="s">
        <v>497</v>
      </c>
    </row>
    <row r="50" spans="2:17">
      <c r="G50" s="234" t="s">
        <v>498</v>
      </c>
      <c r="H50" s="234" t="s">
        <v>499</v>
      </c>
      <c r="I50" s="234"/>
      <c r="J50" s="234" t="s">
        <v>500</v>
      </c>
      <c r="L50" s="234" t="s">
        <v>501</v>
      </c>
      <c r="M50" s="234"/>
      <c r="N50" s="234" t="s">
        <v>502</v>
      </c>
      <c r="O50" s="234"/>
      <c r="P50" s="234"/>
      <c r="Q50" s="234" t="s">
        <v>503</v>
      </c>
    </row>
    <row r="51" spans="2:17">
      <c r="G51" s="234" t="s">
        <v>504</v>
      </c>
      <c r="H51" s="234" t="s">
        <v>505</v>
      </c>
      <c r="I51" s="234"/>
      <c r="J51" s="234" t="s">
        <v>506</v>
      </c>
      <c r="K51" s="234"/>
      <c r="L51" s="234" t="s">
        <v>507</v>
      </c>
      <c r="M51" s="234"/>
      <c r="N51" s="234" t="s">
        <v>508</v>
      </c>
      <c r="O51" s="234"/>
      <c r="P51" s="234"/>
      <c r="Q51" s="234" t="s">
        <v>509</v>
      </c>
    </row>
    <row r="52" spans="2:17">
      <c r="G52" s="234" t="s">
        <v>510</v>
      </c>
      <c r="H52" s="234" t="s">
        <v>511</v>
      </c>
      <c r="I52" s="234"/>
      <c r="J52" s="234" t="s">
        <v>512</v>
      </c>
      <c r="K52" s="234"/>
      <c r="L52" s="234" t="s">
        <v>513</v>
      </c>
      <c r="M52" s="234"/>
      <c r="N52" s="234" t="s">
        <v>514</v>
      </c>
      <c r="O52" s="234"/>
      <c r="P52" s="234"/>
      <c r="Q52" s="234" t="s">
        <v>515</v>
      </c>
    </row>
    <row r="53" spans="2:17">
      <c r="G53" s="234" t="s">
        <v>516</v>
      </c>
      <c r="H53" s="234" t="s">
        <v>517</v>
      </c>
      <c r="I53" s="234"/>
      <c r="J53" s="234" t="s">
        <v>518</v>
      </c>
      <c r="K53" s="234"/>
      <c r="L53" s="234" t="s">
        <v>519</v>
      </c>
      <c r="M53" s="234"/>
      <c r="N53" s="234" t="s">
        <v>520</v>
      </c>
      <c r="O53" s="234"/>
      <c r="P53" s="234"/>
      <c r="Q53" s="234" t="s">
        <v>521</v>
      </c>
    </row>
    <row r="54" spans="2:17">
      <c r="G54" s="234" t="s">
        <v>522</v>
      </c>
      <c r="H54" s="234" t="s">
        <v>523</v>
      </c>
      <c r="I54" s="234"/>
      <c r="J54" s="234" t="s">
        <v>524</v>
      </c>
      <c r="K54" s="234"/>
      <c r="L54" s="234" t="s">
        <v>525</v>
      </c>
      <c r="M54" s="234"/>
      <c r="N54" s="234" t="s">
        <v>526</v>
      </c>
      <c r="O54" s="234"/>
      <c r="P54" s="234"/>
      <c r="Q54" s="234" t="s">
        <v>295</v>
      </c>
    </row>
    <row r="55" spans="2:17">
      <c r="G55" s="234" t="s">
        <v>527</v>
      </c>
      <c r="H55" s="234" t="s">
        <v>528</v>
      </c>
      <c r="I55" s="234"/>
      <c r="J55" s="234" t="s">
        <v>529</v>
      </c>
      <c r="K55" s="234"/>
      <c r="L55" s="234" t="s">
        <v>530</v>
      </c>
      <c r="M55" s="234"/>
      <c r="N55" s="234" t="s">
        <v>531</v>
      </c>
      <c r="O55" s="234"/>
      <c r="P55" s="234"/>
      <c r="Q55" s="234"/>
    </row>
    <row r="56" spans="2:17">
      <c r="G56" s="234" t="s">
        <v>532</v>
      </c>
      <c r="H56" s="234" t="s">
        <v>533</v>
      </c>
      <c r="I56" s="234"/>
      <c r="J56" s="234" t="s">
        <v>534</v>
      </c>
      <c r="K56" s="234"/>
      <c r="L56" s="234" t="s">
        <v>535</v>
      </c>
      <c r="M56" s="234"/>
      <c r="N56" s="234" t="s">
        <v>536</v>
      </c>
      <c r="O56" s="234"/>
      <c r="P56" s="234"/>
      <c r="Q56" s="234"/>
    </row>
    <row r="57" spans="2:17">
      <c r="G57" s="234" t="s">
        <v>537</v>
      </c>
      <c r="H57" s="234" t="s">
        <v>538</v>
      </c>
      <c r="I57" s="234"/>
      <c r="J57" s="234" t="s">
        <v>539</v>
      </c>
      <c r="K57" s="234"/>
      <c r="L57" s="234" t="s">
        <v>540</v>
      </c>
      <c r="M57" s="234"/>
      <c r="N57" s="234" t="s">
        <v>541</v>
      </c>
      <c r="O57" s="234"/>
      <c r="P57" s="234"/>
      <c r="Q57" s="234"/>
    </row>
    <row r="58" spans="2:17">
      <c r="G58" s="234" t="s">
        <v>542</v>
      </c>
      <c r="H58" s="234" t="s">
        <v>543</v>
      </c>
      <c r="I58" s="234"/>
      <c r="J58" s="234" t="s">
        <v>544</v>
      </c>
      <c r="K58" s="234"/>
      <c r="L58" s="234" t="s">
        <v>545</v>
      </c>
      <c r="M58" s="234"/>
      <c r="N58" s="234" t="s">
        <v>546</v>
      </c>
      <c r="O58" s="234"/>
      <c r="P58" s="234"/>
      <c r="Q58" s="234"/>
    </row>
    <row r="59" spans="2:17" ht="15" thickBot="1">
      <c r="G59" s="234" t="s">
        <v>547</v>
      </c>
      <c r="H59" s="234" t="s">
        <v>548</v>
      </c>
      <c r="I59" s="234"/>
      <c r="J59" s="234" t="s">
        <v>549</v>
      </c>
      <c r="K59" s="234"/>
      <c r="L59" s="234" t="s">
        <v>550</v>
      </c>
      <c r="M59" s="234"/>
      <c r="N59" s="234" t="s">
        <v>551</v>
      </c>
      <c r="O59" s="234"/>
      <c r="P59" s="234"/>
      <c r="Q59" s="234"/>
    </row>
    <row r="60" spans="2:17" ht="15" thickBot="1">
      <c r="B60" s="244" t="str">
        <f>INDEX(Lists!D5:D33,MATCH(SelectCompany!B4,Lists!C5:C33,0))</f>
        <v>NES</v>
      </c>
      <c r="G60" s="234" t="s">
        <v>552</v>
      </c>
      <c r="H60" s="234" t="s">
        <v>553</v>
      </c>
      <c r="I60" s="234"/>
      <c r="J60" s="234" t="s">
        <v>554</v>
      </c>
      <c r="K60" s="234"/>
      <c r="L60" s="234" t="s">
        <v>555</v>
      </c>
      <c r="M60" s="234"/>
      <c r="N60" s="234" t="s">
        <v>556</v>
      </c>
      <c r="O60" s="234"/>
      <c r="P60" s="234"/>
      <c r="Q60" s="234"/>
    </row>
    <row r="61" spans="2:17">
      <c r="G61" s="234" t="s">
        <v>557</v>
      </c>
      <c r="H61" s="234" t="s">
        <v>295</v>
      </c>
      <c r="I61" s="234"/>
      <c r="J61" s="234" t="s">
        <v>558</v>
      </c>
      <c r="K61" s="234"/>
      <c r="L61" s="234" t="s">
        <v>559</v>
      </c>
      <c r="M61" s="234"/>
      <c r="N61" s="234" t="s">
        <v>560</v>
      </c>
      <c r="O61" s="234"/>
      <c r="P61" s="234"/>
      <c r="Q61" s="234"/>
    </row>
    <row r="62" spans="2:17">
      <c r="G62" s="234" t="s">
        <v>561</v>
      </c>
      <c r="H62" s="234"/>
      <c r="I62" s="234"/>
      <c r="J62" s="234" t="s">
        <v>562</v>
      </c>
      <c r="K62" s="234"/>
      <c r="L62" s="234" t="s">
        <v>563</v>
      </c>
      <c r="M62" s="234"/>
      <c r="N62" s="234" t="s">
        <v>295</v>
      </c>
      <c r="O62" s="234"/>
      <c r="P62" s="234"/>
      <c r="Q62" s="234"/>
    </row>
    <row r="63" spans="2:17">
      <c r="G63" s="234" t="s">
        <v>564</v>
      </c>
      <c r="H63" s="234"/>
      <c r="I63" s="234"/>
      <c r="J63" s="234" t="s">
        <v>565</v>
      </c>
      <c r="K63" s="234"/>
      <c r="L63" s="234" t="s">
        <v>566</v>
      </c>
      <c r="M63" s="234"/>
      <c r="N63" s="234"/>
      <c r="O63" s="234"/>
      <c r="P63" s="234"/>
      <c r="Q63" s="234"/>
    </row>
    <row r="64" spans="2:17">
      <c r="G64" s="234" t="s">
        <v>567</v>
      </c>
      <c r="H64" s="234"/>
      <c r="I64" s="234"/>
      <c r="J64" s="234" t="s">
        <v>568</v>
      </c>
      <c r="K64" s="234"/>
      <c r="L64" s="234" t="s">
        <v>569</v>
      </c>
      <c r="M64" s="234"/>
      <c r="N64" s="234"/>
      <c r="O64" s="234"/>
      <c r="P64" s="234"/>
      <c r="Q64" s="234"/>
    </row>
    <row r="65" spans="7:17">
      <c r="G65" s="234" t="s">
        <v>570</v>
      </c>
      <c r="H65" s="234"/>
      <c r="I65" s="234"/>
      <c r="J65" s="234" t="s">
        <v>571</v>
      </c>
      <c r="K65" s="234"/>
      <c r="L65" s="234" t="s">
        <v>572</v>
      </c>
      <c r="M65" s="234"/>
      <c r="N65" s="234"/>
      <c r="O65" s="234"/>
      <c r="P65" s="234"/>
      <c r="Q65" s="234"/>
    </row>
    <row r="66" spans="7:17">
      <c r="G66" s="234" t="s">
        <v>573</v>
      </c>
      <c r="H66" s="234"/>
      <c r="I66" s="234"/>
      <c r="J66" s="234" t="s">
        <v>574</v>
      </c>
      <c r="K66" s="234"/>
      <c r="L66" s="234" t="s">
        <v>575</v>
      </c>
      <c r="M66" s="234"/>
      <c r="N66" s="234"/>
      <c r="O66" s="234"/>
      <c r="P66" s="234"/>
      <c r="Q66" s="234"/>
    </row>
    <row r="67" spans="7:17">
      <c r="G67" s="234" t="s">
        <v>576</v>
      </c>
      <c r="H67" s="234"/>
      <c r="I67" s="234"/>
      <c r="J67" s="234" t="s">
        <v>577</v>
      </c>
      <c r="K67" s="234"/>
      <c r="L67" s="234" t="s">
        <v>578</v>
      </c>
      <c r="M67" s="234"/>
      <c r="N67" s="234"/>
      <c r="O67" s="234"/>
      <c r="P67" s="234"/>
      <c r="Q67" s="234"/>
    </row>
    <row r="68" spans="7:17">
      <c r="G68" s="234" t="s">
        <v>579</v>
      </c>
      <c r="H68" s="234"/>
      <c r="I68" s="234"/>
      <c r="J68" s="234" t="s">
        <v>580</v>
      </c>
      <c r="K68" s="234"/>
      <c r="L68" s="234" t="s">
        <v>581</v>
      </c>
      <c r="M68" s="234"/>
      <c r="N68" s="234"/>
      <c r="O68" s="234"/>
      <c r="P68" s="234"/>
      <c r="Q68" s="234"/>
    </row>
    <row r="69" spans="7:17">
      <c r="G69" s="234" t="s">
        <v>582</v>
      </c>
      <c r="H69" s="234"/>
      <c r="I69" s="234"/>
      <c r="J69" s="234" t="s">
        <v>583</v>
      </c>
      <c r="K69" s="234"/>
      <c r="L69" s="234" t="s">
        <v>584</v>
      </c>
      <c r="M69" s="234"/>
      <c r="N69" s="234"/>
      <c r="O69" s="234"/>
      <c r="P69" s="234"/>
      <c r="Q69" s="234"/>
    </row>
    <row r="70" spans="7:17">
      <c r="G70" s="234" t="s">
        <v>585</v>
      </c>
      <c r="H70" s="234"/>
      <c r="I70" s="234"/>
      <c r="J70" s="234" t="s">
        <v>586</v>
      </c>
      <c r="K70" s="234"/>
      <c r="L70" s="234" t="s">
        <v>587</v>
      </c>
      <c r="M70" s="234"/>
      <c r="N70" s="234"/>
      <c r="O70" s="234"/>
      <c r="P70" s="234"/>
      <c r="Q70" s="234"/>
    </row>
    <row r="71" spans="7:17">
      <c r="G71" s="234" t="s">
        <v>588</v>
      </c>
      <c r="H71" s="234"/>
      <c r="I71" s="234"/>
      <c r="J71" s="234" t="s">
        <v>295</v>
      </c>
      <c r="K71" s="234"/>
      <c r="L71" s="234" t="s">
        <v>589</v>
      </c>
      <c r="M71" s="234"/>
      <c r="N71" s="234"/>
      <c r="O71" s="234"/>
      <c r="P71" s="234"/>
      <c r="Q71" s="234"/>
    </row>
    <row r="72" spans="7:17">
      <c r="G72" s="234" t="s">
        <v>590</v>
      </c>
      <c r="H72" s="234"/>
      <c r="I72" s="234"/>
      <c r="J72" s="234"/>
      <c r="K72" s="234"/>
      <c r="L72" s="234" t="s">
        <v>591</v>
      </c>
      <c r="M72" s="234"/>
      <c r="N72" s="234"/>
      <c r="O72" s="234"/>
      <c r="P72" s="234"/>
      <c r="Q72" s="234"/>
    </row>
    <row r="73" spans="7:17">
      <c r="G73" s="234" t="s">
        <v>592</v>
      </c>
      <c r="H73" s="234"/>
      <c r="I73" s="234"/>
      <c r="J73" s="234"/>
      <c r="K73" s="234"/>
      <c r="L73" s="234" t="s">
        <v>593</v>
      </c>
      <c r="M73" s="234"/>
      <c r="N73" s="234"/>
      <c r="O73" s="234"/>
      <c r="P73" s="234"/>
      <c r="Q73" s="234"/>
    </row>
    <row r="74" spans="7:17">
      <c r="G74" s="234" t="s">
        <v>594</v>
      </c>
      <c r="H74" s="234"/>
      <c r="I74" s="234"/>
      <c r="J74" s="234"/>
      <c r="K74" s="234"/>
      <c r="L74" s="234" t="s">
        <v>595</v>
      </c>
      <c r="M74" s="234"/>
      <c r="N74" s="234"/>
      <c r="O74" s="234"/>
      <c r="P74" s="234"/>
      <c r="Q74" s="234"/>
    </row>
    <row r="75" spans="7:17">
      <c r="G75" s="234" t="s">
        <v>596</v>
      </c>
      <c r="H75" s="234"/>
      <c r="I75" s="234"/>
      <c r="J75" s="234"/>
      <c r="K75" s="234"/>
      <c r="L75" s="234" t="s">
        <v>597</v>
      </c>
      <c r="M75" s="234"/>
      <c r="N75" s="234"/>
      <c r="O75" s="234"/>
      <c r="P75" s="234"/>
      <c r="Q75" s="234"/>
    </row>
    <row r="76" spans="7:17">
      <c r="G76" s="234" t="s">
        <v>598</v>
      </c>
      <c r="H76" s="234"/>
      <c r="I76" s="234"/>
      <c r="J76" s="234"/>
      <c r="K76" s="234"/>
      <c r="L76" s="234" t="s">
        <v>599</v>
      </c>
      <c r="M76" s="234"/>
      <c r="N76" s="234"/>
      <c r="O76" s="234"/>
      <c r="P76" s="234"/>
      <c r="Q76" s="234"/>
    </row>
    <row r="77" spans="7:17">
      <c r="G77" s="234" t="s">
        <v>600</v>
      </c>
      <c r="H77" s="234"/>
      <c r="I77" s="234"/>
      <c r="J77" s="234"/>
      <c r="K77" s="234"/>
      <c r="L77" s="234" t="s">
        <v>601</v>
      </c>
      <c r="M77" s="234"/>
      <c r="N77" s="234"/>
      <c r="O77" s="234"/>
      <c r="P77" s="234"/>
      <c r="Q77" s="234"/>
    </row>
    <row r="78" spans="7:17">
      <c r="G78" s="234" t="s">
        <v>602</v>
      </c>
      <c r="H78" s="234"/>
      <c r="I78" s="234"/>
      <c r="J78" s="234"/>
      <c r="K78" s="234"/>
      <c r="L78" s="234" t="s">
        <v>603</v>
      </c>
      <c r="M78" s="234"/>
      <c r="N78" s="234"/>
      <c r="O78" s="234"/>
      <c r="P78" s="234"/>
      <c r="Q78" s="234"/>
    </row>
    <row r="79" spans="7:17">
      <c r="G79" s="234" t="s">
        <v>604</v>
      </c>
      <c r="H79" s="234"/>
      <c r="I79" s="234"/>
      <c r="J79" s="234"/>
      <c r="K79" s="234"/>
      <c r="L79" s="234" t="s">
        <v>605</v>
      </c>
      <c r="M79" s="234"/>
      <c r="N79" s="234"/>
      <c r="O79" s="234"/>
      <c r="P79" s="234"/>
      <c r="Q79" s="234"/>
    </row>
    <row r="80" spans="7:17">
      <c r="G80" s="234" t="s">
        <v>606</v>
      </c>
      <c r="H80" s="234"/>
      <c r="I80" s="234"/>
      <c r="J80" s="234"/>
      <c r="K80" s="234"/>
      <c r="L80" s="234" t="s">
        <v>607</v>
      </c>
      <c r="M80" s="234"/>
      <c r="N80" s="234"/>
      <c r="O80" s="234"/>
      <c r="P80" s="234"/>
      <c r="Q80" s="234"/>
    </row>
    <row r="81" spans="7:17">
      <c r="G81" s="234" t="s">
        <v>608</v>
      </c>
      <c r="H81" s="234"/>
      <c r="I81" s="234"/>
      <c r="J81" s="234"/>
      <c r="K81" s="234"/>
      <c r="L81" s="234" t="s">
        <v>295</v>
      </c>
      <c r="M81" s="234"/>
      <c r="N81" s="234"/>
      <c r="O81" s="234"/>
      <c r="P81" s="234"/>
      <c r="Q81" s="234"/>
    </row>
    <row r="82" spans="7:17">
      <c r="G82" s="234" t="s">
        <v>609</v>
      </c>
      <c r="H82" s="234"/>
      <c r="I82" s="234"/>
      <c r="J82" s="234"/>
      <c r="K82" s="234"/>
      <c r="L82" s="234"/>
      <c r="M82" s="234"/>
      <c r="N82" s="234"/>
      <c r="O82" s="234"/>
      <c r="P82" s="234"/>
      <c r="Q82" s="234"/>
    </row>
    <row r="83" spans="7:17">
      <c r="G83" s="234" t="s">
        <v>610</v>
      </c>
      <c r="H83" s="234"/>
      <c r="I83" s="234"/>
      <c r="J83" s="234"/>
      <c r="K83" s="234"/>
      <c r="L83" s="234"/>
      <c r="M83" s="234"/>
      <c r="N83" s="234"/>
      <c r="O83" s="234"/>
      <c r="P83" s="234"/>
      <c r="Q83" s="234"/>
    </row>
    <row r="84" spans="7:17">
      <c r="G84" s="234" t="s">
        <v>611</v>
      </c>
      <c r="H84" s="234"/>
      <c r="I84" s="234"/>
      <c r="J84" s="234"/>
      <c r="K84" s="234"/>
      <c r="L84" s="234"/>
      <c r="M84" s="234"/>
      <c r="N84" s="234"/>
      <c r="O84" s="234"/>
      <c r="P84" s="234"/>
      <c r="Q84" s="234"/>
    </row>
    <row r="85" spans="7:17">
      <c r="G85" s="234" t="s">
        <v>612</v>
      </c>
      <c r="H85" s="234"/>
      <c r="I85" s="234"/>
      <c r="J85" s="234"/>
      <c r="K85" s="234"/>
      <c r="L85" s="234"/>
      <c r="M85" s="234"/>
      <c r="N85" s="234"/>
      <c r="O85" s="234"/>
      <c r="P85" s="234"/>
      <c r="Q85" s="234"/>
    </row>
    <row r="86" spans="7:17">
      <c r="G86" s="234" t="s">
        <v>613</v>
      </c>
      <c r="H86" s="234"/>
      <c r="I86" s="234"/>
      <c r="J86" s="234"/>
      <c r="K86" s="234"/>
      <c r="L86" s="234"/>
      <c r="M86" s="234"/>
      <c r="N86" s="234"/>
      <c r="O86" s="234"/>
      <c r="P86" s="234"/>
      <c r="Q86" s="234"/>
    </row>
    <row r="87" spans="7:17">
      <c r="G87" s="234" t="s">
        <v>614</v>
      </c>
      <c r="H87" s="234"/>
      <c r="I87" s="234"/>
      <c r="J87" s="234"/>
      <c r="K87" s="234"/>
      <c r="L87" s="234"/>
      <c r="M87" s="234"/>
      <c r="N87" s="234"/>
      <c r="O87" s="234"/>
      <c r="P87" s="234"/>
      <c r="Q87" s="234"/>
    </row>
    <row r="88" spans="7:17">
      <c r="G88" s="234" t="s">
        <v>615</v>
      </c>
      <c r="H88" s="234"/>
      <c r="I88" s="234"/>
      <c r="J88" s="234"/>
      <c r="K88" s="234"/>
      <c r="L88" s="234"/>
      <c r="M88" s="234"/>
      <c r="N88" s="234"/>
      <c r="O88" s="234"/>
      <c r="P88" s="234"/>
      <c r="Q88" s="234"/>
    </row>
    <row r="89" spans="7:17">
      <c r="G89" s="234" t="s">
        <v>616</v>
      </c>
      <c r="H89" s="234"/>
      <c r="I89" s="234"/>
      <c r="J89" s="234"/>
      <c r="K89" s="234"/>
      <c r="L89" s="234"/>
      <c r="M89" s="234"/>
      <c r="N89" s="234"/>
      <c r="O89" s="234"/>
      <c r="P89" s="234"/>
      <c r="Q89" s="234"/>
    </row>
    <row r="90" spans="7:17">
      <c r="G90" s="234" t="s">
        <v>617</v>
      </c>
      <c r="H90" s="234"/>
      <c r="I90" s="234"/>
      <c r="J90" s="234"/>
      <c r="K90" s="234"/>
      <c r="L90" s="234"/>
      <c r="M90" s="234"/>
      <c r="N90" s="234"/>
      <c r="O90" s="234"/>
      <c r="P90" s="234"/>
      <c r="Q90" s="234"/>
    </row>
    <row r="91" spans="7:17">
      <c r="G91" s="234" t="s">
        <v>618</v>
      </c>
      <c r="H91" s="234"/>
      <c r="I91" s="234"/>
      <c r="J91" s="234"/>
      <c r="K91" s="234"/>
      <c r="L91" s="234"/>
      <c r="M91" s="234"/>
      <c r="N91" s="234"/>
      <c r="O91" s="234"/>
      <c r="P91" s="234"/>
      <c r="Q91" s="234"/>
    </row>
    <row r="92" spans="7:17">
      <c r="G92" s="234" t="s">
        <v>619</v>
      </c>
      <c r="H92" s="234"/>
      <c r="I92" s="234"/>
      <c r="J92" s="234"/>
      <c r="K92" s="234"/>
      <c r="L92" s="234"/>
      <c r="M92" s="234"/>
      <c r="N92" s="234"/>
      <c r="O92" s="234"/>
      <c r="P92" s="234"/>
      <c r="Q92" s="234"/>
    </row>
    <row r="93" spans="7:17">
      <c r="G93" s="234" t="s">
        <v>620</v>
      </c>
      <c r="H93" s="234"/>
      <c r="I93" s="234"/>
      <c r="J93" s="234"/>
      <c r="K93" s="234"/>
      <c r="L93" s="234"/>
      <c r="M93" s="234"/>
      <c r="N93" s="234"/>
      <c r="O93" s="234"/>
      <c r="P93" s="234"/>
      <c r="Q93" s="234"/>
    </row>
    <row r="94" spans="7:17">
      <c r="G94" s="234" t="s">
        <v>621</v>
      </c>
      <c r="H94" s="234"/>
      <c r="I94" s="234"/>
      <c r="J94" s="234"/>
      <c r="K94" s="234"/>
      <c r="L94" s="234"/>
      <c r="M94" s="234"/>
      <c r="N94" s="234"/>
      <c r="O94" s="234"/>
      <c r="P94" s="234"/>
      <c r="Q94" s="234"/>
    </row>
    <row r="95" spans="7:17">
      <c r="G95" s="234" t="s">
        <v>622</v>
      </c>
      <c r="H95" s="234"/>
      <c r="I95" s="234"/>
      <c r="J95" s="234"/>
      <c r="K95" s="234"/>
      <c r="L95" s="234"/>
      <c r="M95" s="234"/>
      <c r="N95" s="234"/>
      <c r="O95" s="234"/>
      <c r="P95" s="234"/>
      <c r="Q95" s="234"/>
    </row>
    <row r="96" spans="7:17">
      <c r="G96" s="234" t="s">
        <v>623</v>
      </c>
      <c r="H96" s="234"/>
      <c r="I96" s="234"/>
      <c r="J96" s="234"/>
      <c r="K96" s="234"/>
      <c r="L96" s="234"/>
      <c r="M96" s="234"/>
      <c r="N96" s="234"/>
      <c r="O96" s="234"/>
      <c r="P96" s="234"/>
      <c r="Q96" s="234"/>
    </row>
    <row r="97" spans="7:17">
      <c r="G97" s="234" t="s">
        <v>624</v>
      </c>
      <c r="H97" s="234"/>
      <c r="I97" s="234"/>
      <c r="J97" s="234"/>
      <c r="K97" s="234"/>
      <c r="L97" s="234"/>
      <c r="M97" s="234"/>
      <c r="N97" s="234"/>
      <c r="O97" s="234"/>
      <c r="P97" s="234"/>
      <c r="Q97" s="234"/>
    </row>
    <row r="98" spans="7:17">
      <c r="G98" s="234" t="s">
        <v>625</v>
      </c>
      <c r="H98" s="234"/>
      <c r="I98" s="234"/>
      <c r="J98" s="234"/>
      <c r="K98" s="234"/>
      <c r="L98" s="234"/>
      <c r="M98" s="234"/>
      <c r="N98" s="234"/>
      <c r="O98" s="234"/>
      <c r="P98" s="234"/>
      <c r="Q98" s="234"/>
    </row>
    <row r="99" spans="7:17">
      <c r="G99" s="234" t="s">
        <v>626</v>
      </c>
      <c r="H99" s="234"/>
      <c r="I99" s="234"/>
      <c r="J99" s="234"/>
      <c r="K99" s="234"/>
      <c r="L99" s="234"/>
      <c r="M99" s="234"/>
      <c r="N99" s="234"/>
      <c r="O99" s="234"/>
      <c r="P99" s="234"/>
      <c r="Q99" s="234"/>
    </row>
    <row r="100" spans="7:17">
      <c r="G100" s="234" t="s">
        <v>627</v>
      </c>
      <c r="H100" s="234"/>
      <c r="I100" s="234"/>
      <c r="J100" s="234"/>
      <c r="K100" s="234"/>
      <c r="L100" s="234"/>
      <c r="M100" s="234"/>
      <c r="N100" s="234"/>
      <c r="O100" s="234"/>
      <c r="P100" s="234"/>
      <c r="Q100" s="234"/>
    </row>
    <row r="101" spans="7:17">
      <c r="G101" s="234" t="s">
        <v>628</v>
      </c>
      <c r="H101" s="234"/>
      <c r="I101" s="234"/>
      <c r="J101" s="234"/>
      <c r="K101" s="234"/>
      <c r="L101" s="234"/>
      <c r="M101" s="234"/>
      <c r="N101" s="234"/>
      <c r="O101" s="234"/>
      <c r="P101" s="234"/>
      <c r="Q101" s="234"/>
    </row>
    <row r="102" spans="7:17">
      <c r="G102" s="234" t="s">
        <v>629</v>
      </c>
      <c r="H102" s="234"/>
      <c r="I102" s="234"/>
      <c r="J102" s="234"/>
      <c r="K102" s="234"/>
      <c r="L102" s="234"/>
      <c r="M102" s="234"/>
      <c r="N102" s="234"/>
      <c r="O102" s="234"/>
      <c r="P102" s="234"/>
      <c r="Q102" s="234"/>
    </row>
    <row r="103" spans="7:17">
      <c r="G103" s="234" t="s">
        <v>630</v>
      </c>
      <c r="H103" s="234"/>
      <c r="I103" s="234"/>
      <c r="J103" s="234"/>
      <c r="K103" s="234"/>
      <c r="L103" s="234"/>
      <c r="M103" s="234"/>
      <c r="N103" s="234"/>
      <c r="O103" s="234"/>
      <c r="P103" s="234"/>
      <c r="Q103" s="234"/>
    </row>
    <row r="104" spans="7:17">
      <c r="G104" s="234" t="s">
        <v>631</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NES_APR2022_F6</v>
      </c>
    </row>
    <row r="2" spans="1:6">
      <c r="A2" s="219" t="s">
        <v>3</v>
      </c>
      <c r="B2" s="249" t="s">
        <v>3636</v>
      </c>
      <c r="C2" s="249" t="s">
        <v>3637</v>
      </c>
      <c r="D2" s="249" t="s">
        <v>668</v>
      </c>
      <c r="E2" s="249" t="s">
        <v>3638</v>
      </c>
      <c r="F2" s="249" t="s">
        <v>3639</v>
      </c>
    </row>
    <row r="3" spans="1:6" ht="15">
      <c r="B3" s="239"/>
      <c r="C3" s="250"/>
      <c r="D3" s="249"/>
      <c r="E3" s="249"/>
    </row>
    <row r="4" spans="1:6">
      <c r="B4" s="219" t="str">
        <f>'6A'!V8</f>
        <v>B0005RWTSTNBR</v>
      </c>
      <c r="C4" s="219" t="s">
        <v>6813</v>
      </c>
      <c r="E4" s="249" t="s">
        <v>3641</v>
      </c>
      <c r="F4" s="255">
        <f>IF(ISBLANK('6A'!E8),"##BLANK",'6A'!E8)</f>
        <v>6</v>
      </c>
    </row>
    <row r="5" spans="1:6">
      <c r="B5" s="219" t="str">
        <f>'6A'!V9</f>
        <v>B0005RWTSTVBR</v>
      </c>
      <c r="C5" s="219" t="s">
        <v>6814</v>
      </c>
      <c r="E5" s="249" t="s">
        <v>3641</v>
      </c>
      <c r="F5" s="255">
        <f>IF(ISBLANK('6A'!E9),"##BLANK",'6A'!E9)</f>
        <v>1655</v>
      </c>
    </row>
    <row r="6" spans="1:6">
      <c r="B6" s="219" t="str">
        <f>'6A'!V10</f>
        <v>WR001</v>
      </c>
      <c r="C6" s="219" t="s">
        <v>6815</v>
      </c>
      <c r="E6" s="249" t="s">
        <v>3641</v>
      </c>
      <c r="F6" s="255">
        <f>IF(ISBLANK('6A'!E10),"##BLANK",'6A'!E10)</f>
        <v>7</v>
      </c>
    </row>
    <row r="7" spans="1:6">
      <c r="B7" s="219" t="str">
        <f>'6A'!V11</f>
        <v>B0005RWTSTIPS</v>
      </c>
      <c r="C7" s="219" t="s">
        <v>6816</v>
      </c>
      <c r="E7" s="249" t="s">
        <v>3641</v>
      </c>
      <c r="F7" s="255">
        <f>IF(ISBLANK('6A'!E11),"##BLANK",'6A'!E11)</f>
        <v>3436</v>
      </c>
    </row>
    <row r="8" spans="1:6">
      <c r="B8" s="219" t="str">
        <f>'6A'!V12</f>
        <v>BN10290_6A</v>
      </c>
      <c r="C8" s="219" t="s">
        <v>6817</v>
      </c>
      <c r="E8" s="249" t="s">
        <v>3641</v>
      </c>
      <c r="F8" s="255">
        <f>IF(ISBLANK('6A'!E12),"##BLANK",'6A'!E12)</f>
        <v>335.47</v>
      </c>
    </row>
    <row r="9" spans="1:6">
      <c r="B9" s="219" t="str">
        <f>'6A'!V13</f>
        <v>BN4862</v>
      </c>
      <c r="C9" s="219" t="s">
        <v>6818</v>
      </c>
      <c r="E9" s="249" t="s">
        <v>3641</v>
      </c>
      <c r="F9" s="255">
        <f>IF(ISBLANK('6A'!E13),"##BLANK",'6A'!E13)</f>
        <v>8.5299999999999994</v>
      </c>
    </row>
    <row r="10" spans="1:6">
      <c r="B10" s="219" t="str">
        <f>'6A'!V14</f>
        <v>B0005RWTSEC</v>
      </c>
      <c r="C10" s="219" t="s">
        <v>6819</v>
      </c>
      <c r="E10" s="249" t="s">
        <v>3641</v>
      </c>
      <c r="F10" s="255">
        <f>IF(ISBLANK('6A'!E14),"##BLANK",'6A'!E14)</f>
        <v>5476.3370000000004</v>
      </c>
    </row>
    <row r="11" spans="1:6">
      <c r="B11" s="219" t="str">
        <f>'6A'!V15</f>
        <v>B0005RWTSTNI</v>
      </c>
      <c r="C11" s="219" t="s">
        <v>6820</v>
      </c>
      <c r="E11" s="249" t="s">
        <v>3641</v>
      </c>
      <c r="F11" s="255">
        <f>IF(ISBLANK('6A'!E15),"##BLANK",'6A'!E15)</f>
        <v>1</v>
      </c>
    </row>
    <row r="12" spans="1:6">
      <c r="B12" s="219" t="str">
        <f>'6A'!V16</f>
        <v>B0005RWTSWI3</v>
      </c>
      <c r="C12" s="219" t="s">
        <v>6821</v>
      </c>
      <c r="E12" s="249" t="s">
        <v>3641</v>
      </c>
      <c r="F12" s="255">
        <f>IF(ISBLANK('6A'!E16),"##BLANK",'6A'!E16)</f>
        <v>83.82</v>
      </c>
    </row>
    <row r="13" spans="1:6">
      <c r="B13" s="219" t="str">
        <f>'6A'!V17</f>
        <v>B0005RWTSTNE</v>
      </c>
      <c r="C13" s="219" t="s">
        <v>6822</v>
      </c>
      <c r="E13" s="249" t="s">
        <v>3641</v>
      </c>
      <c r="F13" s="255">
        <f>IF(ISBLANK('6A'!E17),"##BLANK",'6A'!E17)</f>
        <v>0</v>
      </c>
    </row>
    <row r="14" spans="1:6">
      <c r="B14" s="219" t="str">
        <f>'6A'!V18</f>
        <v>B0005RWTSWE3</v>
      </c>
      <c r="C14" s="219" t="s">
        <v>6823</v>
      </c>
      <c r="E14" s="249" t="s">
        <v>3641</v>
      </c>
      <c r="F14" s="255">
        <f>IF(ISBLANK('6A'!E18),"##BLANK",'6A'!E18)</f>
        <v>0</v>
      </c>
    </row>
    <row r="15" spans="1:6">
      <c r="B15" s="219" t="str">
        <f>'6A'!V19</f>
        <v>BN4858</v>
      </c>
      <c r="C15" s="219" t="s">
        <v>6824</v>
      </c>
      <c r="E15" s="249" t="s">
        <v>3641</v>
      </c>
      <c r="F15" s="255">
        <f>IF(ISBLANK('6A'!E19),"##BLANK",'6A'!E19)</f>
        <v>183.32</v>
      </c>
    </row>
    <row r="16" spans="1:6">
      <c r="B16" s="1781" t="str">
        <f>'6A'!V25</f>
        <v>CPMW0098</v>
      </c>
      <c r="C16" s="219" t="s">
        <v>6825</v>
      </c>
      <c r="E16" s="249" t="s">
        <v>3641</v>
      </c>
      <c r="F16" s="255">
        <f>IF(ISBLANK('6A'!C25),"##BLANK",'6A'!C25)</f>
        <v>0</v>
      </c>
    </row>
    <row r="17" spans="2:6">
      <c r="B17" s="219" t="str">
        <f>'6A'!W25</f>
        <v>CPMW0015</v>
      </c>
      <c r="C17" s="219" t="s">
        <v>6826</v>
      </c>
      <c r="E17" s="249" t="s">
        <v>3641</v>
      </c>
      <c r="F17" s="255">
        <f>IF(ISBLANK('6A'!D25),"##BLANK",'6A'!D25)</f>
        <v>0</v>
      </c>
    </row>
    <row r="18" spans="2:6">
      <c r="B18" s="1781" t="str">
        <f>'6A'!X25</f>
        <v>CPMW0027</v>
      </c>
      <c r="C18" s="219" t="s">
        <v>6827</v>
      </c>
      <c r="E18" s="249" t="s">
        <v>3641</v>
      </c>
      <c r="F18" s="255">
        <f>IF(ISBLANK('6A'!E25),"##BLANK",'6A'!E25)</f>
        <v>0</v>
      </c>
    </row>
    <row r="19" spans="2:6">
      <c r="B19" s="219" t="str">
        <f>'6A'!Y25</f>
        <v>CPMW0021</v>
      </c>
      <c r="C19" s="219" t="s">
        <v>6828</v>
      </c>
      <c r="E19" s="249" t="s">
        <v>3641</v>
      </c>
      <c r="F19" s="255">
        <f>IF(ISBLANK('6A'!F25),"##BLANK",'6A'!F25)</f>
        <v>0</v>
      </c>
    </row>
    <row r="20" spans="2:6">
      <c r="B20" s="1781" t="str">
        <f>'6A'!V26</f>
        <v>CPMW0104</v>
      </c>
      <c r="C20" s="219" t="s">
        <v>6829</v>
      </c>
      <c r="E20" s="249" t="s">
        <v>3641</v>
      </c>
      <c r="F20" s="255">
        <f>IF(ISBLANK('6A'!C26),"##BLANK",'6A'!C26)</f>
        <v>0</v>
      </c>
    </row>
    <row r="21" spans="2:6">
      <c r="B21" s="219" t="str">
        <f>'6A'!W26</f>
        <v>BN10491</v>
      </c>
      <c r="C21" s="219" t="s">
        <v>6830</v>
      </c>
      <c r="E21" s="249" t="s">
        <v>3641</v>
      </c>
      <c r="F21" s="255">
        <f>IF(ISBLANK('6A'!D26),"##BLANK",'6A'!D26)</f>
        <v>0</v>
      </c>
    </row>
    <row r="22" spans="2:6">
      <c r="B22" s="1781" t="str">
        <f>'6A'!X26</f>
        <v>CPMW0033</v>
      </c>
      <c r="C22" s="219" t="s">
        <v>6831</v>
      </c>
      <c r="E22" s="249" t="s">
        <v>3641</v>
      </c>
      <c r="F22" s="255">
        <f>IF(ISBLANK('6A'!E26),"##BLANK",'6A'!E26)</f>
        <v>16.61</v>
      </c>
    </row>
    <row r="23" spans="2:6">
      <c r="B23" s="219" t="str">
        <f>'6A'!Y26</f>
        <v>BN10791</v>
      </c>
      <c r="C23" s="219" t="s">
        <v>6832</v>
      </c>
      <c r="E23" s="249" t="s">
        <v>3641</v>
      </c>
      <c r="F23" s="255">
        <f>IF(ISBLANK('6A'!F26),"##BLANK",'6A'!F26)</f>
        <v>10</v>
      </c>
    </row>
    <row r="24" spans="2:6">
      <c r="B24" s="1781" t="str">
        <f>'6A'!V27</f>
        <v>CPMW0110</v>
      </c>
      <c r="C24" s="219" t="s">
        <v>6833</v>
      </c>
      <c r="E24" s="249" t="s">
        <v>3641</v>
      </c>
      <c r="F24" s="255">
        <f>IF(ISBLANK('6A'!C27),"##BLANK",'6A'!C27)</f>
        <v>0</v>
      </c>
    </row>
    <row r="25" spans="2:6">
      <c r="B25" s="219" t="str">
        <f>'6A'!W27</f>
        <v>BN10490</v>
      </c>
      <c r="C25" s="219" t="s">
        <v>6834</v>
      </c>
      <c r="E25" s="249" t="s">
        <v>3641</v>
      </c>
      <c r="F25" s="255">
        <f>IF(ISBLANK('6A'!D27),"##BLANK",'6A'!D27)</f>
        <v>0</v>
      </c>
    </row>
    <row r="26" spans="2:6">
      <c r="B26" s="1781" t="str">
        <f>'6A'!X27</f>
        <v>CPMW0039</v>
      </c>
      <c r="C26" s="219" t="s">
        <v>6835</v>
      </c>
      <c r="E26" s="249" t="s">
        <v>3641</v>
      </c>
      <c r="F26" s="255">
        <f>IF(ISBLANK('6A'!E27),"##BLANK",'6A'!E27)</f>
        <v>5.28</v>
      </c>
    </row>
    <row r="27" spans="2:6">
      <c r="B27" s="219" t="str">
        <f>'6A'!Y27</f>
        <v>BN10790</v>
      </c>
      <c r="C27" s="219" t="s">
        <v>6836</v>
      </c>
      <c r="E27" s="249" t="s">
        <v>3641</v>
      </c>
      <c r="F27" s="255">
        <f>IF(ISBLANK('6A'!F27),"##BLANK",'6A'!F27)</f>
        <v>3</v>
      </c>
    </row>
    <row r="28" spans="2:6">
      <c r="B28" s="1781" t="str">
        <f>'6A'!V28</f>
        <v>CPMW0116</v>
      </c>
      <c r="C28" s="219" t="s">
        <v>6837</v>
      </c>
      <c r="E28" s="249" t="s">
        <v>3641</v>
      </c>
      <c r="F28" s="255">
        <f>IF(ISBLANK('6A'!C28),"##BLANK",'6A'!C28)</f>
        <v>16.760000000000002</v>
      </c>
    </row>
    <row r="29" spans="2:6">
      <c r="B29" s="219" t="str">
        <f>'6A'!W28</f>
        <v>BN10590</v>
      </c>
      <c r="C29" s="219" t="s">
        <v>6838</v>
      </c>
      <c r="E29" s="249" t="s">
        <v>3641</v>
      </c>
      <c r="F29" s="255">
        <f>IF(ISBLANK('6A'!D28),"##BLANK",'6A'!D28)</f>
        <v>2</v>
      </c>
    </row>
    <row r="30" spans="2:6">
      <c r="B30" s="1781" t="str">
        <f>'6A'!X28</f>
        <v>CPMW0045</v>
      </c>
      <c r="C30" s="219" t="s">
        <v>6839</v>
      </c>
      <c r="E30" s="249" t="s">
        <v>3641</v>
      </c>
      <c r="F30" s="255">
        <f>IF(ISBLANK('6A'!E28),"##BLANK",'6A'!E28)</f>
        <v>20.62</v>
      </c>
    </row>
    <row r="31" spans="2:6">
      <c r="B31" s="219" t="str">
        <f>'6A'!Y28</f>
        <v>BN10890</v>
      </c>
      <c r="C31" s="219" t="s">
        <v>6840</v>
      </c>
      <c r="E31" s="249" t="s">
        <v>3641</v>
      </c>
      <c r="F31" s="255">
        <f>IF(ISBLANK('6A'!F28),"##BLANK",'6A'!F28)</f>
        <v>5</v>
      </c>
    </row>
    <row r="32" spans="2:6">
      <c r="B32" s="1781" t="str">
        <f>'6A'!V29</f>
        <v>CPMW0165</v>
      </c>
      <c r="C32" s="219" t="s">
        <v>6841</v>
      </c>
      <c r="E32" s="249" t="s">
        <v>3641</v>
      </c>
      <c r="F32" s="255">
        <f>IF(ISBLANK('6A'!C29),"##BLANK",'6A'!C29)</f>
        <v>644.6</v>
      </c>
    </row>
    <row r="33" spans="2:6">
      <c r="B33" s="219" t="str">
        <f>'6A'!W29</f>
        <v>BN10597</v>
      </c>
      <c r="C33" s="219" t="s">
        <v>6842</v>
      </c>
      <c r="E33" s="249" t="s">
        <v>3641</v>
      </c>
      <c r="F33" s="255">
        <f>IF(ISBLANK('6A'!D29),"##BLANK",'6A'!D29)</f>
        <v>15</v>
      </c>
    </row>
    <row r="34" spans="2:6">
      <c r="B34" s="1781" t="str">
        <f>'6A'!X29</f>
        <v>CPMW0185</v>
      </c>
      <c r="C34" s="219" t="s">
        <v>6843</v>
      </c>
      <c r="E34" s="249" t="s">
        <v>3641</v>
      </c>
      <c r="F34" s="255">
        <f>IF(ISBLANK('6A'!E29),"##BLANK",'6A'!E29)</f>
        <v>13.39</v>
      </c>
    </row>
    <row r="35" spans="2:6">
      <c r="B35" s="219" t="str">
        <f>'6A'!Y29</f>
        <v>BN10897</v>
      </c>
      <c r="C35" s="219" t="s">
        <v>6844</v>
      </c>
      <c r="E35" s="249" t="s">
        <v>3641</v>
      </c>
      <c r="F35" s="255">
        <f>IF(ISBLANK('6A'!F29),"##BLANK",'6A'!F29)</f>
        <v>6</v>
      </c>
    </row>
    <row r="36" spans="2:6">
      <c r="B36" s="1781" t="str">
        <f>'6A'!V30</f>
        <v>CPMW0166</v>
      </c>
      <c r="C36" s="219" t="s">
        <v>6845</v>
      </c>
      <c r="E36" s="249" t="s">
        <v>3641</v>
      </c>
      <c r="F36" s="255">
        <f>IF(ISBLANK('6A'!C30),"##BLANK",'6A'!C30)</f>
        <v>428.06</v>
      </c>
    </row>
    <row r="37" spans="2:6">
      <c r="B37" s="219" t="str">
        <f>'6A'!W30</f>
        <v>BN10598</v>
      </c>
      <c r="C37" s="219" t="s">
        <v>6846</v>
      </c>
      <c r="E37" s="249" t="s">
        <v>3641</v>
      </c>
      <c r="F37" s="255">
        <f>IF(ISBLANK('6A'!D30),"##BLANK",'6A'!D30)</f>
        <v>6</v>
      </c>
    </row>
    <row r="38" spans="2:6">
      <c r="B38" s="1781" t="str">
        <f>'6A'!X30</f>
        <v>CPMW0197</v>
      </c>
      <c r="C38" s="219" t="s">
        <v>6847</v>
      </c>
      <c r="E38" s="249" t="s">
        <v>3641</v>
      </c>
      <c r="F38" s="255">
        <f>IF(ISBLANK('6A'!E30),"##BLANK",'6A'!E30)</f>
        <v>20.37</v>
      </c>
    </row>
    <row r="39" spans="2:6">
      <c r="B39" s="219" t="str">
        <f>'6A'!Y30</f>
        <v>BN10898</v>
      </c>
      <c r="C39" s="219" t="s">
        <v>6848</v>
      </c>
      <c r="E39" s="249" t="s">
        <v>3641</v>
      </c>
      <c r="F39" s="255">
        <f>IF(ISBLANK('6A'!F30),"##BLANK",'6A'!F30)</f>
        <v>5</v>
      </c>
    </row>
    <row r="40" spans="2:6">
      <c r="B40" s="1781" t="str">
        <f>'6A'!V31</f>
        <v>CPMW0167</v>
      </c>
      <c r="C40" s="219" t="s">
        <v>6849</v>
      </c>
      <c r="E40" s="249" t="s">
        <v>3641</v>
      </c>
      <c r="F40" s="255">
        <f>IF(ISBLANK('6A'!C31),"##BLANK",'6A'!C31)</f>
        <v>0</v>
      </c>
    </row>
    <row r="41" spans="2:6">
      <c r="B41" s="219" t="str">
        <f>'6A'!W31</f>
        <v>BN10599</v>
      </c>
      <c r="C41" s="219" t="s">
        <v>6850</v>
      </c>
      <c r="E41" s="249" t="s">
        <v>3641</v>
      </c>
      <c r="F41" s="255">
        <f>IF(ISBLANK('6A'!D31),"##BLANK",'6A'!D31)</f>
        <v>0</v>
      </c>
    </row>
    <row r="42" spans="2:6">
      <c r="B42" s="1781" t="str">
        <f>'6A'!X31</f>
        <v>CPMW0198</v>
      </c>
      <c r="C42" s="219" t="s">
        <v>6851</v>
      </c>
      <c r="E42" s="249" t="s">
        <v>3641</v>
      </c>
      <c r="F42" s="255">
        <f>IF(ISBLANK('6A'!E31),"##BLANK",'6A'!E31)</f>
        <v>0</v>
      </c>
    </row>
    <row r="43" spans="2:6">
      <c r="B43" s="219" t="str">
        <f>'6A'!Y31</f>
        <v>BN10899</v>
      </c>
      <c r="C43" s="219" t="s">
        <v>6852</v>
      </c>
      <c r="E43" s="249" t="s">
        <v>3641</v>
      </c>
      <c r="F43" s="255">
        <f>IF(ISBLANK('6A'!F31),"##BLANK",'6A'!F31)</f>
        <v>0</v>
      </c>
    </row>
    <row r="44" spans="2:6">
      <c r="B44" s="219" t="str">
        <f>'6A'!V36</f>
        <v>WTW001PN</v>
      </c>
      <c r="C44" s="219" t="s">
        <v>6853</v>
      </c>
      <c r="E44" s="249" t="s">
        <v>3641</v>
      </c>
      <c r="F44" s="255">
        <f>IF(ISBLANK('6A'!C36),"##BLANK",'6A'!C36)</f>
        <v>0.3</v>
      </c>
    </row>
    <row r="45" spans="2:6">
      <c r="B45" s="219" t="str">
        <f>'6A'!W36</f>
        <v>WTW001NR</v>
      </c>
      <c r="C45" s="219" t="s">
        <v>6854</v>
      </c>
      <c r="E45" s="249" t="s">
        <v>3641</v>
      </c>
      <c r="F45" s="255">
        <f>IF(ISBLANK('6A'!D36),"##BLANK",'6A'!D36)</f>
        <v>11</v>
      </c>
    </row>
    <row r="46" spans="2:6">
      <c r="B46" s="219" t="str">
        <f>'6A'!V37</f>
        <v>WTW002PN</v>
      </c>
      <c r="C46" s="219" t="s">
        <v>6855</v>
      </c>
      <c r="E46" s="249" t="s">
        <v>3641</v>
      </c>
      <c r="F46" s="255">
        <f>IF(ISBLANK('6A'!C37),"##BLANK",'6A'!C37)</f>
        <v>1.3</v>
      </c>
    </row>
    <row r="47" spans="2:6">
      <c r="B47" s="219" t="str">
        <f>'6A'!W37</f>
        <v>WTW002NR</v>
      </c>
      <c r="C47" s="219" t="s">
        <v>6856</v>
      </c>
      <c r="E47" s="249" t="s">
        <v>3641</v>
      </c>
      <c r="F47" s="255">
        <f>IF(ISBLANK('6A'!D37),"##BLANK",'6A'!D37)</f>
        <v>8</v>
      </c>
    </row>
    <row r="48" spans="2:6">
      <c r="B48" s="219" t="str">
        <f>'6A'!V38</f>
        <v>WTW003PN</v>
      </c>
      <c r="C48" s="219" t="s">
        <v>6857</v>
      </c>
      <c r="E48" s="249" t="s">
        <v>3641</v>
      </c>
      <c r="F48" s="255">
        <f>IF(ISBLANK('6A'!C38),"##BLANK",'6A'!C38)</f>
        <v>3.6</v>
      </c>
    </row>
    <row r="49" spans="2:6">
      <c r="B49" s="219" t="str">
        <f>'6A'!W38</f>
        <v>WTW003NR</v>
      </c>
      <c r="C49" s="219" t="s">
        <v>6858</v>
      </c>
      <c r="E49" s="249" t="s">
        <v>3641</v>
      </c>
      <c r="F49" s="255">
        <f>IF(ISBLANK('6A'!D38),"##BLANK",'6A'!D38)</f>
        <v>11</v>
      </c>
    </row>
    <row r="50" spans="2:6">
      <c r="B50" s="219" t="str">
        <f>'6A'!V39</f>
        <v>WTW004PN</v>
      </c>
      <c r="C50" s="219" t="s">
        <v>6859</v>
      </c>
      <c r="E50" s="249" t="s">
        <v>3641</v>
      </c>
      <c r="F50" s="255">
        <f>IF(ISBLANK('6A'!C39),"##BLANK",'6A'!C39)</f>
        <v>2.1</v>
      </c>
    </row>
    <row r="51" spans="2:6">
      <c r="B51" s="219" t="str">
        <f>'6A'!W39</f>
        <v>WTW004NR</v>
      </c>
      <c r="C51" s="219" t="s">
        <v>6860</v>
      </c>
      <c r="E51" s="249" t="s">
        <v>3641</v>
      </c>
      <c r="F51" s="255">
        <f>IF(ISBLANK('6A'!D39),"##BLANK",'6A'!D39)</f>
        <v>3</v>
      </c>
    </row>
    <row r="52" spans="2:6">
      <c r="B52" s="219" t="str">
        <f>'6A'!V40</f>
        <v>WTW005PN</v>
      </c>
      <c r="C52" s="219" t="s">
        <v>6861</v>
      </c>
      <c r="E52" s="249" t="s">
        <v>3641</v>
      </c>
      <c r="F52" s="255">
        <f>IF(ISBLANK('6A'!C40),"##BLANK",'6A'!C40)</f>
        <v>4.4000000000000004</v>
      </c>
    </row>
    <row r="53" spans="2:6">
      <c r="B53" s="219" t="str">
        <f>'6A'!W40</f>
        <v>WTW005NR</v>
      </c>
      <c r="C53" s="219" t="s">
        <v>6862</v>
      </c>
      <c r="E53" s="249" t="s">
        <v>3641</v>
      </c>
      <c r="F53" s="255">
        <f>IF(ISBLANK('6A'!D40),"##BLANK",'6A'!D40)</f>
        <v>3</v>
      </c>
    </row>
    <row r="54" spans="2:6">
      <c r="B54" s="219" t="str">
        <f>'6A'!V41</f>
        <v>WTW006PN</v>
      </c>
      <c r="C54" s="219" t="s">
        <v>6863</v>
      </c>
      <c r="E54" s="249" t="s">
        <v>3641</v>
      </c>
      <c r="F54" s="255">
        <f>IF(ISBLANK('6A'!C41),"##BLANK",'6A'!C41)</f>
        <v>15.2</v>
      </c>
    </row>
    <row r="55" spans="2:6">
      <c r="B55" s="219" t="str">
        <f>'6A'!W41</f>
        <v>WTW006NR</v>
      </c>
      <c r="C55" s="219" t="s">
        <v>6864</v>
      </c>
      <c r="E55" s="249" t="s">
        <v>3641</v>
      </c>
      <c r="F55" s="255">
        <f>IF(ISBLANK('6A'!D41),"##BLANK",'6A'!D41)</f>
        <v>6</v>
      </c>
    </row>
    <row r="56" spans="2:6">
      <c r="B56" s="219" t="str">
        <f>'6A'!V42</f>
        <v>WTW007PN</v>
      </c>
      <c r="C56" s="219" t="s">
        <v>6865</v>
      </c>
      <c r="E56" s="249" t="s">
        <v>3641</v>
      </c>
      <c r="F56" s="255">
        <f>IF(ISBLANK('6A'!C42),"##BLANK",'6A'!C42)</f>
        <v>33.6</v>
      </c>
    </row>
    <row r="57" spans="2:6">
      <c r="B57" s="219" t="str">
        <f>'6A'!W42</f>
        <v>WTW007NR</v>
      </c>
      <c r="C57" s="219" t="s">
        <v>6866</v>
      </c>
      <c r="E57" s="249" t="s">
        <v>3641</v>
      </c>
      <c r="F57" s="255">
        <f>IF(ISBLANK('6A'!D42),"##BLANK",'6A'!D42)</f>
        <v>4</v>
      </c>
    </row>
    <row r="58" spans="2:6">
      <c r="B58" s="219" t="str">
        <f>'6A'!V43</f>
        <v>WTW008PN</v>
      </c>
      <c r="C58" s="219" t="s">
        <v>6867</v>
      </c>
      <c r="E58" s="249" t="s">
        <v>3641</v>
      </c>
      <c r="F58" s="255">
        <f>IF(ISBLANK('6A'!C43),"##BLANK",'6A'!C43)</f>
        <v>39.5</v>
      </c>
    </row>
    <row r="59" spans="2:6">
      <c r="B59" s="219" t="str">
        <f>'6A'!W43</f>
        <v>WTW008NR</v>
      </c>
      <c r="C59" s="219" t="s">
        <v>6868</v>
      </c>
      <c r="E59" s="249" t="s">
        <v>3641</v>
      </c>
      <c r="F59" s="255">
        <f>IF(ISBLANK('6A'!D43),"##BLANK",'6A'!D43)</f>
        <v>4</v>
      </c>
    </row>
    <row r="60" spans="2:6">
      <c r="B60" s="219" t="str">
        <f>'6A'!V46</f>
        <v>BNARPC_WT0</v>
      </c>
      <c r="C60" s="219" t="str">
        <f>'6A'!B46</f>
        <v>Peak week production capacity (PWPC)</v>
      </c>
      <c r="E60" s="249" t="s">
        <v>3641</v>
      </c>
      <c r="F60" s="255">
        <f>IF(ISBLANK('6A'!E46),"##BLANK",'6A'!E46)</f>
        <v>1562.48</v>
      </c>
    </row>
    <row r="61" spans="2:6">
      <c r="B61" s="219" t="str">
        <f>'6A'!V47</f>
        <v>BNARW1T</v>
      </c>
      <c r="C61" s="219" t="str">
        <f>'6A'!B47</f>
        <v>Total peak week production capacity (PWPC) having enhancement expenditure for grey solution improvements to address raw water quality deterioration</v>
      </c>
      <c r="E61" s="249" t="s">
        <v>3641</v>
      </c>
      <c r="F61" s="255">
        <f>IF(ISBLANK('6A'!E47),"##BLANK",'6A'!E47)</f>
        <v>285.29000000000002</v>
      </c>
    </row>
    <row r="62" spans="2:6">
      <c r="B62" s="219" t="str">
        <f>'6A'!V48</f>
        <v>BNARW1N</v>
      </c>
      <c r="C62" s="219" t="str">
        <f>'6A'!B48</f>
        <v>Total peak week production capacity (PWPC) having enhancement expenditure for green solutions improvements to address raw water quality deterioration</v>
      </c>
      <c r="E62" s="249" t="s">
        <v>3641</v>
      </c>
      <c r="F62" s="255">
        <f>IF(ISBLANK('6A'!E48),"##BLANK",'6A'!E48)</f>
        <v>0</v>
      </c>
    </row>
    <row r="63" spans="2:6">
      <c r="B63" s="219" t="str">
        <f>'6A'!V49</f>
        <v>CPMW001A</v>
      </c>
      <c r="C63" s="219" t="str">
        <f>'6A'!B49</f>
        <v>Total water treated at more than one type of works</v>
      </c>
      <c r="E63" s="249" t="s">
        <v>3641</v>
      </c>
      <c r="F63" s="255">
        <f>IF(ISBLANK('6A'!E49),"##BLANK",'6A'!E49)</f>
        <v>0</v>
      </c>
    </row>
    <row r="64" spans="2:6">
      <c r="B64" s="219" t="str">
        <f>'6A'!V50</f>
        <v>W4005</v>
      </c>
      <c r="C64" s="219" t="s">
        <v>6869</v>
      </c>
      <c r="E64" s="249" t="s">
        <v>3641</v>
      </c>
      <c r="F64" s="255">
        <f>IF(ISBLANK('6A'!E50),"##BLANK",'6A'!E50)</f>
        <v>3</v>
      </c>
    </row>
    <row r="65" spans="2:6">
      <c r="B65" s="219" t="str">
        <f>'6A'!V51</f>
        <v>BN10901</v>
      </c>
      <c r="C65" s="219" t="s">
        <v>6870</v>
      </c>
      <c r="E65" s="249" t="s">
        <v>3641</v>
      </c>
      <c r="F65" s="255">
        <f>IF(ISBLANK('6A'!E51),"##BLANK",'6A'!E51)</f>
        <v>4465.6809999999996</v>
      </c>
    </row>
    <row r="66" spans="2:6">
      <c r="B66" s="219" t="str">
        <f>'6A'!V52</f>
        <v>BN10902</v>
      </c>
      <c r="C66" s="219" t="s">
        <v>6871</v>
      </c>
      <c r="E66" s="249" t="s">
        <v>3641</v>
      </c>
      <c r="F66" s="255">
        <f>IF(ISBLANK('6A'!E52),"##BLANK",'6A'!E52)</f>
        <v>2.09</v>
      </c>
    </row>
    <row r="67" spans="2:6">
      <c r="B67" s="219" t="str">
        <f>'6A'!V53</f>
        <v>B0005WTEC</v>
      </c>
      <c r="C67" s="219" t="s">
        <v>6872</v>
      </c>
      <c r="E67" s="249" t="s">
        <v>3641</v>
      </c>
      <c r="F67" s="255">
        <f>IF(ISBLANK('6A'!E53),"##BLANK",'6A'!E53)</f>
        <v>36617.283000000003</v>
      </c>
    </row>
    <row r="68" spans="2:6">
      <c r="B68" s="219" t="str">
        <f>'6A'!V54</f>
        <v>B0005WTTNI</v>
      </c>
      <c r="C68" s="219" t="s">
        <v>6873</v>
      </c>
      <c r="E68" s="249" t="s">
        <v>3641</v>
      </c>
      <c r="F68" s="255">
        <f>IF(ISBLANK('6A'!E54),"##BLANK",'6A'!E54)</f>
        <v>0</v>
      </c>
    </row>
    <row r="69" spans="2:6">
      <c r="B69" s="219" t="str">
        <f>'6A'!V55</f>
        <v>B0005WTWI3</v>
      </c>
      <c r="C69" s="219" t="s">
        <v>6874</v>
      </c>
      <c r="E69" s="249" t="s">
        <v>3641</v>
      </c>
      <c r="F69" s="255">
        <f>IF(ISBLANK('6A'!E55),"##BLANK",'6A'!E55)</f>
        <v>0</v>
      </c>
    </row>
    <row r="70" spans="2:6">
      <c r="B70" s="219" t="str">
        <f>'6A'!V56</f>
        <v>B0005WTTNE</v>
      </c>
      <c r="C70" s="219" t="s">
        <v>6875</v>
      </c>
      <c r="E70" s="249" t="s">
        <v>3641</v>
      </c>
      <c r="F70" s="255">
        <f>IF(ISBLANK('6A'!E56),"##BLANK",'6A'!E56)</f>
        <v>0</v>
      </c>
    </row>
    <row r="71" spans="2:6">
      <c r="B71" s="219" t="str">
        <f>'6A'!V57</f>
        <v>B0005WTWE3</v>
      </c>
      <c r="C71" s="219" t="s">
        <v>6876</v>
      </c>
      <c r="E71" s="249" t="s">
        <v>3641</v>
      </c>
      <c r="F71" s="255">
        <f>IF(ISBLANK('6A'!E57),"##BLANK",'6A'!E57)</f>
        <v>0</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C1" s="219" t="str">
        <f>CONCATENATE(Lists!$B$60,"_APR2022_F7")</f>
        <v>NES_APR2022_F7</v>
      </c>
    </row>
    <row r="2" spans="1:6">
      <c r="A2" s="219" t="s">
        <v>3</v>
      </c>
      <c r="B2" s="219" t="s">
        <v>3636</v>
      </c>
      <c r="C2" s="219" t="s">
        <v>3637</v>
      </c>
      <c r="D2" s="219" t="s">
        <v>668</v>
      </c>
      <c r="E2" s="219" t="s">
        <v>3638</v>
      </c>
      <c r="F2" s="219" t="s">
        <v>3639</v>
      </c>
    </row>
    <row r="3" spans="1:6" ht="15">
      <c r="B3" s="239"/>
      <c r="C3" s="250"/>
      <c r="D3" s="249"/>
      <c r="E3" s="249"/>
    </row>
    <row r="4" spans="1:6">
      <c r="B4" s="219" t="str">
        <f>'7A'!R8</f>
        <v>STWF011</v>
      </c>
      <c r="C4" s="219" t="s">
        <v>6877</v>
      </c>
      <c r="E4" s="249" t="s">
        <v>3641</v>
      </c>
      <c r="F4" s="255">
        <f>IF(ISBLANK('7A'!E8),"##BLANK",'7A'!E8)</f>
        <v>1892.4680000000001</v>
      </c>
    </row>
    <row r="5" spans="1:6">
      <c r="B5" s="219" t="str">
        <f>'7A'!R9</f>
        <v>STWF025</v>
      </c>
      <c r="C5" s="219" t="s">
        <v>6878</v>
      </c>
      <c r="E5" s="249" t="s">
        <v>3641</v>
      </c>
      <c r="F5" s="255">
        <f>IF(ISBLANK('7A'!E9),"##BLANK",'7A'!E9)</f>
        <v>630.90800000000002</v>
      </c>
    </row>
    <row r="6" spans="1:6">
      <c r="B6" s="219" t="str">
        <f>'7A'!R10</f>
        <v>STWF039</v>
      </c>
      <c r="C6" s="219" t="s">
        <v>6879</v>
      </c>
      <c r="E6" s="249" t="s">
        <v>3641</v>
      </c>
      <c r="F6" s="255">
        <f>IF(ISBLANK('7A'!E10),"##BLANK",'7A'!E10)</f>
        <v>2417.5720000000001</v>
      </c>
    </row>
    <row r="7" spans="1:6">
      <c r="B7" s="219" t="str">
        <f>'7A'!R11</f>
        <v>STWF053</v>
      </c>
      <c r="C7" s="219" t="s">
        <v>6880</v>
      </c>
      <c r="E7" s="249" t="s">
        <v>3641</v>
      </c>
      <c r="F7" s="255">
        <f>IF(ISBLANK('7A'!E11),"##BLANK",'7A'!E11)</f>
        <v>4320.1610000000001</v>
      </c>
    </row>
    <row r="8" spans="1:6">
      <c r="B8" s="219" t="str">
        <f>'7A'!R12</f>
        <v>STWF067</v>
      </c>
      <c r="C8" s="219" t="s">
        <v>6881</v>
      </c>
      <c r="E8" s="249" t="s">
        <v>3641</v>
      </c>
      <c r="F8" s="255">
        <f>IF(ISBLANK('7A'!E12),"##BLANK",'7A'!E12)</f>
        <v>4300.66</v>
      </c>
    </row>
    <row r="9" spans="1:6">
      <c r="B9" s="219" t="str">
        <f>'7A'!R13</f>
        <v>S3026</v>
      </c>
      <c r="C9" s="219" t="s">
        <v>6882</v>
      </c>
      <c r="E9" s="249" t="s">
        <v>3641</v>
      </c>
      <c r="F9" s="255">
        <f>IF(ISBLANK('7A'!E13),"##BLANK",'7A'!E13)</f>
        <v>1890.4490000000001</v>
      </c>
    </row>
    <row r="10" spans="1:6">
      <c r="B10" s="219" t="str">
        <f>'7A'!R14</f>
        <v>STWF012</v>
      </c>
      <c r="C10" s="219" t="s">
        <v>6883</v>
      </c>
      <c r="E10" s="249" t="s">
        <v>3641</v>
      </c>
      <c r="F10" s="255">
        <f>IF(ISBLANK('7A'!E14),"##BLANK",'7A'!E14)</f>
        <v>15452.218000000001</v>
      </c>
    </row>
    <row r="11" spans="1:6">
      <c r="B11" s="219" t="str">
        <f>'7A'!R25</f>
        <v>STWB043TOT</v>
      </c>
      <c r="C11" s="219" t="s">
        <v>6884</v>
      </c>
      <c r="E11" s="249" t="s">
        <v>3641</v>
      </c>
      <c r="F11" s="255">
        <f>IF(ISBLANK('7A'!E25),"##BLANK",'7A'!E25)</f>
        <v>56389.601999999999</v>
      </c>
    </row>
    <row r="12" spans="1:6">
      <c r="B12" s="219" t="str">
        <f>'7C'!R8</f>
        <v>S4002</v>
      </c>
      <c r="C12" s="219" t="s">
        <v>6885</v>
      </c>
      <c r="E12" s="249" t="s">
        <v>3641</v>
      </c>
      <c r="F12" s="255">
        <f>IF(ISBLANK('7C'!E8),"##BLANK",'7C'!E8)</f>
        <v>0</v>
      </c>
    </row>
    <row r="13" spans="1:6">
      <c r="B13" s="219" t="str">
        <f>'7C'!R9</f>
        <v>S4002A</v>
      </c>
      <c r="C13" s="219" t="s">
        <v>6886</v>
      </c>
      <c r="E13" s="249" t="s">
        <v>3641</v>
      </c>
      <c r="F13" s="255">
        <f>IF(ISBLANK('7C'!E9),"##BLANK",'7C'!E9)</f>
        <v>0</v>
      </c>
    </row>
    <row r="14" spans="1:6">
      <c r="B14" s="219" t="str">
        <f>'7C'!R10</f>
        <v>S4029</v>
      </c>
      <c r="C14" s="219" t="s">
        <v>6887</v>
      </c>
      <c r="E14" s="249" t="s">
        <v>3641</v>
      </c>
      <c r="F14" s="255">
        <f>IF(ISBLANK('7C'!E10),"##BLANK",'7C'!E10)</f>
        <v>44981</v>
      </c>
    </row>
    <row r="15" spans="1:6">
      <c r="B15" s="219" t="str">
        <f>'7C'!R11</f>
        <v>S6019</v>
      </c>
      <c r="C15" s="219" t="s">
        <v>6888</v>
      </c>
      <c r="E15" s="249" t="s">
        <v>3641</v>
      </c>
      <c r="F15" s="255">
        <f>IF(ISBLANK('7C'!E11),"##BLANK",'7C'!E11)</f>
        <v>966</v>
      </c>
    </row>
    <row r="16" spans="1:6">
      <c r="B16" s="1784" t="str">
        <f>'7C'!R12</f>
        <v>BN13522</v>
      </c>
      <c r="C16" s="219" t="s">
        <v>6889</v>
      </c>
      <c r="E16" s="249" t="s">
        <v>3641</v>
      </c>
      <c r="F16" s="255">
        <f>IF(ISBLANK('7C'!E12),"##BLANK",'7C'!E12)</f>
        <v>10949</v>
      </c>
    </row>
    <row r="17" spans="2:6">
      <c r="B17" s="219" t="str">
        <f>'7C'!R13</f>
        <v>BN13521</v>
      </c>
      <c r="C17" s="219" t="s">
        <v>6890</v>
      </c>
      <c r="E17" s="249" t="s">
        <v>3641</v>
      </c>
      <c r="F17" s="255">
        <f>IF(ISBLANK('7C'!E13),"##BLANK",'7C'!E13)</f>
        <v>251</v>
      </c>
    </row>
    <row r="18" spans="2:6">
      <c r="B18" s="219" t="str">
        <f>'7C'!R14</f>
        <v>BN13520</v>
      </c>
      <c r="C18" s="219" t="s">
        <v>6891</v>
      </c>
      <c r="E18" s="249" t="s">
        <v>3641</v>
      </c>
      <c r="F18" s="255">
        <f>IF(ISBLANK('7C'!E14),"##BLANK",'7C'!E14)</f>
        <v>30</v>
      </c>
    </row>
    <row r="19" spans="2:6">
      <c r="B19" s="219" t="str">
        <f>'7C'!R15</f>
        <v>CPMS2005</v>
      </c>
      <c r="C19" s="219" t="s">
        <v>6892</v>
      </c>
      <c r="E19" s="249" t="s">
        <v>3641</v>
      </c>
      <c r="F19" s="255">
        <f>IF(ISBLANK('7C'!E15),"##BLANK",'7C'!E15)</f>
        <v>1442</v>
      </c>
    </row>
    <row r="20" spans="2:6">
      <c r="B20" s="219" t="str">
        <f>'7C'!R16</f>
        <v>CPMS2004</v>
      </c>
      <c r="C20" s="219" t="s">
        <v>6893</v>
      </c>
      <c r="E20" s="249" t="s">
        <v>3641</v>
      </c>
      <c r="F20" s="255">
        <f>IF(ISBLANK('7C'!E16),"##BLANK",'7C'!E16)</f>
        <v>248</v>
      </c>
    </row>
    <row r="21" spans="2:6">
      <c r="B21" s="219" t="str">
        <f>'7C'!R17</f>
        <v>CPMS2014</v>
      </c>
      <c r="C21" s="219" t="s">
        <v>6894</v>
      </c>
      <c r="E21" s="249" t="s">
        <v>3641</v>
      </c>
      <c r="F21" s="255">
        <f>IF(ISBLANK('7C'!E17),"##BLANK",'7C'!E17)</f>
        <v>122</v>
      </c>
    </row>
    <row r="22" spans="2:6">
      <c r="B22" s="257" t="str">
        <f>'7C'!R18</f>
        <v>BB2370</v>
      </c>
      <c r="C22" s="219" t="s">
        <v>6895</v>
      </c>
      <c r="E22" s="249" t="s">
        <v>3641</v>
      </c>
      <c r="F22" s="255">
        <f>IF(ISBLANK('7C'!E18),"##BLANK",'7C'!E18)</f>
        <v>992</v>
      </c>
    </row>
    <row r="23" spans="2:6">
      <c r="B23" s="219" t="str">
        <f>'7C'!R19</f>
        <v>CPMS2012</v>
      </c>
      <c r="C23" s="219" t="s">
        <v>6896</v>
      </c>
      <c r="E23" s="249" t="s">
        <v>3641</v>
      </c>
      <c r="F23" s="255">
        <f>IF(ISBLANK('7C'!E19),"##BLANK",'7C'!E19)</f>
        <v>6117.45</v>
      </c>
    </row>
    <row r="24" spans="2:6">
      <c r="B24" s="1785" t="str">
        <f>'7C'!R20</f>
        <v>CPMS2015</v>
      </c>
      <c r="C24" s="219" t="s">
        <v>6897</v>
      </c>
      <c r="E24" s="249" t="s">
        <v>3641</v>
      </c>
      <c r="F24" s="255">
        <f>IF(ISBLANK('7C'!E20),"##BLANK",'7C'!E20)</f>
        <v>311532.63</v>
      </c>
    </row>
    <row r="25" spans="2:6">
      <c r="B25" s="219" t="str">
        <f>'7C'!R21</f>
        <v>BN13519</v>
      </c>
      <c r="C25" s="219" t="s">
        <v>6898</v>
      </c>
      <c r="E25" s="249" t="s">
        <v>3641</v>
      </c>
      <c r="F25" s="255">
        <f>IF(ISBLANK('7C'!E21),"##BLANK",'7C'!E21)</f>
        <v>25</v>
      </c>
    </row>
    <row r="26" spans="2:6">
      <c r="B26" s="219" t="str">
        <f>'7C'!R22</f>
        <v>BN13523</v>
      </c>
      <c r="C26" s="219" t="s">
        <v>6899</v>
      </c>
      <c r="E26" s="249" t="s">
        <v>3641</v>
      </c>
      <c r="F26" s="255">
        <f>IF(ISBLANK('7C'!E22),"##BLANK",'7C'!E22)</f>
        <v>1</v>
      </c>
    </row>
    <row r="27" spans="2:6">
      <c r="B27" s="257" t="str">
        <f>'7C'!R23</f>
        <v>BN13524</v>
      </c>
      <c r="C27" s="219" t="s">
        <v>6900</v>
      </c>
      <c r="E27" s="249" t="s">
        <v>3641</v>
      </c>
      <c r="F27" s="255">
        <f>IF(ISBLANK('7C'!E23),"##BLANK",'7C'!E23)</f>
        <v>3123</v>
      </c>
    </row>
    <row r="28" spans="2:6">
      <c r="B28" s="257" t="str">
        <f>'7C'!R24</f>
        <v>BN13525</v>
      </c>
      <c r="C28" s="219" t="s">
        <v>6901</v>
      </c>
      <c r="E28" s="249" t="s">
        <v>3641</v>
      </c>
      <c r="F28" s="255">
        <f>IF(ISBLANK('7C'!E24),"##BLANK",'7C'!E24)</f>
        <v>4560</v>
      </c>
    </row>
    <row r="29" spans="2:6">
      <c r="B29" s="257" t="str">
        <f>'7C'!R25</f>
        <v>BN13526</v>
      </c>
      <c r="C29" s="219" t="s">
        <v>6902</v>
      </c>
      <c r="E29" s="249" t="s">
        <v>3641</v>
      </c>
      <c r="F29" s="255">
        <f>IF(ISBLANK('7C'!E25),"##BLANK",'7C'!E25)</f>
        <v>8408</v>
      </c>
    </row>
    <row r="30" spans="2:6">
      <c r="B30" s="257" t="str">
        <f>'7C'!R26</f>
        <v>BN13527</v>
      </c>
      <c r="C30" s="219" t="s">
        <v>6903</v>
      </c>
      <c r="E30" s="249" t="s">
        <v>3641</v>
      </c>
      <c r="F30" s="255">
        <f>IF(ISBLANK('7C'!E26),"##BLANK",'7C'!E26)</f>
        <v>437</v>
      </c>
    </row>
    <row r="31" spans="2:6">
      <c r="B31" s="257" t="str">
        <f>'7C'!R27</f>
        <v>BN13534</v>
      </c>
      <c r="C31" s="219" t="s">
        <v>6904</v>
      </c>
      <c r="E31" s="249" t="s">
        <v>3641</v>
      </c>
      <c r="F31" s="255">
        <f>IF(ISBLANK('7C'!E27),"##BLANK",'7C'!E27)</f>
        <v>199</v>
      </c>
    </row>
    <row r="32" spans="2:6">
      <c r="B32" s="257" t="str">
        <f>'7C'!R28</f>
        <v>BN13535</v>
      </c>
      <c r="C32" s="219" t="s">
        <v>6905</v>
      </c>
      <c r="E32" s="249" t="s">
        <v>3641</v>
      </c>
      <c r="F32" s="255">
        <f>IF(ISBLANK('7C'!E28),"##BLANK",'7C'!E28)</f>
        <v>16727</v>
      </c>
    </row>
    <row r="33" spans="2:6">
      <c r="B33" s="257" t="str">
        <f>'7C'!R29</f>
        <v>BN13528</v>
      </c>
      <c r="C33" s="219" t="s">
        <v>6906</v>
      </c>
      <c r="E33" s="249" t="s">
        <v>3641</v>
      </c>
      <c r="F33" s="255">
        <f>IF(ISBLANK('7C'!E29),"##BLANK",'7C'!E29)</f>
        <v>13510</v>
      </c>
    </row>
  </sheetData>
  <sheetProtection sort="0"/>
  <conditionalFormatting sqref="E4:E33">
    <cfRule type="expression" dxfId="565"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NES_APR2022_F8</v>
      </c>
    </row>
    <row r="2" spans="1:6">
      <c r="A2" s="219" t="s">
        <v>3</v>
      </c>
      <c r="B2" s="219" t="s">
        <v>3636</v>
      </c>
      <c r="C2" s="219" t="s">
        <v>3637</v>
      </c>
      <c r="D2" s="219" t="s">
        <v>668</v>
      </c>
      <c r="E2" s="219" t="s">
        <v>3638</v>
      </c>
      <c r="F2" s="219" t="s">
        <v>3639</v>
      </c>
    </row>
    <row r="3" spans="1:6" ht="15">
      <c r="B3" s="239"/>
      <c r="C3" s="250"/>
      <c r="D3" s="249"/>
      <c r="E3" s="249"/>
    </row>
    <row r="4" spans="1:6">
      <c r="B4" s="219" t="str">
        <f>'8A'!R7</f>
        <v>BP05613</v>
      </c>
      <c r="C4" s="219" t="s">
        <v>6907</v>
      </c>
      <c r="E4" s="249" t="s">
        <v>3641</v>
      </c>
      <c r="F4" s="255">
        <f>IF(ISBLANK('8A'!E7),"##BLANK",'8A'!E7)</f>
        <v>69.8</v>
      </c>
    </row>
    <row r="5" spans="1:6">
      <c r="B5" s="219" t="str">
        <f>'8A'!R8</f>
        <v>MP05614</v>
      </c>
      <c r="C5" s="219" t="s">
        <v>6908</v>
      </c>
      <c r="E5" s="249" t="s">
        <v>3641</v>
      </c>
      <c r="F5" s="255">
        <f>IF(ISBLANK('8A'!E8),"##BLANK",'8A'!E8)</f>
        <v>0</v>
      </c>
    </row>
    <row r="6" spans="1:6">
      <c r="B6" s="219" t="str">
        <f>'8A'!R9</f>
        <v>MP05611</v>
      </c>
      <c r="C6" s="219" t="s">
        <v>6909</v>
      </c>
      <c r="E6" s="249" t="s">
        <v>3641</v>
      </c>
      <c r="F6" s="255">
        <f>IF(ISBLANK('8A'!E9),"##BLANK",'8A'!E9)</f>
        <v>69.8</v>
      </c>
    </row>
    <row r="7" spans="1:6">
      <c r="B7" s="219" t="str">
        <f>'8A'!R10</f>
        <v>MP05613</v>
      </c>
      <c r="C7" s="219" t="s">
        <v>6910</v>
      </c>
      <c r="E7" s="249" t="s">
        <v>3641</v>
      </c>
      <c r="F7" s="255">
        <f>IF(ISBLANK('8A'!E10),"##BLANK",'8A'!E10)</f>
        <v>0.8</v>
      </c>
    </row>
    <row r="8" spans="1:6">
      <c r="B8" s="219" t="str">
        <f>'8A'!R12</f>
        <v>MP05615</v>
      </c>
      <c r="C8" s="219" t="s">
        <v>6911</v>
      </c>
      <c r="E8" s="249" t="s">
        <v>3641</v>
      </c>
      <c r="F8" s="255">
        <f>IF(ISBLANK('8A'!E12),"##BLANK",'8A'!E12)</f>
        <v>66.349999999999994</v>
      </c>
    </row>
    <row r="9" spans="1:6">
      <c r="B9" s="219" t="str">
        <f>'8A'!R14</f>
        <v>BN1623</v>
      </c>
      <c r="C9" s="219" t="s">
        <v>6912</v>
      </c>
      <c r="E9" s="249" t="s">
        <v>3641</v>
      </c>
      <c r="F9" s="255">
        <f>IF(ISBLANK('8A'!E14),"##BLANK",'8A'!E14)</f>
        <v>27.8</v>
      </c>
    </row>
    <row r="10" spans="1:6">
      <c r="B10" s="219" t="str">
        <f>'8A'!R15</f>
        <v>BN1622</v>
      </c>
      <c r="C10" s="219" t="s">
        <v>6913</v>
      </c>
      <c r="E10" s="249" t="s">
        <v>3641</v>
      </c>
      <c r="F10" s="255">
        <f>IF(ISBLANK('8A'!E15),"##BLANK",'8A'!E15)</f>
        <v>0</v>
      </c>
    </row>
    <row r="11" spans="1:6">
      <c r="B11" s="219" t="str">
        <f>'8A'!R16</f>
        <v>BN1621</v>
      </c>
      <c r="C11" s="219" t="s">
        <v>6914</v>
      </c>
      <c r="E11" s="249" t="s">
        <v>3641</v>
      </c>
      <c r="F11" s="255">
        <f>IF(ISBLANK('8A'!E16),"##BLANK",'8A'!E16)</f>
        <v>27.8</v>
      </c>
    </row>
    <row r="12" spans="1:6">
      <c r="B12" s="219" t="str">
        <f>'8A'!R18</f>
        <v>BN1640</v>
      </c>
      <c r="C12" s="219" t="s">
        <v>6915</v>
      </c>
      <c r="E12" s="249" t="s">
        <v>3641</v>
      </c>
      <c r="F12" s="255">
        <f>IF(ISBLANK('8A'!E18),"##BLANK",'8A'!E18)</f>
        <v>0</v>
      </c>
    </row>
    <row r="13" spans="1:6">
      <c r="B13" s="219" t="str">
        <f>'8A'!R19</f>
        <v>BN1641</v>
      </c>
      <c r="C13" s="219" t="s">
        <v>6916</v>
      </c>
      <c r="E13" s="249" t="s">
        <v>3641</v>
      </c>
      <c r="F13" s="255">
        <f>IF(ISBLANK('8A'!E19),"##BLANK",'8A'!E19)</f>
        <v>665</v>
      </c>
    </row>
    <row r="14" spans="1:6">
      <c r="B14" s="219" t="str">
        <f>'8A'!R20</f>
        <v>BN1642</v>
      </c>
      <c r="C14" s="219" t="s">
        <v>6917</v>
      </c>
      <c r="E14" s="249" t="s">
        <v>3641</v>
      </c>
      <c r="F14" s="255">
        <f>IF(ISBLANK('8A'!E20),"##BLANK",'8A'!E20)</f>
        <v>813</v>
      </c>
    </row>
    <row r="15" spans="1:6">
      <c r="B15" s="257" t="str">
        <f>'8A'!R21</f>
        <v>BN1643</v>
      </c>
      <c r="C15" s="219" t="s">
        <v>6918</v>
      </c>
      <c r="E15" s="249" t="s">
        <v>3641</v>
      </c>
      <c r="F15" s="255">
        <f>IF(ISBLANK('8A'!E21),"##BLANK",'8A'!E21)</f>
        <v>1478</v>
      </c>
    </row>
    <row r="16" spans="1:6">
      <c r="B16" s="1784" t="str">
        <f>'8A'!R23</f>
        <v>BN1644</v>
      </c>
      <c r="C16" s="219" t="s">
        <v>6919</v>
      </c>
      <c r="E16" s="249" t="s">
        <v>3641</v>
      </c>
      <c r="F16" s="255">
        <f>IF(ISBLANK('8A'!E23),"##BLANK",'8A'!E23)</f>
        <v>21053360</v>
      </c>
    </row>
    <row r="17" spans="2:6">
      <c r="B17" s="219" t="str">
        <f>'8A'!R25</f>
        <v>BN1648</v>
      </c>
      <c r="C17" s="219" t="s">
        <v>6920</v>
      </c>
      <c r="E17" s="249" t="s">
        <v>3641</v>
      </c>
      <c r="F17" s="255">
        <f>IF(ISBLANK('8A'!E25),"##BLANK",'8A'!E25)</f>
        <v>0</v>
      </c>
    </row>
    <row r="18" spans="2:6">
      <c r="B18" s="219" t="str">
        <f>'8A'!R26</f>
        <v>BN1645</v>
      </c>
      <c r="C18" s="219" t="s">
        <v>6921</v>
      </c>
      <c r="E18" s="249" t="s">
        <v>3641</v>
      </c>
      <c r="F18" s="255">
        <f>IF(ISBLANK('8A'!E26),"##BLANK",'8A'!E26)</f>
        <v>0</v>
      </c>
    </row>
    <row r="19" spans="2:6">
      <c r="B19" s="219" t="str">
        <f>'8A'!R27</f>
        <v>BN1646</v>
      </c>
      <c r="C19" s="219" t="s">
        <v>6922</v>
      </c>
      <c r="E19" s="249" t="s">
        <v>3641</v>
      </c>
      <c r="F19" s="255">
        <f>IF(ISBLANK('8A'!E27),"##BLANK",'8A'!E27)</f>
        <v>857</v>
      </c>
    </row>
    <row r="20" spans="2:6">
      <c r="B20" s="219" t="str">
        <f>'8A'!R28</f>
        <v>BN1647</v>
      </c>
      <c r="C20" s="219" t="s">
        <v>6923</v>
      </c>
      <c r="E20" s="249" t="s">
        <v>3641</v>
      </c>
      <c r="F20" s="255">
        <f>IF(ISBLANK('8A'!E28),"##BLANK",'8A'!E28)</f>
        <v>857</v>
      </c>
    </row>
    <row r="21" spans="2:6">
      <c r="B21" s="219" t="str">
        <f>'8A'!R30</f>
        <v>BN1649</v>
      </c>
      <c r="C21" s="219" t="s">
        <v>6924</v>
      </c>
      <c r="E21" s="249" t="s">
        <v>3641</v>
      </c>
      <c r="F21" s="255">
        <f>IF(ISBLANK('8A'!E30),"##BLANK",'8A'!E30)</f>
        <v>0</v>
      </c>
    </row>
    <row r="22" spans="2:6">
      <c r="B22" s="1781" t="str">
        <f>'8A'!R31</f>
        <v>MP05616</v>
      </c>
      <c r="C22" s="219" t="s">
        <v>6925</v>
      </c>
      <c r="E22" s="249" t="s">
        <v>3641</v>
      </c>
      <c r="F22" s="255">
        <f>IF(ISBLANK('8A'!E31),"##BLANK",'8A'!E31)</f>
        <v>14.28</v>
      </c>
    </row>
    <row r="23" spans="2:6">
      <c r="B23" s="219" t="str">
        <f>'8B'!AG8</f>
        <v>WWS1001STPPP</v>
      </c>
      <c r="C23" s="219" t="s">
        <v>6926</v>
      </c>
      <c r="E23" s="249" t="s">
        <v>3641</v>
      </c>
      <c r="F23" s="255">
        <f>IF(ISBLANK('8B'!E8),"##BLANK",'8B'!E8)</f>
        <v>0</v>
      </c>
    </row>
    <row r="24" spans="2:6">
      <c r="B24" s="219" t="str">
        <f>'8B'!AH8</f>
        <v>WWS1001STPTK</v>
      </c>
      <c r="C24" s="219" t="s">
        <v>6927</v>
      </c>
      <c r="E24" s="249" t="s">
        <v>3641</v>
      </c>
      <c r="F24" s="255">
        <f>IF(ISBLANK('8B'!F8),"##BLANK",'8B'!F8)</f>
        <v>1.593</v>
      </c>
    </row>
    <row r="25" spans="2:6">
      <c r="B25" s="219" t="str">
        <f>'8B'!AI8</f>
        <v>WWS1001STPTR</v>
      </c>
      <c r="C25" s="219" t="s">
        <v>6928</v>
      </c>
      <c r="E25" s="249" t="s">
        <v>3641</v>
      </c>
      <c r="F25" s="255">
        <f>IF(ISBLANK('8B'!G8),"##BLANK",'8B'!G8)</f>
        <v>0</v>
      </c>
    </row>
    <row r="26" spans="2:6">
      <c r="B26" s="219" t="str">
        <f>'8B'!AJ8</f>
        <v>WWS1001STPTOT</v>
      </c>
      <c r="C26" s="219" t="s">
        <v>6929</v>
      </c>
      <c r="E26" s="249" t="s">
        <v>3641</v>
      </c>
      <c r="F26" s="255">
        <f>IF(ISBLANK('8B'!H8),"##BLANK",'8B'!H8)</f>
        <v>1.593</v>
      </c>
    </row>
    <row r="27" spans="2:6">
      <c r="B27" s="219" t="str">
        <f>'8B'!AG9</f>
        <v>WWS1002STPPP</v>
      </c>
      <c r="C27" s="219" t="s">
        <v>6930</v>
      </c>
      <c r="E27" s="249" t="s">
        <v>3641</v>
      </c>
      <c r="F27" s="255">
        <f>IF(ISBLANK('8B'!E9),"##BLANK",'8B'!E9)</f>
        <v>0</v>
      </c>
    </row>
    <row r="28" spans="2:6">
      <c r="B28" s="219" t="str">
        <f>'8B'!AH9</f>
        <v>WWS1002STPTK</v>
      </c>
      <c r="C28" s="219" t="s">
        <v>6931</v>
      </c>
      <c r="E28" s="249" t="s">
        <v>3641</v>
      </c>
      <c r="F28" s="255">
        <f>IF(ISBLANK('8B'!F9),"##BLANK",'8B'!F9)</f>
        <v>0</v>
      </c>
    </row>
    <row r="29" spans="2:6">
      <c r="B29" s="219" t="str">
        <f>'8B'!AI9</f>
        <v>WWS1002STPTR</v>
      </c>
      <c r="C29" s="219" t="s">
        <v>6932</v>
      </c>
      <c r="E29" s="249" t="s">
        <v>3641</v>
      </c>
      <c r="F29" s="255">
        <f>IF(ISBLANK('8B'!G9),"##BLANK",'8B'!G9)</f>
        <v>0</v>
      </c>
    </row>
    <row r="30" spans="2:6">
      <c r="B30" s="219" t="str">
        <f>'8B'!AJ9</f>
        <v>WWS1002STPTOT</v>
      </c>
      <c r="C30" s="219" t="s">
        <v>6933</v>
      </c>
      <c r="E30" s="249" t="s">
        <v>3641</v>
      </c>
      <c r="F30" s="255">
        <f>IF(ISBLANK('8B'!H9),"##BLANK",'8B'!H9)</f>
        <v>0</v>
      </c>
    </row>
    <row r="31" spans="2:6">
      <c r="B31" s="219" t="str">
        <f>'8B'!AG10</f>
        <v>WWS1003STPPP</v>
      </c>
      <c r="C31" s="219" t="s">
        <v>6934</v>
      </c>
      <c r="E31" s="249" t="s">
        <v>3641</v>
      </c>
      <c r="F31" s="255">
        <f>IF(ISBLANK('8B'!E10),"##BLANK",'8B'!E10)</f>
        <v>0</v>
      </c>
    </row>
    <row r="32" spans="2:6">
      <c r="B32" s="219" t="str">
        <f>'8B'!AH10</f>
        <v>WWS1003STPTK</v>
      </c>
      <c r="C32" s="219" t="s">
        <v>6935</v>
      </c>
      <c r="E32" s="249" t="s">
        <v>3641</v>
      </c>
      <c r="F32" s="255">
        <f>IF(ISBLANK('8B'!F10),"##BLANK",'8B'!F10)</f>
        <v>0</v>
      </c>
    </row>
    <row r="33" spans="2:6">
      <c r="B33" s="219" t="str">
        <f>'8B'!AI10</f>
        <v>WWS1003STPTR</v>
      </c>
      <c r="C33" s="219" t="s">
        <v>6936</v>
      </c>
      <c r="E33" s="249" t="s">
        <v>3641</v>
      </c>
      <c r="F33" s="255">
        <f>IF(ISBLANK('8B'!G10),"##BLANK",'8B'!G10)</f>
        <v>0</v>
      </c>
    </row>
    <row r="34" spans="2:6">
      <c r="B34" s="219" t="str">
        <f>'8B'!AJ10</f>
        <v>WWS1003STPTOT</v>
      </c>
      <c r="C34" s="219" t="s">
        <v>6937</v>
      </c>
      <c r="E34" s="249" t="s">
        <v>3641</v>
      </c>
      <c r="F34" s="255">
        <f>IF(ISBLANK('8B'!H10),"##BLANK",'8B'!H10)</f>
        <v>0</v>
      </c>
    </row>
    <row r="35" spans="2:6">
      <c r="B35" s="219" t="str">
        <f>'8B'!AG11</f>
        <v>WWS1004STPPP</v>
      </c>
      <c r="C35" s="219" t="s">
        <v>6938</v>
      </c>
      <c r="E35" s="249" t="s">
        <v>3641</v>
      </c>
      <c r="F35" s="255">
        <f>IF(ISBLANK('8B'!E11),"##BLANK",'8B'!E11)</f>
        <v>0</v>
      </c>
    </row>
    <row r="36" spans="2:6">
      <c r="B36" s="219" t="str">
        <f>'8B'!AH11</f>
        <v>WWS1004STPTK</v>
      </c>
      <c r="C36" s="219" t="s">
        <v>6939</v>
      </c>
      <c r="E36" s="249" t="s">
        <v>3641</v>
      </c>
      <c r="F36" s="255">
        <f>IF(ISBLANK('8B'!F11),"##BLANK",'8B'!F11)</f>
        <v>0</v>
      </c>
    </row>
    <row r="37" spans="2:6">
      <c r="B37" s="219" t="str">
        <f>'8B'!AI11</f>
        <v>WWS1004STPTR</v>
      </c>
      <c r="C37" s="219" t="s">
        <v>6940</v>
      </c>
      <c r="E37" s="249" t="s">
        <v>3641</v>
      </c>
      <c r="F37" s="255">
        <f>IF(ISBLANK('8B'!G11),"##BLANK",'8B'!G11)</f>
        <v>0</v>
      </c>
    </row>
    <row r="38" spans="2:6">
      <c r="B38" s="219" t="str">
        <f>'8B'!AJ11</f>
        <v>WWS1004STPTOT</v>
      </c>
      <c r="C38" s="219" t="s">
        <v>6941</v>
      </c>
      <c r="E38" s="249" t="s">
        <v>3641</v>
      </c>
      <c r="F38" s="255">
        <f>IF(ISBLANK('8B'!H11),"##BLANK",'8B'!H11)</f>
        <v>0</v>
      </c>
    </row>
    <row r="39" spans="2:6">
      <c r="B39" s="219" t="str">
        <f>'8B'!AG14</f>
        <v>WWS1005STPPP</v>
      </c>
      <c r="C39" s="219" t="s">
        <v>6942</v>
      </c>
      <c r="E39" s="249" t="s">
        <v>3641</v>
      </c>
      <c r="F39" s="255">
        <f>IF(ISBLANK('8B'!E14),"##BLANK",'8B'!E14)</f>
        <v>0</v>
      </c>
    </row>
    <row r="40" spans="2:6">
      <c r="B40" s="219" t="str">
        <f>'8B'!AH14</f>
        <v>WWS1005STPTK</v>
      </c>
      <c r="C40" s="219" t="s">
        <v>6943</v>
      </c>
      <c r="E40" s="249" t="s">
        <v>3641</v>
      </c>
      <c r="F40" s="255">
        <f>IF(ISBLANK('8B'!F14),"##BLANK",'8B'!F14)</f>
        <v>0</v>
      </c>
    </row>
    <row r="41" spans="2:6">
      <c r="B41" s="219" t="str">
        <f>'8B'!AI14</f>
        <v>WWS1005STPTR</v>
      </c>
      <c r="C41" s="219" t="s">
        <v>6944</v>
      </c>
      <c r="E41" s="249" t="s">
        <v>3641</v>
      </c>
      <c r="F41" s="255">
        <f>IF(ISBLANK('8B'!G14),"##BLANK",'8B'!G14)</f>
        <v>0</v>
      </c>
    </row>
    <row r="42" spans="2:6">
      <c r="B42" s="219" t="str">
        <f>'8B'!AJ14</f>
        <v>WWS1005STPTOT</v>
      </c>
      <c r="C42" s="219" t="s">
        <v>6945</v>
      </c>
      <c r="E42" s="249" t="s">
        <v>3641</v>
      </c>
      <c r="F42" s="255">
        <f>IF(ISBLANK('8B'!H14),"##BLANK",'8B'!H14)</f>
        <v>0</v>
      </c>
    </row>
    <row r="43" spans="2:6">
      <c r="B43" s="219" t="str">
        <f>'8B'!AG15</f>
        <v>WWS1006STPPP</v>
      </c>
      <c r="C43" s="219" t="s">
        <v>6946</v>
      </c>
      <c r="E43" s="249" t="s">
        <v>3641</v>
      </c>
      <c r="F43" s="255">
        <f>IF(ISBLANK('8B'!E15),"##BLANK",'8B'!E15)</f>
        <v>0</v>
      </c>
    </row>
    <row r="44" spans="2:6">
      <c r="B44" s="219" t="str">
        <f>'8B'!AH15</f>
        <v>WWS1006STPTK</v>
      </c>
      <c r="C44" s="219" t="s">
        <v>6947</v>
      </c>
      <c r="E44" s="249" t="s">
        <v>3641</v>
      </c>
      <c r="F44" s="255">
        <f>IF(ISBLANK('8B'!F15),"##BLANK",'8B'!F15)</f>
        <v>0</v>
      </c>
    </row>
    <row r="45" spans="2:6">
      <c r="B45" s="219" t="str">
        <f>'8B'!AI15</f>
        <v>WWS1006STPTR</v>
      </c>
      <c r="C45" s="219" t="s">
        <v>6948</v>
      </c>
      <c r="E45" s="249" t="s">
        <v>3641</v>
      </c>
      <c r="F45" s="255">
        <f>IF(ISBLANK('8B'!G15),"##BLANK",'8B'!G15)</f>
        <v>0</v>
      </c>
    </row>
    <row r="46" spans="2:6">
      <c r="B46" s="219" t="str">
        <f>'8B'!AJ15</f>
        <v>WWS1006STPTOT</v>
      </c>
      <c r="C46" s="219" t="s">
        <v>6949</v>
      </c>
      <c r="E46" s="249" t="s">
        <v>3641</v>
      </c>
      <c r="F46" s="255">
        <f>IF(ISBLANK('8B'!H15),"##BLANK",'8B'!H15)</f>
        <v>0</v>
      </c>
    </row>
    <row r="47" spans="2:6">
      <c r="B47" s="219" t="str">
        <f>'8B'!AG16</f>
        <v>WWS1007DISTPPP</v>
      </c>
      <c r="C47" s="219" t="s">
        <v>6950</v>
      </c>
      <c r="E47" s="249" t="s">
        <v>3641</v>
      </c>
      <c r="F47" s="255">
        <f>IF(ISBLANK('8B'!E16),"##BLANK",'8B'!E16)</f>
        <v>0</v>
      </c>
    </row>
    <row r="48" spans="2:6">
      <c r="B48" s="219" t="str">
        <f>'8B'!AH16</f>
        <v>WWS1007DISTPTK</v>
      </c>
      <c r="C48" s="219" t="s">
        <v>6951</v>
      </c>
      <c r="E48" s="249" t="s">
        <v>3641</v>
      </c>
      <c r="F48" s="255">
        <f>IF(ISBLANK('8B'!F16),"##BLANK",'8B'!F16)</f>
        <v>3.8809999999999998</v>
      </c>
    </row>
    <row r="49" spans="2:6">
      <c r="B49" s="219" t="str">
        <f>'8B'!AI16</f>
        <v>WWS1007DISTPTR</v>
      </c>
      <c r="C49" s="219" t="s">
        <v>6952</v>
      </c>
      <c r="E49" s="249" t="s">
        <v>3641</v>
      </c>
      <c r="F49" s="255">
        <f>IF(ISBLANK('8B'!G16),"##BLANK",'8B'!G16)</f>
        <v>0</v>
      </c>
    </row>
    <row r="50" spans="2:6">
      <c r="B50" s="219" t="str">
        <f>'8B'!AJ16</f>
        <v>WWS1007DISTPTOT</v>
      </c>
      <c r="C50" s="219" t="s">
        <v>6953</v>
      </c>
      <c r="E50" s="249" t="s">
        <v>3641</v>
      </c>
      <c r="F50" s="255">
        <f>IF(ISBLANK('8B'!H16),"##BLANK",'8B'!H16)</f>
        <v>3.8809999999999998</v>
      </c>
    </row>
    <row r="51" spans="2:6">
      <c r="B51" s="219" t="str">
        <f>'8B'!AG17</f>
        <v>BM816STPPP</v>
      </c>
      <c r="C51" s="219" t="s">
        <v>6954</v>
      </c>
      <c r="E51" s="249" t="s">
        <v>3641</v>
      </c>
      <c r="F51" s="255">
        <f>IF(ISBLANK('8B'!E17),"##BLANK",'8B'!E17)</f>
        <v>0</v>
      </c>
    </row>
    <row r="52" spans="2:6">
      <c r="B52" s="219" t="str">
        <f>'8B'!AH17</f>
        <v>BM816STPTK</v>
      </c>
      <c r="C52" s="219" t="s">
        <v>6955</v>
      </c>
      <c r="E52" s="249" t="s">
        <v>3641</v>
      </c>
      <c r="F52" s="255">
        <f>IF(ISBLANK('8B'!F17),"##BLANK",'8B'!F17)</f>
        <v>5.4740000000000002</v>
      </c>
    </row>
    <row r="53" spans="2:6">
      <c r="B53" s="219" t="str">
        <f>'8B'!AI17</f>
        <v>BM816STPTR</v>
      </c>
      <c r="C53" s="219" t="s">
        <v>6956</v>
      </c>
      <c r="E53" s="249" t="s">
        <v>3641</v>
      </c>
      <c r="F53" s="255">
        <f>IF(ISBLANK('8B'!G17),"##BLANK",'8B'!G17)</f>
        <v>0</v>
      </c>
    </row>
    <row r="54" spans="2:6">
      <c r="B54" s="219" t="str">
        <f>'8B'!AJ17</f>
        <v>BM816STPTOT</v>
      </c>
      <c r="C54" s="219" t="s">
        <v>6957</v>
      </c>
      <c r="E54" s="249" t="s">
        <v>3641</v>
      </c>
      <c r="F54" s="255">
        <f>IF(ISBLANK('8B'!H17),"##BLANK",'8B'!H17)</f>
        <v>5.4740000000000002</v>
      </c>
    </row>
    <row r="55" spans="2:6">
      <c r="B55" s="219" t="str">
        <f>'8B'!AG18</f>
        <v>WWS1008STPPP</v>
      </c>
      <c r="C55" s="219" t="s">
        <v>6958</v>
      </c>
      <c r="E55" s="249" t="s">
        <v>3641</v>
      </c>
      <c r="F55" s="255">
        <f>IF(ISBLANK('8B'!E18),"##BLANK",'8B'!E18)</f>
        <v>0</v>
      </c>
    </row>
    <row r="56" spans="2:6">
      <c r="B56" s="219" t="str">
        <f>'8B'!AH18</f>
        <v>WWS1008STPTK</v>
      </c>
      <c r="C56" s="219" t="s">
        <v>6959</v>
      </c>
      <c r="E56" s="249" t="s">
        <v>3641</v>
      </c>
      <c r="F56" s="255">
        <f>IF(ISBLANK('8B'!F18),"##BLANK",'8B'!F18)</f>
        <v>0</v>
      </c>
    </row>
    <row r="57" spans="2:6">
      <c r="B57" s="219" t="str">
        <f>'8B'!AI18</f>
        <v>WWS1008STPTR</v>
      </c>
      <c r="C57" s="219" t="s">
        <v>6960</v>
      </c>
      <c r="E57" s="249" t="s">
        <v>3641</v>
      </c>
      <c r="F57" s="255">
        <f>IF(ISBLANK('8B'!G18),"##BLANK",'8B'!G18)</f>
        <v>0</v>
      </c>
    </row>
    <row r="58" spans="2:6">
      <c r="B58" s="219" t="str">
        <f>'8B'!AJ18</f>
        <v>WWS1008STPTOT</v>
      </c>
      <c r="C58" s="219" t="s">
        <v>6961</v>
      </c>
      <c r="E58" s="249" t="s">
        <v>3641</v>
      </c>
      <c r="F58" s="255">
        <f>IF(ISBLANK('8B'!H18),"##BLANK",'8B'!H18)</f>
        <v>0</v>
      </c>
    </row>
    <row r="59" spans="2:6">
      <c r="B59" s="219" t="str">
        <f>'8B'!AG19</f>
        <v>WWS1009STPPP</v>
      </c>
      <c r="C59" s="219" t="s">
        <v>6962</v>
      </c>
      <c r="E59" s="249" t="s">
        <v>3641</v>
      </c>
      <c r="F59" s="255">
        <f>IF(ISBLANK('8B'!E19),"##BLANK",'8B'!E19)</f>
        <v>0</v>
      </c>
    </row>
    <row r="60" spans="2:6">
      <c r="B60" s="219" t="str">
        <f>'8B'!AH19</f>
        <v>WWS1009STPTK</v>
      </c>
      <c r="C60" s="219" t="s">
        <v>6963</v>
      </c>
      <c r="E60" s="249" t="s">
        <v>3641</v>
      </c>
      <c r="F60" s="255">
        <f>IF(ISBLANK('8B'!F19),"##BLANK",'8B'!F19)</f>
        <v>5.4740000000000002</v>
      </c>
    </row>
    <row r="61" spans="2:6">
      <c r="B61" s="219" t="str">
        <f>'8B'!AI19</f>
        <v>WWS1009STPTR</v>
      </c>
      <c r="C61" s="219" t="s">
        <v>6964</v>
      </c>
      <c r="E61" s="249" t="s">
        <v>3641</v>
      </c>
      <c r="F61" s="255">
        <f>IF(ISBLANK('8B'!G19),"##BLANK",'8B'!G19)</f>
        <v>0</v>
      </c>
    </row>
    <row r="62" spans="2:6">
      <c r="B62" s="219" t="str">
        <f>'8B'!AJ19</f>
        <v>WWS1009STPTOT</v>
      </c>
      <c r="C62" s="219" t="s">
        <v>6965</v>
      </c>
      <c r="E62" s="249" t="s">
        <v>3641</v>
      </c>
      <c r="F62" s="255">
        <f>IF(ISBLANK('8B'!H19),"##BLANK",'8B'!H19)</f>
        <v>5.4740000000000002</v>
      </c>
    </row>
    <row r="63" spans="2:6">
      <c r="B63" s="219" t="str">
        <f>'8B'!AG24</f>
        <v>BM402STUTS</v>
      </c>
      <c r="C63" s="219" t="s">
        <v>6966</v>
      </c>
      <c r="E63" s="249" t="s">
        <v>3641</v>
      </c>
      <c r="F63" s="255">
        <f>IF(ISBLANK('8B'!E24),"##BLANK",'8B'!E24)</f>
        <v>0</v>
      </c>
    </row>
    <row r="64" spans="2:6">
      <c r="B64" s="219" t="str">
        <f>'8B'!AH24</f>
        <v>BM402STRSL</v>
      </c>
      <c r="C64" s="219" t="s">
        <v>6967</v>
      </c>
      <c r="E64" s="249" t="s">
        <v>3641</v>
      </c>
      <c r="F64" s="255">
        <f>IF(ISBLANK('8B'!F24),"##BLANK",'8B'!F24)</f>
        <v>0</v>
      </c>
    </row>
    <row r="65" spans="2:6">
      <c r="B65" s="219" t="str">
        <f>'8B'!AI24</f>
        <v>BM402STCAD</v>
      </c>
      <c r="C65" s="219" t="s">
        <v>6968</v>
      </c>
      <c r="E65" s="249" t="s">
        <v>3641</v>
      </c>
      <c r="F65" s="255">
        <f>IF(ISBLANK('8B'!G24),"##BLANK",'8B'!G24)</f>
        <v>0</v>
      </c>
    </row>
    <row r="66" spans="2:6">
      <c r="B66" s="219" t="str">
        <f>'8B'!AJ24</f>
        <v>BM402STIRS</v>
      </c>
      <c r="C66" s="219" t="s">
        <v>6969</v>
      </c>
      <c r="E66" s="249" t="s">
        <v>3641</v>
      </c>
      <c r="F66" s="255">
        <f>IF(ISBLANK('8B'!H24),"##BLANK",'8B'!H24)</f>
        <v>0</v>
      </c>
    </row>
    <row r="67" spans="2:6">
      <c r="B67" s="219" t="str">
        <f>'8B'!AK24</f>
        <v>BM402STPCC</v>
      </c>
      <c r="C67" s="219" t="s">
        <v>6970</v>
      </c>
      <c r="E67" s="249" t="s">
        <v>3641</v>
      </c>
      <c r="F67" s="255">
        <f>IF(ISBLANK('8B'!I24),"##BLANK",'8B'!I24)</f>
        <v>0</v>
      </c>
    </row>
    <row r="68" spans="2:6">
      <c r="B68" s="219" t="str">
        <f>'8B'!AL24</f>
        <v>BM402STAD</v>
      </c>
      <c r="C68" s="219" t="s">
        <v>6971</v>
      </c>
      <c r="E68" s="249" t="s">
        <v>3641</v>
      </c>
      <c r="F68" s="255">
        <f>IF(ISBLANK('8B'!J24),"##BLANK",'8B'!J24)</f>
        <v>7.9459999999999997</v>
      </c>
    </row>
    <row r="69" spans="2:6">
      <c r="B69" s="219" t="str">
        <f>'8B'!AM24</f>
        <v>BM402STSLOT</v>
      </c>
      <c r="C69" s="219" t="s">
        <v>6972</v>
      </c>
      <c r="E69" s="249" t="s">
        <v>3641</v>
      </c>
      <c r="F69" s="255">
        <f>IF(ISBLANK('8B'!K24),"##BLANK",'8B'!K24)</f>
        <v>0</v>
      </c>
    </row>
    <row r="70" spans="2:6">
      <c r="B70" s="219" t="str">
        <f>'8B'!AN24</f>
        <v>BM402STTOT</v>
      </c>
      <c r="C70" s="219" t="s">
        <v>6973</v>
      </c>
      <c r="E70" s="249" t="s">
        <v>3641</v>
      </c>
      <c r="F70" s="255">
        <f>IF(ISBLANK('8B'!L24),"##BLANK",'8B'!L24)</f>
        <v>7.9459999999999997</v>
      </c>
    </row>
    <row r="71" spans="2:6">
      <c r="B71" s="219" t="str">
        <f>'8B'!AG25</f>
        <v>BM836STUTS</v>
      </c>
      <c r="C71" s="219" t="s">
        <v>6974</v>
      </c>
      <c r="E71" s="249" t="s">
        <v>3641</v>
      </c>
      <c r="F71" s="255">
        <f>IF(ISBLANK('8B'!E25),"##BLANK",'8B'!E25)</f>
        <v>0</v>
      </c>
    </row>
    <row r="72" spans="2:6">
      <c r="B72" s="219" t="str">
        <f>'8B'!AH25</f>
        <v>BM836STRSL</v>
      </c>
      <c r="C72" s="219" t="s">
        <v>6975</v>
      </c>
      <c r="E72" s="249" t="s">
        <v>3641</v>
      </c>
      <c r="F72" s="255">
        <f>IF(ISBLANK('8B'!F25),"##BLANK",'8B'!F25)</f>
        <v>0</v>
      </c>
    </row>
    <row r="73" spans="2:6">
      <c r="B73" s="219" t="str">
        <f>'8B'!AI25</f>
        <v>BM836STCAD</v>
      </c>
      <c r="C73" s="219" t="s">
        <v>6976</v>
      </c>
      <c r="E73" s="249" t="s">
        <v>3641</v>
      </c>
      <c r="F73" s="255">
        <f>IF(ISBLANK('8B'!G25),"##BLANK",'8B'!G25)</f>
        <v>0</v>
      </c>
    </row>
    <row r="74" spans="2:6">
      <c r="B74" s="219" t="str">
        <f>'8B'!AJ25</f>
        <v>BM836STIRS</v>
      </c>
      <c r="C74" s="219" t="s">
        <v>6977</v>
      </c>
      <c r="E74" s="249" t="s">
        <v>3641</v>
      </c>
      <c r="F74" s="255">
        <f>IF(ISBLANK('8B'!H25),"##BLANK",'8B'!H25)</f>
        <v>0</v>
      </c>
    </row>
    <row r="75" spans="2:6">
      <c r="B75" s="219" t="str">
        <f>'8B'!AK25</f>
        <v>BM836STPCC</v>
      </c>
      <c r="C75" s="219" t="s">
        <v>6978</v>
      </c>
      <c r="E75" s="249" t="s">
        <v>3641</v>
      </c>
      <c r="F75" s="255">
        <f>IF(ISBLANK('8B'!I25),"##BLANK",'8B'!I25)</f>
        <v>0</v>
      </c>
    </row>
    <row r="76" spans="2:6">
      <c r="B76" s="219" t="str">
        <f>'8B'!AL25</f>
        <v>BM836STAD</v>
      </c>
      <c r="C76" s="219" t="s">
        <v>6979</v>
      </c>
      <c r="E76" s="249" t="s">
        <v>3641</v>
      </c>
      <c r="F76" s="255">
        <f>IF(ISBLANK('8B'!J25),"##BLANK",'8B'!J25)</f>
        <v>-19.463000000000001</v>
      </c>
    </row>
    <row r="77" spans="2:6">
      <c r="B77" s="219" t="str">
        <f>'8B'!AM25</f>
        <v>BM836STSLOT</v>
      </c>
      <c r="C77" s="219" t="s">
        <v>6980</v>
      </c>
      <c r="E77" s="249" t="s">
        <v>3641</v>
      </c>
      <c r="F77" s="255">
        <f>IF(ISBLANK('8B'!K25),"##BLANK",'8B'!K25)</f>
        <v>0</v>
      </c>
    </row>
    <row r="78" spans="2:6">
      <c r="B78" s="219" t="str">
        <f>'8B'!AN25</f>
        <v>BM836STTOT</v>
      </c>
      <c r="C78" s="219" t="s">
        <v>6981</v>
      </c>
      <c r="E78" s="249" t="s">
        <v>3641</v>
      </c>
      <c r="F78" s="255">
        <f>IF(ISBLANK('8B'!L25),"##BLANK",'8B'!L25)</f>
        <v>-19.463000000000001</v>
      </c>
    </row>
    <row r="79" spans="2:6">
      <c r="B79" s="219" t="str">
        <f>'8B'!AG26</f>
        <v>WWS1003STUTS</v>
      </c>
      <c r="C79" s="219" t="s">
        <v>6982</v>
      </c>
      <c r="E79" s="249" t="s">
        <v>3641</v>
      </c>
      <c r="F79" s="255">
        <f>IF(ISBLANK('8B'!E26),"##BLANK",'8B'!E26)</f>
        <v>0</v>
      </c>
    </row>
    <row r="80" spans="2:6">
      <c r="B80" s="219" t="str">
        <f>'8B'!AH26</f>
        <v>WWS1003STRSL</v>
      </c>
      <c r="C80" s="219" t="s">
        <v>6983</v>
      </c>
      <c r="E80" s="249" t="s">
        <v>3641</v>
      </c>
      <c r="F80" s="255">
        <f>IF(ISBLANK('8B'!F26),"##BLANK",'8B'!F26)</f>
        <v>0</v>
      </c>
    </row>
    <row r="81" spans="2:6">
      <c r="B81" s="219" t="str">
        <f>'8B'!AI26</f>
        <v>WWS1003STCAD</v>
      </c>
      <c r="C81" s="219" t="s">
        <v>6984</v>
      </c>
      <c r="E81" s="249" t="s">
        <v>3641</v>
      </c>
      <c r="F81" s="255">
        <f>IF(ISBLANK('8B'!G26),"##BLANK",'8B'!G26)</f>
        <v>0</v>
      </c>
    </row>
    <row r="82" spans="2:6">
      <c r="B82" s="219" t="str">
        <f>'8B'!AJ26</f>
        <v>WWS1003STIRS</v>
      </c>
      <c r="C82" s="219" t="s">
        <v>6985</v>
      </c>
      <c r="E82" s="249" t="s">
        <v>3641</v>
      </c>
      <c r="F82" s="255">
        <f>IF(ISBLANK('8B'!H26),"##BLANK",'8B'!H26)</f>
        <v>0</v>
      </c>
    </row>
    <row r="83" spans="2:6">
      <c r="B83" s="219" t="str">
        <f>'8B'!AK26</f>
        <v>WWS1003STPCC</v>
      </c>
      <c r="C83" s="219" t="s">
        <v>6986</v>
      </c>
      <c r="E83" s="249" t="s">
        <v>3641</v>
      </c>
      <c r="F83" s="255">
        <f>IF(ISBLANK('8B'!I26),"##BLANK",'8B'!I26)</f>
        <v>0</v>
      </c>
    </row>
    <row r="84" spans="2:6">
      <c r="B84" s="219" t="str">
        <f>'8B'!AL26</f>
        <v>WWS1003STAD</v>
      </c>
      <c r="C84" s="219" t="s">
        <v>6987</v>
      </c>
      <c r="E84" s="249" t="s">
        <v>3641</v>
      </c>
      <c r="F84" s="255">
        <f>IF(ISBLANK('8B'!J26),"##BLANK",'8B'!J26)</f>
        <v>0</v>
      </c>
    </row>
    <row r="85" spans="2:6">
      <c r="B85" s="219" t="str">
        <f>'8B'!AM26</f>
        <v>WWS1003STSLOT</v>
      </c>
      <c r="C85" s="219" t="s">
        <v>6988</v>
      </c>
      <c r="E85" s="249" t="s">
        <v>3641</v>
      </c>
      <c r="F85" s="255">
        <f>IF(ISBLANK('8B'!K26),"##BLANK",'8B'!K26)</f>
        <v>0</v>
      </c>
    </row>
    <row r="86" spans="2:6">
      <c r="B86" s="219" t="str">
        <f>'8B'!AN26</f>
        <v>WWS1003STTOT</v>
      </c>
      <c r="C86" s="219" t="s">
        <v>6989</v>
      </c>
      <c r="E86" s="249" t="s">
        <v>3641</v>
      </c>
      <c r="F86" s="255">
        <f>IF(ISBLANK('8B'!L26),"##BLANK",'8B'!L26)</f>
        <v>0</v>
      </c>
    </row>
    <row r="87" spans="2:6">
      <c r="B87" s="219" t="str">
        <f>'8B'!AG27</f>
        <v>BM240STUTS</v>
      </c>
      <c r="C87" s="219" t="s">
        <v>6990</v>
      </c>
      <c r="E87" s="249" t="s">
        <v>3641</v>
      </c>
      <c r="F87" s="255">
        <f>IF(ISBLANK('8B'!E27),"##BLANK",'8B'!E27)</f>
        <v>0</v>
      </c>
    </row>
    <row r="88" spans="2:6">
      <c r="B88" s="219" t="str">
        <f>'8B'!AH27</f>
        <v>BM240STRSL</v>
      </c>
      <c r="C88" s="219" t="s">
        <v>6991</v>
      </c>
      <c r="E88" s="249" t="s">
        <v>3641</v>
      </c>
      <c r="F88" s="255">
        <f>IF(ISBLANK('8B'!F27),"##BLANK",'8B'!F27)</f>
        <v>0</v>
      </c>
    </row>
    <row r="89" spans="2:6">
      <c r="B89" s="219" t="str">
        <f>'8B'!AI27</f>
        <v>BM240STCAD</v>
      </c>
      <c r="C89" s="219" t="s">
        <v>6992</v>
      </c>
      <c r="E89" s="249" t="s">
        <v>3641</v>
      </c>
      <c r="F89" s="255">
        <f>IF(ISBLANK('8B'!G27),"##BLANK",'8B'!G27)</f>
        <v>0</v>
      </c>
    </row>
    <row r="90" spans="2:6">
      <c r="B90" s="219" t="str">
        <f>'8B'!AJ27</f>
        <v>BM240STIRS</v>
      </c>
      <c r="C90" s="219" t="s">
        <v>6993</v>
      </c>
      <c r="E90" s="249" t="s">
        <v>3641</v>
      </c>
      <c r="F90" s="255">
        <f>IF(ISBLANK('8B'!H27),"##BLANK",'8B'!H27)</f>
        <v>0</v>
      </c>
    </row>
    <row r="91" spans="2:6">
      <c r="B91" s="219" t="str">
        <f>'8B'!AK27</f>
        <v>BM240STPCC</v>
      </c>
      <c r="C91" s="219" t="s">
        <v>6994</v>
      </c>
      <c r="E91" s="249" t="s">
        <v>3641</v>
      </c>
      <c r="F91" s="255">
        <f>IF(ISBLANK('8B'!I27),"##BLANK",'8B'!I27)</f>
        <v>0</v>
      </c>
    </row>
    <row r="92" spans="2:6">
      <c r="B92" s="219" t="str">
        <f>'8B'!AL27</f>
        <v>BM240STAD</v>
      </c>
      <c r="C92" s="219" t="s">
        <v>6995</v>
      </c>
      <c r="E92" s="249" t="s">
        <v>3641</v>
      </c>
      <c r="F92" s="255">
        <f>IF(ISBLANK('8B'!J27),"##BLANK",'8B'!J27)</f>
        <v>0</v>
      </c>
    </row>
    <row r="93" spans="2:6">
      <c r="B93" s="219" t="str">
        <f>'8B'!AM27</f>
        <v>BM240STSLOT</v>
      </c>
      <c r="C93" s="219" t="s">
        <v>6996</v>
      </c>
      <c r="E93" s="249" t="s">
        <v>3641</v>
      </c>
      <c r="F93" s="255">
        <f>IF(ISBLANK('8B'!K27),"##BLANK",'8B'!K27)</f>
        <v>0</v>
      </c>
    </row>
    <row r="94" spans="2:6">
      <c r="B94" s="219" t="str">
        <f>'8B'!AN27</f>
        <v>BM240STTOT</v>
      </c>
      <c r="C94" s="219" t="s">
        <v>6997</v>
      </c>
      <c r="E94" s="249" t="s">
        <v>3641</v>
      </c>
      <c r="F94" s="255">
        <f>IF(ISBLANK('8B'!L27),"##BLANK",'8B'!L27)</f>
        <v>0</v>
      </c>
    </row>
    <row r="95" spans="2:6">
      <c r="B95" s="219" t="str">
        <f>'8B'!AG30</f>
        <v>WWS1005STUTS</v>
      </c>
      <c r="C95" s="219" t="s">
        <v>6998</v>
      </c>
      <c r="E95" s="249" t="s">
        <v>3641</v>
      </c>
      <c r="F95" s="255">
        <f>IF(ISBLANK('8B'!E30),"##BLANK",'8B'!E30)</f>
        <v>0</v>
      </c>
    </row>
    <row r="96" spans="2:6">
      <c r="B96" s="219" t="str">
        <f>'8B'!AH30</f>
        <v>WWS1005STRSL</v>
      </c>
      <c r="C96" s="219" t="s">
        <v>6999</v>
      </c>
      <c r="E96" s="249" t="s">
        <v>3641</v>
      </c>
      <c r="F96" s="255">
        <f>IF(ISBLANK('8B'!F30),"##BLANK",'8B'!F30)</f>
        <v>0</v>
      </c>
    </row>
    <row r="97" spans="2:6">
      <c r="B97" s="219" t="str">
        <f>'8B'!AI30</f>
        <v>WWS1005STCAD</v>
      </c>
      <c r="C97" s="219" t="s">
        <v>7000</v>
      </c>
      <c r="E97" s="249" t="s">
        <v>3641</v>
      </c>
      <c r="F97" s="255">
        <f>IF(ISBLANK('8B'!G30),"##BLANK",'8B'!G30)</f>
        <v>0</v>
      </c>
    </row>
    <row r="98" spans="2:6">
      <c r="B98" s="219" t="str">
        <f>'8B'!AJ30</f>
        <v>WWS1005STIRS</v>
      </c>
      <c r="C98" s="219" t="s">
        <v>7001</v>
      </c>
      <c r="E98" s="249" t="s">
        <v>3641</v>
      </c>
      <c r="F98" s="255">
        <f>IF(ISBLANK('8B'!H30),"##BLANK",'8B'!H30)</f>
        <v>0</v>
      </c>
    </row>
    <row r="99" spans="2:6">
      <c r="B99" s="219" t="str">
        <f>'8B'!AK30</f>
        <v>WWS1005STPCC</v>
      </c>
      <c r="C99" s="219" t="s">
        <v>7002</v>
      </c>
      <c r="E99" s="249" t="s">
        <v>3641</v>
      </c>
      <c r="F99" s="255">
        <f>IF(ISBLANK('8B'!I30),"##BLANK",'8B'!I30)</f>
        <v>0</v>
      </c>
    </row>
    <row r="100" spans="2:6">
      <c r="B100" s="219" t="str">
        <f>'8B'!AL30</f>
        <v>WWS1005STAD</v>
      </c>
      <c r="C100" s="219" t="s">
        <v>7003</v>
      </c>
      <c r="E100" s="249" t="s">
        <v>3641</v>
      </c>
      <c r="F100" s="255">
        <f>IF(ISBLANK('8B'!J30),"##BLANK",'8B'!J30)</f>
        <v>0</v>
      </c>
    </row>
    <row r="101" spans="2:6">
      <c r="B101" s="219" t="str">
        <f>'8B'!AM30</f>
        <v>WWS1005STSLOT</v>
      </c>
      <c r="C101" s="219" t="s">
        <v>7004</v>
      </c>
      <c r="E101" s="249" t="s">
        <v>3641</v>
      </c>
      <c r="F101" s="255">
        <f>IF(ISBLANK('8B'!K30),"##BLANK",'8B'!K30)</f>
        <v>0</v>
      </c>
    </row>
    <row r="102" spans="2:6">
      <c r="B102" s="219" t="str">
        <f>'8B'!AN30</f>
        <v>WWS1005STTOT</v>
      </c>
      <c r="C102" s="219" t="s">
        <v>7005</v>
      </c>
      <c r="E102" s="249" t="s">
        <v>3641</v>
      </c>
      <c r="F102" s="255">
        <f>IF(ISBLANK('8B'!L30),"##BLANK",'8B'!L30)</f>
        <v>0</v>
      </c>
    </row>
    <row r="103" spans="2:6">
      <c r="B103" s="219" t="str">
        <f>'8B'!AG31</f>
        <v>WWS1006STUTS</v>
      </c>
      <c r="C103" s="219" t="s">
        <v>7006</v>
      </c>
      <c r="E103" s="249" t="s">
        <v>3641</v>
      </c>
      <c r="F103" s="255">
        <f>IF(ISBLANK('8B'!E31),"##BLANK",'8B'!E31)</f>
        <v>0</v>
      </c>
    </row>
    <row r="104" spans="2:6">
      <c r="B104" s="219" t="str">
        <f>'8B'!AH31</f>
        <v>WWS1006STRSL</v>
      </c>
      <c r="C104" s="219" t="s">
        <v>7007</v>
      </c>
      <c r="E104" s="249" t="s">
        <v>3641</v>
      </c>
      <c r="F104" s="255">
        <f>IF(ISBLANK('8B'!F31),"##BLANK",'8B'!F31)</f>
        <v>0</v>
      </c>
    </row>
    <row r="105" spans="2:6">
      <c r="B105" s="219" t="str">
        <f>'8B'!AI31</f>
        <v>WWS1006STCAD</v>
      </c>
      <c r="C105" s="219" t="s">
        <v>7008</v>
      </c>
      <c r="E105" s="249" t="s">
        <v>3641</v>
      </c>
      <c r="F105" s="255">
        <f>IF(ISBLANK('8B'!G31),"##BLANK",'8B'!G31)</f>
        <v>0</v>
      </c>
    </row>
    <row r="106" spans="2:6">
      <c r="B106" s="219" t="str">
        <f>'8B'!AJ31</f>
        <v>WWS1006STIRS</v>
      </c>
      <c r="C106" s="219" t="s">
        <v>7009</v>
      </c>
      <c r="E106" s="249" t="s">
        <v>3641</v>
      </c>
      <c r="F106" s="255">
        <f>IF(ISBLANK('8B'!H31),"##BLANK",'8B'!H31)</f>
        <v>0</v>
      </c>
    </row>
    <row r="107" spans="2:6">
      <c r="B107" s="219" t="str">
        <f>'8B'!AK31</f>
        <v>WWS1006STPCC</v>
      </c>
      <c r="C107" s="219" t="s">
        <v>7010</v>
      </c>
      <c r="E107" s="249" t="s">
        <v>3641</v>
      </c>
      <c r="F107" s="255">
        <f>IF(ISBLANK('8B'!I31),"##BLANK",'8B'!I31)</f>
        <v>0</v>
      </c>
    </row>
    <row r="108" spans="2:6">
      <c r="B108" s="219" t="str">
        <f>'8B'!AL31</f>
        <v>WWS1006STAD</v>
      </c>
      <c r="C108" s="219" t="s">
        <v>7011</v>
      </c>
      <c r="E108" s="249" t="s">
        <v>3641</v>
      </c>
      <c r="F108" s="255">
        <f>IF(ISBLANK('8B'!J31),"##BLANK",'8B'!J31)</f>
        <v>0.20799999999999999</v>
      </c>
    </row>
    <row r="109" spans="2:6">
      <c r="B109" s="219" t="str">
        <f>'8B'!AM31</f>
        <v>WWS1006STSLOT</v>
      </c>
      <c r="C109" s="219" t="s">
        <v>7012</v>
      </c>
      <c r="E109" s="249" t="s">
        <v>3641</v>
      </c>
      <c r="F109" s="255">
        <f>IF(ISBLANK('8B'!K31),"##BLANK",'8B'!K31)</f>
        <v>0</v>
      </c>
    </row>
    <row r="110" spans="2:6">
      <c r="B110" s="219" t="str">
        <f>'8B'!AN31</f>
        <v>WWS1006STTOT</v>
      </c>
      <c r="C110" s="219" t="s">
        <v>7013</v>
      </c>
      <c r="E110" s="249" t="s">
        <v>3641</v>
      </c>
      <c r="F110" s="255">
        <f>IF(ISBLANK('8B'!L31),"##BLANK",'8B'!L31)</f>
        <v>0.20799999999999999</v>
      </c>
    </row>
    <row r="111" spans="2:6">
      <c r="B111" s="219" t="str">
        <f>'8B'!AG32</f>
        <v>BM408STUTS</v>
      </c>
      <c r="C111" s="219" t="s">
        <v>7014</v>
      </c>
      <c r="E111" s="249" t="s">
        <v>3641</v>
      </c>
      <c r="F111" s="255">
        <f>IF(ISBLANK('8B'!E32),"##BLANK",'8B'!E32)</f>
        <v>0</v>
      </c>
    </row>
    <row r="112" spans="2:6">
      <c r="B112" s="219" t="str">
        <f>'8B'!AH32</f>
        <v>BM408STRSL</v>
      </c>
      <c r="C112" s="219" t="s">
        <v>7015</v>
      </c>
      <c r="E112" s="249" t="s">
        <v>3641</v>
      </c>
      <c r="F112" s="255">
        <f>IF(ISBLANK('8B'!F32),"##BLANK",'8B'!F32)</f>
        <v>0</v>
      </c>
    </row>
    <row r="113" spans="2:6">
      <c r="B113" s="219" t="str">
        <f>'8B'!AI32</f>
        <v>BM408STCAD</v>
      </c>
      <c r="C113" s="219" t="s">
        <v>7016</v>
      </c>
      <c r="E113" s="249" t="s">
        <v>3641</v>
      </c>
      <c r="F113" s="255">
        <f>IF(ISBLANK('8B'!G32),"##BLANK",'8B'!G32)</f>
        <v>0</v>
      </c>
    </row>
    <row r="114" spans="2:6">
      <c r="B114" s="219" t="str">
        <f>'8B'!AJ32</f>
        <v>BM408STIRS</v>
      </c>
      <c r="C114" s="219" t="s">
        <v>7017</v>
      </c>
      <c r="E114" s="249" t="s">
        <v>3641</v>
      </c>
      <c r="F114" s="255">
        <f>IF(ISBLANK('8B'!H32),"##BLANK",'8B'!H32)</f>
        <v>0</v>
      </c>
    </row>
    <row r="115" spans="2:6">
      <c r="B115" s="219" t="str">
        <f>'8B'!AK32</f>
        <v>BM408STPCC</v>
      </c>
      <c r="C115" s="219" t="s">
        <v>7018</v>
      </c>
      <c r="E115" s="249" t="s">
        <v>3641</v>
      </c>
      <c r="F115" s="255">
        <f>IF(ISBLANK('8B'!I32),"##BLANK",'8B'!I32)</f>
        <v>0</v>
      </c>
    </row>
    <row r="116" spans="2:6">
      <c r="B116" s="219" t="str">
        <f>'8B'!AL32</f>
        <v>BM408STAD</v>
      </c>
      <c r="C116" s="219" t="s">
        <v>7019</v>
      </c>
      <c r="E116" s="249" t="s">
        <v>3641</v>
      </c>
      <c r="F116" s="255">
        <f>IF(ISBLANK('8B'!J32),"##BLANK",'8B'!J32)</f>
        <v>16.690000000000001</v>
      </c>
    </row>
    <row r="117" spans="2:6">
      <c r="B117" s="219" t="str">
        <f>'8B'!AM32</f>
        <v>BM408STSLOT</v>
      </c>
      <c r="C117" s="219" t="s">
        <v>7020</v>
      </c>
      <c r="E117" s="249" t="s">
        <v>3641</v>
      </c>
      <c r="F117" s="255">
        <f>IF(ISBLANK('8B'!K32),"##BLANK",'8B'!K32)</f>
        <v>0</v>
      </c>
    </row>
    <row r="118" spans="2:6">
      <c r="B118" s="219" t="str">
        <f>'8B'!AN32</f>
        <v>BM408STTOT</v>
      </c>
      <c r="C118" s="219" t="s">
        <v>7021</v>
      </c>
      <c r="E118" s="249" t="s">
        <v>3641</v>
      </c>
      <c r="F118" s="255">
        <f>IF(ISBLANK('8B'!L32),"##BLANK",'8B'!L32)</f>
        <v>16.690000000000001</v>
      </c>
    </row>
    <row r="119" spans="2:6">
      <c r="B119" s="219" t="str">
        <f>'8B'!AG33</f>
        <v>BM410STUTS</v>
      </c>
      <c r="C119" s="219" t="s">
        <v>7022</v>
      </c>
      <c r="E119" s="249" t="s">
        <v>3641</v>
      </c>
      <c r="F119" s="255">
        <f>IF(ISBLANK('8B'!E33),"##BLANK",'8B'!E33)</f>
        <v>0</v>
      </c>
    </row>
    <row r="120" spans="2:6">
      <c r="B120" s="219" t="str">
        <f>'8B'!AH33</f>
        <v>BM410STRSL</v>
      </c>
      <c r="C120" s="219" t="s">
        <v>7023</v>
      </c>
      <c r="E120" s="249" t="s">
        <v>3641</v>
      </c>
      <c r="F120" s="255">
        <f>IF(ISBLANK('8B'!F33),"##BLANK",'8B'!F33)</f>
        <v>0</v>
      </c>
    </row>
    <row r="121" spans="2:6">
      <c r="B121" s="219" t="str">
        <f>'8B'!AI33</f>
        <v>BM410STCAD</v>
      </c>
      <c r="C121" s="219" t="s">
        <v>7024</v>
      </c>
      <c r="E121" s="249" t="s">
        <v>3641</v>
      </c>
      <c r="F121" s="255">
        <f>IF(ISBLANK('8B'!G33),"##BLANK",'8B'!G33)</f>
        <v>0</v>
      </c>
    </row>
    <row r="122" spans="2:6">
      <c r="B122" s="219" t="str">
        <f>'8B'!AJ33</f>
        <v>BM410STIRS</v>
      </c>
      <c r="C122" s="219" t="s">
        <v>7025</v>
      </c>
      <c r="E122" s="249" t="s">
        <v>3641</v>
      </c>
      <c r="F122" s="255">
        <f>IF(ISBLANK('8B'!H33),"##BLANK",'8B'!H33)</f>
        <v>0</v>
      </c>
    </row>
    <row r="123" spans="2:6">
      <c r="B123" s="219" t="str">
        <f>'8B'!AK33</f>
        <v>BM410STPCC</v>
      </c>
      <c r="C123" s="219" t="s">
        <v>7026</v>
      </c>
      <c r="E123" s="249" t="s">
        <v>3641</v>
      </c>
      <c r="F123" s="255">
        <f>IF(ISBLANK('8B'!I33),"##BLANK",'8B'!I33)</f>
        <v>0</v>
      </c>
    </row>
    <row r="124" spans="2:6">
      <c r="B124" s="219" t="str">
        <f>'8B'!AL33</f>
        <v>BM410STAD</v>
      </c>
      <c r="C124" s="219" t="s">
        <v>7027</v>
      </c>
      <c r="E124" s="249" t="s">
        <v>3641</v>
      </c>
      <c r="F124" s="255">
        <f>IF(ISBLANK('8B'!J33),"##BLANK",'8B'!J33)</f>
        <v>5.3810000000000002</v>
      </c>
    </row>
    <row r="125" spans="2:6">
      <c r="B125" s="219" t="str">
        <f>'8B'!AM33</f>
        <v>BM410STSLOT</v>
      </c>
      <c r="C125" s="219" t="s">
        <v>7028</v>
      </c>
      <c r="E125" s="249" t="s">
        <v>3641</v>
      </c>
      <c r="F125" s="255">
        <f>IF(ISBLANK('8B'!K33),"##BLANK",'8B'!K33)</f>
        <v>0</v>
      </c>
    </row>
    <row r="126" spans="2:6">
      <c r="B126" s="219" t="str">
        <f>'8B'!AN33</f>
        <v>BM410STTOT</v>
      </c>
      <c r="C126" s="219" t="s">
        <v>7029</v>
      </c>
      <c r="E126" s="249" t="s">
        <v>3641</v>
      </c>
      <c r="F126" s="255">
        <f>IF(ISBLANK('8B'!L33),"##BLANK",'8B'!L33)</f>
        <v>5.3810000000000002</v>
      </c>
    </row>
    <row r="127" spans="2:6">
      <c r="B127" s="219" t="str">
        <f>'8B'!AG34</f>
        <v>BM817STUTS</v>
      </c>
      <c r="C127" s="219" t="s">
        <v>7030</v>
      </c>
      <c r="E127" s="249" t="s">
        <v>3641</v>
      </c>
      <c r="F127" s="255">
        <f>IF(ISBLANK('8B'!E34),"##BLANK",'8B'!E34)</f>
        <v>0</v>
      </c>
    </row>
    <row r="128" spans="2:6">
      <c r="B128" s="219" t="str">
        <f>'8B'!AH34</f>
        <v>BM817STRSL</v>
      </c>
      <c r="C128" s="219" t="s">
        <v>7031</v>
      </c>
      <c r="E128" s="249" t="s">
        <v>3641</v>
      </c>
      <c r="F128" s="255">
        <f>IF(ISBLANK('8B'!F34),"##BLANK",'8B'!F34)</f>
        <v>0</v>
      </c>
    </row>
    <row r="129" spans="2:6">
      <c r="B129" s="219" t="str">
        <f>'8B'!AI34</f>
        <v>BM817STCAD</v>
      </c>
      <c r="C129" s="219" t="s">
        <v>7032</v>
      </c>
      <c r="E129" s="249" t="s">
        <v>3641</v>
      </c>
      <c r="F129" s="255">
        <f>IF(ISBLANK('8B'!G34),"##BLANK",'8B'!G34)</f>
        <v>0</v>
      </c>
    </row>
    <row r="130" spans="2:6">
      <c r="B130" s="219" t="str">
        <f>'8B'!AJ34</f>
        <v>BM817STIRS</v>
      </c>
      <c r="C130" s="219" t="s">
        <v>7033</v>
      </c>
      <c r="E130" s="249" t="s">
        <v>3641</v>
      </c>
      <c r="F130" s="255">
        <f>IF(ISBLANK('8B'!H34),"##BLANK",'8B'!H34)</f>
        <v>0</v>
      </c>
    </row>
    <row r="131" spans="2:6">
      <c r="B131" s="219" t="str">
        <f>'8B'!AK34</f>
        <v>BM817STPCC</v>
      </c>
      <c r="C131" s="219" t="s">
        <v>7034</v>
      </c>
      <c r="E131" s="249" t="s">
        <v>3641</v>
      </c>
      <c r="F131" s="255">
        <f>IF(ISBLANK('8B'!I34),"##BLANK",'8B'!I34)</f>
        <v>0</v>
      </c>
    </row>
    <row r="132" spans="2:6">
      <c r="B132" s="219" t="str">
        <f>'8B'!AL34</f>
        <v>BM817STAD</v>
      </c>
      <c r="C132" s="219" t="s">
        <v>7035</v>
      </c>
      <c r="E132" s="249" t="s">
        <v>3641</v>
      </c>
      <c r="F132" s="255">
        <f>IF(ISBLANK('8B'!J34),"##BLANK",'8B'!J34)</f>
        <v>1.615</v>
      </c>
    </row>
    <row r="133" spans="2:6">
      <c r="B133" s="219" t="str">
        <f>'8B'!AM34</f>
        <v>BM817STSLOT</v>
      </c>
      <c r="C133" s="219" t="s">
        <v>7036</v>
      </c>
      <c r="E133" s="249" t="s">
        <v>3641</v>
      </c>
      <c r="F133" s="255">
        <f>IF(ISBLANK('8B'!K34),"##BLANK",'8B'!K34)</f>
        <v>0</v>
      </c>
    </row>
    <row r="134" spans="2:6">
      <c r="B134" s="219" t="str">
        <f>'8B'!AN34</f>
        <v>BM817STTOT</v>
      </c>
      <c r="C134" s="219" t="s">
        <v>7037</v>
      </c>
      <c r="E134" s="249" t="s">
        <v>3641</v>
      </c>
      <c r="F134" s="255">
        <f>IF(ISBLANK('8B'!L34),"##BLANK",'8B'!L34)</f>
        <v>1.615</v>
      </c>
    </row>
    <row r="135" spans="2:6">
      <c r="B135" s="219" t="str">
        <f>'8B'!AG35</f>
        <v>BM8390STUTS</v>
      </c>
      <c r="C135" s="219" t="s">
        <v>7038</v>
      </c>
      <c r="E135" s="249" t="s">
        <v>3641</v>
      </c>
      <c r="F135" s="255">
        <f>IF(ISBLANK('8B'!E35),"##BLANK",'8B'!E35)</f>
        <v>0</v>
      </c>
    </row>
    <row r="136" spans="2:6">
      <c r="B136" s="219" t="str">
        <f>'8B'!AH35</f>
        <v>BM8390STRSL</v>
      </c>
      <c r="C136" s="219" t="s">
        <v>7039</v>
      </c>
      <c r="E136" s="249" t="s">
        <v>3641</v>
      </c>
      <c r="F136" s="255">
        <f>IF(ISBLANK('8B'!F35),"##BLANK",'8B'!F35)</f>
        <v>0</v>
      </c>
    </row>
    <row r="137" spans="2:6">
      <c r="B137" s="219" t="str">
        <f>'8B'!AI35</f>
        <v>BM8390STCAD</v>
      </c>
      <c r="C137" s="219" t="s">
        <v>7040</v>
      </c>
      <c r="E137" s="249" t="s">
        <v>3641</v>
      </c>
      <c r="F137" s="255">
        <f>IF(ISBLANK('8B'!G35),"##BLANK",'8B'!G35)</f>
        <v>0</v>
      </c>
    </row>
    <row r="138" spans="2:6">
      <c r="B138" s="219" t="str">
        <f>'8B'!AJ35</f>
        <v>BM8390STIRS</v>
      </c>
      <c r="C138" s="219" t="s">
        <v>7041</v>
      </c>
      <c r="E138" s="249" t="s">
        <v>3641</v>
      </c>
      <c r="F138" s="255">
        <f>IF(ISBLANK('8B'!H35),"##BLANK",'8B'!H35)</f>
        <v>0</v>
      </c>
    </row>
    <row r="139" spans="2:6">
      <c r="B139" s="219" t="str">
        <f>'8B'!AK35</f>
        <v>BM8390STPCC</v>
      </c>
      <c r="C139" s="219" t="s">
        <v>7042</v>
      </c>
      <c r="E139" s="249" t="s">
        <v>3641</v>
      </c>
      <c r="F139" s="255">
        <f>IF(ISBLANK('8B'!I35),"##BLANK",'8B'!I35)</f>
        <v>0</v>
      </c>
    </row>
    <row r="140" spans="2:6">
      <c r="B140" s="219" t="str">
        <f>'8B'!AL35</f>
        <v>BM8390STAD</v>
      </c>
      <c r="C140" s="219" t="s">
        <v>7043</v>
      </c>
      <c r="E140" s="249" t="s">
        <v>3641</v>
      </c>
      <c r="F140" s="255">
        <f>IF(ISBLANK('8B'!J35),"##BLANK",'8B'!J35)</f>
        <v>6.9960000000000004</v>
      </c>
    </row>
    <row r="141" spans="2:6">
      <c r="B141" s="219" t="str">
        <f>'8B'!AM35</f>
        <v>BM8390STSLOT</v>
      </c>
      <c r="C141" s="219" t="s">
        <v>7044</v>
      </c>
      <c r="E141" s="249" t="s">
        <v>3641</v>
      </c>
      <c r="F141" s="255">
        <f>IF(ISBLANK('8B'!K35),"##BLANK",'8B'!K35)</f>
        <v>0</v>
      </c>
    </row>
    <row r="142" spans="2:6">
      <c r="B142" s="219" t="str">
        <f>'8B'!AN35</f>
        <v>BM8390STTOT</v>
      </c>
      <c r="C142" s="219" t="s">
        <v>7045</v>
      </c>
      <c r="E142" s="249" t="s">
        <v>3641</v>
      </c>
      <c r="F142" s="255">
        <f>IF(ISBLANK('8B'!L35),"##BLANK",'8B'!L35)</f>
        <v>6.9960000000000004</v>
      </c>
    </row>
    <row r="143" spans="2:6">
      <c r="B143" s="219" t="str">
        <f>'8B'!AG40</f>
        <v>BM402SDLFR</v>
      </c>
      <c r="C143" s="219" t="s">
        <v>7046</v>
      </c>
      <c r="E143" s="249" t="s">
        <v>3641</v>
      </c>
      <c r="F143" s="255">
        <f>IF(ISBLANK('8B'!E40),"##BLANK",'8B'!E40)</f>
        <v>0</v>
      </c>
    </row>
    <row r="144" spans="2:6">
      <c r="B144" s="219" t="str">
        <f>'8B'!AH40</f>
        <v>BM402SDLFP</v>
      </c>
      <c r="C144" s="219" t="s">
        <v>7047</v>
      </c>
      <c r="E144" s="249" t="s">
        <v>3641</v>
      </c>
      <c r="F144" s="255">
        <f>IF(ISBLANK('8B'!F40),"##BLANK",'8B'!F40)</f>
        <v>0</v>
      </c>
    </row>
    <row r="145" spans="2:6">
      <c r="B145" s="219" t="str">
        <f>'8B'!AI40</f>
        <v>BM402SDLRR</v>
      </c>
      <c r="C145" s="219" t="s">
        <v>7048</v>
      </c>
      <c r="E145" s="249" t="s">
        <v>3641</v>
      </c>
      <c r="F145" s="255">
        <f>IF(ISBLANK('8B'!G40),"##BLANK",'8B'!G40)</f>
        <v>0</v>
      </c>
    </row>
    <row r="146" spans="2:6">
      <c r="B146" s="219" t="str">
        <f>'8B'!AJ40</f>
        <v>BM402SDRTF</v>
      </c>
      <c r="C146" s="219" t="s">
        <v>7049</v>
      </c>
      <c r="E146" s="249" t="s">
        <v>3641</v>
      </c>
      <c r="F146" s="255">
        <f>IF(ISBLANK('8B'!H40),"##BLANK",'8B'!H40)</f>
        <v>1E-3</v>
      </c>
    </row>
    <row r="147" spans="2:6">
      <c r="B147" s="219" t="str">
        <f>'8B'!AK40</f>
        <v>BM402SDIDS</v>
      </c>
      <c r="C147" s="219" t="s">
        <v>7050</v>
      </c>
      <c r="E147" s="249" t="s">
        <v>3641</v>
      </c>
      <c r="F147" s="255">
        <f>IF(ISBLANK('8B'!I40),"##BLANK",'8B'!I40)</f>
        <v>0</v>
      </c>
    </row>
    <row r="148" spans="2:6">
      <c r="B148" s="219" t="str">
        <f>'8B'!AL40</f>
        <v>BM402SDSOT</v>
      </c>
      <c r="C148" s="219" t="s">
        <v>7051</v>
      </c>
      <c r="E148" s="249" t="s">
        <v>3641</v>
      </c>
      <c r="F148" s="255">
        <f>IF(ISBLANK('8B'!J40),"##BLANK",'8B'!J40)</f>
        <v>0</v>
      </c>
    </row>
    <row r="149" spans="2:6">
      <c r="B149" s="219" t="str">
        <f>'8B'!AM40</f>
        <v>BM402SDTOT</v>
      </c>
      <c r="C149" s="219" t="s">
        <v>6973</v>
      </c>
      <c r="E149" s="249" t="s">
        <v>3641</v>
      </c>
      <c r="F149" s="255">
        <f>IF(ISBLANK('8B'!K40),"##BLANK",'8B'!K40)</f>
        <v>1E-3</v>
      </c>
    </row>
    <row r="150" spans="2:6">
      <c r="B150" s="219" t="str">
        <f>'8B'!AG41</f>
        <v>BM836SDLFR</v>
      </c>
      <c r="C150" s="219" t="s">
        <v>7052</v>
      </c>
      <c r="E150" s="249" t="s">
        <v>3641</v>
      </c>
      <c r="F150" s="255">
        <f>IF(ISBLANK('8B'!E41),"##BLANK",'8B'!E41)</f>
        <v>0</v>
      </c>
    </row>
    <row r="151" spans="2:6">
      <c r="B151" s="219" t="str">
        <f>'8B'!AH41</f>
        <v>BM836SDLFP</v>
      </c>
      <c r="C151" s="219" t="s">
        <v>7053</v>
      </c>
      <c r="E151" s="249" t="s">
        <v>3641</v>
      </c>
      <c r="F151" s="255">
        <f>IF(ISBLANK('8B'!F41),"##BLANK",'8B'!F41)</f>
        <v>0</v>
      </c>
    </row>
    <row r="152" spans="2:6">
      <c r="B152" s="219" t="str">
        <f>'8B'!AI41</f>
        <v>BM836SDLRR</v>
      </c>
      <c r="C152" s="219" t="s">
        <v>7054</v>
      </c>
      <c r="E152" s="249" t="s">
        <v>3641</v>
      </c>
      <c r="F152" s="255">
        <f>IF(ISBLANK('8B'!G41),"##BLANK",'8B'!G41)</f>
        <v>0</v>
      </c>
    </row>
    <row r="153" spans="2:6">
      <c r="B153" s="219" t="str">
        <f>'8B'!AJ41</f>
        <v>BM836SDRTF</v>
      </c>
      <c r="C153" s="219" t="s">
        <v>7055</v>
      </c>
      <c r="E153" s="249" t="s">
        <v>3641</v>
      </c>
      <c r="F153" s="255">
        <f>IF(ISBLANK('8B'!H41),"##BLANK",'8B'!H41)</f>
        <v>0</v>
      </c>
    </row>
    <row r="154" spans="2:6">
      <c r="B154" s="219" t="str">
        <f>'8B'!AK41</f>
        <v>BM836SDIDS</v>
      </c>
      <c r="C154" s="219" t="s">
        <v>7056</v>
      </c>
      <c r="E154" s="249" t="s">
        <v>3641</v>
      </c>
      <c r="F154" s="255">
        <f>IF(ISBLANK('8B'!I41),"##BLANK",'8B'!I41)</f>
        <v>0</v>
      </c>
    </row>
    <row r="155" spans="2:6">
      <c r="B155" s="219" t="str">
        <f>'8B'!AL41</f>
        <v>BM836SDSOT</v>
      </c>
      <c r="C155" s="219" t="s">
        <v>7057</v>
      </c>
      <c r="E155" s="249" t="s">
        <v>3641</v>
      </c>
      <c r="F155" s="255">
        <f>IF(ISBLANK('8B'!J41),"##BLANK",'8B'!J41)</f>
        <v>0</v>
      </c>
    </row>
    <row r="156" spans="2:6">
      <c r="B156" s="219" t="str">
        <f>'8B'!AM41</f>
        <v>BM836SDTOT</v>
      </c>
      <c r="C156" s="219" t="s">
        <v>6981</v>
      </c>
      <c r="E156" s="249" t="s">
        <v>3641</v>
      </c>
      <c r="F156" s="255">
        <f>IF(ISBLANK('8B'!K41),"##BLANK",'8B'!K41)</f>
        <v>0</v>
      </c>
    </row>
    <row r="157" spans="2:6">
      <c r="B157" s="219" t="str">
        <f>'8B'!AG42</f>
        <v>WWS1003SDLFR</v>
      </c>
      <c r="C157" s="219" t="s">
        <v>7058</v>
      </c>
      <c r="E157" s="249" t="s">
        <v>3641</v>
      </c>
      <c r="F157" s="255">
        <f>IF(ISBLANK('8B'!E42),"##BLANK",'8B'!E42)</f>
        <v>0</v>
      </c>
    </row>
    <row r="158" spans="2:6">
      <c r="B158" s="219" t="str">
        <f>'8B'!AH42</f>
        <v>WWS1003SDLFP</v>
      </c>
      <c r="C158" s="219" t="s">
        <v>7059</v>
      </c>
      <c r="E158" s="249" t="s">
        <v>3641</v>
      </c>
      <c r="F158" s="255">
        <f>IF(ISBLANK('8B'!F42),"##BLANK",'8B'!F42)</f>
        <v>0</v>
      </c>
    </row>
    <row r="159" spans="2:6">
      <c r="B159" s="219" t="str">
        <f>'8B'!AI42</f>
        <v>WWS1003SDLRR</v>
      </c>
      <c r="C159" s="219" t="s">
        <v>7060</v>
      </c>
      <c r="E159" s="249" t="s">
        <v>3641</v>
      </c>
      <c r="F159" s="255">
        <f>IF(ISBLANK('8B'!G42),"##BLANK",'8B'!G42)</f>
        <v>0</v>
      </c>
    </row>
    <row r="160" spans="2:6">
      <c r="B160" s="219" t="str">
        <f>'8B'!AJ42</f>
        <v>WWS1003SDRTF</v>
      </c>
      <c r="C160" s="219" t="s">
        <v>7061</v>
      </c>
      <c r="E160" s="249" t="s">
        <v>3641</v>
      </c>
      <c r="F160" s="255">
        <f>IF(ISBLANK('8B'!H42),"##BLANK",'8B'!H42)</f>
        <v>0</v>
      </c>
    </row>
    <row r="161" spans="2:6">
      <c r="B161" s="219" t="str">
        <f>'8B'!AK42</f>
        <v>WWS1003SDIDS</v>
      </c>
      <c r="C161" s="219" t="s">
        <v>7062</v>
      </c>
      <c r="E161" s="249" t="s">
        <v>3641</v>
      </c>
      <c r="F161" s="255">
        <f>IF(ISBLANK('8B'!I42),"##BLANK",'8B'!I42)</f>
        <v>0</v>
      </c>
    </row>
    <row r="162" spans="2:6">
      <c r="B162" s="219" t="str">
        <f>'8B'!AL42</f>
        <v>WWS1003SDSOT</v>
      </c>
      <c r="C162" s="219" t="s">
        <v>7063</v>
      </c>
      <c r="E162" s="249" t="s">
        <v>3641</v>
      </c>
      <c r="F162" s="255">
        <f>IF(ISBLANK('8B'!J42),"##BLANK",'8B'!J42)</f>
        <v>0</v>
      </c>
    </row>
    <row r="163" spans="2:6">
      <c r="B163" s="219" t="str">
        <f>'8B'!AM42</f>
        <v>WWS1003SDTOT</v>
      </c>
      <c r="C163" s="219" t="s">
        <v>7064</v>
      </c>
      <c r="E163" s="249" t="s">
        <v>3641</v>
      </c>
      <c r="F163" s="255">
        <f>IF(ISBLANK('8B'!K42),"##BLANK",'8B'!K42)</f>
        <v>0</v>
      </c>
    </row>
    <row r="164" spans="2:6">
      <c r="B164" s="219" t="str">
        <f>'8B'!AG43</f>
        <v>BM240SDLFR</v>
      </c>
      <c r="C164" s="219" t="s">
        <v>7065</v>
      </c>
      <c r="E164" s="249" t="s">
        <v>3641</v>
      </c>
      <c r="F164" s="255">
        <f>IF(ISBLANK('8B'!E43),"##BLANK",'8B'!E43)</f>
        <v>0</v>
      </c>
    </row>
    <row r="165" spans="2:6">
      <c r="B165" s="219" t="str">
        <f>'8B'!AH43</f>
        <v>BM240SDLFP</v>
      </c>
      <c r="C165" s="219" t="s">
        <v>7066</v>
      </c>
      <c r="E165" s="249" t="s">
        <v>3641</v>
      </c>
      <c r="F165" s="255">
        <f>IF(ISBLANK('8B'!F43),"##BLANK",'8B'!F43)</f>
        <v>0</v>
      </c>
    </row>
    <row r="166" spans="2:6">
      <c r="B166" s="219" t="str">
        <f>'8B'!AI43</f>
        <v>BM240SDLRR</v>
      </c>
      <c r="C166" s="219" t="s">
        <v>7067</v>
      </c>
      <c r="E166" s="249" t="s">
        <v>3641</v>
      </c>
      <c r="F166" s="255">
        <f>IF(ISBLANK('8B'!G43),"##BLANK",'8B'!G43)</f>
        <v>0</v>
      </c>
    </row>
    <row r="167" spans="2:6">
      <c r="B167" s="219" t="str">
        <f>'8B'!AJ43</f>
        <v>BM240SDRTF</v>
      </c>
      <c r="C167" s="219" t="s">
        <v>7068</v>
      </c>
      <c r="E167" s="249" t="s">
        <v>3641</v>
      </c>
      <c r="F167" s="255">
        <f>IF(ISBLANK('8B'!H43),"##BLANK",'8B'!H43)</f>
        <v>0</v>
      </c>
    </row>
    <row r="168" spans="2:6">
      <c r="B168" s="219" t="str">
        <f>'8B'!AK43</f>
        <v>BM240SDIDS</v>
      </c>
      <c r="C168" s="219" t="s">
        <v>7069</v>
      </c>
      <c r="E168" s="249" t="s">
        <v>3641</v>
      </c>
      <c r="F168" s="255">
        <f>IF(ISBLANK('8B'!I43),"##BLANK",'8B'!I43)</f>
        <v>0</v>
      </c>
    </row>
    <row r="169" spans="2:6">
      <c r="B169" s="219" t="str">
        <f>'8B'!AL43</f>
        <v>BM240SDSOT</v>
      </c>
      <c r="C169" s="219" t="s">
        <v>7070</v>
      </c>
      <c r="E169" s="249" t="s">
        <v>3641</v>
      </c>
      <c r="F169" s="255">
        <f>IF(ISBLANK('8B'!J43),"##BLANK",'8B'!J43)</f>
        <v>0</v>
      </c>
    </row>
    <row r="170" spans="2:6">
      <c r="B170" s="219" t="str">
        <f>'8B'!AM43</f>
        <v>BM240SDTOT</v>
      </c>
      <c r="C170" s="219" t="s">
        <v>7071</v>
      </c>
      <c r="E170" s="249" t="s">
        <v>3641</v>
      </c>
      <c r="F170" s="255">
        <f>IF(ISBLANK('8B'!K43),"##BLANK",'8B'!K43)</f>
        <v>0</v>
      </c>
    </row>
    <row r="171" spans="2:6">
      <c r="B171" s="219" t="str">
        <f>'8B'!AG46</f>
        <v>WWS1005SDLFR</v>
      </c>
      <c r="C171" s="219" t="s">
        <v>7072</v>
      </c>
      <c r="E171" s="249" t="s">
        <v>3641</v>
      </c>
      <c r="F171" s="255">
        <f>IF(ISBLANK('8B'!E46),"##BLANK",'8B'!E46)</f>
        <v>0</v>
      </c>
    </row>
    <row r="172" spans="2:6">
      <c r="B172" s="219" t="str">
        <f>'8B'!AH46</f>
        <v>WWS1005SDLFP</v>
      </c>
      <c r="C172" s="219" t="s">
        <v>7073</v>
      </c>
      <c r="E172" s="249" t="s">
        <v>3641</v>
      </c>
      <c r="F172" s="255">
        <f>IF(ISBLANK('8B'!F46),"##BLANK",'8B'!F46)</f>
        <v>0</v>
      </c>
    </row>
    <row r="173" spans="2:6">
      <c r="B173" s="219" t="str">
        <f>'8B'!AI46</f>
        <v>WWS1005SDLRR</v>
      </c>
      <c r="C173" s="219" t="s">
        <v>7074</v>
      </c>
      <c r="E173" s="249" t="s">
        <v>3641</v>
      </c>
      <c r="F173" s="255">
        <f>IF(ISBLANK('8B'!G46),"##BLANK",'8B'!G46)</f>
        <v>0</v>
      </c>
    </row>
    <row r="174" spans="2:6">
      <c r="B174" s="219" t="str">
        <f>'8B'!AJ46</f>
        <v>WWS1005SDRTF</v>
      </c>
      <c r="C174" s="219" t="s">
        <v>7075</v>
      </c>
      <c r="E174" s="249" t="s">
        <v>3641</v>
      </c>
      <c r="F174" s="255">
        <f>IF(ISBLANK('8B'!H46),"##BLANK",'8B'!H46)</f>
        <v>0</v>
      </c>
    </row>
    <row r="175" spans="2:6">
      <c r="B175" s="219" t="str">
        <f>'8B'!AK46</f>
        <v>WWS1005SDIDS</v>
      </c>
      <c r="C175" s="219" t="s">
        <v>7076</v>
      </c>
      <c r="E175" s="249" t="s">
        <v>3641</v>
      </c>
      <c r="F175" s="255">
        <f>IF(ISBLANK('8B'!I46),"##BLANK",'8B'!I46)</f>
        <v>0</v>
      </c>
    </row>
    <row r="176" spans="2:6">
      <c r="B176" s="219" t="str">
        <f>'8B'!AL46</f>
        <v>WWS1005SDSOT</v>
      </c>
      <c r="C176" s="219" t="s">
        <v>7077</v>
      </c>
      <c r="E176" s="249" t="s">
        <v>3641</v>
      </c>
      <c r="F176" s="255">
        <f>IF(ISBLANK('8B'!J46),"##BLANK",'8B'!J46)</f>
        <v>0</v>
      </c>
    </row>
    <row r="177" spans="2:6">
      <c r="B177" s="219" t="str">
        <f>'8B'!AM46</f>
        <v>WWS1005SDTOT</v>
      </c>
      <c r="C177" s="219" t="s">
        <v>7078</v>
      </c>
      <c r="E177" s="249" t="s">
        <v>3641</v>
      </c>
      <c r="F177" s="255">
        <f>IF(ISBLANK('8B'!K46),"##BLANK",'8B'!K46)</f>
        <v>0</v>
      </c>
    </row>
    <row r="178" spans="2:6">
      <c r="B178" s="219" t="str">
        <f>'8B'!AG47</f>
        <v>WWS1006SDLFR</v>
      </c>
      <c r="C178" s="219" t="s">
        <v>7079</v>
      </c>
      <c r="E178" s="249" t="s">
        <v>3641</v>
      </c>
      <c r="F178" s="255">
        <f>IF(ISBLANK('8B'!E47),"##BLANK",'8B'!E47)</f>
        <v>0</v>
      </c>
    </row>
    <row r="179" spans="2:6">
      <c r="B179" s="219" t="str">
        <f>'8B'!AH47</f>
        <v>WWS1006SDLFP</v>
      </c>
      <c r="C179" s="219" t="s">
        <v>7080</v>
      </c>
      <c r="E179" s="249" t="s">
        <v>3641</v>
      </c>
      <c r="F179" s="255">
        <f>IF(ISBLANK('8B'!F47),"##BLANK",'8B'!F47)</f>
        <v>0</v>
      </c>
    </row>
    <row r="180" spans="2:6">
      <c r="B180" s="219" t="str">
        <f>'8B'!AI47</f>
        <v>WWS1006SDLRR</v>
      </c>
      <c r="C180" s="219" t="s">
        <v>7081</v>
      </c>
      <c r="E180" s="249" t="s">
        <v>3641</v>
      </c>
      <c r="F180" s="255">
        <f>IF(ISBLANK('8B'!G47),"##BLANK",'8B'!G47)</f>
        <v>0</v>
      </c>
    </row>
    <row r="181" spans="2:6">
      <c r="B181" s="219" t="str">
        <f>'8B'!AJ47</f>
        <v>WWS1006SDRTF</v>
      </c>
      <c r="C181" s="219" t="s">
        <v>7082</v>
      </c>
      <c r="E181" s="249" t="s">
        <v>3641</v>
      </c>
      <c r="F181" s="255">
        <f>IF(ISBLANK('8B'!H47),"##BLANK",'8B'!H47)</f>
        <v>6.0000000000000001E-3</v>
      </c>
    </row>
    <row r="182" spans="2:6">
      <c r="B182" s="219" t="str">
        <f>'8B'!AK47</f>
        <v>WWS1006SDIDS</v>
      </c>
      <c r="C182" s="219" t="s">
        <v>7083</v>
      </c>
      <c r="E182" s="249" t="s">
        <v>3641</v>
      </c>
      <c r="F182" s="255">
        <f>IF(ISBLANK('8B'!I47),"##BLANK",'8B'!I47)</f>
        <v>0</v>
      </c>
    </row>
    <row r="183" spans="2:6">
      <c r="B183" s="219" t="str">
        <f>'8B'!AL47</f>
        <v>WWS1006SDSOT</v>
      </c>
      <c r="C183" s="219" t="s">
        <v>7084</v>
      </c>
      <c r="E183" s="249" t="s">
        <v>3641</v>
      </c>
      <c r="F183" s="255">
        <f>IF(ISBLANK('8B'!J47),"##BLANK",'8B'!J47)</f>
        <v>0</v>
      </c>
    </row>
    <row r="184" spans="2:6">
      <c r="B184" s="219" t="str">
        <f>'8B'!AM47</f>
        <v>WWS1006SDTOT</v>
      </c>
      <c r="C184" s="219" t="s">
        <v>7085</v>
      </c>
      <c r="E184" s="249" t="s">
        <v>3641</v>
      </c>
      <c r="F184" s="255">
        <f>IF(ISBLANK('8B'!K47),"##BLANK",'8B'!K47)</f>
        <v>6.0000000000000001E-3</v>
      </c>
    </row>
    <row r="185" spans="2:6">
      <c r="B185" s="219" t="str">
        <f>'8B'!AG48</f>
        <v>BM408SDLFR</v>
      </c>
      <c r="C185" s="219" t="s">
        <v>7086</v>
      </c>
      <c r="E185" s="249" t="s">
        <v>3641</v>
      </c>
      <c r="F185" s="255">
        <f>IF(ISBLANK('8B'!E48),"##BLANK",'8B'!E48)</f>
        <v>0</v>
      </c>
    </row>
    <row r="186" spans="2:6">
      <c r="B186" s="219" t="str">
        <f>'8B'!AH48</f>
        <v>BM408SDLFP</v>
      </c>
      <c r="C186" s="219" t="s">
        <v>7087</v>
      </c>
      <c r="E186" s="249" t="s">
        <v>3641</v>
      </c>
      <c r="F186" s="255">
        <f>IF(ISBLANK('8B'!F48),"##BLANK",'8B'!F48)</f>
        <v>0</v>
      </c>
    </row>
    <row r="187" spans="2:6">
      <c r="B187" s="219" t="str">
        <f>'8B'!AI48</f>
        <v>BM408SDLRR</v>
      </c>
      <c r="C187" s="219" t="s">
        <v>7088</v>
      </c>
      <c r="E187" s="249" t="s">
        <v>3641</v>
      </c>
      <c r="F187" s="255">
        <f>IF(ISBLANK('8B'!G48),"##BLANK",'8B'!G48)</f>
        <v>0</v>
      </c>
    </row>
    <row r="188" spans="2:6">
      <c r="B188" s="219" t="str">
        <f>'8B'!AJ48</f>
        <v>BM408SDRTF</v>
      </c>
      <c r="C188" s="219" t="s">
        <v>7089</v>
      </c>
      <c r="E188" s="249" t="s">
        <v>3641</v>
      </c>
      <c r="F188" s="255">
        <f>IF(ISBLANK('8B'!H48),"##BLANK",'8B'!H48)</f>
        <v>1.141</v>
      </c>
    </row>
    <row r="189" spans="2:6">
      <c r="B189" s="219" t="str">
        <f>'8B'!AK48</f>
        <v>BM408SDIDS</v>
      </c>
      <c r="C189" s="219" t="s">
        <v>7090</v>
      </c>
      <c r="E189" s="249" t="s">
        <v>3641</v>
      </c>
      <c r="F189" s="255">
        <f>IF(ISBLANK('8B'!I48),"##BLANK",'8B'!I48)</f>
        <v>0</v>
      </c>
    </row>
    <row r="190" spans="2:6">
      <c r="B190" s="219" t="str">
        <f>'8B'!AL48</f>
        <v>BM408SDSOT</v>
      </c>
      <c r="C190" s="219" t="s">
        <v>7091</v>
      </c>
      <c r="E190" s="249" t="s">
        <v>3641</v>
      </c>
      <c r="F190" s="255">
        <f>IF(ISBLANK('8B'!J48),"##BLANK",'8B'!J48)</f>
        <v>0</v>
      </c>
    </row>
    <row r="191" spans="2:6">
      <c r="B191" s="219" t="str">
        <f>'8B'!AM48</f>
        <v>BM408SDTOT</v>
      </c>
      <c r="C191" s="219" t="s">
        <v>7021</v>
      </c>
      <c r="E191" s="249" t="s">
        <v>3641</v>
      </c>
      <c r="F191" s="255">
        <f>IF(ISBLANK('8B'!K48),"##BLANK",'8B'!K48)</f>
        <v>1.141</v>
      </c>
    </row>
    <row r="192" spans="2:6">
      <c r="B192" s="219" t="str">
        <f>'8B'!AG49</f>
        <v>BM816SDLFR</v>
      </c>
      <c r="C192" s="219" t="s">
        <v>7092</v>
      </c>
      <c r="E192" s="249" t="s">
        <v>3641</v>
      </c>
      <c r="F192" s="255">
        <f>IF(ISBLANK('8B'!E49),"##BLANK",'8B'!E49)</f>
        <v>0</v>
      </c>
    </row>
    <row r="193" spans="2:6">
      <c r="B193" s="219" t="str">
        <f>'8B'!AH49</f>
        <v>BM816SDLFP</v>
      </c>
      <c r="C193" s="219" t="s">
        <v>7093</v>
      </c>
      <c r="E193" s="249" t="s">
        <v>3641</v>
      </c>
      <c r="F193" s="255">
        <f>IF(ISBLANK('8B'!F49),"##BLANK",'8B'!F49)</f>
        <v>0</v>
      </c>
    </row>
    <row r="194" spans="2:6">
      <c r="B194" s="219" t="str">
        <f>'8B'!AI49</f>
        <v>BM816SDLRR</v>
      </c>
      <c r="C194" s="219" t="s">
        <v>7094</v>
      </c>
      <c r="E194" s="249" t="s">
        <v>3641</v>
      </c>
      <c r="F194" s="255">
        <f>IF(ISBLANK('8B'!G49),"##BLANK",'8B'!G49)</f>
        <v>0</v>
      </c>
    </row>
    <row r="195" spans="2:6">
      <c r="B195" s="219" t="str">
        <f>'8B'!AJ49</f>
        <v>BM816SDRTF</v>
      </c>
      <c r="C195" s="219" t="s">
        <v>7095</v>
      </c>
      <c r="E195" s="249" t="s">
        <v>3641</v>
      </c>
      <c r="F195" s="255">
        <f>IF(ISBLANK('8B'!H49),"##BLANK",'8B'!H49)</f>
        <v>1.1479999999999999</v>
      </c>
    </row>
    <row r="196" spans="2:6">
      <c r="B196" s="219" t="str">
        <f>'8B'!AK49</f>
        <v>BM816SDIDS</v>
      </c>
      <c r="C196" s="219" t="s">
        <v>7096</v>
      </c>
      <c r="E196" s="249" t="s">
        <v>3641</v>
      </c>
      <c r="F196" s="255">
        <f>IF(ISBLANK('8B'!I49),"##BLANK",'8B'!I49)</f>
        <v>0</v>
      </c>
    </row>
    <row r="197" spans="2:6">
      <c r="B197" s="219" t="str">
        <f>'8B'!AL49</f>
        <v>BM816SDSOT</v>
      </c>
      <c r="C197" s="219" t="s">
        <v>7097</v>
      </c>
      <c r="E197" s="249" t="s">
        <v>3641</v>
      </c>
      <c r="F197" s="255">
        <f>IF(ISBLANK('8B'!J49),"##BLANK",'8B'!J49)</f>
        <v>0</v>
      </c>
    </row>
    <row r="198" spans="2:6">
      <c r="B198" s="219" t="str">
        <f>'8B'!AM49</f>
        <v>BM816SDTOT</v>
      </c>
      <c r="C198" s="219" t="s">
        <v>7098</v>
      </c>
      <c r="E198" s="249" t="s">
        <v>3641</v>
      </c>
      <c r="F198" s="255">
        <f>IF(ISBLANK('8B'!K49),"##BLANK",'8B'!K49)</f>
        <v>1.1479999999999999</v>
      </c>
    </row>
    <row r="199" spans="2:6">
      <c r="B199" s="219" t="str">
        <f>'8B'!AG50</f>
        <v>BM817SDLFR</v>
      </c>
      <c r="C199" s="219" t="s">
        <v>7099</v>
      </c>
      <c r="E199" s="249" t="s">
        <v>3641</v>
      </c>
      <c r="F199" s="255">
        <f>IF(ISBLANK('8B'!E50),"##BLANK",'8B'!E50)</f>
        <v>0</v>
      </c>
    </row>
    <row r="200" spans="2:6">
      <c r="B200" s="219" t="str">
        <f>'8B'!AH50</f>
        <v>BM817SDLFP</v>
      </c>
      <c r="C200" s="219" t="s">
        <v>7100</v>
      </c>
      <c r="E200" s="249" t="s">
        <v>3641</v>
      </c>
      <c r="F200" s="255">
        <f>IF(ISBLANK('8B'!F50),"##BLANK",'8B'!F50)</f>
        <v>0</v>
      </c>
    </row>
    <row r="201" spans="2:6">
      <c r="B201" s="219" t="str">
        <f>'8B'!AI50</f>
        <v>BM817SDLRR</v>
      </c>
      <c r="C201" s="219" t="s">
        <v>7101</v>
      </c>
      <c r="E201" s="249" t="s">
        <v>3641</v>
      </c>
      <c r="F201" s="255">
        <f>IF(ISBLANK('8B'!G50),"##BLANK",'8B'!G50)</f>
        <v>0</v>
      </c>
    </row>
    <row r="202" spans="2:6">
      <c r="B202" s="219" t="str">
        <f>'8B'!AJ50</f>
        <v>BM817SDRTF</v>
      </c>
      <c r="C202" s="219" t="s">
        <v>7102</v>
      </c>
      <c r="E202" s="249" t="s">
        <v>3641</v>
      </c>
      <c r="F202" s="255">
        <f>IF(ISBLANK('8B'!H50),"##BLANK",'8B'!H50)</f>
        <v>0</v>
      </c>
    </row>
    <row r="203" spans="2:6">
      <c r="B203" s="219" t="str">
        <f>'8B'!AK50</f>
        <v>BM817SDIDS</v>
      </c>
      <c r="C203" s="219" t="s">
        <v>7103</v>
      </c>
      <c r="E203" s="249" t="s">
        <v>3641</v>
      </c>
      <c r="F203" s="255">
        <f>IF(ISBLANK('8B'!I50),"##BLANK",'8B'!I50)</f>
        <v>0</v>
      </c>
    </row>
    <row r="204" spans="2:6">
      <c r="B204" s="219" t="str">
        <f>'8B'!AL50</f>
        <v>BM817SDSOT</v>
      </c>
      <c r="C204" s="219" t="s">
        <v>7104</v>
      </c>
      <c r="E204" s="249" t="s">
        <v>3641</v>
      </c>
      <c r="F204" s="255">
        <f>IF(ISBLANK('8B'!J50),"##BLANK",'8B'!J50)</f>
        <v>0</v>
      </c>
    </row>
    <row r="205" spans="2:6">
      <c r="B205" s="219" t="str">
        <f>'8B'!AM50</f>
        <v>BM817SDTOT</v>
      </c>
      <c r="C205" s="219" t="s">
        <v>7037</v>
      </c>
      <c r="E205" s="249" t="s">
        <v>3641</v>
      </c>
      <c r="F205" s="255">
        <f>IF(ISBLANK('8B'!K50),"##BLANK",'8B'!K50)</f>
        <v>0</v>
      </c>
    </row>
    <row r="206" spans="2:6">
      <c r="B206" s="219" t="str">
        <f>'8B'!AG51</f>
        <v>BM8390SDLFR</v>
      </c>
      <c r="C206" s="219" t="s">
        <v>7105</v>
      </c>
      <c r="E206" s="249" t="s">
        <v>3641</v>
      </c>
      <c r="F206" s="255">
        <f>IF(ISBLANK('8B'!E51),"##BLANK",'8B'!E51)</f>
        <v>0</v>
      </c>
    </row>
    <row r="207" spans="2:6">
      <c r="B207" s="219" t="str">
        <f>'8B'!AH51</f>
        <v>BM8390SDLFP</v>
      </c>
      <c r="C207" s="219" t="s">
        <v>7106</v>
      </c>
      <c r="E207" s="249" t="s">
        <v>3641</v>
      </c>
      <c r="F207" s="255">
        <f>IF(ISBLANK('8B'!F51),"##BLANK",'8B'!F51)</f>
        <v>0</v>
      </c>
    </row>
    <row r="208" spans="2:6">
      <c r="B208" s="219" t="str">
        <f>'8B'!AI51</f>
        <v>BM8390SDLRR</v>
      </c>
      <c r="C208" s="219" t="s">
        <v>7107</v>
      </c>
      <c r="E208" s="249" t="s">
        <v>3641</v>
      </c>
      <c r="F208" s="255">
        <f>IF(ISBLANK('8B'!G51),"##BLANK",'8B'!G51)</f>
        <v>0</v>
      </c>
    </row>
    <row r="209" spans="2:6">
      <c r="B209" s="219" t="str">
        <f>'8B'!AJ51</f>
        <v>BM8390SDRTF</v>
      </c>
      <c r="C209" s="219" t="s">
        <v>7108</v>
      </c>
      <c r="E209" s="249" t="s">
        <v>3641</v>
      </c>
      <c r="F209" s="255">
        <f>IF(ISBLANK('8B'!H51),"##BLANK",'8B'!H51)</f>
        <v>1.1479999999999999</v>
      </c>
    </row>
    <row r="210" spans="2:6">
      <c r="B210" s="219" t="str">
        <f>'8B'!AK51</f>
        <v>BM8390SDIDS</v>
      </c>
      <c r="C210" s="219" t="s">
        <v>7109</v>
      </c>
      <c r="E210" s="249" t="s">
        <v>3641</v>
      </c>
      <c r="F210" s="255">
        <f>IF(ISBLANK('8B'!I51),"##BLANK",'8B'!I51)</f>
        <v>0</v>
      </c>
    </row>
    <row r="211" spans="2:6">
      <c r="B211" s="219" t="str">
        <f>'8B'!AL51</f>
        <v>BM8390SDSOT</v>
      </c>
      <c r="C211" s="219" t="s">
        <v>7110</v>
      </c>
      <c r="E211" s="249" t="s">
        <v>3641</v>
      </c>
      <c r="F211" s="255">
        <f>IF(ISBLANK('8B'!J51),"##BLANK",'8B'!J51)</f>
        <v>0</v>
      </c>
    </row>
    <row r="212" spans="2:6">
      <c r="B212" s="219" t="str">
        <f>'8B'!AM51</f>
        <v>BM8390SDTOT</v>
      </c>
      <c r="C212" s="219" t="s">
        <v>7045</v>
      </c>
      <c r="E212" s="249" t="s">
        <v>3641</v>
      </c>
      <c r="F212" s="255">
        <f>IF(ISBLANK('8B'!K51),"##BLANK",'8B'!K51)</f>
        <v>1.1479999999999999</v>
      </c>
    </row>
    <row r="213" spans="2:6">
      <c r="B213" s="219" t="str">
        <f>'8D'!T8</f>
        <v>BN5611INC</v>
      </c>
      <c r="C213" s="219" t="s">
        <v>7111</v>
      </c>
      <c r="E213" s="249" t="s">
        <v>3641</v>
      </c>
      <c r="F213" s="255">
        <f>IF(ISBLANK('8D'!E8),"##BLANK",'8D'!E8)</f>
        <v>0</v>
      </c>
    </row>
    <row r="214" spans="2:6">
      <c r="B214" s="219" t="str">
        <f>'8D'!U8</f>
        <v>BN5611TPS</v>
      </c>
      <c r="C214" s="219" t="s">
        <v>7112</v>
      </c>
      <c r="E214" s="249" t="s">
        <v>3641</v>
      </c>
      <c r="F214" s="255">
        <f>IF(ISBLANK('8D'!F8),"##BLANK",'8D'!F8)</f>
        <v>0</v>
      </c>
    </row>
    <row r="215" spans="2:6">
      <c r="B215" s="219" t="str">
        <f>'8D'!T9</f>
        <v>BN5612INC</v>
      </c>
      <c r="C215" s="219" t="s">
        <v>7113</v>
      </c>
      <c r="E215" s="249" t="s">
        <v>3641</v>
      </c>
      <c r="F215" s="255">
        <f>IF(ISBLANK('8D'!E9),"##BLANK",'8D'!E9)</f>
        <v>0</v>
      </c>
    </row>
    <row r="216" spans="2:6">
      <c r="B216" s="219" t="str">
        <f>'8D'!U9</f>
        <v>BN5612TPS</v>
      </c>
      <c r="C216" s="219" t="s">
        <v>7114</v>
      </c>
      <c r="E216" s="249" t="s">
        <v>3641</v>
      </c>
      <c r="F216" s="255">
        <f>IF(ISBLANK('8D'!F9),"##BLANK",'8D'!F9)</f>
        <v>0</v>
      </c>
    </row>
    <row r="217" spans="2:6">
      <c r="B217" s="1781" t="str">
        <f>'8D'!T10</f>
        <v>BN5613INC</v>
      </c>
      <c r="C217" s="219" t="s">
        <v>7115</v>
      </c>
      <c r="E217" s="249" t="s">
        <v>3641</v>
      </c>
      <c r="F217" s="255">
        <f>IF(ISBLANK('8D'!E10),"##BLANK",'8D'!E10)</f>
        <v>0</v>
      </c>
    </row>
    <row r="218" spans="2:6">
      <c r="B218" s="219" t="str">
        <f>'8D'!U10</f>
        <v>BN5613TPS</v>
      </c>
      <c r="C218" s="219" t="s">
        <v>7116</v>
      </c>
      <c r="E218" s="249" t="s">
        <v>3641</v>
      </c>
      <c r="F218" s="255">
        <f>IF(ISBLANK('8D'!F10),"##BLANK",'8D'!F10)</f>
        <v>0</v>
      </c>
    </row>
    <row r="219" spans="2:6">
      <c r="B219" s="219" t="str">
        <f>'8D'!T11</f>
        <v>BN5614INC</v>
      </c>
      <c r="C219" s="219" t="s">
        <v>7117</v>
      </c>
      <c r="E219" s="249" t="s">
        <v>3641</v>
      </c>
      <c r="F219" s="255">
        <f>IF(ISBLANK('8D'!E11),"##BLANK",'8D'!E11)</f>
        <v>1</v>
      </c>
    </row>
    <row r="220" spans="2:6">
      <c r="B220" s="219" t="str">
        <f>'8D'!U11</f>
        <v>BN5614TPS</v>
      </c>
      <c r="C220" s="219" t="s">
        <v>7118</v>
      </c>
      <c r="E220" s="249" t="s">
        <v>3641</v>
      </c>
      <c r="F220" s="255">
        <f>IF(ISBLANK('8D'!F11),"##BLANK",'8D'!F11)</f>
        <v>0</v>
      </c>
    </row>
    <row r="221" spans="2:6">
      <c r="B221" s="219" t="str">
        <f>'8D'!T12</f>
        <v>BN5615INC</v>
      </c>
      <c r="C221" s="219" t="s">
        <v>7119</v>
      </c>
      <c r="E221" s="249" t="s">
        <v>3641</v>
      </c>
      <c r="F221" s="255">
        <f>IF(ISBLANK('8D'!E12),"##BLANK",'8D'!E12)</f>
        <v>0</v>
      </c>
    </row>
    <row r="222" spans="2:6">
      <c r="B222" s="219" t="str">
        <f>'8D'!U12</f>
        <v>BN5615TPS</v>
      </c>
      <c r="C222" s="219" t="s">
        <v>7120</v>
      </c>
      <c r="E222" s="249" t="s">
        <v>3641</v>
      </c>
      <c r="F222" s="255">
        <f>IF(ISBLANK('8D'!F12),"##BLANK",'8D'!F12)</f>
        <v>0</v>
      </c>
    </row>
    <row r="223" spans="2:6">
      <c r="B223" s="219" t="str">
        <f>'8D'!T13</f>
        <v>BN5618INC</v>
      </c>
      <c r="C223" s="219" t="s">
        <v>7121</v>
      </c>
      <c r="E223" s="249" t="s">
        <v>3641</v>
      </c>
      <c r="F223" s="255">
        <f>IF(ISBLANK('8D'!E13),"##BLANK",'8D'!E13)</f>
        <v>0</v>
      </c>
    </row>
    <row r="224" spans="2:6">
      <c r="B224" s="219" t="str">
        <f>'8D'!U13</f>
        <v>BN5618TPS</v>
      </c>
      <c r="C224" s="219" t="s">
        <v>7122</v>
      </c>
      <c r="E224" s="249" t="s">
        <v>3641</v>
      </c>
      <c r="F224" s="255">
        <f>IF(ISBLANK('8D'!F13),"##BLANK",'8D'!F13)</f>
        <v>0</v>
      </c>
    </row>
    <row r="225" spans="2:6">
      <c r="B225" s="219" t="str">
        <f>'8D'!T14</f>
        <v>BN5619INC</v>
      </c>
      <c r="C225" s="219" t="s">
        <v>7123</v>
      </c>
      <c r="E225" s="249" t="s">
        <v>3641</v>
      </c>
      <c r="F225" s="255">
        <f>IF(ISBLANK('8D'!E14),"##BLANK",'8D'!E14)</f>
        <v>1</v>
      </c>
    </row>
    <row r="226" spans="2:6">
      <c r="B226" s="219" t="str">
        <f>'8D'!U14</f>
        <v>BN5619TPS</v>
      </c>
      <c r="C226" s="219" t="s">
        <v>7124</v>
      </c>
      <c r="E226" s="249" t="s">
        <v>3641</v>
      </c>
      <c r="F226" s="255">
        <f>IF(ISBLANK('8D'!F14),"##BLANK",'8D'!F14)</f>
        <v>0</v>
      </c>
    </row>
    <row r="227" spans="2:6">
      <c r="B227" s="219" t="str">
        <f>'8D'!T17</f>
        <v>BN5620INC</v>
      </c>
      <c r="C227" s="219" t="s">
        <v>7125</v>
      </c>
      <c r="E227" s="249" t="s">
        <v>3641</v>
      </c>
      <c r="F227" s="255">
        <f>IF(ISBLANK('8D'!E17),"##BLANK",'8D'!E17)</f>
        <v>0</v>
      </c>
    </row>
    <row r="228" spans="2:6">
      <c r="B228" s="219" t="str">
        <f>'8D'!U17</f>
        <v>BN5620TPS</v>
      </c>
      <c r="C228" s="219" t="s">
        <v>7126</v>
      </c>
      <c r="E228" s="249" t="s">
        <v>3641</v>
      </c>
      <c r="F228" s="255">
        <f>IF(ISBLANK('8D'!F17),"##BLANK",'8D'!F17)</f>
        <v>0</v>
      </c>
    </row>
    <row r="229" spans="2:6">
      <c r="B229" s="219" t="str">
        <f>'8D'!T18</f>
        <v>BN5621INC</v>
      </c>
      <c r="C229" s="219" t="s">
        <v>7127</v>
      </c>
      <c r="E229" s="249" t="s">
        <v>3641</v>
      </c>
      <c r="F229" s="255">
        <f>IF(ISBLANK('8D'!E18),"##BLANK",'8D'!E18)</f>
        <v>0</v>
      </c>
    </row>
    <row r="230" spans="2:6">
      <c r="B230" s="219" t="str">
        <f>'8D'!U18</f>
        <v>BN5621TPS</v>
      </c>
      <c r="C230" s="219" t="s">
        <v>7128</v>
      </c>
      <c r="E230" s="249" t="s">
        <v>3641</v>
      </c>
      <c r="F230" s="255">
        <f>IF(ISBLANK('8D'!F18),"##BLANK",'8D'!F18)</f>
        <v>0</v>
      </c>
    </row>
    <row r="231" spans="2:6">
      <c r="B231" s="219" t="str">
        <f>'8D'!T19</f>
        <v>BN5622INC</v>
      </c>
      <c r="C231" s="219" t="s">
        <v>7129</v>
      </c>
      <c r="E231" s="249" t="s">
        <v>3641</v>
      </c>
      <c r="F231" s="255">
        <f>IF(ISBLANK('8D'!E19),"##BLANK",'8D'!E19)</f>
        <v>0</v>
      </c>
    </row>
    <row r="232" spans="2:6">
      <c r="B232" s="219" t="str">
        <f>'8D'!U19</f>
        <v>BN5622TPS</v>
      </c>
      <c r="C232" s="219" t="s">
        <v>7130</v>
      </c>
      <c r="E232" s="249" t="s">
        <v>3641</v>
      </c>
      <c r="F232" s="255">
        <f>IF(ISBLANK('8D'!F19),"##BLANK",'8D'!F19)</f>
        <v>0</v>
      </c>
    </row>
    <row r="233" spans="2:6">
      <c r="B233" s="219" t="str">
        <f>'8D'!T20</f>
        <v>BN5623INC</v>
      </c>
      <c r="C233" s="219" t="s">
        <v>7131</v>
      </c>
      <c r="E233" s="249" t="s">
        <v>3641</v>
      </c>
      <c r="F233" s="255">
        <f>IF(ISBLANK('8D'!E20),"##BLANK",'8D'!E20)</f>
        <v>1</v>
      </c>
    </row>
    <row r="234" spans="2:6">
      <c r="B234" s="219" t="str">
        <f>'8D'!U20</f>
        <v>BN5623TPS</v>
      </c>
      <c r="C234" s="219" t="s">
        <v>7132</v>
      </c>
      <c r="E234" s="249" t="s">
        <v>3641</v>
      </c>
      <c r="F234" s="255">
        <f>IF(ISBLANK('8D'!F20),"##BLANK",'8D'!F20)</f>
        <v>0</v>
      </c>
    </row>
    <row r="235" spans="2:6">
      <c r="B235" s="219" t="str">
        <f>'8D'!T21</f>
        <v>BN5624INC</v>
      </c>
      <c r="C235" s="219" t="s">
        <v>7133</v>
      </c>
      <c r="E235" s="249" t="s">
        <v>3641</v>
      </c>
      <c r="F235" s="255">
        <f>IF(ISBLANK('8D'!E21),"##BLANK",'8D'!E21)</f>
        <v>0</v>
      </c>
    </row>
    <row r="236" spans="2:6">
      <c r="B236" s="219" t="str">
        <f>'8D'!U21</f>
        <v>BN5624TPS</v>
      </c>
      <c r="C236" s="219" t="s">
        <v>7134</v>
      </c>
      <c r="E236" s="249" t="s">
        <v>3641</v>
      </c>
      <c r="F236" s="255">
        <f>IF(ISBLANK('8D'!F21),"##BLANK",'8D'!F21)</f>
        <v>0</v>
      </c>
    </row>
    <row r="237" spans="2:6">
      <c r="B237" s="219" t="str">
        <f>'8D'!T22</f>
        <v>BN5625INC</v>
      </c>
      <c r="C237" s="219" t="s">
        <v>7135</v>
      </c>
      <c r="E237" s="249" t="s">
        <v>3641</v>
      </c>
      <c r="F237" s="255">
        <f>IF(ISBLANK('8D'!E22),"##BLANK",'8D'!E22)</f>
        <v>1</v>
      </c>
    </row>
    <row r="238" spans="2:6">
      <c r="B238" s="219" t="str">
        <f>'8D'!U22</f>
        <v>BN5625TPS</v>
      </c>
      <c r="C238" s="219" t="s">
        <v>7136</v>
      </c>
      <c r="E238" s="249" t="s">
        <v>3641</v>
      </c>
      <c r="F238" s="255">
        <f>IF(ISBLANK('8D'!F22),"##BLANK",'8D'!F22)</f>
        <v>0</v>
      </c>
    </row>
  </sheetData>
  <sheetProtection sort="0"/>
  <conditionalFormatting sqref="E4:E238">
    <cfRule type="expression" dxfId="564"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NES_APR2022_F10</v>
      </c>
    </row>
    <row r="2" spans="1:7">
      <c r="A2" s="219" t="s">
        <v>3</v>
      </c>
      <c r="B2" s="219" t="s">
        <v>3636</v>
      </c>
      <c r="C2" s="219" t="s">
        <v>3637</v>
      </c>
      <c r="D2" s="219" t="s">
        <v>668</v>
      </c>
      <c r="E2" s="219" t="s">
        <v>3638</v>
      </c>
      <c r="F2" s="219" t="s">
        <v>7137</v>
      </c>
      <c r="G2" s="219" t="s">
        <v>3639</v>
      </c>
    </row>
    <row r="3" spans="1:7" ht="15">
      <c r="B3" s="239"/>
      <c r="C3" s="250"/>
      <c r="D3" s="249"/>
      <c r="E3" s="249"/>
      <c r="F3" s="249"/>
    </row>
    <row r="4" spans="1:7">
      <c r="B4" s="219" t="str">
        <f>'10A'!V9</f>
        <v>BN1208_GR</v>
      </c>
      <c r="C4" s="219" t="s">
        <v>7138</v>
      </c>
      <c r="E4" s="249" t="s">
        <v>3641</v>
      </c>
      <c r="F4" s="249"/>
      <c r="G4" s="255" t="str">
        <f>IF(ISBLANK('10A'!E9),"##BLANK",'10A'!E9)</f>
        <v>##BLANK</v>
      </c>
    </row>
    <row r="5" spans="1:7">
      <c r="B5" s="219" t="str">
        <f>'10A'!V10</f>
        <v>BN1231_GR</v>
      </c>
      <c r="C5" s="219" t="s">
        <v>7139</v>
      </c>
      <c r="E5" s="249" t="s">
        <v>3641</v>
      </c>
      <c r="F5" s="249"/>
      <c r="G5" s="255" t="str">
        <f>IF(ISBLANK('10A'!E10),"##BLANK",'10A'!E10)</f>
        <v>##BLANK</v>
      </c>
    </row>
    <row r="6" spans="1:7">
      <c r="B6" s="219" t="str">
        <f>'10A'!X16</f>
        <v>B1253NMT_AMI_GR</v>
      </c>
      <c r="C6" s="219" t="s">
        <v>7140</v>
      </c>
      <c r="E6" s="249" t="s">
        <v>3641</v>
      </c>
      <c r="F6" s="249"/>
      <c r="G6" s="255" t="str">
        <f>IF(ISBLANK('10A'!G16),"##BLANK",'10A'!G16)</f>
        <v>##BLANK</v>
      </c>
    </row>
    <row r="7" spans="1:7">
      <c r="B7" s="219" t="str">
        <f>'10A'!X17</f>
        <v>B1256NMT_AMI_GR</v>
      </c>
      <c r="C7" s="219" t="s">
        <v>7141</v>
      </c>
      <c r="E7" s="249" t="s">
        <v>3641</v>
      </c>
      <c r="F7" s="249"/>
      <c r="G7" s="255" t="str">
        <f>IF(ISBLANK('10A'!G17),"##BLANK",'10A'!G17)</f>
        <v>##BLANK</v>
      </c>
    </row>
    <row r="8" spans="1:7">
      <c r="B8" s="219" t="str">
        <f>'10A'!X18</f>
        <v>B0257NMT_AMI_GR</v>
      </c>
      <c r="C8" s="219" t="s">
        <v>7142</v>
      </c>
      <c r="E8" s="249" t="s">
        <v>3641</v>
      </c>
      <c r="F8" s="249"/>
      <c r="G8" s="255" t="str">
        <f>IF(ISBLANK('10A'!G18),"##BLANK",'10A'!G18)</f>
        <v>##BLANK</v>
      </c>
    </row>
    <row r="9" spans="1:7">
      <c r="B9" s="219" t="str">
        <f>'10A'!X19</f>
        <v>B0258NMT_AMI_GR</v>
      </c>
      <c r="C9" s="219" t="s">
        <v>7143</v>
      </c>
      <c r="E9" s="249" t="s">
        <v>3641</v>
      </c>
      <c r="F9" s="249"/>
      <c r="G9" s="255" t="str">
        <f>IF(ISBLANK('10A'!G19),"##BLANK",'10A'!G19)</f>
        <v>##BLANK</v>
      </c>
    </row>
    <row r="10" spans="1:7">
      <c r="B10" s="219" t="str">
        <f>'10A'!X22</f>
        <v>BN11711_AMI_GR</v>
      </c>
      <c r="C10" s="219" t="s">
        <v>7144</v>
      </c>
      <c r="E10" s="249" t="s">
        <v>3641</v>
      </c>
      <c r="F10" s="249"/>
      <c r="G10" s="255" t="str">
        <f>IF(ISBLANK('10A'!G22),"##BLANK",'10A'!G22)</f>
        <v>##BLANK</v>
      </c>
    </row>
    <row r="11" spans="1:7">
      <c r="B11" s="219" t="str">
        <f>'10A'!X23</f>
        <v>BN10102_AMI_GR</v>
      </c>
      <c r="C11" s="219" t="s">
        <v>7145</v>
      </c>
      <c r="E11" s="249" t="s">
        <v>3641</v>
      </c>
      <c r="F11" s="249"/>
      <c r="G11" s="255" t="str">
        <f>IF(ISBLANK('10A'!G23),"##BLANK",'10A'!G23)</f>
        <v>##BLANK</v>
      </c>
    </row>
    <row r="12" spans="1:7">
      <c r="B12" s="219" t="str">
        <f>'10A'!X24</f>
        <v>BN01004_AMI_GR</v>
      </c>
      <c r="C12" s="219" t="s">
        <v>7146</v>
      </c>
      <c r="E12" s="249" t="s">
        <v>3641</v>
      </c>
      <c r="F12" s="249"/>
      <c r="G12" s="255" t="str">
        <f>IF(ISBLANK('10A'!G24),"##BLANK",'10A'!G24)</f>
        <v>##BLANK</v>
      </c>
    </row>
    <row r="13" spans="1:7">
      <c r="B13" s="219" t="str">
        <f>'10A'!X25</f>
        <v>BN01005_AMI_GR</v>
      </c>
      <c r="C13" s="219" t="s">
        <v>7147</v>
      </c>
      <c r="E13" s="249" t="s">
        <v>3641</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3641</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3641</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3641</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3641</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3641</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3641</v>
      </c>
      <c r="F19" s="249"/>
      <c r="G19" s="219">
        <f>'10A'!$G$29</f>
        <v>0</v>
      </c>
    </row>
    <row r="20" spans="2:7">
      <c r="B20" s="1781" t="str">
        <f>'10A'!X30</f>
        <v>BN12001_AMI_GR</v>
      </c>
      <c r="C20" s="219" t="s">
        <v>7148</v>
      </c>
      <c r="E20" s="249" t="s">
        <v>3641</v>
      </c>
      <c r="F20" s="249"/>
      <c r="G20" s="255" t="str">
        <f>IF(ISBLANK('10A'!G30),"##BLANK",'10A'!G30)</f>
        <v>##BLANK</v>
      </c>
    </row>
    <row r="21" spans="2:7">
      <c r="B21" s="1781" t="str">
        <f>'10A'!X31</f>
        <v>BN12002_AMI_GR</v>
      </c>
      <c r="C21" s="219" t="s">
        <v>7149</v>
      </c>
      <c r="E21" s="249" t="s">
        <v>3641</v>
      </c>
      <c r="F21" s="249"/>
      <c r="G21" s="255" t="str">
        <f>IF(ISBLANK('10A'!G31),"##BLANK",'10A'!G31)</f>
        <v>##BLANK</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3641</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3641</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3641</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3641</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3641</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3641</v>
      </c>
      <c r="F27" s="249"/>
      <c r="G27" s="1781">
        <f>'10A'!$G$35</f>
        <v>0</v>
      </c>
    </row>
    <row r="28" spans="2:7">
      <c r="B28" s="1781" t="str">
        <f>'10A'!V38</f>
        <v>B0004WNPLI_GR</v>
      </c>
      <c r="C28" s="219" t="s">
        <v>7150</v>
      </c>
      <c r="E28" s="249" t="s">
        <v>3641</v>
      </c>
      <c r="F28" s="249"/>
      <c r="G28" s="255" t="str">
        <f>IF(ISBLANK('10A'!E38),"##BLANK",'10A'!E38)</f>
        <v>##BLANK</v>
      </c>
    </row>
    <row r="29" spans="2:7">
      <c r="B29" s="219" t="str">
        <f>'10A'!$V$43</f>
        <v>BN02011_BA</v>
      </c>
      <c r="C29" s="219" t="str">
        <f>'10A'!$B$43</f>
        <v>Additional storm tank capacity provided at STWs (grey infrastructure)</v>
      </c>
      <c r="E29" s="249" t="s">
        <v>3641</v>
      </c>
      <c r="F29" s="249"/>
      <c r="G29" s="219">
        <f>'10A'!$E$43</f>
        <v>0</v>
      </c>
    </row>
    <row r="30" spans="2:7">
      <c r="B30" s="219" t="str">
        <f>'10A'!$V$44</f>
        <v>BN02012_BA</v>
      </c>
      <c r="C30" s="219" t="str">
        <f>'10A'!$B$44</f>
        <v>Additional effective storm storage capacity at sewage treatment work (delivered through green infrastructure)</v>
      </c>
      <c r="E30" s="249" t="s">
        <v>3641</v>
      </c>
      <c r="F30" s="249"/>
      <c r="G30" s="1781">
        <f>'10A'!$E$44</f>
        <v>0</v>
      </c>
    </row>
    <row r="31" spans="2:7">
      <c r="B31" s="219" t="str">
        <f>'10A'!$V$45</f>
        <v>BN02013_BA</v>
      </c>
      <c r="C31" s="219" t="str">
        <f>'10A'!$B$45</f>
        <v>Additional volume of network storage at CSOs etc to reduce spill frequency (grey infrastructure)</v>
      </c>
      <c r="E31" s="249" t="s">
        <v>3641</v>
      </c>
      <c r="F31" s="249"/>
      <c r="G31" s="1781">
        <f>'10A'!$E$45</f>
        <v>0</v>
      </c>
    </row>
    <row r="32" spans="2:7">
      <c r="B32" s="219" t="str">
        <f>'10A'!$V$46</f>
        <v>BN02014_BA</v>
      </c>
      <c r="C32" s="219" t="str">
        <f>'10A'!$B$46</f>
        <v>Additional effective storage in the network delivered through green infrastructure </v>
      </c>
      <c r="E32" s="249" t="s">
        <v>3641</v>
      </c>
      <c r="F32" s="249"/>
      <c r="G32" s="219">
        <f>'10A'!$E$46</f>
        <v>0</v>
      </c>
    </row>
    <row r="33" spans="2:7">
      <c r="B33" s="219" t="str">
        <f>'10B'!AL10</f>
        <v>BNX1022_PLA</v>
      </c>
      <c r="C33" s="219" t="s">
        <v>7151</v>
      </c>
      <c r="E33" s="249" t="s">
        <v>3641</v>
      </c>
      <c r="F33" s="249"/>
      <c r="G33" s="255" t="str">
        <f>IF(ISBLANK('10B'!C10),"##BLANK",'10B'!C10)</f>
        <v>##BLANK</v>
      </c>
    </row>
    <row r="34" spans="2:7">
      <c r="B34" s="219" t="str">
        <f>'10B'!AP10</f>
        <v>BN01005_EO_PC</v>
      </c>
      <c r="C34" s="219" t="s">
        <v>7152</v>
      </c>
      <c r="E34" s="249" t="s">
        <v>3641</v>
      </c>
      <c r="F34" s="249"/>
      <c r="G34" s="255" t="str">
        <f>IF(ISBLANK('10B'!G10),"##BLANK",'10B'!G10)</f>
        <v>##BLANK</v>
      </c>
    </row>
    <row r="35" spans="2:7">
      <c r="B35" s="219" t="str">
        <f>'10B'!AQ10</f>
        <v>BN01006_EOC_PC</v>
      </c>
      <c r="C35" s="219" t="s">
        <v>7153</v>
      </c>
      <c r="E35" s="249" t="s">
        <v>3641</v>
      </c>
      <c r="F35" s="249"/>
      <c r="G35" s="255">
        <f>IF(ISBLANK('10B'!H10),"##BLANK",'10B'!H10)</f>
        <v>0</v>
      </c>
    </row>
    <row r="36" spans="2:7">
      <c r="B36" s="219" t="str">
        <f>'10B'!AL15</f>
        <v>BNX1023_PLA</v>
      </c>
      <c r="C36" s="219" t="s">
        <v>7154</v>
      </c>
      <c r="E36" s="249" t="s">
        <v>3641</v>
      </c>
      <c r="F36" s="249"/>
      <c r="G36" s="255" t="str">
        <f>IF(ISBLANK('10B'!C15),"##BLANK",'10B'!C15)</f>
        <v>##BLANK</v>
      </c>
    </row>
    <row r="37" spans="2:7">
      <c r="B37" s="219" t="str">
        <f>'10B'!AL16</f>
        <v>BNX1024_PLA</v>
      </c>
      <c r="C37" s="219" t="s">
        <v>7155</v>
      </c>
      <c r="E37" s="249" t="s">
        <v>3641</v>
      </c>
      <c r="F37" s="249"/>
      <c r="G37" s="255" t="str">
        <f>IF(ISBLANK('10B'!C16),"##BLANK",'10B'!C16)</f>
        <v>##BLANK</v>
      </c>
    </row>
    <row r="38" spans="2:7">
      <c r="B38" s="219" t="str">
        <f>'10B'!AL17</f>
        <v>BNX1025_PLA</v>
      </c>
      <c r="C38" s="219" t="s">
        <v>7156</v>
      </c>
      <c r="E38" s="249" t="s">
        <v>3641</v>
      </c>
      <c r="F38" s="249"/>
      <c r="G38" s="255" t="str">
        <f>IF(ISBLANK('10B'!C17),"##BLANK",'10B'!C17)</f>
        <v>##BLANK</v>
      </c>
    </row>
    <row r="39" spans="2:7">
      <c r="B39" s="219" t="str">
        <f>'10B'!AN15</f>
        <v>BN01007_PLA</v>
      </c>
      <c r="C39" s="219" t="s">
        <v>7157</v>
      </c>
      <c r="E39" s="249" t="s">
        <v>3641</v>
      </c>
      <c r="F39" s="255" t="str">
        <f>IF(ISBLANK('10B'!E15),"##BLANK",'10B'!E15)</f>
        <v>##BLANK</v>
      </c>
      <c r="G39" s="255" t="str">
        <f>IF(ISBLANK('10B'!F15),"##BLANK",'10B'!F15)</f>
        <v>##BLANK</v>
      </c>
    </row>
    <row r="40" spans="2:7">
      <c r="B40" s="219" t="str">
        <f>'10B'!AN16</f>
        <v>BN01008_PLA</v>
      </c>
      <c r="C40" s="219" t="s">
        <v>7158</v>
      </c>
      <c r="E40" s="249" t="s">
        <v>3641</v>
      </c>
      <c r="F40" s="255" t="str">
        <f>IF(ISBLANK('10B'!E16),"##BLANK",'10B'!E16)</f>
        <v>##BLANK</v>
      </c>
      <c r="G40" s="255" t="str">
        <f>IF(ISBLANK('10B'!F16),"##BLANK",'10B'!F16)</f>
        <v>##BLANK</v>
      </c>
    </row>
    <row r="41" spans="2:7">
      <c r="B41" s="219" t="str">
        <f>'10B'!AN17</f>
        <v>BN01009_PLA</v>
      </c>
      <c r="C41" s="219" t="s">
        <v>7159</v>
      </c>
      <c r="E41" s="249" t="s">
        <v>3641</v>
      </c>
      <c r="F41" s="255" t="str">
        <f>IF(ISBLANK('10B'!E17),"##BLANK",'10B'!E17)</f>
        <v>##BLANK</v>
      </c>
      <c r="G41" s="255" t="str">
        <f>IF(ISBLANK('10B'!F17),"##BLANK",'10B'!F17)</f>
        <v>##BLANK</v>
      </c>
    </row>
    <row r="42" spans="2:7">
      <c r="B42" s="219" t="str">
        <f>'10C'!AJ10</f>
        <v>BNX1026_PLA</v>
      </c>
      <c r="C42" s="219" t="s">
        <v>7160</v>
      </c>
      <c r="E42" s="249" t="s">
        <v>3641</v>
      </c>
      <c r="F42" s="249"/>
      <c r="G42" s="255" t="str">
        <f>IF(ISBLANK('10C'!C10),"##BLANK",'10C'!C10)</f>
        <v>##BLANK</v>
      </c>
    </row>
    <row r="43" spans="2:7">
      <c r="B43" s="219" t="str">
        <f>'10C'!AJ11</f>
        <v>BNX1027_PLA</v>
      </c>
      <c r="C43" s="219" t="s">
        <v>7161</v>
      </c>
      <c r="E43" s="249" t="s">
        <v>3641</v>
      </c>
      <c r="F43" s="249"/>
      <c r="G43" s="255" t="str">
        <f>IF(ISBLANK('10C'!C11),"##BLANK",'10C'!C11)</f>
        <v>##BLANK</v>
      </c>
    </row>
    <row r="44" spans="2:7">
      <c r="B44" s="219" t="str">
        <f>'10C'!AJ12</f>
        <v>BNX1028_PLA</v>
      </c>
      <c r="C44" s="219" t="s">
        <v>7162</v>
      </c>
      <c r="E44" s="249" t="s">
        <v>3641</v>
      </c>
      <c r="F44" s="249"/>
      <c r="G44" s="255" t="str">
        <f>IF(ISBLANK('10C'!C12),"##BLANK",'10C'!C12)</f>
        <v>##BLANK</v>
      </c>
    </row>
    <row r="45" spans="2:7">
      <c r="B45" s="219" t="str">
        <f>'10C'!AJ13</f>
        <v>BNX1029_PLA</v>
      </c>
      <c r="C45" s="219" t="s">
        <v>7163</v>
      </c>
      <c r="E45" s="249" t="s">
        <v>3641</v>
      </c>
      <c r="F45" s="249"/>
      <c r="G45" s="255" t="str">
        <f>IF(ISBLANK('10C'!C13),"##BLANK",'10C'!C13)</f>
        <v>##BLANK</v>
      </c>
    </row>
    <row r="46" spans="2:7">
      <c r="B46" s="219" t="str">
        <f>'10C'!AN10</f>
        <v>BN01022_PLA</v>
      </c>
      <c r="C46" s="219" t="s">
        <v>7164</v>
      </c>
      <c r="E46" s="249" t="s">
        <v>3641</v>
      </c>
      <c r="F46" s="249"/>
      <c r="G46" s="255" t="str">
        <f>IF(ISBLANK('10C'!G10),"##BLANK",'10C'!G10)</f>
        <v>##BLANK</v>
      </c>
    </row>
    <row r="47" spans="2:7">
      <c r="B47" s="219" t="str">
        <f>'10C'!AO10</f>
        <v>BN01026_PLA</v>
      </c>
      <c r="C47" s="219" t="s">
        <v>7165</v>
      </c>
      <c r="E47" s="249" t="s">
        <v>3641</v>
      </c>
      <c r="F47" s="249"/>
      <c r="G47" s="255">
        <f>IF(ISBLANK('10C'!H10),"##BLANK",'10C'!H10)</f>
        <v>0</v>
      </c>
    </row>
    <row r="48" spans="2:7">
      <c r="B48" s="219" t="str">
        <f>'10C'!AN11</f>
        <v>BN01023_PLA</v>
      </c>
      <c r="C48" s="219" t="s">
        <v>7166</v>
      </c>
      <c r="E48" s="249" t="s">
        <v>3641</v>
      </c>
      <c r="F48" s="249"/>
      <c r="G48" s="255" t="str">
        <f>IF(ISBLANK('10C'!G11),"##BLANK",'10C'!G11)</f>
        <v>##BLANK</v>
      </c>
    </row>
    <row r="49" spans="2:7">
      <c r="B49" s="219" t="str">
        <f>'10C'!AO11</f>
        <v>BN01027_PLA</v>
      </c>
      <c r="C49" s="219" t="s">
        <v>7167</v>
      </c>
      <c r="E49" s="249" t="s">
        <v>3641</v>
      </c>
      <c r="F49" s="249"/>
      <c r="G49" s="255">
        <f>IF(ISBLANK('10C'!H11),"##BLANK",'10C'!H11)</f>
        <v>0</v>
      </c>
    </row>
    <row r="50" spans="2:7">
      <c r="B50" s="219" t="str">
        <f>'10C'!AN12</f>
        <v>BN01024_PLA</v>
      </c>
      <c r="C50" s="219" t="s">
        <v>7168</v>
      </c>
      <c r="E50" s="249" t="s">
        <v>3641</v>
      </c>
      <c r="F50" s="249"/>
      <c r="G50" s="255" t="str">
        <f>IF(ISBLANK('10C'!G12),"##BLANK",'10C'!G12)</f>
        <v>##BLANK</v>
      </c>
    </row>
    <row r="51" spans="2:7">
      <c r="B51" s="219" t="str">
        <f>'10C'!AO12</f>
        <v>BN01028_PLA</v>
      </c>
      <c r="C51" s="219" t="s">
        <v>7169</v>
      </c>
      <c r="E51" s="249" t="s">
        <v>3641</v>
      </c>
      <c r="F51" s="249"/>
      <c r="G51" s="255">
        <f>IF(ISBLANK('10C'!H12),"##BLANK",'10C'!H12)</f>
        <v>0</v>
      </c>
    </row>
    <row r="52" spans="2:7">
      <c r="B52" s="219" t="str">
        <f>'10C'!AN13</f>
        <v>BN01025_PLA</v>
      </c>
      <c r="C52" s="219" t="s">
        <v>7170</v>
      </c>
      <c r="E52" s="249" t="s">
        <v>3641</v>
      </c>
      <c r="F52" s="249"/>
      <c r="G52" s="255" t="str">
        <f>IF(ISBLANK('10C'!G13),"##BLANK",'10C'!G13)</f>
        <v>##BLANK</v>
      </c>
    </row>
    <row r="53" spans="2:7">
      <c r="B53" s="219" t="str">
        <f>'10C'!AO13</f>
        <v>BN01029_PLA</v>
      </c>
      <c r="C53" s="219" t="s">
        <v>7171</v>
      </c>
      <c r="E53" s="249" t="s">
        <v>3641</v>
      </c>
      <c r="F53" s="249"/>
      <c r="G53" s="255">
        <f>IF(ISBLANK('10C'!H13),"##BLANK",'10C'!H13)</f>
        <v>0</v>
      </c>
    </row>
    <row r="54" spans="2:7">
      <c r="B54" s="1781" t="str">
        <f>'10C'!AM16</f>
        <v>BN01030_PLA</v>
      </c>
      <c r="C54" s="219" t="s">
        <v>7172</v>
      </c>
      <c r="E54" s="249" t="s">
        <v>3641</v>
      </c>
      <c r="F54" s="249"/>
      <c r="G54" s="255" t="str">
        <f>IF(ISBLANK('10C'!F16),"##BLANK",'10C'!F16)</f>
        <v>##BLANK</v>
      </c>
    </row>
    <row r="55" spans="2:7">
      <c r="B55" s="219" t="str">
        <f>'10C'!AN24</f>
        <v>BN01031_PLA</v>
      </c>
      <c r="C55" s="219" t="s">
        <v>7173</v>
      </c>
      <c r="E55" s="249" t="s">
        <v>3641</v>
      </c>
      <c r="F55" s="249"/>
      <c r="G55" s="255" t="str">
        <f>IF(ISBLANK('10C'!G24),"##BLANK",'10C'!G24)</f>
        <v>##BLANK</v>
      </c>
    </row>
    <row r="56" spans="2:7">
      <c r="B56" s="219" t="str">
        <f>'10C'!AO24</f>
        <v>BN01032_PLA</v>
      </c>
      <c r="C56" s="219" t="s">
        <v>7174</v>
      </c>
      <c r="E56" s="249" t="s">
        <v>3641</v>
      </c>
      <c r="F56" s="249"/>
      <c r="G56" s="255">
        <f>IF(ISBLANK('10C'!H24),"##BLANK",'10C'!H24)</f>
        <v>0</v>
      </c>
    </row>
    <row r="57" spans="2:7">
      <c r="B57" s="219" t="str">
        <f>'10C'!AP24</f>
        <v>BN01033_PLA</v>
      </c>
      <c r="C57" s="219" t="s">
        <v>7175</v>
      </c>
      <c r="E57" s="249" t="s">
        <v>3641</v>
      </c>
      <c r="F57" s="249"/>
      <c r="G57" s="255" t="str">
        <f>IF(ISBLANK('10C'!I24),"##BLANK",'10C'!I24)</f>
        <v>##BLANK</v>
      </c>
    </row>
    <row r="58" spans="2:7">
      <c r="B58" s="219" t="str">
        <f>'10C'!AQ24</f>
        <v>BN01034_PLA</v>
      </c>
      <c r="C58" s="219" t="s">
        <v>7176</v>
      </c>
      <c r="E58" s="249" t="s">
        <v>3641</v>
      </c>
      <c r="F58" s="249"/>
      <c r="G58" s="255">
        <f>IF(ISBLANK('10C'!J24),"##BLANK",'10C'!J24)</f>
        <v>0</v>
      </c>
    </row>
    <row r="59" spans="2:7">
      <c r="B59" s="254" t="str">
        <f>'10C'!AR24</f>
        <v>BN01035_PLA</v>
      </c>
      <c r="C59" s="219" t="s">
        <v>7177</v>
      </c>
      <c r="E59" s="249" t="s">
        <v>3641</v>
      </c>
      <c r="F59" s="249"/>
      <c r="G59" s="255" t="str">
        <f>IF(ISBLANK('10C'!K24),"##BLANK",'10C'!K24)</f>
        <v>##BLANK</v>
      </c>
    </row>
    <row r="60" spans="2:7">
      <c r="B60" s="254" t="str">
        <f>'10C'!AS24</f>
        <v>BN01036_PLA</v>
      </c>
      <c r="C60" s="219" t="s">
        <v>7178</v>
      </c>
      <c r="E60" s="249" t="s">
        <v>3641</v>
      </c>
      <c r="F60" s="249"/>
      <c r="G60" s="255" t="str">
        <f>IF(ISBLANK('10C'!L24),"##BLANK",'10C'!L24)</f>
        <v>##BLANK</v>
      </c>
    </row>
    <row r="61" spans="2:7">
      <c r="B61" s="254" t="str">
        <f>'10C'!AT24</f>
        <v>BN01037_PLA</v>
      </c>
      <c r="C61" s="219" t="s">
        <v>7179</v>
      </c>
      <c r="E61" s="249" t="s">
        <v>3641</v>
      </c>
      <c r="F61" s="249"/>
      <c r="G61" s="255" t="str">
        <f>IF(ISBLANK('10C'!M24),"##BLANK",'10C'!M24)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7180</v>
      </c>
      <c r="B1" t="s">
        <v>3</v>
      </c>
      <c r="C1" t="s">
        <v>3636</v>
      </c>
      <c r="D1" t="s">
        <v>3637</v>
      </c>
      <c r="E1" t="s">
        <v>668</v>
      </c>
      <c r="F1" t="s">
        <v>3638</v>
      </c>
      <c r="G1" t="s">
        <v>7181</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7182</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7182</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7182</v>
      </c>
      <c r="G4">
        <f>'4I'!$E$12</f>
        <v>150</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7182</v>
      </c>
      <c r="G5">
        <f>'4I'!$F$12</f>
        <v>0</v>
      </c>
    </row>
    <row r="6" spans="1:7">
      <c r="A6" t="s">
        <v>635</v>
      </c>
      <c r="C6" t="str">
        <f>'4I'!$AJ$12</f>
        <v>CR2021N6</v>
      </c>
      <c r="D6" t="str">
        <f>_xlfn.CONCAT('4I'!$B$11, "-", '4I'!$B$12, "-", '4I'!$G$9, "-", '4I'!$G$8, "-", '4I'!$G$7, "-", '4I'!$G$6, "-", '4I'!$C$5)</f>
        <v>Interest rate swap (sterling)-Floating to fixed rate-3-£m-Nominal value (net)-Total value at 31 March-Financial derivatives – Total</v>
      </c>
      <c r="F6" t="s">
        <v>7182</v>
      </c>
      <c r="G6">
        <f>'4I'!$G$12</f>
        <v>150</v>
      </c>
    </row>
    <row r="7" spans="1:7">
      <c r="A7" t="s">
        <v>635</v>
      </c>
      <c r="C7" t="str">
        <f>'4I'!$AK$12</f>
        <v>CR2021MM</v>
      </c>
      <c r="D7" t="str">
        <f>_xlfn.CONCAT('4I'!$B$11, "-", '4I'!$B$12, "-", '4I'!$H$9, "-", '4I'!$H$8, "-", '4I'!$H$7, "-", '4I'!$G$6, "-", '4I'!$C$5)</f>
        <v>Interest rate swap (sterling)-Floating to fixed rate-3-£m-Mark to Market-Total value at 31 March-Financial derivatives – Total</v>
      </c>
      <c r="F7" t="s">
        <v>7182</v>
      </c>
      <c r="G7">
        <f>'4I'!$H$12</f>
        <v>-8.7430000000000003</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7182</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7182</v>
      </c>
      <c r="G9">
        <f>'4I'!$J$12</f>
        <v>2.3599999999999999E-2</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7182</v>
      </c>
      <c r="G10">
        <f>'4I'!$K$12</f>
        <v>4.8788E-3</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7182</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7182</v>
      </c>
      <c r="G12">
        <f>'4I'!$D$13</f>
        <v>0</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7182</v>
      </c>
      <c r="G13">
        <f>'4I'!$E$13</f>
        <v>0</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7182</v>
      </c>
      <c r="G14">
        <f>'4I'!$F$13</f>
        <v>0</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7182</v>
      </c>
      <c r="G15">
        <f>'4I'!$G$13</f>
        <v>0</v>
      </c>
    </row>
    <row r="16" spans="1:7">
      <c r="A16" t="s">
        <v>635</v>
      </c>
      <c r="C16" t="str">
        <f>'4I'!$AK$13</f>
        <v>CR2022MM</v>
      </c>
      <c r="D16" t="str">
        <f>_xlfn.CONCAT('4I'!$B$11, "-", '4I'!$B$13, "-", '4I'!$H$9, "-", '4I'!$H$8, "-", '4I'!$H$7, "-", '4I'!$G$6, "-", '4I'!$C$5)</f>
        <v>Interest rate swap (sterling)-Floating from fixed rate-3-£m-Mark to Market-Total value at 31 March-Financial derivatives – Total</v>
      </c>
      <c r="F16" t="s">
        <v>7182</v>
      </c>
      <c r="G16">
        <f>'4I'!$H$13</f>
        <v>0</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7182</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7182</v>
      </c>
      <c r="G18">
        <f>'4I'!$J$13</f>
        <v>0</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7182</v>
      </c>
      <c r="G19">
        <f>'4I'!$K$13</f>
        <v>0</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7182</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7182</v>
      </c>
      <c r="G21">
        <f>'4I'!$D$14</f>
        <v>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7182</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7182</v>
      </c>
      <c r="G23">
        <f>'4I'!$F$14</f>
        <v>0</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7182</v>
      </c>
      <c r="G24">
        <f>'4I'!$G$14</f>
        <v>0</v>
      </c>
    </row>
    <row r="25" spans="1:7">
      <c r="A25" t="s">
        <v>635</v>
      </c>
      <c r="C25" t="str">
        <f>'4I'!$AK$14</f>
        <v>CR2023MM</v>
      </c>
      <c r="D25" t="str">
        <f>_xlfn.CONCAT('4I'!$B$11, "-", '4I'!$B$14, "-", '4I'!$H$9, "-", '4I'!$H$8, "-", '4I'!$H$7, "-", '4I'!$G$6, "-", '4I'!$C$5)</f>
        <v>Interest rate swap (sterling)-Floating to index linked-3-£m-Mark to Market-Total value at 31 March-Financial derivatives – Total</v>
      </c>
      <c r="F25" t="s">
        <v>7182</v>
      </c>
      <c r="G25">
        <f>'4I'!$H$14</f>
        <v>0</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7182</v>
      </c>
      <c r="G26">
        <f>'4I'!$I$14</f>
        <v>0</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7182</v>
      </c>
      <c r="G27">
        <f>'4I'!$J$14</f>
        <v>0</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7182</v>
      </c>
      <c r="G28">
        <f>'4I'!$K$14</f>
        <v>0</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7182</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7182</v>
      </c>
      <c r="G30">
        <f>'4I'!$D$15</f>
        <v>0</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7182</v>
      </c>
      <c r="G31">
        <f>'4I'!$E$15</f>
        <v>0</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7182</v>
      </c>
      <c r="G32">
        <f>'4I'!$F$15</f>
        <v>0</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7182</v>
      </c>
      <c r="G33">
        <f>'4I'!$G$15</f>
        <v>0</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7182</v>
      </c>
      <c r="G34">
        <f>'4I'!$H$15</f>
        <v>0</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7182</v>
      </c>
      <c r="G35">
        <f>'4I'!$I$15</f>
        <v>0</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7182</v>
      </c>
      <c r="G36">
        <f>'4I'!$J$15</f>
        <v>0</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7182</v>
      </c>
      <c r="G37">
        <f>'4I'!$K$15</f>
        <v>0</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7182</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7182</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7182</v>
      </c>
      <c r="G40">
        <f>'4I'!$E$16</f>
        <v>150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7182</v>
      </c>
      <c r="G41">
        <f>'4I'!$F$16</f>
        <v>100</v>
      </c>
    </row>
    <row r="42" spans="1:7">
      <c r="A42" t="s">
        <v>635</v>
      </c>
      <c r="C42" t="str">
        <f>'4I'!$AJ$16</f>
        <v>CR2025N6</v>
      </c>
      <c r="D42" t="str">
        <f>_xlfn.CONCAT('4I'!$B$11, "-", '4I'!$B$16, "-", '4I'!$G$9, "-", '4I'!$G$8, "-", '4I'!$G$7, "-", '4I'!$G$6, "-", '4I'!$C$5)</f>
        <v>Interest rate swap (sterling)-Fixed to index-linked-3-£m-Nominal value (net)-Total value at 31 March-Financial derivatives – Total</v>
      </c>
      <c r="F42" t="s">
        <v>7182</v>
      </c>
      <c r="G42">
        <f>'4I'!$G$16</f>
        <v>250</v>
      </c>
    </row>
    <row r="43" spans="1:7">
      <c r="A43" t="s">
        <v>635</v>
      </c>
      <c r="C43" t="str">
        <f>'4I'!$AK$16</f>
        <v>CR2025MM</v>
      </c>
      <c r="D43" t="str">
        <f>_xlfn.CONCAT('4I'!$B$11, "-", '4I'!$B$16, "-", '4I'!$H$9, "-", '4I'!$H$8, "-", '4I'!$H$7, "-", '4I'!$G$6, "-", '4I'!$C$5)</f>
        <v>Interest rate swap (sterling)-Fixed to index-linked-3-£m-Mark to Market-Total value at 31 March-Financial derivatives – Total</v>
      </c>
      <c r="F43" t="s">
        <v>7182</v>
      </c>
      <c r="G43">
        <f>'4I'!$H$16</f>
        <v>96.347000000000008</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7182</v>
      </c>
      <c r="G44">
        <f>'4I'!$I$16</f>
        <v>87.170999999999992</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7182</v>
      </c>
      <c r="G45">
        <f>'4I'!$J$16</f>
        <v>0.12815500772797528</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7182</v>
      </c>
      <c r="G46">
        <f>'4I'!$K$16</f>
        <v>2.1683999999999998E-2</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7182</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7182</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7182</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7182</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7182</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7182</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7182</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7182</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7182</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7182</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7182</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7182</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7182</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7182</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7182</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7182</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7182</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7182</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7182</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7182</v>
      </c>
      <c r="G66">
        <f>'4I'!$D$19</f>
        <v>0</v>
      </c>
    </row>
    <row r="67" spans="1:7">
      <c r="A67" t="s">
        <v>635</v>
      </c>
      <c r="C67" t="str">
        <f>'4I'!$AH$19</f>
        <v>CR2027N2</v>
      </c>
      <c r="D67" t="str">
        <f>_xlfn.CONCAT('4I'!$B$11, "-", '4I'!$B$19, "-", '4I'!$E$9, "-", '4I'!$E$8, "-", '4I'!$E$7, "-", '4I'!$C$6, "-", '4I'!$C$5)</f>
        <v>Interest rate swap (sterling)-Total-3-£m-2 to 5 years-Nominal value by maturity (net) at 31 March-Financial derivatives – Total</v>
      </c>
      <c r="F67" t="s">
        <v>7182</v>
      </c>
      <c r="G67">
        <f>'4I'!$E$19</f>
        <v>300</v>
      </c>
    </row>
    <row r="68" spans="1:7">
      <c r="A68" t="s">
        <v>635</v>
      </c>
      <c r="C68" t="str">
        <f>'4I'!$AI$19</f>
        <v>CR2027N5</v>
      </c>
      <c r="D68" t="str">
        <f>_xlfn.CONCAT('4I'!$B$11, "-", '4I'!$B$19, "-", '4I'!$F$9, "-", '4I'!$F$8, "-", '4I'!$F$7, "-", '4I'!$C$6, "-", '4I'!$C$5)</f>
        <v>Interest rate swap (sterling)-Total-3-£m-Over 5 years-Nominal value by maturity (net) at 31 March-Financial derivatives – Total</v>
      </c>
      <c r="F68" t="s">
        <v>7182</v>
      </c>
      <c r="G68">
        <f>'4I'!$F$19</f>
        <v>100</v>
      </c>
    </row>
    <row r="69" spans="1:7">
      <c r="A69" t="s">
        <v>635</v>
      </c>
      <c r="C69" t="str">
        <f>'4I'!$AJ$19</f>
        <v>CR2027N6</v>
      </c>
      <c r="D69" t="str">
        <f>_xlfn.CONCAT('4I'!$B$11, "-", '4I'!$B$19, "-", '4I'!$G$9, "-", '4I'!$G$8, "-", '4I'!$G$7, "-", '4I'!$G$6, "-", '4I'!$C$5)</f>
        <v>Interest rate swap (sterling)-Total-3-£m-Nominal value (net)-Total value at 31 March-Financial derivatives – Total</v>
      </c>
      <c r="F69" t="s">
        <v>7182</v>
      </c>
      <c r="G69">
        <f>'4I'!$G$19</f>
        <v>400</v>
      </c>
    </row>
    <row r="70" spans="1:7">
      <c r="A70" t="s">
        <v>635</v>
      </c>
      <c r="C70" t="str">
        <f>'4I'!$AK$19</f>
        <v>CR2027MM</v>
      </c>
      <c r="D70" t="str">
        <f>_xlfn.CONCAT('4I'!$B$11, "-", '4I'!$B$19, "-", '4I'!$H$9, "-", '4I'!$H$8, "-", '4I'!$H$7, "-", '4I'!$G$6, "-", '4I'!$C$5)</f>
        <v>Interest rate swap (sterling)-Total-3-£m-Mark to Market-Total value at 31 March-Financial derivatives – Total</v>
      </c>
      <c r="F70" t="s">
        <v>7182</v>
      </c>
      <c r="G70">
        <f>'4I'!$H$19</f>
        <v>87.604000000000013</v>
      </c>
    </row>
    <row r="71" spans="1:7">
      <c r="A71" t="s">
        <v>635</v>
      </c>
      <c r="C71" t="str">
        <f>'4I'!$AL$19</f>
        <v>CR2027TA</v>
      </c>
      <c r="D71" t="str">
        <f>_xlfn.CONCAT('4I'!$B$11, "-", '4I'!$B$19, "-", '4I'!$I$9, "-", '4I'!$I$8, "-", '4I'!$I$6, "-", '4I'!$I$6, "-", '4I'!$C$5)</f>
        <v>Interest rate swap (sterling)-Total-3-£m-Total accretion at 31 March-Total accretion at 31 March-Financial derivatives – Total</v>
      </c>
      <c r="F71" t="s">
        <v>7182</v>
      </c>
      <c r="G71">
        <f>'4I'!$I$19</f>
        <v>87.170999999999992</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7182</v>
      </c>
      <c r="G72">
        <f>'4I'!$C$22</f>
        <v>0</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7182</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7182</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7182</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7182</v>
      </c>
      <c r="G76">
        <f>'4I'!$G$22</f>
        <v>0</v>
      </c>
    </row>
    <row r="77" spans="1:7">
      <c r="A77" t="s">
        <v>635</v>
      </c>
      <c r="C77" t="str">
        <f>'4I'!$AK$22</f>
        <v>CR2005MM</v>
      </c>
      <c r="D77" t="str">
        <f>_xlfn.CONCAT('4I'!$B$21, "-", '4I'!$B$22, "-", '4I'!$H$9, "-", '4I'!$H$8, "-", '4I'!$H$7, "-", '4I'!$G$6, "-", '4I'!$C$5)</f>
        <v>Foreign Exchange-Cross currency swap USD-3-£m-Mark to Market-Total value at 31 March-Financial derivatives – Total</v>
      </c>
      <c r="F77" t="s">
        <v>7182</v>
      </c>
      <c r="G77">
        <f>'4I'!$H$22</f>
        <v>0</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7182</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7182</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7182</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7182</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7182</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7182</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7182</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7182</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7182</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7182</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7182</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7182</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7182</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7182</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7182</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7182</v>
      </c>
      <c r="G93">
        <f>'4I'!$C$25</f>
        <v>0</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7182</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7182</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7182</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7182</v>
      </c>
      <c r="G97">
        <f>'4I'!$G$25</f>
        <v>0</v>
      </c>
    </row>
    <row r="98" spans="1:7">
      <c r="A98" t="s">
        <v>635</v>
      </c>
      <c r="C98" t="str">
        <f>'4I'!$AK$25</f>
        <v>CR2008MM</v>
      </c>
      <c r="D98" t="str">
        <f>_xlfn.CONCAT('4I'!$B$21, "-", '4I'!$B$25, "-", '4I'!$H$9, "-", '4I'!$H$8, "-", '4I'!$H$7, "-", '4I'!$G$6, "-", '4I'!$C$5)</f>
        <v>Foreign Exchange-Cross currency swap Other-3-£m-Mark to Market-Total value at 31 March-Financial derivatives – Total</v>
      </c>
      <c r="F98" t="s">
        <v>7182</v>
      </c>
      <c r="G98">
        <f>'4I'!$H$25</f>
        <v>0</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7182</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7182</v>
      </c>
      <c r="G100">
        <f>'4I'!$C$26</f>
        <v>0</v>
      </c>
    </row>
    <row r="101" spans="1:7">
      <c r="A101" t="s">
        <v>635</v>
      </c>
      <c r="C101" t="str">
        <f>'4I'!$AG$26</f>
        <v>CR2009N1</v>
      </c>
      <c r="D101" t="str">
        <f>_xlfn.CONCAT('4I'!$B$21, "-", '4I'!$B$26, "-", '4I'!$D$9, "-", '4I'!$D$8, "-", '4I'!$D$7, "-", '4I'!$C$6, "-", '4I'!$C$5)</f>
        <v>Foreign Exchange-Total-3-£m-1 to 2 years-Nominal value by maturity (net) at 31 March-Financial derivatives – Total</v>
      </c>
      <c r="F101" t="s">
        <v>7182</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7182</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7182</v>
      </c>
      <c r="G103">
        <f>'4I'!$F$26</f>
        <v>0</v>
      </c>
    </row>
    <row r="104" spans="1:7">
      <c r="A104" t="s">
        <v>635</v>
      </c>
      <c r="C104" t="str">
        <f>'4I'!$AJ$26</f>
        <v>CR2009N6</v>
      </c>
      <c r="D104" t="str">
        <f>_xlfn.CONCAT('4I'!$B$21, "-", '4I'!$B$26, "-", '4I'!$G$9, "-", '4I'!$G$8, "-", '4I'!$G$7, "-", '4I'!$G$6, "-", '4I'!$C$5)</f>
        <v>Foreign Exchange-Total-3-£m-Nominal value (net)-Total value at 31 March-Financial derivatives – Total</v>
      </c>
      <c r="F104" t="s">
        <v>7182</v>
      </c>
      <c r="G104">
        <f>'4I'!$G$26</f>
        <v>0</v>
      </c>
    </row>
    <row r="105" spans="1:7">
      <c r="A105" t="s">
        <v>635</v>
      </c>
      <c r="C105" t="str">
        <f>'4I'!$AK$26</f>
        <v>CR2009MM</v>
      </c>
      <c r="D105" t="str">
        <f>_xlfn.CONCAT('4I'!$B$21, "-", '4I'!$B$26, "-", '4I'!$H$9, "-", '4I'!$H$8, "-", '4I'!$H$7, "-", '4I'!$G$6, "-", '4I'!$C$5)</f>
        <v>Foreign Exchange-Total-3-£m-Mark to Market-Total value at 31 March-Financial derivatives – Total</v>
      </c>
      <c r="F105" t="s">
        <v>7182</v>
      </c>
      <c r="G105">
        <f>'4I'!$H$26</f>
        <v>0</v>
      </c>
    </row>
    <row r="106" spans="1:7">
      <c r="A106" t="s">
        <v>635</v>
      </c>
      <c r="C106" t="str">
        <f>'4I'!$AL$26</f>
        <v>CR2009TA</v>
      </c>
      <c r="D106" t="str">
        <f>_xlfn.CONCAT('4I'!$B$21, "-", '4I'!$B$26, "-", '4I'!$I$9, "-", '4I'!$I$8, "-", '4I'!$I$6, "-", '4I'!$I$6, "-", '4I'!$C$5)</f>
        <v>Foreign Exchange-Total-3-£m-Total accretion at 31 March-Total accretion at 31 March-Financial derivatives – Total</v>
      </c>
      <c r="F106" t="s">
        <v>7182</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7182</v>
      </c>
      <c r="G107">
        <f>'4I'!$C$29</f>
        <v>0</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7182</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7182</v>
      </c>
      <c r="G109">
        <f>'4I'!$E$29</f>
        <v>0</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7182</v>
      </c>
      <c r="G110">
        <f>'4I'!$F$29</f>
        <v>0</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7182</v>
      </c>
      <c r="G111">
        <f>'4I'!$G$29</f>
        <v>0</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7182</v>
      </c>
      <c r="G112">
        <f>'4I'!$H$29</f>
        <v>0</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7182</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7182</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7182</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7182</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7182</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7182</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7182</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7182</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7182</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7182</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7182</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7182</v>
      </c>
      <c r="G124">
        <f>'4I'!$F$31</f>
        <v>0</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7182</v>
      </c>
      <c r="G125">
        <f>'4I'!$G$31</f>
        <v>0</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7182</v>
      </c>
      <c r="G126">
        <f>'4I'!$H$31</f>
        <v>0</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7182</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7182</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7182</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7182</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7182</v>
      </c>
      <c r="G131">
        <f>'4I'!$F$32</f>
        <v>0</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7182</v>
      </c>
      <c r="G132">
        <f>'4I'!$G$32</f>
        <v>0</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7182</v>
      </c>
      <c r="G133">
        <f>'4I'!$H$32</f>
        <v>0</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7182</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7182</v>
      </c>
      <c r="G135">
        <f>'4I'!$C$33</f>
        <v>0</v>
      </c>
    </row>
    <row r="136" spans="1:7">
      <c r="A136" t="s">
        <v>635</v>
      </c>
      <c r="C136" t="str">
        <f>'4I'!$AG$33</f>
        <v>CR20014N1</v>
      </c>
      <c r="D136" t="str">
        <f>_xlfn.CONCAT('4I'!$B$28, "-", '4I'!$B$33, "-", '4I'!$D$9, "-", '4I'!$D$8, "-", '4I'!$D$7, "-", '4I'!$C$6, "-", '4I'!$C$5)</f>
        <v>Currency interest rate -Total-3-£m-1 to 2 years-Nominal value by maturity (net) at 31 March-Financial derivatives – Total</v>
      </c>
      <c r="F136" t="s">
        <v>7182</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7182</v>
      </c>
      <c r="G137">
        <f>'4I'!$E$33</f>
        <v>0</v>
      </c>
    </row>
    <row r="138" spans="1:7">
      <c r="A138" t="s">
        <v>635</v>
      </c>
      <c r="C138" t="str">
        <f>'4I'!$AI$33</f>
        <v>CR20014N5</v>
      </c>
      <c r="D138" t="str">
        <f>_xlfn.CONCAT('4I'!$B$28, "-", '4I'!$B$33, "-", '4I'!$F$9, "-", '4I'!$F$8, "-", '4I'!$F$7, "-", '4I'!$C$6, "-", '4I'!$C$5)</f>
        <v>Currency interest rate -Total-3-£m-Over 5 years-Nominal value by maturity (net) at 31 March-Financial derivatives – Total</v>
      </c>
      <c r="F138" t="s">
        <v>7182</v>
      </c>
      <c r="G138">
        <f>'4I'!$F$33</f>
        <v>0</v>
      </c>
    </row>
    <row r="139" spans="1:7">
      <c r="A139" t="s">
        <v>635</v>
      </c>
      <c r="C139" t="str">
        <f>'4I'!$AJ$33</f>
        <v>CR20014N6</v>
      </c>
      <c r="D139" t="str">
        <f>_xlfn.CONCAT('4I'!$B$28, "-", '4I'!$B$33, "-", '4I'!$G$9, "-", '4I'!$G$8, "-", '4I'!$G$7, "-", '4I'!$G$6, "-", '4I'!$C$5)</f>
        <v>Currency interest rate -Total-3-£m-Nominal value (net)-Total value at 31 March-Financial derivatives – Total</v>
      </c>
      <c r="F139" t="s">
        <v>7182</v>
      </c>
      <c r="G139">
        <f>'4I'!$G$33</f>
        <v>0</v>
      </c>
    </row>
    <row r="140" spans="1:7">
      <c r="A140" t="s">
        <v>635</v>
      </c>
      <c r="C140" t="str">
        <f>'4I'!$AK$33</f>
        <v>CR20014MM</v>
      </c>
      <c r="D140" t="str">
        <f>_xlfn.CONCAT('4I'!$B$28, "-", '4I'!$B$33, "-", '4I'!$H$9, "-", '4I'!$H$8, "-", '4I'!$H$7, "-", '4I'!$G$6, "-", '4I'!$C$5)</f>
        <v>Currency interest rate -Total-3-£m-Mark to Market-Total value at 31 March-Financial derivatives – Total</v>
      </c>
      <c r="F140" t="s">
        <v>7182</v>
      </c>
      <c r="G140">
        <f>'4I'!$H$33</f>
        <v>0</v>
      </c>
    </row>
    <row r="141" spans="1:7">
      <c r="A141" t="s">
        <v>635</v>
      </c>
      <c r="C141" t="str">
        <f>'4I'!$AL$33</f>
        <v>CR20014TA</v>
      </c>
      <c r="D141" t="str">
        <f>_xlfn.CONCAT('4I'!$B$28, "-", '4I'!$B$33, "-", '4I'!$I$9, "-", '4I'!$I$8, "-", '4I'!$I$6, "-", '4I'!$I$6, "-", '4I'!$C$5)</f>
        <v>Currency interest rate -Total-3-£m-Total accretion at 31 March-Total accretion at 31 March-Financial derivatives – Total</v>
      </c>
      <c r="F141" t="s">
        <v>7182</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7182</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7182</v>
      </c>
      <c r="G143">
        <f>'4I'!$D$36</f>
        <v>3.1480000000000001</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7182</v>
      </c>
      <c r="G144">
        <f>'4I'!$E$36</f>
        <v>0.93</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7182</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7182</v>
      </c>
      <c r="G146">
        <f>'4I'!$G$36</f>
        <v>4.0780000000000003</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7182</v>
      </c>
      <c r="G147">
        <f>'4I'!$H$36</f>
        <v>-0.30399999999999999</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7182</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7182</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7182</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7182</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7182</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7182</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7182</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7182</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7182</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7182</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7182</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7182</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7182</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7182</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7182</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7182</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7182</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7182</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7182</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7182</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7182</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7182</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7182</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7182</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7182</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7182</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7182</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7182</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7182</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7182</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7182</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7182</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7182</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7182</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7182</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7182</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7182</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7182</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7182</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7182</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7182</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7182</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7182</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7182</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7182</v>
      </c>
      <c r="G192">
        <f>'4I'!$D$43</f>
        <v>3.1480000000000001</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7182</v>
      </c>
      <c r="G193">
        <f>'4I'!$E$43</f>
        <v>0.93</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7182</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7182</v>
      </c>
      <c r="G195">
        <f>'4I'!$G$43</f>
        <v>4.0780000000000003</v>
      </c>
    </row>
    <row r="196" spans="1:7">
      <c r="A196" t="s">
        <v>635</v>
      </c>
      <c r="C196" t="str">
        <f>'4I'!$AK$43</f>
        <v>CR20019MM</v>
      </c>
      <c r="D196" t="str">
        <f>_xlfn.CONCAT('4I'!$B$35, "-", '4I'!$B$43, "-", '4I'!$H$9, "-", '4I'!$H$8, "-", '4I'!$H$7, "-", '4I'!$G$6, "-", '4I'!$C$5)</f>
        <v>Forward currency contracts-Total-3-£m-Mark to Market-Total value at 31 March-Financial derivatives – Total</v>
      </c>
      <c r="F196" t="s">
        <v>7182</v>
      </c>
      <c r="G196">
        <f>'4I'!$H$43</f>
        <v>-0.30399999999999999</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7182</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7182</v>
      </c>
      <c r="G198">
        <f>'4I'!$C$46</f>
        <v>0.28399999999999997</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7182</v>
      </c>
      <c r="G199">
        <f>'4I'!$D$46</f>
        <v>0</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7182</v>
      </c>
      <c r="G200">
        <f>'4I'!$E$46</f>
        <v>0</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7182</v>
      </c>
      <c r="G201">
        <f>'4I'!$F$46</f>
        <v>0</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7182</v>
      </c>
      <c r="G202">
        <f>'4I'!$G$46</f>
        <v>0.28399999999999997</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7182</v>
      </c>
      <c r="G203">
        <f>'4I'!$H$46</f>
        <v>-0.23</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7182</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7182</v>
      </c>
      <c r="G205">
        <f>'4I'!$C$48</f>
        <v>0.28399999999999997</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7182</v>
      </c>
      <c r="G206">
        <f>'4I'!$D$48</f>
        <v>3.1480000000000001</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7182</v>
      </c>
      <c r="G207">
        <f>'4I'!$E$48</f>
        <v>300.93</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7182</v>
      </c>
      <c r="G208">
        <f>'4I'!$F$48</f>
        <v>100</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7182</v>
      </c>
      <c r="G209">
        <f>'4I'!$G$48</f>
        <v>404.36200000000002</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7182</v>
      </c>
      <c r="G210">
        <f>'4I'!$H$48</f>
        <v>87.070000000000007</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7182</v>
      </c>
      <c r="G211">
        <f>'4I'!$I$48</f>
        <v>87.170999999999992</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7182</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7182</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7182</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7182</v>
      </c>
      <c r="G215">
        <f>'4I'!$F$57</f>
        <v>0</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7182</v>
      </c>
      <c r="G216">
        <f>'4I'!$G$57</f>
        <v>0</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7182</v>
      </c>
      <c r="G217">
        <f>'4I'!$H$57</f>
        <v>0</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7182</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7182</v>
      </c>
      <c r="G219">
        <f>'4I'!$J$57</f>
        <v>0</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7182</v>
      </c>
      <c r="G220">
        <f>'4I'!$K$57</f>
        <v>0</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7182</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7182</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7182</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7182</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7182</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7182</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7182</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7182</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7182</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7182</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7182</v>
      </c>
      <c r="G231">
        <f>'4I'!$D$59</f>
        <v>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7182</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7182</v>
      </c>
      <c r="G233">
        <f>'4I'!$F$59</f>
        <v>0</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7182</v>
      </c>
      <c r="G234">
        <f>'4I'!$G$59</f>
        <v>0</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7182</v>
      </c>
      <c r="G235">
        <f>'4I'!$H$59</f>
        <v>0</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7182</v>
      </c>
      <c r="G236">
        <f>'4I'!$I$59</f>
        <v>0</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7182</v>
      </c>
      <c r="G237">
        <f>'4I'!$J$59</f>
        <v>0</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7182</v>
      </c>
      <c r="G238">
        <f>'4I'!$K$59</f>
        <v>0</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7182</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7182</v>
      </c>
      <c r="G240">
        <f>'4I'!$D$60</f>
        <v>0</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7182</v>
      </c>
      <c r="G241">
        <f>'4I'!$E$60</f>
        <v>0</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7182</v>
      </c>
      <c r="G242">
        <f>'4I'!$F$60</f>
        <v>0</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7182</v>
      </c>
      <c r="G243">
        <f>'4I'!$G$60</f>
        <v>0</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7182</v>
      </c>
      <c r="G244">
        <f>'4I'!$H$60</f>
        <v>0</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7182</v>
      </c>
      <c r="G245">
        <f>'4I'!$I$60</f>
        <v>0</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7182</v>
      </c>
      <c r="G246">
        <f>'4I'!$J$60</f>
        <v>0</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7182</v>
      </c>
      <c r="G247">
        <f>'4I'!$K$60</f>
        <v>0</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7182</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7182</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7182</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7182</v>
      </c>
      <c r="G251">
        <f>'4I'!$F$61</f>
        <v>0</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7182</v>
      </c>
      <c r="G252">
        <f>'4I'!$G$61</f>
        <v>0</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7182</v>
      </c>
      <c r="G253">
        <f>'4I'!$H$61</f>
        <v>0</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7182</v>
      </c>
      <c r="G254">
        <f>'4I'!$I$61</f>
        <v>0</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7182</v>
      </c>
      <c r="G255">
        <f>'4I'!$J$61</f>
        <v>0</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7182</v>
      </c>
      <c r="G256">
        <f>'4I'!$K$61</f>
        <v>0</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7182</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7182</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7182</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7182</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7182</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7182</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7182</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7182</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7182</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7182</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7182</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7182</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7182</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7182</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7182</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7182</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7182</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7182</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7182</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7182</v>
      </c>
      <c r="G276">
        <f>'4I'!$D$64</f>
        <v>0</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7182</v>
      </c>
      <c r="G277">
        <f>'4I'!$E$64</f>
        <v>0</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7182</v>
      </c>
      <c r="G278">
        <f>'4I'!$F$64</f>
        <v>0</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7182</v>
      </c>
      <c r="G279">
        <f>'4I'!$G$64</f>
        <v>0</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7182</v>
      </c>
      <c r="G280">
        <f>'4I'!$H$64</f>
        <v>0</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7182</v>
      </c>
      <c r="G281">
        <f>'4I'!$I$64</f>
        <v>0</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7182</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7182</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7182</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7182</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7182</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7182</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7182</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7182</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7182</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7182</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7182</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7182</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7182</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7182</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7182</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7182</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7182</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7182</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7182</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7182</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7182</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7182</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7182</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7182</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7182</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7182</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7182</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7182</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7182</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7182</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7182</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7182</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7182</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7182</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7182</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7182</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7182</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7182</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7182</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7182</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7182</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7182</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7182</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7182</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7182</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7182</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7182</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7182</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7182</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7182</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7182</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7182</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7182</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7182</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7182</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7182</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7182</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7182</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7182</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7182</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7182</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7182</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7182</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7182</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7182</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7182</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7182</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7182</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7182</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7182</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7182</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7182</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7182</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7182</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7182</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7182</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7182</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7182</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7182</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7182</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7182</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7182</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7182</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7182</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7182</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7182</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7182</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7182</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7182</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7182</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7182</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7182</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7182</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7182</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7182</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7182</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7182</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7182</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7182</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7182</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7182</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7182</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7182</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7182</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7182</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7182</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7182</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7182</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7182</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7182</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7182</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7182</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7182</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7182</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7182</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7182</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7182</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7182</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7182</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7182</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7182</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7182</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7182</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7182</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7182</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7182</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7182</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7182</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7182</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7182</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7182</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7182</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7182</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7182</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7182</v>
      </c>
      <c r="G416">
        <f>'4I'!$D$93</f>
        <v>0</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7182</v>
      </c>
      <c r="G417">
        <f>'4I'!$E$93</f>
        <v>0</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7182</v>
      </c>
      <c r="G418">
        <f>'4I'!$F$93</f>
        <v>0</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7182</v>
      </c>
      <c r="G419">
        <f>'4I'!$G$93</f>
        <v>0</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7182</v>
      </c>
      <c r="G420">
        <f>'4I'!$H$93</f>
        <v>0</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7182</v>
      </c>
      <c r="G421">
        <f>'4I'!$I$93</f>
        <v>0</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7182</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7182</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7182</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7182</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7182</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7182</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7182</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7182</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7182</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7182</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7182</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7182</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7182</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7182</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7182</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7182</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7182</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7182</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7182</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7182</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7182</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7182</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7182</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7182</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7182</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7182</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7182</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7182</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7182</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7182</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7182</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7182</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7182</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7182</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7182</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7182</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7182</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7182</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7182</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7182</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7182</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7182</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7182</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7182</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7182</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7182</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7182</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7182</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7182</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7182</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7182</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7182</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7182</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7182</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7182</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7182</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7182</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7182</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7182</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7182</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7182</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7182</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7182</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7182</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7182</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7182</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7182</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7182</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7182</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7182</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7182</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7182</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7182</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7182</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7182</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7182</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7182</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7182</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7182</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7182</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7182</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7182</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7182</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7182</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7182</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7182</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7182</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7182</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7182</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7182</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7182</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7182</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7182</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7182</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7182</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7182</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7182</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7182</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7182</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7182</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7182</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7182</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7182</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7182</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7182</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7182</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7182</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7182</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7182</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7182</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7182</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7182</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7182</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7182</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7182</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7182</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7182</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7182</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7182</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7182</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7182</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7182</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7182</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7182</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7182</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7182</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7182</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7182</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7182</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7182</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7182</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7182</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7182</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7182</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7182</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7182</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7182</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7182</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7182</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7182</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7182</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7182</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7182</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7182</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7182</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7182</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7182</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7182</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7182</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7182</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7182</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7182</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7182</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7182</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7182</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7182</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7182</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7182</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7182</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7182</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7182</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7182</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7182</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7182</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7182</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7182</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7182</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7182</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7182</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7182</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7182</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7182</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7182</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7182</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7182</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7182</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7182</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7182</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7182</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7182</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7182</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7182</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7182</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7182</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7182</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7182</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7182</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7182</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7182</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7182</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7182</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7182</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7182</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7182</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7182</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7182</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7182</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7182</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7182</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7182</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7182</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7182</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7182</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7182</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7182</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7182</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7182</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7182</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7182</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7182</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7182</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7182</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7182</v>
      </c>
      <c r="G634">
        <f>'4I'!$E$147</f>
        <v>0</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7182</v>
      </c>
      <c r="G635">
        <f>'4I'!$F$147</f>
        <v>0</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7182</v>
      </c>
      <c r="G636">
        <f>'4I'!$G$147</f>
        <v>0</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7182</v>
      </c>
      <c r="G637">
        <f>'4I'!$H$147</f>
        <v>0</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7182</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7182</v>
      </c>
      <c r="G639">
        <f>'4I'!$J$147</f>
        <v>0</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7182</v>
      </c>
      <c r="G640">
        <f>'4I'!$K$147</f>
        <v>0</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7182</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7182</v>
      </c>
      <c r="G642">
        <f>'4I'!$D$148</f>
        <v>0</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7182</v>
      </c>
      <c r="G643">
        <f>'4I'!$E$148</f>
        <v>0</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7182</v>
      </c>
      <c r="G644">
        <f>'4I'!$F$148</f>
        <v>0</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7182</v>
      </c>
      <c r="G645">
        <f>'4I'!$G$148</f>
        <v>0</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7182</v>
      </c>
      <c r="G646">
        <f>'4I'!$H$148</f>
        <v>0</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7182</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7182</v>
      </c>
      <c r="G648">
        <f>'4I'!$J$148</f>
        <v>0</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7182</v>
      </c>
      <c r="G649">
        <f>'4I'!$K$148</f>
        <v>0</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7182</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7182</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7182</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7182</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7182</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7182</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7182</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7182</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7182</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7182</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7182</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7182</v>
      </c>
      <c r="G661">
        <f>'4I'!$E$150</f>
        <v>0</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7182</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7182</v>
      </c>
      <c r="G663">
        <f>'4I'!$G$150</f>
        <v>0</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7182</v>
      </c>
      <c r="G664">
        <f>'4I'!$H$150</f>
        <v>0</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7182</v>
      </c>
      <c r="G665">
        <f>'4I'!$I$150</f>
        <v>0</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7182</v>
      </c>
      <c r="G666">
        <f>'4I'!$J$150</f>
        <v>0</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7182</v>
      </c>
      <c r="G667">
        <f>'4I'!$K$150</f>
        <v>0</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7182</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7182</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7182</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7182</v>
      </c>
      <c r="G671">
        <f>'4I'!$F$151</f>
        <v>0</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7182</v>
      </c>
      <c r="G672">
        <f>'4I'!$G$151</f>
        <v>0</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7182</v>
      </c>
      <c r="G673">
        <f>'4I'!$H$151</f>
        <v>0</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7182</v>
      </c>
      <c r="G674">
        <f>'4I'!$I$151</f>
        <v>0</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7182</v>
      </c>
      <c r="G675">
        <f>'4I'!$J$151</f>
        <v>0</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7182</v>
      </c>
      <c r="G676">
        <f>'4I'!$K$151</f>
        <v>0</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7182</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7182</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7182</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7182</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7182</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7182</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7182</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7182</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7182</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7182</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7182</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7182</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7182</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7182</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7182</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7182</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7182</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7182</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7182</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7182</v>
      </c>
      <c r="G696">
        <f>'4I'!$D$154</f>
        <v>0</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7182</v>
      </c>
      <c r="G697">
        <f>'4I'!$E$154</f>
        <v>0</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7182</v>
      </c>
      <c r="G698">
        <f>'4I'!$F$154</f>
        <v>0</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7182</v>
      </c>
      <c r="G699">
        <f>'4I'!$G$154</f>
        <v>0</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7182</v>
      </c>
      <c r="G700">
        <f>'4I'!$H$154</f>
        <v>0</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7182</v>
      </c>
      <c r="G701">
        <f>'4I'!$I$154</f>
        <v>0</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7182</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7182</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7182</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7182</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7182</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7182</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7182</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7182</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7182</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7182</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7182</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7182</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7182</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7182</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7182</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7182</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7182</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7182</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7182</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7182</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7182</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7182</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7182</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7182</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7182</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7182</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7182</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7182</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7182</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7182</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7182</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7182</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7182</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7182</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7182</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7182</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7182</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7182</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7182</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7182</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7182</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7182</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7182</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7182</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7182</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7182</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7182</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7182</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7182</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7182</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7182</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7182</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7182</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7182</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7182</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7182</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7182</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7182</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7182</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7182</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7182</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7182</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7182</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7182</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7182</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7182</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7182</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7182</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7182</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7182</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7182</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7182</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7182</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7182</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7182</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7182</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7182</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7182</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7182</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7182</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7182</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7182</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7182</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7182</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7182</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7182</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7182</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7182</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7182</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7182</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7182</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7182</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7182</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7182</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7182</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7182</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7182</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7182</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7182</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7182</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7182</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7182</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7182</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7182</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7182</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7182</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7182</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7182</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7182</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7182</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7182</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7182</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7182</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7182</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7182</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7182</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7182</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7182</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7182</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7182</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7182</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7182</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7182</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7182</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7182</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7182</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7182</v>
      </c>
      <c r="G828">
        <f>'4I'!$C$181</f>
        <v>0</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7182</v>
      </c>
      <c r="G829">
        <f>'4I'!$D$181</f>
        <v>0</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7182</v>
      </c>
      <c r="G830">
        <f>'4I'!$E$181</f>
        <v>0</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7182</v>
      </c>
      <c r="G831">
        <f>'4I'!$F$181</f>
        <v>0</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7182</v>
      </c>
      <c r="G832">
        <f>'4I'!$G$181</f>
        <v>0</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7182</v>
      </c>
      <c r="G833">
        <f>'4I'!$H$181</f>
        <v>0</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7182</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7182</v>
      </c>
      <c r="G835">
        <f>'4I'!$C$183</f>
        <v>0</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7182</v>
      </c>
      <c r="G836">
        <f>'4I'!$D$183</f>
        <v>0</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7182</v>
      </c>
      <c r="G837">
        <f>'4I'!$E$183</f>
        <v>0</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7182</v>
      </c>
      <c r="G838">
        <f>'4I'!$F$183</f>
        <v>0</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7182</v>
      </c>
      <c r="G839">
        <f>'4I'!$G$183</f>
        <v>0</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7182</v>
      </c>
      <c r="G840">
        <f>'4I'!$H$183</f>
        <v>0</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7182</v>
      </c>
      <c r="G841">
        <f>'4I'!$I$183</f>
        <v>0</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7182</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7182</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7182</v>
      </c>
      <c r="G844">
        <f>'4I'!$E$192</f>
        <v>150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7182</v>
      </c>
      <c r="G845">
        <f>'4I'!$F$192</f>
        <v>0</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7182</v>
      </c>
      <c r="G846">
        <f>'4I'!$G$192</f>
        <v>150</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7182</v>
      </c>
      <c r="G847">
        <f>'4I'!$H$192</f>
        <v>-8.7430000000000003</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7182</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7182</v>
      </c>
      <c r="G849">
        <f>'4I'!$J$192</f>
        <v>0</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7182</v>
      </c>
      <c r="G850">
        <f>'4I'!$K$192</f>
        <v>0</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7182</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7182</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7182</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7182</v>
      </c>
      <c r="G854">
        <f>'4I'!$F$193</f>
        <v>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7182</v>
      </c>
      <c r="G855">
        <f>'4I'!$G$193</f>
        <v>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7182</v>
      </c>
      <c r="G856">
        <f>'4I'!$H$193</f>
        <v>0</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7182</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7182</v>
      </c>
      <c r="G858">
        <f>'4I'!$J$193</f>
        <v>0</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7182</v>
      </c>
      <c r="G859">
        <f>'4I'!$K$193</f>
        <v>0</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7182</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7182</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7182</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7182</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7182</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7182</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7182</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7182</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7182</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7182</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7182</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7182</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7182</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7182</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7182</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7182</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7182</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7182</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7182</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7182</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7182</v>
      </c>
      <c r="G880">
        <f>'4I'!$E$196</f>
        <v>150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7182</v>
      </c>
      <c r="G881">
        <f>'4I'!$F$196</f>
        <v>100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7182</v>
      </c>
      <c r="G882">
        <f>'4I'!$G$196</f>
        <v>250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7182</v>
      </c>
      <c r="G883">
        <f>'4I'!$H$196</f>
        <v>96.347000000000008</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7182</v>
      </c>
      <c r="G884">
        <f>'4I'!$I$196</f>
        <v>87.170999999999992</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7182</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7182</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7182</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7182</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7182</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7182</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7182</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7182</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7182</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7182</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7182</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7182</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7182</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7182</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7182</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7182</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7182</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7182</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7182</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7182</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7182</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7182</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7182</v>
      </c>
      <c r="G907">
        <f>'4I'!$E$199</f>
        <v>300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7182</v>
      </c>
      <c r="G908">
        <f>'4I'!$F$199</f>
        <v>100</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7182</v>
      </c>
      <c r="G909">
        <f>'4I'!$G$199</f>
        <v>400</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7182</v>
      </c>
      <c r="G910">
        <f>'4I'!$H$199</f>
        <v>87.604000000000013</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7182</v>
      </c>
      <c r="G911">
        <f>'4I'!$I$199</f>
        <v>87.170999999999992</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7182</v>
      </c>
      <c r="G912">
        <f>'4I'!$C$202</f>
        <v>0</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7182</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7182</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7182</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7182</v>
      </c>
      <c r="G916">
        <f>'4I'!$G$202</f>
        <v>0</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7182</v>
      </c>
      <c r="G917">
        <f>'4I'!$H$202</f>
        <v>0</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7182</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7182</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7182</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7182</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7182</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7182</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7182</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7182</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7182</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7182</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7182</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7182</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7182</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7182</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7182</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7182</v>
      </c>
      <c r="G933">
        <f>'4I'!$C$205</f>
        <v>0</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7182</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7182</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7182</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7182</v>
      </c>
      <c r="G937">
        <f>'4I'!$G$205</f>
        <v>0</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7182</v>
      </c>
      <c r="G938">
        <f>'4I'!$H$205</f>
        <v>0</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7182</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7182</v>
      </c>
      <c r="G940">
        <f>'4I'!$C$206</f>
        <v>0</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7182</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7182</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7182</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7182</v>
      </c>
      <c r="G944">
        <f>'4I'!$G$206</f>
        <v>0</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7182</v>
      </c>
      <c r="G945">
        <f>'4I'!$H$206</f>
        <v>0</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7182</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7182</v>
      </c>
      <c r="G947">
        <f>'4I'!$C$209</f>
        <v>0</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7182</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7182</v>
      </c>
      <c r="G949">
        <f>'4I'!$E$209</f>
        <v>0</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7182</v>
      </c>
      <c r="G950">
        <f>'4I'!$F$209</f>
        <v>0</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7182</v>
      </c>
      <c r="G951">
        <f>'4I'!$G$209</f>
        <v>0</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7182</v>
      </c>
      <c r="G952">
        <f>'4I'!$H$209</f>
        <v>0</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7182</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7182</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7182</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7182</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7182</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7182</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7182</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7182</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7182</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7182</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7182</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7182</v>
      </c>
      <c r="G964">
        <f>'4I'!$F$211</f>
        <v>0</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7182</v>
      </c>
      <c r="G965">
        <f>'4I'!$G$211</f>
        <v>0</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7182</v>
      </c>
      <c r="G966">
        <f>'4I'!$H$211</f>
        <v>0</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7182</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7182</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7182</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7182</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7182</v>
      </c>
      <c r="G971">
        <f>'4I'!$F$212</f>
        <v>0</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7182</v>
      </c>
      <c r="G972">
        <f>'4I'!$G$212</f>
        <v>0</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7182</v>
      </c>
      <c r="G973">
        <f>'4I'!$H$212</f>
        <v>0</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7182</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7182</v>
      </c>
      <c r="G975">
        <f>'4I'!$C$213</f>
        <v>0</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7182</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7182</v>
      </c>
      <c r="G977">
        <f>'4I'!$E$213</f>
        <v>0</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7182</v>
      </c>
      <c r="G978">
        <f>'4I'!$F$213</f>
        <v>0</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7182</v>
      </c>
      <c r="G979">
        <f>'4I'!$G$213</f>
        <v>0</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7182</v>
      </c>
      <c r="G980">
        <f>'4I'!$H$213</f>
        <v>0</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7182</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7182</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7182</v>
      </c>
      <c r="G983">
        <f>'4I'!$D$216</f>
        <v>3.1480000000000001</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7182</v>
      </c>
      <c r="G984">
        <f>'4I'!$E$216</f>
        <v>0.93</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7182</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7182</v>
      </c>
      <c r="G986">
        <f>'4I'!$G$216</f>
        <v>4.0780000000000003</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7182</v>
      </c>
      <c r="G987">
        <f>'4I'!$H$216</f>
        <v>-0.30399999999999999</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7182</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7182</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7182</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7182</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7182</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7182</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7182</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7182</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7182</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7182</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7182</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7182</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7182</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7182</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7182</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7182</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7182</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7182</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7182</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7182</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7182</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7182</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7182</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7182</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7182</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7182</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7182</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7182</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7182</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7182</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7182</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7182</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7182</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7182</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7182</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7182</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7182</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7182</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7182</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7182</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7182</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7182</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7182</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7182</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7182</v>
      </c>
      <c r="G1032">
        <f>'4I'!$D$223</f>
        <v>3.1480000000000001</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7182</v>
      </c>
      <c r="G1033">
        <f>'4I'!$E$223</f>
        <v>0.93</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7182</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7182</v>
      </c>
      <c r="G1035">
        <f>'4I'!$G$223</f>
        <v>4.0780000000000003</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7182</v>
      </c>
      <c r="G1036">
        <f>'4I'!$H$223</f>
        <v>-0.30399999999999999</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7182</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7182</v>
      </c>
      <c r="G1038">
        <f>'4I'!$C$226</f>
        <v>0.28399999999999997</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7182</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7182</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7182</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7182</v>
      </c>
      <c r="G1042">
        <f>'4I'!$G$226</f>
        <v>0.28399999999999997</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7182</v>
      </c>
      <c r="G1043">
        <f>'4I'!$H$226</f>
        <v>-0.23</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7182</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7182</v>
      </c>
      <c r="G1045">
        <f>'4I'!$C$228</f>
        <v>0.28399999999999997</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7182</v>
      </c>
      <c r="G1046">
        <f>'4I'!$D$228</f>
        <v>3.1480000000000001</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7182</v>
      </c>
      <c r="G1047">
        <f>'4I'!$E$228</f>
        <v>300.93</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7182</v>
      </c>
      <c r="G1048">
        <f>'4I'!$F$228</f>
        <v>100</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7182</v>
      </c>
      <c r="G1049">
        <f>'4I'!$G$228</f>
        <v>404.36200000000002</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7182</v>
      </c>
      <c r="G1050">
        <f>'4I'!$H$228</f>
        <v>87.070000000000007</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7182</v>
      </c>
      <c r="G1051">
        <f>'4I'!$I$228</f>
        <v>87.170999999999992</v>
      </c>
    </row>
    <row r="1052" spans="1:7">
      <c r="A1052" t="s">
        <v>639</v>
      </c>
      <c r="C1052" t="str">
        <f>'4L'!$AV$10</f>
        <v>B0210EIC_WR</v>
      </c>
      <c r="D1052" t="str">
        <f>_xlfn.CONCAT('4L'!$B$9, "-", '4L'!$B$10, "-", '4L'!$F$6, "-", '4L'!$F$6, "-", '4L'!$F$5)</f>
        <v>EA/NRW environmental programme (WINEP/NEP)-Ecological improvements at abstractions-Water resources-Water resources-Expenditure in report year</v>
      </c>
      <c r="F1052" t="s">
        <v>7182</v>
      </c>
      <c r="G1052">
        <f>'4L'!$F$10</f>
        <v>0</v>
      </c>
    </row>
    <row r="1053" spans="1:7">
      <c r="A1053" t="s">
        <v>639</v>
      </c>
      <c r="C1053" t="str">
        <f>'4L'!$AW$10</f>
        <v>B0210EIC_RWT</v>
      </c>
      <c r="D1053" t="str">
        <f>_xlfn.CONCAT('4L'!$B$9, "-", '4L'!$B$10, "-", '4L'!$G$7, "-", '4L'!$G$6, "-", '4L'!$F$5)</f>
        <v>EA/NRW environmental programme (WINEP/NEP)-Ecological improvements at abstractions-Raw water transport-Water network+-Expenditure in report year</v>
      </c>
      <c r="F1053" t="s">
        <v>7182</v>
      </c>
      <c r="G1053">
        <f>'4L'!$G$10</f>
        <v>0</v>
      </c>
    </row>
    <row r="1054" spans="1:7">
      <c r="A1054" t="s">
        <v>639</v>
      </c>
      <c r="C1054" t="str">
        <f>'4L'!$AX$10</f>
        <v>B0210EIC_RWS</v>
      </c>
      <c r="D1054" t="str">
        <f>_xlfn.CONCAT('4L'!$B$9, "-", '4L'!$B$10, "-", '4L'!$H$7, "-", '4L'!$G$6, "-", '4L'!$F$5)</f>
        <v>EA/NRW environmental programme (WINEP/NEP)-Ecological improvements at abstractions-Raw water storage-Water network+-Expenditure in report year</v>
      </c>
      <c r="F1054" t="s">
        <v>7182</v>
      </c>
      <c r="G1054">
        <f>'4L'!$H$10</f>
        <v>0</v>
      </c>
    </row>
    <row r="1055" spans="1:7">
      <c r="A1055" t="s">
        <v>639</v>
      </c>
      <c r="C1055" t="str">
        <f>'4L'!$AY$10</f>
        <v>B0210EIC_WT</v>
      </c>
      <c r="D1055" t="str">
        <f>_xlfn.CONCAT('4L'!$B$9, "-", '4L'!$B$10, "-", '4L'!$I$7, "-", '4L'!$G$6, "-", '4L'!$F$5)</f>
        <v>EA/NRW environmental programme (WINEP/NEP)-Ecological improvements at abstractions-Water treatment-Water network+-Expenditure in report year</v>
      </c>
      <c r="F1055" t="s">
        <v>7182</v>
      </c>
      <c r="G1055">
        <f>'4L'!$I$10</f>
        <v>0</v>
      </c>
    </row>
    <row r="1056" spans="1:7">
      <c r="A1056" t="s">
        <v>639</v>
      </c>
      <c r="C1056" t="str">
        <f>'4L'!$AZ$10</f>
        <v>B0210EIC_TWD</v>
      </c>
      <c r="D1056" t="str">
        <f>_xlfn.CONCAT('4L'!$B$9, "-", '4L'!$B$10, "-", '4L'!$J$7, "-", '4L'!$G$6, "-", '4L'!$F$5)</f>
        <v>EA/NRW environmental programme (WINEP/NEP)-Ecological improvements at abstractions-Treated water distribution-Water network+-Expenditure in report year</v>
      </c>
      <c r="F1056" t="s">
        <v>7182</v>
      </c>
      <c r="G1056">
        <f>'4L'!$J$10</f>
        <v>0</v>
      </c>
    </row>
    <row r="1057" spans="1:7">
      <c r="A1057" t="s">
        <v>639</v>
      </c>
      <c r="C1057" t="str">
        <f>'4L'!$BA$10</f>
        <v>B0210EIC_TOT</v>
      </c>
      <c r="D1057" t="str">
        <f>_xlfn.CONCAT('4L'!$B$9, "-", '4L'!$B$10, "-", '4L'!$K$6, "-", '4L'!$K$6, "-", '4L'!$F$5)</f>
        <v>EA/NRW environmental programme (WINEP/NEP)-Ecological improvements at abstractions-Total-Total-Expenditure in report year</v>
      </c>
      <c r="F1057" t="s">
        <v>7182</v>
      </c>
      <c r="G1057">
        <f>'4L'!$K$10</f>
        <v>0</v>
      </c>
    </row>
    <row r="1058" spans="1:7">
      <c r="A1058" t="s">
        <v>639</v>
      </c>
      <c r="C1058" t="str">
        <f>'4L'!$AV$11</f>
        <v>B0211EIO_WR</v>
      </c>
      <c r="D1058" t="str">
        <f>_xlfn.CONCAT('4L'!$B$9, "-", '4L'!$B$11, "-", '4L'!$F$6, "-", '4L'!$F$6, "-", '4L'!$F$5)</f>
        <v>EA/NRW environmental programme (WINEP/NEP)-Ecological improvements at abstractions-Water resources-Water resources-Expenditure in report year</v>
      </c>
      <c r="F1058" t="s">
        <v>7182</v>
      </c>
      <c r="G1058">
        <f>'4L'!$F$11</f>
        <v>0.121</v>
      </c>
    </row>
    <row r="1059" spans="1:7">
      <c r="A1059" t="s">
        <v>639</v>
      </c>
      <c r="C1059" t="str">
        <f>'4L'!$AW$11</f>
        <v>B0211EIO_RWT</v>
      </c>
      <c r="D1059" t="str">
        <f>_xlfn.CONCAT('4L'!$B$9, "-", '4L'!$B$11, "-", '4L'!$G$7, "-", '4L'!$G$6, "-", '4L'!$F$5)</f>
        <v>EA/NRW environmental programme (WINEP/NEP)-Ecological improvements at abstractions-Raw water transport-Water network+-Expenditure in report year</v>
      </c>
      <c r="F1059" t="s">
        <v>7182</v>
      </c>
      <c r="G1059">
        <f>'4L'!$G$11</f>
        <v>0</v>
      </c>
    </row>
    <row r="1060" spans="1:7">
      <c r="A1060" t="s">
        <v>639</v>
      </c>
      <c r="C1060" t="str">
        <f>'4L'!$AX$11</f>
        <v>B0211EIO_RWS</v>
      </c>
      <c r="D1060" t="str">
        <f>_xlfn.CONCAT('4L'!$B$9, "-", '4L'!$B$11, "-", '4L'!$H$7, "-", '4L'!$G$6, "-", '4L'!$F$5)</f>
        <v>EA/NRW environmental programme (WINEP/NEP)-Ecological improvements at abstractions-Raw water storage-Water network+-Expenditure in report year</v>
      </c>
      <c r="F1060" t="s">
        <v>7182</v>
      </c>
      <c r="G1060">
        <f>'4L'!$H$11</f>
        <v>0</v>
      </c>
    </row>
    <row r="1061" spans="1:7">
      <c r="A1061" t="s">
        <v>639</v>
      </c>
      <c r="C1061" t="str">
        <f>'4L'!$AY$11</f>
        <v>B0211EIO_WT</v>
      </c>
      <c r="D1061" t="str">
        <f>_xlfn.CONCAT('4L'!$B$9, "-", '4L'!$B$11, "-", '4L'!$I$7, "-", '4L'!$G$6, "-", '4L'!$F$5)</f>
        <v>EA/NRW environmental programme (WINEP/NEP)-Ecological improvements at abstractions-Water treatment-Water network+-Expenditure in report year</v>
      </c>
      <c r="F1061" t="s">
        <v>7182</v>
      </c>
      <c r="G1061">
        <f>'4L'!$I$11</f>
        <v>0</v>
      </c>
    </row>
    <row r="1062" spans="1:7">
      <c r="A1062" t="s">
        <v>639</v>
      </c>
      <c r="C1062" t="str">
        <f>'4L'!$AZ$11</f>
        <v>B0211EIO_TWD</v>
      </c>
      <c r="D1062" t="str">
        <f>_xlfn.CONCAT('4L'!$B$9, "-", '4L'!$B$11, "-", '4L'!$J$7, "-", '4L'!$G$6, "-", '4L'!$F$5)</f>
        <v>EA/NRW environmental programme (WINEP/NEP)-Ecological improvements at abstractions-Treated water distribution-Water network+-Expenditure in report year</v>
      </c>
      <c r="F1062" t="s">
        <v>7182</v>
      </c>
      <c r="G1062">
        <f>'4L'!$J$11</f>
        <v>0</v>
      </c>
    </row>
    <row r="1063" spans="1:7">
      <c r="A1063" t="s">
        <v>639</v>
      </c>
      <c r="C1063" t="str">
        <f>'4L'!$BA$11</f>
        <v>B0211EIO_TOT</v>
      </c>
      <c r="D1063" t="str">
        <f>_xlfn.CONCAT('4L'!$B$9, "-", '4L'!$B$11, "-", '4L'!$K$6, "-", '4L'!$K$6, "-", '4L'!$F$5)</f>
        <v>EA/NRW environmental programme (WINEP/NEP)-Ecological improvements at abstractions-Total-Total-Expenditure in report year</v>
      </c>
      <c r="F1063" t="s">
        <v>7182</v>
      </c>
      <c r="G1063">
        <f>'4L'!$K$11</f>
        <v>0.121</v>
      </c>
    </row>
    <row r="1064" spans="1:7">
      <c r="A1064" t="s">
        <v>639</v>
      </c>
      <c r="C1064" t="str">
        <f>'4L'!$AV$12</f>
        <v>B0212EIT_WR</v>
      </c>
      <c r="D1064" t="str">
        <f>_xlfn.CONCAT('4L'!$B$9, "-", '4L'!$B$12, "-", '4L'!$F$6, "-", '4L'!$F$6, "-", '4L'!$F$5)</f>
        <v>EA/NRW environmental programme (WINEP/NEP)-Ecological improvements at abstractions-Water resources-Water resources-Expenditure in report year</v>
      </c>
      <c r="F1064" t="s">
        <v>7182</v>
      </c>
      <c r="G1064">
        <f>'4L'!$F$12</f>
        <v>0.121</v>
      </c>
    </row>
    <row r="1065" spans="1:7">
      <c r="A1065" t="s">
        <v>639</v>
      </c>
      <c r="C1065" t="str">
        <f>'4L'!$AW$12</f>
        <v>B0212EIT_RWT</v>
      </c>
      <c r="D1065" t="str">
        <f>_xlfn.CONCAT('4L'!$B$9, "-", '4L'!$B$12, "-", '4L'!$G$7, "-", '4L'!$G$6, "-", '4L'!$F$5)</f>
        <v>EA/NRW environmental programme (WINEP/NEP)-Ecological improvements at abstractions-Raw water transport-Water network+-Expenditure in report year</v>
      </c>
      <c r="F1065" t="s">
        <v>7182</v>
      </c>
      <c r="G1065">
        <f>'4L'!$G$12</f>
        <v>0</v>
      </c>
    </row>
    <row r="1066" spans="1:7">
      <c r="A1066" t="s">
        <v>639</v>
      </c>
      <c r="C1066" t="str">
        <f>'4L'!$AX$12</f>
        <v>B0212EIT_RWS</v>
      </c>
      <c r="D1066" t="str">
        <f>_xlfn.CONCAT('4L'!$B$9, "-", '4L'!$B$12, "-", '4L'!$H$7, "-", '4L'!$G$6, "-", '4L'!$F$5)</f>
        <v>EA/NRW environmental programme (WINEP/NEP)-Ecological improvements at abstractions-Raw water storage-Water network+-Expenditure in report year</v>
      </c>
      <c r="F1066" t="s">
        <v>7182</v>
      </c>
      <c r="G1066">
        <f>'4L'!$H$12</f>
        <v>0</v>
      </c>
    </row>
    <row r="1067" spans="1:7">
      <c r="A1067" t="s">
        <v>639</v>
      </c>
      <c r="C1067" t="str">
        <f>'4L'!$AY$12</f>
        <v>B0212EIT_WT</v>
      </c>
      <c r="D1067" t="str">
        <f>_xlfn.CONCAT('4L'!$B$9, "-", '4L'!$B$12, "-", '4L'!$I$7, "-", '4L'!$G$6, "-", '4L'!$F$5)</f>
        <v>EA/NRW environmental programme (WINEP/NEP)-Ecological improvements at abstractions-Water treatment-Water network+-Expenditure in report year</v>
      </c>
      <c r="F1067" t="s">
        <v>7182</v>
      </c>
      <c r="G1067">
        <f>'4L'!$I$12</f>
        <v>0</v>
      </c>
    </row>
    <row r="1068" spans="1:7">
      <c r="A1068" t="s">
        <v>639</v>
      </c>
      <c r="C1068" t="str">
        <f>'4L'!$AZ$12</f>
        <v>B0212EIT_TWD</v>
      </c>
      <c r="D1068" t="str">
        <f>_xlfn.CONCAT('4L'!$B$9, "-", '4L'!$B$12, "-", '4L'!$J$7, "-", '4L'!$G$6, "-", '4L'!$F$5)</f>
        <v>EA/NRW environmental programme (WINEP/NEP)-Ecological improvements at abstractions-Treated water distribution-Water network+-Expenditure in report year</v>
      </c>
      <c r="F1068" t="s">
        <v>7182</v>
      </c>
      <c r="G1068">
        <f>'4L'!$J$12</f>
        <v>0</v>
      </c>
    </row>
    <row r="1069" spans="1:7">
      <c r="A1069" t="s">
        <v>639</v>
      </c>
      <c r="C1069" t="str">
        <f>'4L'!$BA$12</f>
        <v>B0212EIT_TOT</v>
      </c>
      <c r="D1069" t="str">
        <f>_xlfn.CONCAT('4L'!$B$9, "-", '4L'!$B$12, "-", '4L'!$K$6, "-", '4L'!$K$6, "-", '4L'!$F$5)</f>
        <v>EA/NRW environmental programme (WINEP/NEP)-Ecological improvements at abstractions-Total-Total-Expenditure in report year</v>
      </c>
      <c r="F1069" t="s">
        <v>7182</v>
      </c>
      <c r="G1069">
        <f>'4L'!$K$12</f>
        <v>0.121</v>
      </c>
    </row>
    <row r="1070" spans="1:7">
      <c r="A1070" t="s">
        <v>639</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7182</v>
      </c>
      <c r="G1070">
        <f>'4L'!$R$12</f>
        <v>0.498</v>
      </c>
    </row>
    <row r="1071" spans="1:7">
      <c r="A1071" t="s">
        <v>639</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7182</v>
      </c>
      <c r="G1071">
        <f>'4L'!$S$12</f>
        <v>2.294</v>
      </c>
    </row>
    <row r="1072" spans="1:7">
      <c r="A1072" t="s">
        <v>639</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7182</v>
      </c>
      <c r="G1072">
        <f>'4L'!$T$12</f>
        <v>2.8369999999999997</v>
      </c>
    </row>
    <row r="1073" spans="1:7">
      <c r="A1073" t="s">
        <v>639</v>
      </c>
      <c r="C1073" t="str">
        <f>'4L'!$AV$13</f>
        <v>B0213ERC_WR</v>
      </c>
      <c r="D1073" t="str">
        <f>_xlfn.CONCAT('4L'!$B$9, "-", '4L'!$B$13, "-", '4L'!$F$6, "-", '4L'!$F$6, "-", '4L'!$F$5)</f>
        <v>EA/NRW environmental programme (WINEP/NEP)-Eels Regulations (measures at intakes)-Water resources-Water resources-Expenditure in report year</v>
      </c>
      <c r="F1073" t="s">
        <v>7182</v>
      </c>
      <c r="G1073">
        <f>'4L'!$F$13</f>
        <v>0.46300000000000002</v>
      </c>
    </row>
    <row r="1074" spans="1:7">
      <c r="A1074" t="s">
        <v>639</v>
      </c>
      <c r="C1074" t="str">
        <f>'4L'!$AW$13</f>
        <v>B0213ERC_RWT</v>
      </c>
      <c r="D1074" t="str">
        <f>_xlfn.CONCAT('4L'!$B$9, "-", '4L'!$B$13, "-", '4L'!$G$7, "-", '4L'!$G$6, "-", '4L'!$F$5)</f>
        <v>EA/NRW environmental programme (WINEP/NEP)-Eels Regulations (measures at intakes)-Raw water transport-Water network+-Expenditure in report year</v>
      </c>
      <c r="F1074" t="s">
        <v>7182</v>
      </c>
      <c r="G1074">
        <f>'4L'!$G$13</f>
        <v>0</v>
      </c>
    </row>
    <row r="1075" spans="1:7">
      <c r="A1075" t="s">
        <v>639</v>
      </c>
      <c r="C1075" t="str">
        <f>'4L'!$AX$13</f>
        <v>B0213ERC_RWS</v>
      </c>
      <c r="D1075" t="str">
        <f>_xlfn.CONCAT('4L'!$B$9, "-", '4L'!$B$13, "-", '4L'!$H$7, "-", '4L'!$G$6, "-", '4L'!$F$5)</f>
        <v>EA/NRW environmental programme (WINEP/NEP)-Eels Regulations (measures at intakes)-Raw water storage-Water network+-Expenditure in report year</v>
      </c>
      <c r="F1075" t="s">
        <v>7182</v>
      </c>
      <c r="G1075">
        <f>'4L'!$H$13</f>
        <v>0</v>
      </c>
    </row>
    <row r="1076" spans="1:7">
      <c r="A1076" t="s">
        <v>639</v>
      </c>
      <c r="C1076" t="str">
        <f>'4L'!$AY$13</f>
        <v>B0213ERC_WT</v>
      </c>
      <c r="D1076" t="str">
        <f>_xlfn.CONCAT('4L'!$B$9, "-", '4L'!$B$13, "-", '4L'!$I$7, "-", '4L'!$G$6, "-", '4L'!$F$5)</f>
        <v>EA/NRW environmental programme (WINEP/NEP)-Eels Regulations (measures at intakes)-Water treatment-Water network+-Expenditure in report year</v>
      </c>
      <c r="F1076" t="s">
        <v>7182</v>
      </c>
      <c r="G1076">
        <f>'4L'!$I$13</f>
        <v>0</v>
      </c>
    </row>
    <row r="1077" spans="1:7">
      <c r="A1077" t="s">
        <v>639</v>
      </c>
      <c r="C1077" t="str">
        <f>'4L'!$AZ$13</f>
        <v>B0213ERC_TWD</v>
      </c>
      <c r="D1077" t="str">
        <f>_xlfn.CONCAT('4L'!$B$9, "-", '4L'!$B$13, "-", '4L'!$J$7, "-", '4L'!$G$6, "-", '4L'!$F$5)</f>
        <v>EA/NRW environmental programme (WINEP/NEP)-Eels Regulations (measures at intakes)-Treated water distribution-Water network+-Expenditure in report year</v>
      </c>
      <c r="F1077" t="s">
        <v>7182</v>
      </c>
      <c r="G1077">
        <f>'4L'!$J$13</f>
        <v>0</v>
      </c>
    </row>
    <row r="1078" spans="1:7">
      <c r="A1078" t="s">
        <v>639</v>
      </c>
      <c r="C1078" t="str">
        <f>'4L'!$BA$13</f>
        <v>B0213ERC_TOT</v>
      </c>
      <c r="D1078" t="str">
        <f>_xlfn.CONCAT('4L'!$B$9, "-", '4L'!$B$13, "-", '4L'!$K$6, "-", '4L'!$K$6, "-", '4L'!$F$5)</f>
        <v>EA/NRW environmental programme (WINEP/NEP)-Eels Regulations (measures at intakes)-Total-Total-Expenditure in report year</v>
      </c>
      <c r="F1078" t="s">
        <v>7182</v>
      </c>
      <c r="G1078">
        <f>'4L'!$K$13</f>
        <v>0.46300000000000002</v>
      </c>
    </row>
    <row r="1079" spans="1:7">
      <c r="A1079" t="s">
        <v>639</v>
      </c>
      <c r="C1079" t="str">
        <f>'4L'!$AV$14</f>
        <v>B0214ERO_WR</v>
      </c>
      <c r="D1079" t="str">
        <f>_xlfn.CONCAT('4L'!$B$9, "-", '4L'!$B$14, "-", '4L'!$F$6, "-", '4L'!$F$6, "-", '4L'!$F$5)</f>
        <v>EA/NRW environmental programme (WINEP/NEP)-Eels Regulations (measures at intakes)-Water resources-Water resources-Expenditure in report year</v>
      </c>
      <c r="F1079" t="s">
        <v>7182</v>
      </c>
      <c r="G1079">
        <f>'4L'!$F$14</f>
        <v>2.1000000000000001E-2</v>
      </c>
    </row>
    <row r="1080" spans="1:7">
      <c r="A1080" t="s">
        <v>639</v>
      </c>
      <c r="C1080" t="str">
        <f>'4L'!$AW$14</f>
        <v>B0214ERO_RWT</v>
      </c>
      <c r="D1080" t="str">
        <f>_xlfn.CONCAT('4L'!$B$9, "-", '4L'!$B$14, "-", '4L'!$G$7, "-", '4L'!$G$6, "-", '4L'!$F$5)</f>
        <v>EA/NRW environmental programme (WINEP/NEP)-Eels Regulations (measures at intakes)-Raw water transport-Water network+-Expenditure in report year</v>
      </c>
      <c r="F1080" t="s">
        <v>7182</v>
      </c>
      <c r="G1080">
        <f>'4L'!$G$14</f>
        <v>0</v>
      </c>
    </row>
    <row r="1081" spans="1:7">
      <c r="A1081" t="s">
        <v>639</v>
      </c>
      <c r="C1081" t="str">
        <f>'4L'!$AX$14</f>
        <v>B0214ERO_RWS</v>
      </c>
      <c r="D1081" t="str">
        <f>_xlfn.CONCAT('4L'!$B$9, "-", '4L'!$B$14, "-", '4L'!$H$7, "-", '4L'!$G$6, "-", '4L'!$F$5)</f>
        <v>EA/NRW environmental programme (WINEP/NEP)-Eels Regulations (measures at intakes)-Raw water storage-Water network+-Expenditure in report year</v>
      </c>
      <c r="F1081" t="s">
        <v>7182</v>
      </c>
      <c r="G1081">
        <f>'4L'!$H$14</f>
        <v>0</v>
      </c>
    </row>
    <row r="1082" spans="1:7">
      <c r="A1082" t="s">
        <v>639</v>
      </c>
      <c r="C1082" t="str">
        <f>'4L'!$AY$14</f>
        <v>B0214ERO_WT</v>
      </c>
      <c r="D1082" t="str">
        <f>_xlfn.CONCAT('4L'!$B$9, "-", '4L'!$B$14, "-", '4L'!$I$7, "-", '4L'!$G$6, "-", '4L'!$F$5)</f>
        <v>EA/NRW environmental programme (WINEP/NEP)-Eels Regulations (measures at intakes)-Water treatment-Water network+-Expenditure in report year</v>
      </c>
      <c r="F1082" t="s">
        <v>7182</v>
      </c>
      <c r="G1082">
        <f>'4L'!$I$14</f>
        <v>0</v>
      </c>
    </row>
    <row r="1083" spans="1:7">
      <c r="A1083" t="s">
        <v>639</v>
      </c>
      <c r="C1083" t="str">
        <f>'4L'!$AZ$14</f>
        <v>B0214ERO_TWD</v>
      </c>
      <c r="D1083" t="str">
        <f>_xlfn.CONCAT('4L'!$B$9, "-", '4L'!$B$14, "-", '4L'!$J$7, "-", '4L'!$G$6, "-", '4L'!$F$5)</f>
        <v>EA/NRW environmental programme (WINEP/NEP)-Eels Regulations (measures at intakes)-Treated water distribution-Water network+-Expenditure in report year</v>
      </c>
      <c r="F1083" t="s">
        <v>7182</v>
      </c>
      <c r="G1083">
        <f>'4L'!$J$14</f>
        <v>0</v>
      </c>
    </row>
    <row r="1084" spans="1:7">
      <c r="A1084" t="s">
        <v>639</v>
      </c>
      <c r="C1084" t="str">
        <f>'4L'!$BA$14</f>
        <v>B0214ERO_TOT</v>
      </c>
      <c r="D1084" t="str">
        <f>_xlfn.CONCAT('4L'!$B$9, "-", '4L'!$B$14, "-", '4L'!$K$6, "-", '4L'!$K$6, "-", '4L'!$F$5)</f>
        <v>EA/NRW environmental programme (WINEP/NEP)-Eels Regulations (measures at intakes)-Total-Total-Expenditure in report year</v>
      </c>
      <c r="F1084" t="s">
        <v>7182</v>
      </c>
      <c r="G1084">
        <f>'4L'!$K$14</f>
        <v>2.1000000000000001E-2</v>
      </c>
    </row>
    <row r="1085" spans="1:7">
      <c r="A1085" t="s">
        <v>639</v>
      </c>
      <c r="C1085" t="str">
        <f>'4L'!$AV$15</f>
        <v>B0215ERT_WR</v>
      </c>
      <c r="D1085" t="str">
        <f>_xlfn.CONCAT('4L'!$B$9, "-", '4L'!$B$15, "-", '4L'!$F$6, "-", '4L'!$F$6, "-", '4L'!$F$5)</f>
        <v>EA/NRW environmental programme (WINEP/NEP)-Eels Regulations (measures at intakes)-Water resources-Water resources-Expenditure in report year</v>
      </c>
      <c r="F1085" t="s">
        <v>7182</v>
      </c>
      <c r="G1085">
        <f>'4L'!$F$15</f>
        <v>0.48400000000000004</v>
      </c>
    </row>
    <row r="1086" spans="1:7">
      <c r="A1086" t="s">
        <v>639</v>
      </c>
      <c r="C1086" t="str">
        <f>'4L'!$AW$15</f>
        <v>B0215ERT_RWT</v>
      </c>
      <c r="D1086" t="str">
        <f>_xlfn.CONCAT('4L'!$B$9, "-", '4L'!$B$15, "-", '4L'!$G$7, "-", '4L'!$G$6, "-", '4L'!$F$5)</f>
        <v>EA/NRW environmental programme (WINEP/NEP)-Eels Regulations (measures at intakes)-Raw water transport-Water network+-Expenditure in report year</v>
      </c>
      <c r="F1086" t="s">
        <v>7182</v>
      </c>
      <c r="G1086">
        <f>'4L'!$G$15</f>
        <v>0</v>
      </c>
    </row>
    <row r="1087" spans="1:7">
      <c r="A1087" t="s">
        <v>639</v>
      </c>
      <c r="C1087" t="str">
        <f>'4L'!$AX$15</f>
        <v>B0215ERT_RWS</v>
      </c>
      <c r="D1087" t="str">
        <f>_xlfn.CONCAT('4L'!$B$9, "-", '4L'!$B$15, "-", '4L'!$H$7, "-", '4L'!$G$6, "-", '4L'!$F$5)</f>
        <v>EA/NRW environmental programme (WINEP/NEP)-Eels Regulations (measures at intakes)-Raw water storage-Water network+-Expenditure in report year</v>
      </c>
      <c r="F1087" t="s">
        <v>7182</v>
      </c>
      <c r="G1087">
        <f>'4L'!$H$15</f>
        <v>0</v>
      </c>
    </row>
    <row r="1088" spans="1:7">
      <c r="A1088" t="s">
        <v>639</v>
      </c>
      <c r="C1088" t="str">
        <f>'4L'!$AY$15</f>
        <v>B0215ERT_WT</v>
      </c>
      <c r="D1088" t="str">
        <f>_xlfn.CONCAT('4L'!$B$9, "-", '4L'!$B$15, "-", '4L'!$I$7, "-", '4L'!$G$6, "-", '4L'!$F$5)</f>
        <v>EA/NRW environmental programme (WINEP/NEP)-Eels Regulations (measures at intakes)-Water treatment-Water network+-Expenditure in report year</v>
      </c>
      <c r="F1088" t="s">
        <v>7182</v>
      </c>
      <c r="G1088">
        <f>'4L'!$I$15</f>
        <v>0</v>
      </c>
    </row>
    <row r="1089" spans="1:7">
      <c r="A1089" t="s">
        <v>639</v>
      </c>
      <c r="C1089" t="str">
        <f>'4L'!$AZ$15</f>
        <v>B0215ERT_TWD</v>
      </c>
      <c r="D1089" t="str">
        <f>_xlfn.CONCAT('4L'!$B$9, "-", '4L'!$B$15, "-", '4L'!$J$7, "-", '4L'!$G$6, "-", '4L'!$F$5)</f>
        <v>EA/NRW environmental programme (WINEP/NEP)-Eels Regulations (measures at intakes)-Treated water distribution-Water network+-Expenditure in report year</v>
      </c>
      <c r="F1089" t="s">
        <v>7182</v>
      </c>
      <c r="G1089">
        <f>'4L'!$J$15</f>
        <v>0</v>
      </c>
    </row>
    <row r="1090" spans="1:7">
      <c r="A1090" t="s">
        <v>639</v>
      </c>
      <c r="C1090" t="str">
        <f>'4L'!$BA$15</f>
        <v>B0215ERT_TOT</v>
      </c>
      <c r="D1090" t="str">
        <f>_xlfn.CONCAT('4L'!$B$9, "-", '4L'!$B$15, "-", '4L'!$K$6, "-", '4L'!$K$6, "-", '4L'!$F$5)</f>
        <v>EA/NRW environmental programme (WINEP/NEP)-Eels Regulations (measures at intakes)-Total-Total-Expenditure in report year</v>
      </c>
      <c r="F1090" t="s">
        <v>7182</v>
      </c>
      <c r="G1090">
        <f>'4L'!$K$15</f>
        <v>0.48400000000000004</v>
      </c>
    </row>
    <row r="1091" spans="1:7">
      <c r="A1091" t="s">
        <v>639</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7182</v>
      </c>
      <c r="G1091">
        <f>'4L'!$R$15</f>
        <v>7.5069999999999997</v>
      </c>
    </row>
    <row r="1092" spans="1:7">
      <c r="A1092" t="s">
        <v>639</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7182</v>
      </c>
      <c r="G1092">
        <f>'4L'!$S$15</f>
        <v>3.032</v>
      </c>
    </row>
    <row r="1093" spans="1:7">
      <c r="A1093" t="s">
        <v>639</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7182</v>
      </c>
      <c r="G1093">
        <f>'4L'!$T$15</f>
        <v>3.75</v>
      </c>
    </row>
    <row r="1094" spans="1:7">
      <c r="A1094" t="s">
        <v>639</v>
      </c>
      <c r="C1094" t="str">
        <f>'4L'!$AV$16</f>
        <v>B0216INC_WR</v>
      </c>
      <c r="D1094" t="str">
        <f>_xlfn.CONCAT('4L'!$B$9, "-", '4L'!$B$16, "-", '4L'!$F$6, "-", '4L'!$F$6, "-", '4L'!$F$5)</f>
        <v>EA/NRW environmental programme (WINEP/NEP)-Invasive Non Native Species-Water resources-Water resources-Expenditure in report year</v>
      </c>
      <c r="F1094" t="s">
        <v>7182</v>
      </c>
      <c r="G1094">
        <f>'4L'!$F$16</f>
        <v>1E-3</v>
      </c>
    </row>
    <row r="1095" spans="1:7">
      <c r="A1095" t="s">
        <v>639</v>
      </c>
      <c r="C1095" t="str">
        <f>'4L'!$AW$16</f>
        <v>B0216INC_RWT</v>
      </c>
      <c r="D1095" t="str">
        <f>_xlfn.CONCAT('4L'!$B$9, "-", '4L'!$B$16, "-", '4L'!$G$7, "-", '4L'!$G$6, "-", '4L'!$F$5)</f>
        <v>EA/NRW environmental programme (WINEP/NEP)-Invasive Non Native Species-Raw water transport-Water network+-Expenditure in report year</v>
      </c>
      <c r="F1095" t="s">
        <v>7182</v>
      </c>
      <c r="G1095">
        <f>'4L'!$G$16</f>
        <v>0</v>
      </c>
    </row>
    <row r="1096" spans="1:7">
      <c r="A1096" t="s">
        <v>639</v>
      </c>
      <c r="C1096" t="str">
        <f>'4L'!$AX$16</f>
        <v>B0216INC_RWS</v>
      </c>
      <c r="D1096" t="str">
        <f>_xlfn.CONCAT('4L'!$B$9, "-", '4L'!$B$16, "-", '4L'!$H$7, "-", '4L'!$G$6, "-", '4L'!$F$5)</f>
        <v>EA/NRW environmental programme (WINEP/NEP)-Invasive Non Native Species-Raw water storage-Water network+-Expenditure in report year</v>
      </c>
      <c r="F1096" t="s">
        <v>7182</v>
      </c>
      <c r="G1096">
        <f>'4L'!$H$16</f>
        <v>0</v>
      </c>
    </row>
    <row r="1097" spans="1:7">
      <c r="A1097" t="s">
        <v>639</v>
      </c>
      <c r="C1097" t="str">
        <f>'4L'!$AY$16</f>
        <v>B0216INC_WT</v>
      </c>
      <c r="D1097" t="str">
        <f>_xlfn.CONCAT('4L'!$B$9, "-", '4L'!$B$16, "-", '4L'!$I$7, "-", '4L'!$G$6, "-", '4L'!$F$5)</f>
        <v>EA/NRW environmental programme (WINEP/NEP)-Invasive Non Native Species-Water treatment-Water network+-Expenditure in report year</v>
      </c>
      <c r="F1097" t="s">
        <v>7182</v>
      </c>
      <c r="G1097">
        <f>'4L'!$I$16</f>
        <v>0</v>
      </c>
    </row>
    <row r="1098" spans="1:7">
      <c r="A1098" t="s">
        <v>639</v>
      </c>
      <c r="C1098" t="str">
        <f>'4L'!$AZ$16</f>
        <v>B0216INC_TWD</v>
      </c>
      <c r="D1098" t="str">
        <f>_xlfn.CONCAT('4L'!$B$9, "-", '4L'!$B$16, "-", '4L'!$J$7, "-", '4L'!$G$6, "-", '4L'!$F$5)</f>
        <v>EA/NRW environmental programme (WINEP/NEP)-Invasive Non Native Species-Treated water distribution-Water network+-Expenditure in report year</v>
      </c>
      <c r="F1098" t="s">
        <v>7182</v>
      </c>
      <c r="G1098">
        <f>'4L'!$J$16</f>
        <v>0</v>
      </c>
    </row>
    <row r="1099" spans="1:7">
      <c r="A1099" t="s">
        <v>639</v>
      </c>
      <c r="C1099" t="str">
        <f>'4L'!$BA$16</f>
        <v>B0216INC_TOT</v>
      </c>
      <c r="D1099" t="str">
        <f>_xlfn.CONCAT('4L'!$B$9, "-", '4L'!$B$16, "-", '4L'!$K$6, "-", '4L'!$K$6, "-", '4L'!$F$5)</f>
        <v>EA/NRW environmental programme (WINEP/NEP)-Invasive Non Native Species-Total-Total-Expenditure in report year</v>
      </c>
      <c r="F1099" t="s">
        <v>7182</v>
      </c>
      <c r="G1099">
        <f>'4L'!$K$16</f>
        <v>1E-3</v>
      </c>
    </row>
    <row r="1100" spans="1:7">
      <c r="A1100" t="s">
        <v>639</v>
      </c>
      <c r="C1100" t="str">
        <f>'4L'!$AV$17</f>
        <v>B0217INO_WR</v>
      </c>
      <c r="D1100" t="str">
        <f>_xlfn.CONCAT('4L'!$B$9, "-", '4L'!$B$17, "-", '4L'!$F$6, "-", '4L'!$F$6, "-", '4L'!$F$5)</f>
        <v>EA/NRW environmental programme (WINEP/NEP)-Invasive Non Native Species-Water resources-Water resources-Expenditure in report year</v>
      </c>
      <c r="F1100" t="s">
        <v>7182</v>
      </c>
      <c r="G1100">
        <f>'4L'!$F$17</f>
        <v>9.5000000000000001E-2</v>
      </c>
    </row>
    <row r="1101" spans="1:7">
      <c r="A1101" t="s">
        <v>639</v>
      </c>
      <c r="C1101" t="str">
        <f>'4L'!$AW$17</f>
        <v>B0217INO_RWT</v>
      </c>
      <c r="D1101" t="str">
        <f>_xlfn.CONCAT('4L'!$B$9, "-", '4L'!$B$17, "-", '4L'!$G$7, "-", '4L'!$G$6, "-", '4L'!$F$5)</f>
        <v>EA/NRW environmental programme (WINEP/NEP)-Invasive Non Native Species-Raw water transport-Water network+-Expenditure in report year</v>
      </c>
      <c r="F1101" t="s">
        <v>7182</v>
      </c>
      <c r="G1101">
        <f>'4L'!$G$17</f>
        <v>0</v>
      </c>
    </row>
    <row r="1102" spans="1:7">
      <c r="A1102" t="s">
        <v>639</v>
      </c>
      <c r="C1102" t="str">
        <f>'4L'!$AX$17</f>
        <v>B0217INO_RWS</v>
      </c>
      <c r="D1102" t="str">
        <f>_xlfn.CONCAT('4L'!$B$9, "-", '4L'!$B$17, "-", '4L'!$H$7, "-", '4L'!$G$6, "-", '4L'!$F$5)</f>
        <v>EA/NRW environmental programme (WINEP/NEP)-Invasive Non Native Species-Raw water storage-Water network+-Expenditure in report year</v>
      </c>
      <c r="F1102" t="s">
        <v>7182</v>
      </c>
      <c r="G1102">
        <f>'4L'!$H$17</f>
        <v>0</v>
      </c>
    </row>
    <row r="1103" spans="1:7">
      <c r="A1103" t="s">
        <v>639</v>
      </c>
      <c r="C1103" t="str">
        <f>'4L'!$AY$17</f>
        <v>B0217INO_WT</v>
      </c>
      <c r="D1103" t="str">
        <f>_xlfn.CONCAT('4L'!$B$9, "-", '4L'!$B$17, "-", '4L'!$I$7, "-", '4L'!$G$6, "-", '4L'!$F$5)</f>
        <v>EA/NRW environmental programme (WINEP/NEP)-Invasive Non Native Species-Water treatment-Water network+-Expenditure in report year</v>
      </c>
      <c r="F1103" t="s">
        <v>7182</v>
      </c>
      <c r="G1103">
        <f>'4L'!$I$17</f>
        <v>0</v>
      </c>
    </row>
    <row r="1104" spans="1:7">
      <c r="A1104" t="s">
        <v>639</v>
      </c>
      <c r="C1104" t="str">
        <f>'4L'!$AZ$17</f>
        <v>B0217INO_TWD</v>
      </c>
      <c r="D1104" t="str">
        <f>_xlfn.CONCAT('4L'!$B$9, "-", '4L'!$B$17, "-", '4L'!$J$7, "-", '4L'!$G$6, "-", '4L'!$F$5)</f>
        <v>EA/NRW environmental programme (WINEP/NEP)-Invasive Non Native Species-Treated water distribution-Water network+-Expenditure in report year</v>
      </c>
      <c r="F1104" t="s">
        <v>7182</v>
      </c>
      <c r="G1104">
        <f>'4L'!$J$17</f>
        <v>0</v>
      </c>
    </row>
    <row r="1105" spans="1:7">
      <c r="A1105" t="s">
        <v>639</v>
      </c>
      <c r="C1105" t="str">
        <f>'4L'!$BA$17</f>
        <v>B0217INO_TOT</v>
      </c>
      <c r="D1105" t="str">
        <f>_xlfn.CONCAT('4L'!$B$9, "-", '4L'!$B$17, "-", '4L'!$K$6, "-", '4L'!$K$6, "-", '4L'!$F$5)</f>
        <v>EA/NRW environmental programme (WINEP/NEP)-Invasive Non Native Species-Total-Total-Expenditure in report year</v>
      </c>
      <c r="F1105" t="s">
        <v>7182</v>
      </c>
      <c r="G1105">
        <f>'4L'!$K$17</f>
        <v>9.5000000000000001E-2</v>
      </c>
    </row>
    <row r="1106" spans="1:7">
      <c r="A1106" t="s">
        <v>639</v>
      </c>
      <c r="C1106" t="str">
        <f>'4L'!$AV$18</f>
        <v>B0218INT_WR</v>
      </c>
      <c r="D1106" t="str">
        <f>_xlfn.CONCAT('4L'!$B$9, "-", '4L'!$B$18, "-", '4L'!$F$6, "-", '4L'!$F$6, "-", '4L'!$F$5)</f>
        <v>EA/NRW environmental programme (WINEP/NEP)-Invasive Non Native Species-Water resources-Water resources-Expenditure in report year</v>
      </c>
      <c r="F1106" t="s">
        <v>7182</v>
      </c>
      <c r="G1106">
        <f>'4L'!$F$18</f>
        <v>9.6000000000000002E-2</v>
      </c>
    </row>
    <row r="1107" spans="1:7">
      <c r="A1107" t="s">
        <v>639</v>
      </c>
      <c r="C1107" t="str">
        <f>'4L'!$AW$18</f>
        <v>B0218INT_RWT</v>
      </c>
      <c r="D1107" t="str">
        <f>_xlfn.CONCAT('4L'!$B$9, "-", '4L'!$B$18, "-", '4L'!$G$7, "-", '4L'!$G$6, "-", '4L'!$F$5)</f>
        <v>EA/NRW environmental programme (WINEP/NEP)-Invasive Non Native Species-Raw water transport-Water network+-Expenditure in report year</v>
      </c>
      <c r="F1107" t="s">
        <v>7182</v>
      </c>
      <c r="G1107">
        <f>'4L'!$G$18</f>
        <v>0</v>
      </c>
    </row>
    <row r="1108" spans="1:7">
      <c r="A1108" t="s">
        <v>639</v>
      </c>
      <c r="C1108" t="str">
        <f>'4L'!$AX$18</f>
        <v>B0218INT_RWS</v>
      </c>
      <c r="D1108" t="str">
        <f>_xlfn.CONCAT('4L'!$B$9, "-", '4L'!$B$18, "-", '4L'!$H$7, "-", '4L'!$G$6, "-", '4L'!$F$5)</f>
        <v>EA/NRW environmental programme (WINEP/NEP)-Invasive Non Native Species-Raw water storage-Water network+-Expenditure in report year</v>
      </c>
      <c r="F1108" t="s">
        <v>7182</v>
      </c>
      <c r="G1108">
        <f>'4L'!$H$18</f>
        <v>0</v>
      </c>
    </row>
    <row r="1109" spans="1:7">
      <c r="A1109" t="s">
        <v>639</v>
      </c>
      <c r="C1109" t="str">
        <f>'4L'!$AY$18</f>
        <v>B0218INT_WT</v>
      </c>
      <c r="D1109" t="str">
        <f>_xlfn.CONCAT('4L'!$B$9, "-", '4L'!$B$18, "-", '4L'!$I$7, "-", '4L'!$G$6, "-", '4L'!$F$5)</f>
        <v>EA/NRW environmental programme (WINEP/NEP)-Invasive Non Native Species-Water treatment-Water network+-Expenditure in report year</v>
      </c>
      <c r="F1109" t="s">
        <v>7182</v>
      </c>
      <c r="G1109">
        <f>'4L'!$I$18</f>
        <v>0</v>
      </c>
    </row>
    <row r="1110" spans="1:7">
      <c r="A1110" t="s">
        <v>639</v>
      </c>
      <c r="C1110" t="str">
        <f>'4L'!$AZ$18</f>
        <v>B0218INT_TWD</v>
      </c>
      <c r="D1110" t="str">
        <f>_xlfn.CONCAT('4L'!$B$9, "-", '4L'!$B$18, "-", '4L'!$J$7, "-", '4L'!$G$6, "-", '4L'!$F$5)</f>
        <v>EA/NRW environmental programme (WINEP/NEP)-Invasive Non Native Species-Treated water distribution-Water network+-Expenditure in report year</v>
      </c>
      <c r="F1110" t="s">
        <v>7182</v>
      </c>
      <c r="G1110">
        <f>'4L'!$J$18</f>
        <v>0</v>
      </c>
    </row>
    <row r="1111" spans="1:7">
      <c r="A1111" t="s">
        <v>639</v>
      </c>
      <c r="C1111" t="str">
        <f>'4L'!$BA$18</f>
        <v>B0218INT_TOT</v>
      </c>
      <c r="D1111" t="str">
        <f>_xlfn.CONCAT('4L'!$B$9, "-", '4L'!$B$18, "-", '4L'!$K$6, "-", '4L'!$K$6, "-", '4L'!$F$5)</f>
        <v>EA/NRW environmental programme (WINEP/NEP)-Invasive Non Native Species-Total-Total-Expenditure in report year</v>
      </c>
      <c r="F1111" t="s">
        <v>7182</v>
      </c>
      <c r="G1111">
        <f>'4L'!$K$18</f>
        <v>9.6000000000000002E-2</v>
      </c>
    </row>
    <row r="1112" spans="1:7">
      <c r="A1112" t="s">
        <v>639</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7182</v>
      </c>
      <c r="G1112">
        <f>'4L'!$R$18</f>
        <v>0.61699999999999999</v>
      </c>
    </row>
    <row r="1113" spans="1:7">
      <c r="A1113" t="s">
        <v>639</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7182</v>
      </c>
      <c r="G1113">
        <f>'4L'!$S$18</f>
        <v>1.147</v>
      </c>
    </row>
    <row r="1114" spans="1:7">
      <c r="A1114" t="s">
        <v>639</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7182</v>
      </c>
      <c r="G1114">
        <f>'4L'!$T$18</f>
        <v>1.4179999999999999</v>
      </c>
    </row>
    <row r="1115" spans="1:7">
      <c r="A1115" t="s">
        <v>639</v>
      </c>
      <c r="C1115" t="str">
        <f>'4L'!$AV$19</f>
        <v>B0219DWC_WR</v>
      </c>
      <c r="D1115" t="str">
        <f>_xlfn.CONCAT('4L'!$B$9, "-", '4L'!$B$19, "-", '4L'!$F$6, "-", '4L'!$F$6, "-", '4L'!$F$5)</f>
        <v>EA/NRW environmental programme (WINEP/NEP)-Drinking Water Protected Areas (schemes)-Water resources-Water resources-Expenditure in report year</v>
      </c>
      <c r="F1115" t="s">
        <v>7182</v>
      </c>
      <c r="G1115">
        <f>'4L'!$F$19</f>
        <v>0</v>
      </c>
    </row>
    <row r="1116" spans="1:7">
      <c r="A1116" t="s">
        <v>639</v>
      </c>
      <c r="C1116" t="str">
        <f>'4L'!$AW$19</f>
        <v>B0219DWC_RWT</v>
      </c>
      <c r="D1116" t="str">
        <f>_xlfn.CONCAT('4L'!$B$9, "-", '4L'!$B$19, "-", '4L'!$G$7, "-", '4L'!$G$6, "-", '4L'!$F$5)</f>
        <v>EA/NRW environmental programme (WINEP/NEP)-Drinking Water Protected Areas (schemes)-Raw water transport-Water network+-Expenditure in report year</v>
      </c>
      <c r="F1116" t="s">
        <v>7182</v>
      </c>
      <c r="G1116">
        <f>'4L'!$G$19</f>
        <v>0</v>
      </c>
    </row>
    <row r="1117" spans="1:7">
      <c r="A1117" t="s">
        <v>639</v>
      </c>
      <c r="C1117" t="str">
        <f>'4L'!$AX$19</f>
        <v>B0219DWC_RWS</v>
      </c>
      <c r="D1117" t="str">
        <f>_xlfn.CONCAT('4L'!$B$9, "-", '4L'!$B$19, "-", '4L'!$H$7, "-", '4L'!$G$6, "-", '4L'!$F$5)</f>
        <v>EA/NRW environmental programme (WINEP/NEP)-Drinking Water Protected Areas (schemes)-Raw water storage-Water network+-Expenditure in report year</v>
      </c>
      <c r="F1117" t="s">
        <v>7182</v>
      </c>
      <c r="G1117">
        <f>'4L'!$H$19</f>
        <v>0</v>
      </c>
    </row>
    <row r="1118" spans="1:7">
      <c r="A1118" t="s">
        <v>639</v>
      </c>
      <c r="C1118" t="str">
        <f>'4L'!$AY$19</f>
        <v>B0219DWC_WT</v>
      </c>
      <c r="D1118" t="str">
        <f>_xlfn.CONCAT('4L'!$B$9, "-", '4L'!$B$19, "-", '4L'!$I$7, "-", '4L'!$G$6, "-", '4L'!$F$5)</f>
        <v>EA/NRW environmental programme (WINEP/NEP)-Drinking Water Protected Areas (schemes)-Water treatment-Water network+-Expenditure in report year</v>
      </c>
      <c r="F1118" t="s">
        <v>7182</v>
      </c>
      <c r="G1118">
        <f>'4L'!$I$19</f>
        <v>0</v>
      </c>
    </row>
    <row r="1119" spans="1:7">
      <c r="A1119" t="s">
        <v>639</v>
      </c>
      <c r="C1119" t="str">
        <f>'4L'!$AZ$19</f>
        <v>B0219DWC_TWD</v>
      </c>
      <c r="D1119" t="str">
        <f>_xlfn.CONCAT('4L'!$B$9, "-", '4L'!$B$19, "-", '4L'!$J$7, "-", '4L'!$G$6, "-", '4L'!$F$5)</f>
        <v>EA/NRW environmental programme (WINEP/NEP)-Drinking Water Protected Areas (schemes)-Treated water distribution-Water network+-Expenditure in report year</v>
      </c>
      <c r="F1119" t="s">
        <v>7182</v>
      </c>
      <c r="G1119">
        <f>'4L'!$J$19</f>
        <v>0</v>
      </c>
    </row>
    <row r="1120" spans="1:7">
      <c r="A1120" t="s">
        <v>639</v>
      </c>
      <c r="C1120" t="str">
        <f>'4L'!$BA$19</f>
        <v>B0219DWC_TOT</v>
      </c>
      <c r="D1120" t="str">
        <f>_xlfn.CONCAT('4L'!$B$9, "-", '4L'!$B$19, "-", '4L'!$K$6, "-", '4L'!$K$6, "-", '4L'!$F$5)</f>
        <v>EA/NRW environmental programme (WINEP/NEP)-Drinking Water Protected Areas (schemes)-Total-Total-Expenditure in report year</v>
      </c>
      <c r="F1120" t="s">
        <v>7182</v>
      </c>
      <c r="G1120">
        <f>'4L'!$K$19</f>
        <v>0</v>
      </c>
    </row>
    <row r="1121" spans="1:7">
      <c r="A1121" t="s">
        <v>639</v>
      </c>
      <c r="C1121" t="str">
        <f>'4L'!$AV$20</f>
        <v>B0220DWO_WR</v>
      </c>
      <c r="D1121" t="str">
        <f>_xlfn.CONCAT('4L'!$B$9, "-", '4L'!$B$20, "-", '4L'!$F$6, "-", '4L'!$F$6, "-", '4L'!$F$5)</f>
        <v>EA/NRW environmental programme (WINEP/NEP)-Drinking Water Protected Areas (schemes)-Water resources-Water resources-Expenditure in report year</v>
      </c>
      <c r="F1121" t="s">
        <v>7182</v>
      </c>
      <c r="G1121">
        <f>'4L'!$F$20</f>
        <v>0.26</v>
      </c>
    </row>
    <row r="1122" spans="1:7">
      <c r="A1122" t="s">
        <v>639</v>
      </c>
      <c r="C1122" t="str">
        <f>'4L'!$AW$20</f>
        <v>B0220DWO_RWT</v>
      </c>
      <c r="D1122" t="str">
        <f>_xlfn.CONCAT('4L'!$B$9, "-", '4L'!$B$20, "-", '4L'!$G$7, "-", '4L'!$G$6, "-", '4L'!$F$5)</f>
        <v>EA/NRW environmental programme (WINEP/NEP)-Drinking Water Protected Areas (schemes)-Raw water transport-Water network+-Expenditure in report year</v>
      </c>
      <c r="F1122" t="s">
        <v>7182</v>
      </c>
      <c r="G1122">
        <f>'4L'!$G$20</f>
        <v>0</v>
      </c>
    </row>
    <row r="1123" spans="1:7">
      <c r="A1123" t="s">
        <v>639</v>
      </c>
      <c r="C1123" t="str">
        <f>'4L'!$AX$20</f>
        <v>B0220DWO_RWS</v>
      </c>
      <c r="D1123" t="str">
        <f>_xlfn.CONCAT('4L'!$B$9, "-", '4L'!$B$20, "-", '4L'!$H$7, "-", '4L'!$G$6, "-", '4L'!$F$5)</f>
        <v>EA/NRW environmental programme (WINEP/NEP)-Drinking Water Protected Areas (schemes)-Raw water storage-Water network+-Expenditure in report year</v>
      </c>
      <c r="F1123" t="s">
        <v>7182</v>
      </c>
      <c r="G1123">
        <f>'4L'!$H$20</f>
        <v>0</v>
      </c>
    </row>
    <row r="1124" spans="1:7">
      <c r="A1124" t="s">
        <v>639</v>
      </c>
      <c r="C1124" t="str">
        <f>'4L'!$AY$20</f>
        <v>B0220DWO_WT</v>
      </c>
      <c r="D1124" t="str">
        <f>_xlfn.CONCAT('4L'!$B$9, "-", '4L'!$B$20, "-", '4L'!$I$7, "-", '4L'!$G$6, "-", '4L'!$F$5)</f>
        <v>EA/NRW environmental programme (WINEP/NEP)-Drinking Water Protected Areas (schemes)-Water treatment-Water network+-Expenditure in report year</v>
      </c>
      <c r="F1124" t="s">
        <v>7182</v>
      </c>
      <c r="G1124">
        <f>'4L'!$I$20</f>
        <v>0</v>
      </c>
    </row>
    <row r="1125" spans="1:7">
      <c r="A1125" t="s">
        <v>639</v>
      </c>
      <c r="C1125" t="str">
        <f>'4L'!$AZ$20</f>
        <v>B0220DWO_TWD</v>
      </c>
      <c r="D1125" t="str">
        <f>_xlfn.CONCAT('4L'!$B$9, "-", '4L'!$B$20, "-", '4L'!$J$7, "-", '4L'!$G$6, "-", '4L'!$F$5)</f>
        <v>EA/NRW environmental programme (WINEP/NEP)-Drinking Water Protected Areas (schemes)-Treated water distribution-Water network+-Expenditure in report year</v>
      </c>
      <c r="F1125" t="s">
        <v>7182</v>
      </c>
      <c r="G1125">
        <f>'4L'!$J$20</f>
        <v>0</v>
      </c>
    </row>
    <row r="1126" spans="1:7">
      <c r="A1126" t="s">
        <v>639</v>
      </c>
      <c r="C1126" t="str">
        <f>'4L'!$BA$20</f>
        <v>B0220DWO_TOT</v>
      </c>
      <c r="D1126" t="str">
        <f>_xlfn.CONCAT('4L'!$B$9, "-", '4L'!$B$20, "-", '4L'!$K$6, "-", '4L'!$K$6, "-", '4L'!$F$5)</f>
        <v>EA/NRW environmental programme (WINEP/NEP)-Drinking Water Protected Areas (schemes)-Total-Total-Expenditure in report year</v>
      </c>
      <c r="F1126" t="s">
        <v>7182</v>
      </c>
      <c r="G1126">
        <f>'4L'!$K$20</f>
        <v>0.26</v>
      </c>
    </row>
    <row r="1127" spans="1:7">
      <c r="A1127" t="s">
        <v>639</v>
      </c>
      <c r="C1127" t="str">
        <f>'4L'!$AV$21</f>
        <v>B0221DWT_WR</v>
      </c>
      <c r="D1127" t="str">
        <f>_xlfn.CONCAT('4L'!$B$9, "-", '4L'!$B$21, "-", '4L'!$F$6, "-", '4L'!$F$6, "-", '4L'!$F$5)</f>
        <v>EA/NRW environmental programme (WINEP/NEP)-Drinking Water Protected Areas (schemes)-Water resources-Water resources-Expenditure in report year</v>
      </c>
      <c r="F1127" t="s">
        <v>7182</v>
      </c>
      <c r="G1127">
        <f>'4L'!$F$21</f>
        <v>0.26</v>
      </c>
    </row>
    <row r="1128" spans="1:7">
      <c r="A1128" t="s">
        <v>639</v>
      </c>
      <c r="C1128" t="str">
        <f>'4L'!$AW$21</f>
        <v>B0221DWT_RWT</v>
      </c>
      <c r="D1128" t="str">
        <f>_xlfn.CONCAT('4L'!$B$9, "-", '4L'!$B$21, "-", '4L'!$G$7, "-", '4L'!$G$6, "-", '4L'!$F$5)</f>
        <v>EA/NRW environmental programme (WINEP/NEP)-Drinking Water Protected Areas (schemes)-Raw water transport-Water network+-Expenditure in report year</v>
      </c>
      <c r="F1128" t="s">
        <v>7182</v>
      </c>
      <c r="G1128">
        <f>'4L'!$G$21</f>
        <v>0</v>
      </c>
    </row>
    <row r="1129" spans="1:7">
      <c r="A1129" t="s">
        <v>639</v>
      </c>
      <c r="C1129" t="str">
        <f>'4L'!$AX$21</f>
        <v>B0221DWT_RWS</v>
      </c>
      <c r="D1129" t="str">
        <f>_xlfn.CONCAT('4L'!$B$9, "-", '4L'!$B$21, "-", '4L'!$H$7, "-", '4L'!$G$6, "-", '4L'!$F$5)</f>
        <v>EA/NRW environmental programme (WINEP/NEP)-Drinking Water Protected Areas (schemes)-Raw water storage-Water network+-Expenditure in report year</v>
      </c>
      <c r="F1129" t="s">
        <v>7182</v>
      </c>
      <c r="G1129">
        <f>'4L'!$H$21</f>
        <v>0</v>
      </c>
    </row>
    <row r="1130" spans="1:7">
      <c r="A1130" t="s">
        <v>639</v>
      </c>
      <c r="C1130" t="str">
        <f>'4L'!$AY$21</f>
        <v>B0221DWT_WT</v>
      </c>
      <c r="D1130" t="str">
        <f>_xlfn.CONCAT('4L'!$B$9, "-", '4L'!$B$21, "-", '4L'!$I$7, "-", '4L'!$G$6, "-", '4L'!$F$5)</f>
        <v>EA/NRW environmental programme (WINEP/NEP)-Drinking Water Protected Areas (schemes)-Water treatment-Water network+-Expenditure in report year</v>
      </c>
      <c r="F1130" t="s">
        <v>7182</v>
      </c>
      <c r="G1130">
        <f>'4L'!$I$21</f>
        <v>0</v>
      </c>
    </row>
    <row r="1131" spans="1:7">
      <c r="A1131" t="s">
        <v>639</v>
      </c>
      <c r="C1131" t="str">
        <f>'4L'!$AZ$21</f>
        <v>B0221DWT_TWD</v>
      </c>
      <c r="D1131" t="str">
        <f>_xlfn.CONCAT('4L'!$B$9, "-", '4L'!$B$21, "-", '4L'!$J$7, "-", '4L'!$G$6, "-", '4L'!$F$5)</f>
        <v>EA/NRW environmental programme (WINEP/NEP)-Drinking Water Protected Areas (schemes)-Treated water distribution-Water network+-Expenditure in report year</v>
      </c>
      <c r="F1131" t="s">
        <v>7182</v>
      </c>
      <c r="G1131">
        <f>'4L'!$J$21</f>
        <v>0</v>
      </c>
    </row>
    <row r="1132" spans="1:7">
      <c r="A1132" t="s">
        <v>639</v>
      </c>
      <c r="C1132" t="str">
        <f>'4L'!$BA$21</f>
        <v>B0221DWT_TOT</v>
      </c>
      <c r="D1132" t="str">
        <f>_xlfn.CONCAT('4L'!$B$9, "-", '4L'!$B$21, "-", '4L'!$K$6, "-", '4L'!$K$6, "-", '4L'!$F$5)</f>
        <v>EA/NRW environmental programme (WINEP/NEP)-Drinking Water Protected Areas (schemes)-Total-Total-Expenditure in report year</v>
      </c>
      <c r="F1132" t="s">
        <v>7182</v>
      </c>
      <c r="G1132">
        <f>'4L'!$K$21</f>
        <v>0.26</v>
      </c>
    </row>
    <row r="1133" spans="1:7">
      <c r="A1133" t="s">
        <v>639</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7182</v>
      </c>
      <c r="G1133">
        <f>'4L'!$R$21</f>
        <v>1.0710000000000002</v>
      </c>
    </row>
    <row r="1134" spans="1:7">
      <c r="A1134" t="s">
        <v>639</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7182</v>
      </c>
      <c r="G1134">
        <f>'4L'!$S$21</f>
        <v>2.7700000000000005</v>
      </c>
    </row>
    <row r="1135" spans="1:7">
      <c r="A1135" t="s">
        <v>639</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7182</v>
      </c>
      <c r="G1135">
        <f>'4L'!$T$21</f>
        <v>3.4260000000000006</v>
      </c>
    </row>
    <row r="1136" spans="1:7">
      <c r="A1136" t="s">
        <v>639</v>
      </c>
      <c r="C1136" t="str">
        <f>'4L'!$AV$22</f>
        <v>B0222WFC_WR</v>
      </c>
      <c r="D1136" t="str">
        <f>_xlfn.CONCAT('4L'!$B$9, "-", '4L'!$B$22, "-", '4L'!$F$6, "-", '4L'!$F$6, "-", '4L'!$F$5)</f>
        <v>EA/NRW environmental programme (WINEP/NEP)-Water Framework Directive measures-Water resources-Water resources-Expenditure in report year</v>
      </c>
      <c r="F1136" t="s">
        <v>7182</v>
      </c>
      <c r="G1136">
        <f>'4L'!$F$22</f>
        <v>0</v>
      </c>
    </row>
    <row r="1137" spans="1:7">
      <c r="A1137" t="s">
        <v>639</v>
      </c>
      <c r="C1137" t="str">
        <f>'4L'!$AW$22</f>
        <v>B0222WFC_RWT</v>
      </c>
      <c r="D1137" t="str">
        <f>_xlfn.CONCAT('4L'!$B$9, "-", '4L'!$B$22, "-", '4L'!$G$7, "-", '4L'!$G$6, "-", '4L'!$F$5)</f>
        <v>EA/NRW environmental programme (WINEP/NEP)-Water Framework Directive measures-Raw water transport-Water network+-Expenditure in report year</v>
      </c>
      <c r="F1137" t="s">
        <v>7182</v>
      </c>
      <c r="G1137">
        <f>'4L'!$G$22</f>
        <v>0</v>
      </c>
    </row>
    <row r="1138" spans="1:7">
      <c r="A1138" t="s">
        <v>639</v>
      </c>
      <c r="C1138" t="str">
        <f>'4L'!$AX$22</f>
        <v>B0222WFC_RWS</v>
      </c>
      <c r="D1138" t="str">
        <f>_xlfn.CONCAT('4L'!$B$9, "-", '4L'!$B$22, "-", '4L'!$H$7, "-", '4L'!$G$6, "-", '4L'!$F$5)</f>
        <v>EA/NRW environmental programme (WINEP/NEP)-Water Framework Directive measures-Raw water storage-Water network+-Expenditure in report year</v>
      </c>
      <c r="F1138" t="s">
        <v>7182</v>
      </c>
      <c r="G1138">
        <f>'4L'!$H$22</f>
        <v>0</v>
      </c>
    </row>
    <row r="1139" spans="1:7">
      <c r="A1139" t="s">
        <v>639</v>
      </c>
      <c r="C1139" t="str">
        <f>'4L'!$AY$22</f>
        <v>B0222WFC_WT</v>
      </c>
      <c r="D1139" t="str">
        <f>_xlfn.CONCAT('4L'!$B$9, "-", '4L'!$B$22, "-", '4L'!$I$7, "-", '4L'!$G$6, "-", '4L'!$F$5)</f>
        <v>EA/NRW environmental programme (WINEP/NEP)-Water Framework Directive measures-Water treatment-Water network+-Expenditure in report year</v>
      </c>
      <c r="F1139" t="s">
        <v>7182</v>
      </c>
      <c r="G1139">
        <f>'4L'!$I$22</f>
        <v>1.6E-2</v>
      </c>
    </row>
    <row r="1140" spans="1:7">
      <c r="A1140" t="s">
        <v>639</v>
      </c>
      <c r="C1140" t="str">
        <f>'4L'!$AZ$22</f>
        <v>B0222WFC_TWD</v>
      </c>
      <c r="D1140" t="str">
        <f>_xlfn.CONCAT('4L'!$B$9, "-", '4L'!$B$22, "-", '4L'!$J$7, "-", '4L'!$G$6, "-", '4L'!$F$5)</f>
        <v>EA/NRW environmental programme (WINEP/NEP)-Water Framework Directive measures-Treated water distribution-Water network+-Expenditure in report year</v>
      </c>
      <c r="F1140" t="s">
        <v>7182</v>
      </c>
      <c r="G1140">
        <f>'4L'!$J$22</f>
        <v>0</v>
      </c>
    </row>
    <row r="1141" spans="1:7">
      <c r="A1141" t="s">
        <v>639</v>
      </c>
      <c r="C1141" t="str">
        <f>'4L'!$BA$22</f>
        <v>B0222WFC_TOT</v>
      </c>
      <c r="D1141" t="str">
        <f>_xlfn.CONCAT('4L'!$B$9, "-", '4L'!$B$22, "-", '4L'!$K$6, "-", '4L'!$K$6, "-", '4L'!$F$5)</f>
        <v>EA/NRW environmental programme (WINEP/NEP)-Water Framework Directive measures-Total-Total-Expenditure in report year</v>
      </c>
      <c r="F1141" t="s">
        <v>7182</v>
      </c>
      <c r="G1141">
        <f>'4L'!$K$22</f>
        <v>1.6E-2</v>
      </c>
    </row>
    <row r="1142" spans="1:7">
      <c r="A1142" t="s">
        <v>639</v>
      </c>
      <c r="C1142" t="str">
        <f>'4L'!$AV$23</f>
        <v>B0223WFO_WR</v>
      </c>
      <c r="D1142" t="str">
        <f>_xlfn.CONCAT('4L'!$B$9, "-", '4L'!$B$23, "-", '4L'!$F$6, "-", '4L'!$F$6, "-", '4L'!$F$5)</f>
        <v>EA/NRW environmental programme (WINEP/NEP)-Water Framework Directive measures-Water resources-Water resources-Expenditure in report year</v>
      </c>
      <c r="F1142" t="s">
        <v>7182</v>
      </c>
      <c r="G1142">
        <f>'4L'!$F$23</f>
        <v>5.7000000000000002E-2</v>
      </c>
    </row>
    <row r="1143" spans="1:7">
      <c r="A1143" t="s">
        <v>639</v>
      </c>
      <c r="C1143" t="str">
        <f>'4L'!$AW$23</f>
        <v>B0223WFO_RWT</v>
      </c>
      <c r="D1143" t="str">
        <f>_xlfn.CONCAT('4L'!$B$9, "-", '4L'!$B$23, "-", '4L'!$G$7, "-", '4L'!$G$6, "-", '4L'!$F$5)</f>
        <v>EA/NRW environmental programme (WINEP/NEP)-Water Framework Directive measures-Raw water transport-Water network+-Expenditure in report year</v>
      </c>
      <c r="F1143" t="s">
        <v>7182</v>
      </c>
      <c r="G1143">
        <f>'4L'!$G$23</f>
        <v>0</v>
      </c>
    </row>
    <row r="1144" spans="1:7">
      <c r="A1144" t="s">
        <v>639</v>
      </c>
      <c r="C1144" t="str">
        <f>'4L'!$AX$23</f>
        <v>B0223WFO_RWS</v>
      </c>
      <c r="D1144" t="str">
        <f>_xlfn.CONCAT('4L'!$B$9, "-", '4L'!$B$23, "-", '4L'!$H$7, "-", '4L'!$G$6, "-", '4L'!$F$5)</f>
        <v>EA/NRW environmental programme (WINEP/NEP)-Water Framework Directive measures-Raw water storage-Water network+-Expenditure in report year</v>
      </c>
      <c r="F1144" t="s">
        <v>7182</v>
      </c>
      <c r="G1144">
        <f>'4L'!$H$23</f>
        <v>0</v>
      </c>
    </row>
    <row r="1145" spans="1:7">
      <c r="A1145" t="s">
        <v>639</v>
      </c>
      <c r="C1145" t="str">
        <f>'4L'!$AY$23</f>
        <v>B0223WFO_WT</v>
      </c>
      <c r="D1145" t="str">
        <f>_xlfn.CONCAT('4L'!$B$9, "-", '4L'!$B$23, "-", '4L'!$I$7, "-", '4L'!$G$6, "-", '4L'!$F$5)</f>
        <v>EA/NRW environmental programme (WINEP/NEP)-Water Framework Directive measures-Water treatment-Water network+-Expenditure in report year</v>
      </c>
      <c r="F1145" t="s">
        <v>7182</v>
      </c>
      <c r="G1145">
        <f>'4L'!$I$23</f>
        <v>0</v>
      </c>
    </row>
    <row r="1146" spans="1:7">
      <c r="A1146" t="s">
        <v>639</v>
      </c>
      <c r="C1146" t="str">
        <f>'4L'!$AZ$23</f>
        <v>B0223WFO_TWD</v>
      </c>
      <c r="D1146" t="str">
        <f>_xlfn.CONCAT('4L'!$B$9, "-", '4L'!$B$23, "-", '4L'!$J$7, "-", '4L'!$G$6, "-", '4L'!$F$5)</f>
        <v>EA/NRW environmental programme (WINEP/NEP)-Water Framework Directive measures-Treated water distribution-Water network+-Expenditure in report year</v>
      </c>
      <c r="F1146" t="s">
        <v>7182</v>
      </c>
      <c r="G1146">
        <f>'4L'!$J$23</f>
        <v>0</v>
      </c>
    </row>
    <row r="1147" spans="1:7">
      <c r="A1147" t="s">
        <v>639</v>
      </c>
      <c r="C1147" t="str">
        <f>'4L'!$BA$23</f>
        <v>B0223WFO_TOT</v>
      </c>
      <c r="D1147" t="str">
        <f>_xlfn.CONCAT('4L'!$B$9, "-", '4L'!$B$23, "-", '4L'!$K$6, "-", '4L'!$K$6, "-", '4L'!$F$5)</f>
        <v>EA/NRW environmental programme (WINEP/NEP)-Water Framework Directive measures-Total-Total-Expenditure in report year</v>
      </c>
      <c r="F1147" t="s">
        <v>7182</v>
      </c>
      <c r="G1147">
        <f>'4L'!$K$23</f>
        <v>5.7000000000000002E-2</v>
      </c>
    </row>
    <row r="1148" spans="1:7">
      <c r="A1148" t="s">
        <v>639</v>
      </c>
      <c r="C1148" t="str">
        <f>'4L'!$AV$24</f>
        <v>B0224WFT_WR</v>
      </c>
      <c r="D1148" t="str">
        <f>_xlfn.CONCAT('4L'!$B$9, "-", '4L'!$B$24, "-", '4L'!$F$6, "-", '4L'!$F$6, "-", '4L'!$F$5)</f>
        <v>EA/NRW environmental programme (WINEP/NEP)-Water Framework Directive measures-Water resources-Water resources-Expenditure in report year</v>
      </c>
      <c r="F1148" t="s">
        <v>7182</v>
      </c>
      <c r="G1148">
        <f>'4L'!$F$24</f>
        <v>5.7000000000000002E-2</v>
      </c>
    </row>
    <row r="1149" spans="1:7">
      <c r="A1149" t="s">
        <v>639</v>
      </c>
      <c r="C1149" t="str">
        <f>'4L'!$AW$24</f>
        <v>B0224WFT_RWT</v>
      </c>
      <c r="D1149" t="str">
        <f>_xlfn.CONCAT('4L'!$B$9, "-", '4L'!$B$24, "-", '4L'!$G$7, "-", '4L'!$G$6, "-", '4L'!$F$5)</f>
        <v>EA/NRW environmental programme (WINEP/NEP)-Water Framework Directive measures-Raw water transport-Water network+-Expenditure in report year</v>
      </c>
      <c r="F1149" t="s">
        <v>7182</v>
      </c>
      <c r="G1149">
        <f>'4L'!$G$24</f>
        <v>0</v>
      </c>
    </row>
    <row r="1150" spans="1:7">
      <c r="A1150" t="s">
        <v>639</v>
      </c>
      <c r="C1150" t="str">
        <f>'4L'!$AX$24</f>
        <v>B0224WFT_RWS</v>
      </c>
      <c r="D1150" t="str">
        <f>_xlfn.CONCAT('4L'!$B$9, "-", '4L'!$B$24, "-", '4L'!$H$7, "-", '4L'!$G$6, "-", '4L'!$F$5)</f>
        <v>EA/NRW environmental programme (WINEP/NEP)-Water Framework Directive measures-Raw water storage-Water network+-Expenditure in report year</v>
      </c>
      <c r="F1150" t="s">
        <v>7182</v>
      </c>
      <c r="G1150">
        <f>'4L'!$H$24</f>
        <v>0</v>
      </c>
    </row>
    <row r="1151" spans="1:7">
      <c r="A1151" t="s">
        <v>639</v>
      </c>
      <c r="C1151" t="str">
        <f>'4L'!$AY$24</f>
        <v>B0224WFT_WT</v>
      </c>
      <c r="D1151" t="str">
        <f>_xlfn.CONCAT('4L'!$B$9, "-", '4L'!$B$24, "-", '4L'!$I$7, "-", '4L'!$G$6, "-", '4L'!$F$5)</f>
        <v>EA/NRW environmental programme (WINEP/NEP)-Water Framework Directive measures-Water treatment-Water network+-Expenditure in report year</v>
      </c>
      <c r="F1151" t="s">
        <v>7182</v>
      </c>
      <c r="G1151">
        <f>'4L'!$I$24</f>
        <v>1.6E-2</v>
      </c>
    </row>
    <row r="1152" spans="1:7">
      <c r="A1152" t="s">
        <v>639</v>
      </c>
      <c r="C1152" t="str">
        <f>'4L'!$AZ$24</f>
        <v>B0224WFT_TWD</v>
      </c>
      <c r="D1152" t="str">
        <f>_xlfn.CONCAT('4L'!$B$9, "-", '4L'!$B$24, "-", '4L'!$J$7, "-", '4L'!$G$6, "-", '4L'!$F$5)</f>
        <v>EA/NRW environmental programme (WINEP/NEP)-Water Framework Directive measures-Treated water distribution-Water network+-Expenditure in report year</v>
      </c>
      <c r="F1152" t="s">
        <v>7182</v>
      </c>
      <c r="G1152">
        <f>'4L'!$J$24</f>
        <v>0</v>
      </c>
    </row>
    <row r="1153" spans="1:7">
      <c r="A1153" t="s">
        <v>639</v>
      </c>
      <c r="C1153" t="str">
        <f>'4L'!$BA$24</f>
        <v>B0224WFT_TOT</v>
      </c>
      <c r="D1153" t="str">
        <f>_xlfn.CONCAT('4L'!$B$9, "-", '4L'!$B$24, "-", '4L'!$K$6, "-", '4L'!$K$6, "-", '4L'!$F$5)</f>
        <v>EA/NRW environmental programme (WINEP/NEP)-Water Framework Directive measures-Total-Total-Expenditure in report year</v>
      </c>
      <c r="F1153" t="s">
        <v>7182</v>
      </c>
      <c r="G1153">
        <f>'4L'!$K$24</f>
        <v>7.3000000000000009E-2</v>
      </c>
    </row>
    <row r="1154" spans="1:7">
      <c r="A1154" t="s">
        <v>639</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7182</v>
      </c>
      <c r="G1154">
        <f>'4L'!$R$24</f>
        <v>0.11400000000000002</v>
      </c>
    </row>
    <row r="1155" spans="1:7">
      <c r="A1155" t="s">
        <v>639</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7182</v>
      </c>
      <c r="G1155">
        <f>'4L'!$S$24</f>
        <v>4.282</v>
      </c>
    </row>
    <row r="1156" spans="1:7">
      <c r="A1156" t="s">
        <v>639</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7182</v>
      </c>
      <c r="G1156">
        <f>'4L'!$T$24</f>
        <v>5.2960000000000003</v>
      </c>
    </row>
    <row r="1157" spans="1:7">
      <c r="A1157" t="s">
        <v>639</v>
      </c>
      <c r="C1157" t="str">
        <f>'4L'!$AV$25</f>
        <v>B0225IVC_WR</v>
      </c>
      <c r="D1157" t="str">
        <f>_xlfn.CONCAT('4L'!$B$9, "-", '4L'!$B$25, "-", '4L'!$F$6, "-", '4L'!$F$6, "-", '4L'!$F$5)</f>
        <v>EA/NRW environmental programme (WINEP/NEP)-Investigations-Water resources-Water resources-Expenditure in report year</v>
      </c>
      <c r="F1157" t="s">
        <v>7182</v>
      </c>
      <c r="G1157">
        <f>'4L'!$F$25</f>
        <v>0.19800000000000001</v>
      </c>
    </row>
    <row r="1158" spans="1:7">
      <c r="A1158" t="s">
        <v>639</v>
      </c>
      <c r="C1158" t="str">
        <f>'4L'!$AW$25</f>
        <v>B0225IVC_RWT</v>
      </c>
      <c r="D1158" t="str">
        <f>_xlfn.CONCAT('4L'!$B$9, "-", '4L'!$B$25, "-", '4L'!$G$7, "-", '4L'!$G$6, "-", '4L'!$F$5)</f>
        <v>EA/NRW environmental programme (WINEP/NEP)-Investigations-Raw water transport-Water network+-Expenditure in report year</v>
      </c>
      <c r="F1158" t="s">
        <v>7182</v>
      </c>
      <c r="G1158">
        <f>'4L'!$G$25</f>
        <v>0</v>
      </c>
    </row>
    <row r="1159" spans="1:7">
      <c r="A1159" t="s">
        <v>639</v>
      </c>
      <c r="C1159" t="str">
        <f>'4L'!$AX$25</f>
        <v>B0225IVC_RWS</v>
      </c>
      <c r="D1159" t="str">
        <f>_xlfn.CONCAT('4L'!$B$9, "-", '4L'!$B$25, "-", '4L'!$H$7, "-", '4L'!$G$6, "-", '4L'!$F$5)</f>
        <v>EA/NRW environmental programme (WINEP/NEP)-Investigations-Raw water storage-Water network+-Expenditure in report year</v>
      </c>
      <c r="F1159" t="s">
        <v>7182</v>
      </c>
      <c r="G1159">
        <f>'4L'!$H$25</f>
        <v>0</v>
      </c>
    </row>
    <row r="1160" spans="1:7">
      <c r="A1160" t="s">
        <v>639</v>
      </c>
      <c r="C1160" t="str">
        <f>'4L'!$AY$25</f>
        <v>B0225IVC_WT</v>
      </c>
      <c r="D1160" t="str">
        <f>_xlfn.CONCAT('4L'!$B$9, "-", '4L'!$B$25, "-", '4L'!$I$7, "-", '4L'!$G$6, "-", '4L'!$F$5)</f>
        <v>EA/NRW environmental programme (WINEP/NEP)-Investigations-Water treatment-Water network+-Expenditure in report year</v>
      </c>
      <c r="F1160" t="s">
        <v>7182</v>
      </c>
      <c r="G1160">
        <f>'4L'!$I$25</f>
        <v>0</v>
      </c>
    </row>
    <row r="1161" spans="1:7">
      <c r="A1161" t="s">
        <v>639</v>
      </c>
      <c r="C1161" t="str">
        <f>'4L'!$AZ$25</f>
        <v>B0225IVC_TWD</v>
      </c>
      <c r="D1161" t="str">
        <f>_xlfn.CONCAT('4L'!$B$9, "-", '4L'!$B$25, "-", '4L'!$J$7, "-", '4L'!$G$6, "-", '4L'!$F$5)</f>
        <v>EA/NRW environmental programme (WINEP/NEP)-Investigations-Treated water distribution-Water network+-Expenditure in report year</v>
      </c>
      <c r="F1161" t="s">
        <v>7182</v>
      </c>
      <c r="G1161">
        <f>'4L'!$J$25</f>
        <v>0</v>
      </c>
    </row>
    <row r="1162" spans="1:7">
      <c r="A1162" t="s">
        <v>639</v>
      </c>
      <c r="C1162" t="str">
        <f>'4L'!$BA$25</f>
        <v>B0225IVC_TOT</v>
      </c>
      <c r="D1162" t="str">
        <f>_xlfn.CONCAT('4L'!$B$9, "-", '4L'!$B$25, "-", '4L'!$K$6, "-", '4L'!$K$6, "-", '4L'!$F$5)</f>
        <v>EA/NRW environmental programme (WINEP/NEP)-Investigations-Total-Total-Expenditure in report year</v>
      </c>
      <c r="F1162" t="s">
        <v>7182</v>
      </c>
      <c r="G1162">
        <f>'4L'!$K$25</f>
        <v>0.19800000000000001</v>
      </c>
    </row>
    <row r="1163" spans="1:7">
      <c r="A1163" t="s">
        <v>639</v>
      </c>
      <c r="C1163" t="str">
        <f>'4L'!$BB$25</f>
        <v>B0C225IVC_WR</v>
      </c>
      <c r="D1163" t="str">
        <f>_xlfn.CONCAT('4L'!$B$9, "-", '4L'!$B$25, "-", '4L'!$L$6, "-", '4L'!$L$6, "-", '4L'!$L$5)</f>
        <v>EA/NRW environmental programme (WINEP/NEP)-Investigations-Water resources-Water resources-Cumulative expenditure on schemes completed in the report year</v>
      </c>
      <c r="F1163" t="s">
        <v>7182</v>
      </c>
      <c r="G1163">
        <f>'4L'!$L$25</f>
        <v>0.253</v>
      </c>
    </row>
    <row r="1164" spans="1:7">
      <c r="A1164" t="s">
        <v>639</v>
      </c>
      <c r="C1164" t="str">
        <f>'4L'!$BC$25</f>
        <v>B0C225IVC_RWT</v>
      </c>
      <c r="D1164" t="str">
        <f>_xlfn.CONCAT('4L'!$B$9, "-", '4L'!$B$25, "-", '4L'!$M$7, "-", '4L'!$M$6, "-", '4L'!$L$5)</f>
        <v>EA/NRW environmental programme (WINEP/NEP)-Investigations-Raw water transport-Water network+-Cumulative expenditure on schemes completed in the report year</v>
      </c>
      <c r="F1164" t="s">
        <v>7182</v>
      </c>
      <c r="G1164">
        <f>'4L'!$M$25</f>
        <v>0</v>
      </c>
    </row>
    <row r="1165" spans="1:7">
      <c r="A1165" t="s">
        <v>639</v>
      </c>
      <c r="C1165" t="str">
        <f>'4L'!$BD$25</f>
        <v>B0C225IVC_RWS</v>
      </c>
      <c r="D1165" t="str">
        <f>_xlfn.CONCAT('4L'!$B$9, "-", '4L'!$B$25, "-", '4L'!$N$7, "-", '4L'!$M$6, "-", '4L'!$L$5)</f>
        <v>EA/NRW environmental programme (WINEP/NEP)-Investigations-Raw water storage-Water network+-Cumulative expenditure on schemes completed in the report year</v>
      </c>
      <c r="F1165" t="s">
        <v>7182</v>
      </c>
      <c r="G1165">
        <f>'4L'!$N$25</f>
        <v>0</v>
      </c>
    </row>
    <row r="1166" spans="1:7">
      <c r="A1166" t="s">
        <v>639</v>
      </c>
      <c r="C1166" t="str">
        <f>'4L'!$BE$25</f>
        <v>B0C225IVC_WT</v>
      </c>
      <c r="D1166" t="str">
        <f>_xlfn.CONCAT('4L'!$B$9, "-", '4L'!$B$25, "-", '4L'!$O$7, "-", '4L'!$M$6, "-", '4L'!$L$5)</f>
        <v>EA/NRW environmental programme (WINEP/NEP)-Investigations-Water treatment-Water network+-Cumulative expenditure on schemes completed in the report year</v>
      </c>
      <c r="F1166" t="s">
        <v>7182</v>
      </c>
      <c r="G1166">
        <f>'4L'!$O$25</f>
        <v>0</v>
      </c>
    </row>
    <row r="1167" spans="1:7">
      <c r="A1167" t="s">
        <v>639</v>
      </c>
      <c r="C1167" t="str">
        <f>'4L'!$BF$25</f>
        <v>B0C225IVC_TWD</v>
      </c>
      <c r="D1167" t="str">
        <f>_xlfn.CONCAT('4L'!$B$9, "-", '4L'!$B$25, "-", '4L'!$P$7, "-", '4L'!$M$6, "-", '4L'!$L$5)</f>
        <v>EA/NRW environmental programme (WINEP/NEP)-Investigations-Treated water distribution-Water network+-Cumulative expenditure on schemes completed in the report year</v>
      </c>
      <c r="F1167" t="s">
        <v>7182</v>
      </c>
      <c r="G1167">
        <f>'4L'!$P$25</f>
        <v>0</v>
      </c>
    </row>
    <row r="1168" spans="1:7">
      <c r="A1168" t="s">
        <v>639</v>
      </c>
      <c r="C1168" t="str">
        <f>'4L'!$BG$25</f>
        <v>B0C225IVC_TOT</v>
      </c>
      <c r="D1168" t="str">
        <f>_xlfn.CONCAT('4L'!$B$9, "-", '4L'!$B$25, "-", '4L'!$Q$6, "-", '4L'!$Q$6, "-", '4L'!$L$5)</f>
        <v>EA/NRW environmental programme (WINEP/NEP)-Investigations-Total-Total-Cumulative expenditure on schemes completed in the report year</v>
      </c>
      <c r="F1168" t="s">
        <v>7182</v>
      </c>
      <c r="G1168">
        <f>'4L'!$Q$25</f>
        <v>0.253</v>
      </c>
    </row>
    <row r="1169" spans="1:7">
      <c r="A1169" t="s">
        <v>639</v>
      </c>
      <c r="C1169" t="str">
        <f>'4L'!$AV$26</f>
        <v>B0226IVO_WR</v>
      </c>
      <c r="D1169" t="str">
        <f>_xlfn.CONCAT('4L'!$B$9, "-", '4L'!$B$26, "-", '4L'!$F$6, "-", '4L'!$F$6, "-", '4L'!$F$5)</f>
        <v>EA/NRW environmental programme (WINEP/NEP)-Investigations-Water resources-Water resources-Expenditure in report year</v>
      </c>
      <c r="F1169" t="s">
        <v>7182</v>
      </c>
      <c r="G1169">
        <f>'4L'!$F$26</f>
        <v>0.223</v>
      </c>
    </row>
    <row r="1170" spans="1:7">
      <c r="A1170" t="s">
        <v>639</v>
      </c>
      <c r="C1170" t="str">
        <f>'4L'!$AW$26</f>
        <v>B0226IVO_RWT</v>
      </c>
      <c r="D1170" t="str">
        <f>_xlfn.CONCAT('4L'!$B$9, "-", '4L'!$B$26, "-", '4L'!$G$7, "-", '4L'!$G$6, "-", '4L'!$F$5)</f>
        <v>EA/NRW environmental programme (WINEP/NEP)-Investigations-Raw water transport-Water network+-Expenditure in report year</v>
      </c>
      <c r="F1170" t="s">
        <v>7182</v>
      </c>
      <c r="G1170">
        <f>'4L'!$G$26</f>
        <v>0</v>
      </c>
    </row>
    <row r="1171" spans="1:7">
      <c r="A1171" t="s">
        <v>639</v>
      </c>
      <c r="C1171" t="str">
        <f>'4L'!$AX$26</f>
        <v>B0226IVO_RWS</v>
      </c>
      <c r="D1171" t="str">
        <f>_xlfn.CONCAT('4L'!$B$9, "-", '4L'!$B$26, "-", '4L'!$H$7, "-", '4L'!$G$6, "-", '4L'!$F$5)</f>
        <v>EA/NRW environmental programme (WINEP/NEP)-Investigations-Raw water storage-Water network+-Expenditure in report year</v>
      </c>
      <c r="F1171" t="s">
        <v>7182</v>
      </c>
      <c r="G1171">
        <f>'4L'!$H$26</f>
        <v>0</v>
      </c>
    </row>
    <row r="1172" spans="1:7">
      <c r="A1172" t="s">
        <v>639</v>
      </c>
      <c r="C1172" t="str">
        <f>'4L'!$AY$26</f>
        <v>B0226IVO_WT</v>
      </c>
      <c r="D1172" t="str">
        <f>_xlfn.CONCAT('4L'!$B$9, "-", '4L'!$B$26, "-", '4L'!$I$7, "-", '4L'!$G$6, "-", '4L'!$F$5)</f>
        <v>EA/NRW environmental programme (WINEP/NEP)-Investigations-Water treatment-Water network+-Expenditure in report year</v>
      </c>
      <c r="F1172" t="s">
        <v>7182</v>
      </c>
      <c r="G1172">
        <f>'4L'!$I$26</f>
        <v>0</v>
      </c>
    </row>
    <row r="1173" spans="1:7">
      <c r="A1173" t="s">
        <v>639</v>
      </c>
      <c r="C1173" t="str">
        <f>'4L'!$AZ$26</f>
        <v>B0226IVO_TWD</v>
      </c>
      <c r="D1173" t="str">
        <f>_xlfn.CONCAT('4L'!$B$9, "-", '4L'!$B$26, "-", '4L'!$J$7, "-", '4L'!$G$6, "-", '4L'!$F$5)</f>
        <v>EA/NRW environmental programme (WINEP/NEP)-Investigations-Treated water distribution-Water network+-Expenditure in report year</v>
      </c>
      <c r="F1173" t="s">
        <v>7182</v>
      </c>
      <c r="G1173">
        <f>'4L'!$J$26</f>
        <v>0</v>
      </c>
    </row>
    <row r="1174" spans="1:7">
      <c r="A1174" t="s">
        <v>639</v>
      </c>
      <c r="C1174" t="str">
        <f>'4L'!$BA$26</f>
        <v>B0226IVO_TOT</v>
      </c>
      <c r="D1174" t="str">
        <f>_xlfn.CONCAT('4L'!$B$9, "-", '4L'!$B$26, "-", '4L'!$K$6, "-", '4L'!$K$6, "-", '4L'!$F$5)</f>
        <v>EA/NRW environmental programme (WINEP/NEP)-Investigations-Total-Total-Expenditure in report year</v>
      </c>
      <c r="F1174" t="s">
        <v>7182</v>
      </c>
      <c r="G1174">
        <f>'4L'!$K$26</f>
        <v>0.223</v>
      </c>
    </row>
    <row r="1175" spans="1:7">
      <c r="A1175" t="s">
        <v>639</v>
      </c>
      <c r="C1175" t="str">
        <f>'4L'!$BB$26</f>
        <v>B0C226IVO_WR</v>
      </c>
      <c r="D1175" t="str">
        <f>_xlfn.CONCAT('4L'!$B$9, "-", '4L'!$B$26, "-", '4L'!$L$6, "-", '4L'!$L$6, "-", '4L'!$L$5)</f>
        <v>EA/NRW environmental programme (WINEP/NEP)-Investigations-Water resources-Water resources-Cumulative expenditure on schemes completed in the report year</v>
      </c>
      <c r="F1175" t="s">
        <v>7182</v>
      </c>
      <c r="G1175">
        <f>'4L'!$L$26</f>
        <v>0.874</v>
      </c>
    </row>
    <row r="1176" spans="1:7">
      <c r="A1176" t="s">
        <v>639</v>
      </c>
      <c r="C1176" t="str">
        <f>'4L'!$BC$26</f>
        <v>B0C226IVO_RWT</v>
      </c>
      <c r="D1176" t="str">
        <f>_xlfn.CONCAT('4L'!$B$9, "-", '4L'!$B$26, "-", '4L'!$M$7, "-", '4L'!$M$6, "-", '4L'!$L$5)</f>
        <v>EA/NRW environmental programme (WINEP/NEP)-Investigations-Raw water transport-Water network+-Cumulative expenditure on schemes completed in the report year</v>
      </c>
      <c r="F1176" t="s">
        <v>7182</v>
      </c>
      <c r="G1176">
        <f>'4L'!$M$26</f>
        <v>0</v>
      </c>
    </row>
    <row r="1177" spans="1:7">
      <c r="A1177" t="s">
        <v>639</v>
      </c>
      <c r="C1177" t="str">
        <f>'4L'!$BD$26</f>
        <v>B0C226IVO_RWS</v>
      </c>
      <c r="D1177" t="str">
        <f>_xlfn.CONCAT('4L'!$B$9, "-", '4L'!$B$26, "-", '4L'!$N$7, "-", '4L'!$M$6, "-", '4L'!$L$5)</f>
        <v>EA/NRW environmental programme (WINEP/NEP)-Investigations-Raw water storage-Water network+-Cumulative expenditure on schemes completed in the report year</v>
      </c>
      <c r="F1177" t="s">
        <v>7182</v>
      </c>
      <c r="G1177">
        <f>'4L'!$N$26</f>
        <v>0</v>
      </c>
    </row>
    <row r="1178" spans="1:7">
      <c r="A1178" t="s">
        <v>639</v>
      </c>
      <c r="C1178" t="str">
        <f>'4L'!$BE$26</f>
        <v>B0C226IVO_WT</v>
      </c>
      <c r="D1178" t="str">
        <f>_xlfn.CONCAT('4L'!$B$9, "-", '4L'!$B$26, "-", '4L'!$O$7, "-", '4L'!$M$6, "-", '4L'!$L$5)</f>
        <v>EA/NRW environmental programme (WINEP/NEP)-Investigations-Water treatment-Water network+-Cumulative expenditure on schemes completed in the report year</v>
      </c>
      <c r="F1178" t="s">
        <v>7182</v>
      </c>
      <c r="G1178">
        <f>'4L'!$O$26</f>
        <v>0</v>
      </c>
    </row>
    <row r="1179" spans="1:7">
      <c r="A1179" t="s">
        <v>639</v>
      </c>
      <c r="C1179" t="str">
        <f>'4L'!$BF$26</f>
        <v>B0C226IVO_TWD</v>
      </c>
      <c r="D1179" t="str">
        <f>_xlfn.CONCAT('4L'!$B$9, "-", '4L'!$B$26, "-", '4L'!$P$7, "-", '4L'!$M$6, "-", '4L'!$L$5)</f>
        <v>EA/NRW environmental programme (WINEP/NEP)-Investigations-Treated water distribution-Water network+-Cumulative expenditure on schemes completed in the report year</v>
      </c>
      <c r="F1179" t="s">
        <v>7182</v>
      </c>
      <c r="G1179">
        <f>'4L'!$P$26</f>
        <v>0</v>
      </c>
    </row>
    <row r="1180" spans="1:7">
      <c r="A1180" t="s">
        <v>639</v>
      </c>
      <c r="C1180" t="str">
        <f>'4L'!$BG$26</f>
        <v>B0C226IVO_TOT</v>
      </c>
      <c r="D1180" t="str">
        <f>_xlfn.CONCAT('4L'!$B$9, "-", '4L'!$B$26, "-", '4L'!$Q$6, "-", '4L'!$Q$6, "-", '4L'!$L$5)</f>
        <v>EA/NRW environmental programme (WINEP/NEP)-Investigations-Total-Total-Cumulative expenditure on schemes completed in the report year</v>
      </c>
      <c r="F1180" t="s">
        <v>7182</v>
      </c>
      <c r="G1180">
        <f>'4L'!$Q$26</f>
        <v>0.874</v>
      </c>
    </row>
    <row r="1181" spans="1:7">
      <c r="A1181" t="s">
        <v>639</v>
      </c>
      <c r="C1181" t="str">
        <f>'4L'!$AV$27</f>
        <v>B0227IVT_WR</v>
      </c>
      <c r="D1181" t="str">
        <f>_xlfn.CONCAT('4L'!$B$9, "-", '4L'!$B$27, "-", '4L'!$F$6, "-", '4L'!$F$6, "-", '4L'!$F$5)</f>
        <v>EA/NRW environmental programme (WINEP/NEP)-Investigations-Water resources-Water resources-Expenditure in report year</v>
      </c>
      <c r="F1181" t="s">
        <v>7182</v>
      </c>
      <c r="G1181">
        <f>'4L'!$F$27</f>
        <v>0.42100000000000004</v>
      </c>
    </row>
    <row r="1182" spans="1:7">
      <c r="A1182" t="s">
        <v>639</v>
      </c>
      <c r="C1182" t="str">
        <f>'4L'!$AW$27</f>
        <v>B0227IVT_RWT</v>
      </c>
      <c r="D1182" t="str">
        <f>_xlfn.CONCAT('4L'!$B$9, "-", '4L'!$B$27, "-", '4L'!$G$7, "-", '4L'!$G$6, "-", '4L'!$F$5)</f>
        <v>EA/NRW environmental programme (WINEP/NEP)-Investigations-Raw water transport-Water network+-Expenditure in report year</v>
      </c>
      <c r="F1182" t="s">
        <v>7182</v>
      </c>
      <c r="G1182">
        <f>'4L'!$G$27</f>
        <v>0</v>
      </c>
    </row>
    <row r="1183" spans="1:7">
      <c r="A1183" t="s">
        <v>639</v>
      </c>
      <c r="C1183" t="str">
        <f>'4L'!$AX$27</f>
        <v>B0227IVT_RWS</v>
      </c>
      <c r="D1183" t="str">
        <f>_xlfn.CONCAT('4L'!$B$9, "-", '4L'!$B$27, "-", '4L'!$H$7, "-", '4L'!$G$6, "-", '4L'!$F$5)</f>
        <v>EA/NRW environmental programme (WINEP/NEP)-Investigations-Raw water storage-Water network+-Expenditure in report year</v>
      </c>
      <c r="F1183" t="s">
        <v>7182</v>
      </c>
      <c r="G1183">
        <f>'4L'!$H$27</f>
        <v>0</v>
      </c>
    </row>
    <row r="1184" spans="1:7">
      <c r="A1184" t="s">
        <v>639</v>
      </c>
      <c r="C1184" t="str">
        <f>'4L'!$AY$27</f>
        <v>B0227IVT_WT</v>
      </c>
      <c r="D1184" t="str">
        <f>_xlfn.CONCAT('4L'!$B$9, "-", '4L'!$B$27, "-", '4L'!$I$7, "-", '4L'!$G$6, "-", '4L'!$F$5)</f>
        <v>EA/NRW environmental programme (WINEP/NEP)-Investigations-Water treatment-Water network+-Expenditure in report year</v>
      </c>
      <c r="F1184" t="s">
        <v>7182</v>
      </c>
      <c r="G1184">
        <f>'4L'!$I$27</f>
        <v>0</v>
      </c>
    </row>
    <row r="1185" spans="1:7">
      <c r="A1185" t="s">
        <v>639</v>
      </c>
      <c r="C1185" t="str">
        <f>'4L'!$AZ$27</f>
        <v>B0227IVT_TWD</v>
      </c>
      <c r="D1185" t="str">
        <f>_xlfn.CONCAT('4L'!$B$9, "-", '4L'!$B$27, "-", '4L'!$J$7, "-", '4L'!$G$6, "-", '4L'!$F$5)</f>
        <v>EA/NRW environmental programme (WINEP/NEP)-Investigations-Treated water distribution-Water network+-Expenditure in report year</v>
      </c>
      <c r="F1185" t="s">
        <v>7182</v>
      </c>
      <c r="G1185">
        <f>'4L'!$J$27</f>
        <v>0</v>
      </c>
    </row>
    <row r="1186" spans="1:7">
      <c r="A1186" t="s">
        <v>639</v>
      </c>
      <c r="C1186" t="str">
        <f>'4L'!$BA$27</f>
        <v>B0227IVT_TOT</v>
      </c>
      <c r="D1186" t="str">
        <f>_xlfn.CONCAT('4L'!$B$9, "-", '4L'!$B$27, "-", '4L'!$K$6, "-", '4L'!$K$6, "-", '4L'!$F$5)</f>
        <v>EA/NRW environmental programme (WINEP/NEP)-Investigations-Total-Total-Expenditure in report year</v>
      </c>
      <c r="F1186" t="s">
        <v>7182</v>
      </c>
      <c r="G1186">
        <f>'4L'!$K$27</f>
        <v>0.42100000000000004</v>
      </c>
    </row>
    <row r="1187" spans="1:7">
      <c r="A1187" t="s">
        <v>639</v>
      </c>
      <c r="C1187" t="str">
        <f>'4L'!$BB$27</f>
        <v>B0C227IVT_WR</v>
      </c>
      <c r="D1187" t="str">
        <f>_xlfn.CONCAT('4L'!$B$9, "-", '4L'!$B$27, "-", '4L'!$L$6, "-", '4L'!$L$6, "-", '4L'!$L$5)</f>
        <v>EA/NRW environmental programme (WINEP/NEP)-Investigations-Water resources-Water resources-Cumulative expenditure on schemes completed in the report year</v>
      </c>
      <c r="F1187" t="s">
        <v>7182</v>
      </c>
      <c r="G1187">
        <f>'4L'!$L$27</f>
        <v>1.127</v>
      </c>
    </row>
    <row r="1188" spans="1:7">
      <c r="A1188" t="s">
        <v>639</v>
      </c>
      <c r="C1188" t="str">
        <f>'4L'!$BC$27</f>
        <v>B0C227IVT_RWT</v>
      </c>
      <c r="D1188" t="str">
        <f>_xlfn.CONCAT('4L'!$B$9, "-", '4L'!$B$27, "-", '4L'!$M$7, "-", '4L'!$M$6, "-", '4L'!$L$5)</f>
        <v>EA/NRW environmental programme (WINEP/NEP)-Investigations-Raw water transport-Water network+-Cumulative expenditure on schemes completed in the report year</v>
      </c>
      <c r="F1188" t="s">
        <v>7182</v>
      </c>
      <c r="G1188">
        <f>'4L'!$M$27</f>
        <v>0</v>
      </c>
    </row>
    <row r="1189" spans="1:7">
      <c r="A1189" t="s">
        <v>639</v>
      </c>
      <c r="C1189" t="str">
        <f>'4L'!$BD$27</f>
        <v>B0C227IVT_RWS</v>
      </c>
      <c r="D1189" t="str">
        <f>_xlfn.CONCAT('4L'!$B$9, "-", '4L'!$B$27, "-", '4L'!$N$7, "-", '4L'!$M$6, "-", '4L'!$L$5)</f>
        <v>EA/NRW environmental programme (WINEP/NEP)-Investigations-Raw water storage-Water network+-Cumulative expenditure on schemes completed in the report year</v>
      </c>
      <c r="F1189" t="s">
        <v>7182</v>
      </c>
      <c r="G1189">
        <f>'4L'!$N$27</f>
        <v>0</v>
      </c>
    </row>
    <row r="1190" spans="1:7">
      <c r="A1190" t="s">
        <v>639</v>
      </c>
      <c r="C1190" t="str">
        <f>'4L'!$BE$27</f>
        <v>B0C227IVT_WT</v>
      </c>
      <c r="D1190" t="str">
        <f>_xlfn.CONCAT('4L'!$B$9, "-", '4L'!$B$27, "-", '4L'!$O$7, "-", '4L'!$M$6, "-", '4L'!$L$5)</f>
        <v>EA/NRW environmental programme (WINEP/NEP)-Investigations-Water treatment-Water network+-Cumulative expenditure on schemes completed in the report year</v>
      </c>
      <c r="F1190" t="s">
        <v>7182</v>
      </c>
      <c r="G1190">
        <f>'4L'!$O$27</f>
        <v>0</v>
      </c>
    </row>
    <row r="1191" spans="1:7">
      <c r="A1191" t="s">
        <v>639</v>
      </c>
      <c r="C1191" t="str">
        <f>'4L'!$BF$27</f>
        <v>B0C227IVT_TWD</v>
      </c>
      <c r="D1191" t="str">
        <f>_xlfn.CONCAT('4L'!$B$9, "-", '4L'!$B$27, "-", '4L'!$P$7, "-", '4L'!$M$6, "-", '4L'!$L$5)</f>
        <v>EA/NRW environmental programme (WINEP/NEP)-Investigations-Treated water distribution-Water network+-Cumulative expenditure on schemes completed in the report year</v>
      </c>
      <c r="F1191" t="s">
        <v>7182</v>
      </c>
      <c r="G1191">
        <f>'4L'!$P$27</f>
        <v>0</v>
      </c>
    </row>
    <row r="1192" spans="1:7">
      <c r="A1192" t="s">
        <v>639</v>
      </c>
      <c r="C1192" t="str">
        <f>'4L'!$BG$27</f>
        <v>B0C227IVT_TOT</v>
      </c>
      <c r="D1192" t="str">
        <f>_xlfn.CONCAT('4L'!$B$9, "-", '4L'!$B$27, "-", '4L'!$Q$6, "-", '4L'!$Q$6, "-", '4L'!$L$5)</f>
        <v>EA/NRW environmental programme (WINEP/NEP)-Investigations-Total-Total-Cumulative expenditure on schemes completed in the report year</v>
      </c>
      <c r="F1192" t="s">
        <v>7182</v>
      </c>
      <c r="G1192">
        <f>'4L'!$Q$27</f>
        <v>1.127</v>
      </c>
    </row>
    <row r="1193" spans="1:7">
      <c r="A1193" t="s">
        <v>639</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7182</v>
      </c>
      <c r="G1193">
        <f>'4L'!$R$27</f>
        <v>0.74</v>
      </c>
    </row>
    <row r="1194" spans="1:7">
      <c r="A1194" t="s">
        <v>639</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7182</v>
      </c>
      <c r="G1194">
        <f>'4L'!$S$27</f>
        <v>0</v>
      </c>
    </row>
    <row r="1195" spans="1:7">
      <c r="A1195" t="s">
        <v>639</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7182</v>
      </c>
      <c r="G1195">
        <f>'4L'!$T$27</f>
        <v>0</v>
      </c>
    </row>
    <row r="1196" spans="1:7">
      <c r="A1196" t="s">
        <v>639</v>
      </c>
      <c r="C1196" t="str">
        <f>'4L'!$AV$28</f>
        <v>B0228TET_WR</v>
      </c>
      <c r="D1196" t="str">
        <f>_xlfn.CONCAT('4L'!$B$9, "-", '4L'!$B$28, "-", '4L'!$F$6, "-", '4L'!$F$6, "-", '4L'!$F$5)</f>
        <v>EA/NRW environmental programme (WINEP/NEP)-Total environmental programme expenditure -Water resources-Water resources-Expenditure in report year</v>
      </c>
      <c r="F1196" t="s">
        <v>7182</v>
      </c>
      <c r="G1196">
        <f>'4L'!$F$28</f>
        <v>1.4390000000000001</v>
      </c>
    </row>
    <row r="1197" spans="1:7">
      <c r="A1197" t="s">
        <v>639</v>
      </c>
      <c r="C1197" t="str">
        <f>'4L'!$AW$28</f>
        <v>B0228TET_RWT</v>
      </c>
      <c r="D1197" t="str">
        <f>_xlfn.CONCAT('4L'!$B$9, "-", '4L'!$B$28, "-", '4L'!$G$7, "-", '4L'!$G$6, "-", '4L'!$F$5)</f>
        <v>EA/NRW environmental programme (WINEP/NEP)-Total environmental programme expenditure -Raw water transport-Water network+-Expenditure in report year</v>
      </c>
      <c r="F1197" t="s">
        <v>7182</v>
      </c>
      <c r="G1197">
        <f>'4L'!$G$28</f>
        <v>0</v>
      </c>
    </row>
    <row r="1198" spans="1:7">
      <c r="A1198" t="s">
        <v>639</v>
      </c>
      <c r="C1198" t="str">
        <f>'4L'!$AX$28</f>
        <v>B0228TET_RWS</v>
      </c>
      <c r="D1198" t="str">
        <f>_xlfn.CONCAT('4L'!$B$9, "-", '4L'!$B$28, "-", '4L'!$H$7, "-", '4L'!$G$6, "-", '4L'!$F$5)</f>
        <v>EA/NRW environmental programme (WINEP/NEP)-Total environmental programme expenditure -Raw water storage-Water network+-Expenditure in report year</v>
      </c>
      <c r="F1198" t="s">
        <v>7182</v>
      </c>
      <c r="G1198">
        <f>'4L'!$H$28</f>
        <v>0</v>
      </c>
    </row>
    <row r="1199" spans="1:7">
      <c r="A1199" t="s">
        <v>639</v>
      </c>
      <c r="C1199" t="str">
        <f>'4L'!$AY$28</f>
        <v>B0228TET_WT</v>
      </c>
      <c r="D1199" t="str">
        <f>_xlfn.CONCAT('4L'!$B$9, "-", '4L'!$B$28, "-", '4L'!$I$7, "-", '4L'!$G$6, "-", '4L'!$F$5)</f>
        <v>EA/NRW environmental programme (WINEP/NEP)-Total environmental programme expenditure -Water treatment-Water network+-Expenditure in report year</v>
      </c>
      <c r="F1199" t="s">
        <v>7182</v>
      </c>
      <c r="G1199">
        <f>'4L'!$I$28</f>
        <v>1.6E-2</v>
      </c>
    </row>
    <row r="1200" spans="1:7">
      <c r="A1200" t="s">
        <v>639</v>
      </c>
      <c r="C1200" t="str">
        <f>'4L'!$AZ$28</f>
        <v>B0228TET_TWD</v>
      </c>
      <c r="D1200" t="str">
        <f>_xlfn.CONCAT('4L'!$B$9, "-", '4L'!$B$28, "-", '4L'!$J$7, "-", '4L'!$G$6, "-", '4L'!$F$5)</f>
        <v>EA/NRW environmental programme (WINEP/NEP)-Total environmental programme expenditure -Treated water distribution-Water network+-Expenditure in report year</v>
      </c>
      <c r="F1200" t="s">
        <v>7182</v>
      </c>
      <c r="G1200">
        <f>'4L'!$J$28</f>
        <v>0</v>
      </c>
    </row>
    <row r="1201" spans="1:7">
      <c r="A1201" t="s">
        <v>639</v>
      </c>
      <c r="C1201" t="str">
        <f>'4L'!$BA$28</f>
        <v>B0228TET_TOT</v>
      </c>
      <c r="D1201" t="str">
        <f>_xlfn.CONCAT('4L'!$B$9, "-", '4L'!$B$28, "-", '4L'!$K$6, "-", '4L'!$K$6, "-", '4L'!$F$5)</f>
        <v>EA/NRW environmental programme (WINEP/NEP)-Total environmental programme expenditure -Total-Total-Expenditure in report year</v>
      </c>
      <c r="F1201" t="s">
        <v>7182</v>
      </c>
      <c r="G1201">
        <f>'4L'!$K$28</f>
        <v>1.4550000000000001</v>
      </c>
    </row>
    <row r="1202" spans="1:7">
      <c r="A1202" t="s">
        <v>639</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7182</v>
      </c>
      <c r="G1202">
        <f>'4L'!$R$28</f>
        <v>10.546999999999999</v>
      </c>
    </row>
    <row r="1203" spans="1:7">
      <c r="A1203" t="s">
        <v>639</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7182</v>
      </c>
      <c r="G1203">
        <f>'4L'!$S$28</f>
        <v>13.525</v>
      </c>
    </row>
    <row r="1204" spans="1:7">
      <c r="A1204" t="s">
        <v>639</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7182</v>
      </c>
      <c r="G1204">
        <f>'4L'!$T$28</f>
        <v>16.727</v>
      </c>
    </row>
    <row r="1205" spans="1:7">
      <c r="A1205" t="s">
        <v>639</v>
      </c>
      <c r="C1205" t="str">
        <f>'4L'!$AV$31</f>
        <v>B0229SSC_WR</v>
      </c>
      <c r="D1205" t="str">
        <f>_xlfn.CONCAT('4L'!$B$30, "-", '4L'!$B$31, "-", '4L'!$F$6, "-", '4L'!$F$6, "-", '4L'!$F$5)</f>
        <v>Supply-demand balance-Supply-side improvements delivering benefits in 2020-2025-Water resources-Water resources-Expenditure in report year</v>
      </c>
      <c r="F1205" t="s">
        <v>7182</v>
      </c>
      <c r="G1205">
        <f>'4L'!$F$31</f>
        <v>0</v>
      </c>
    </row>
    <row r="1206" spans="1:7">
      <c r="A1206" t="s">
        <v>639</v>
      </c>
      <c r="C1206" t="str">
        <f>'4L'!$AW$31</f>
        <v>B0229SSC_RWT</v>
      </c>
      <c r="D1206" t="str">
        <f>_xlfn.CONCAT('4L'!$B$30, "-", '4L'!$B$31, "-", '4L'!$G$7, "-", '4L'!$G$6, "-", '4L'!$F$5)</f>
        <v>Supply-demand balance-Supply-side improvements delivering benefits in 2020-2025-Raw water transport-Water network+-Expenditure in report year</v>
      </c>
      <c r="F1206" t="s">
        <v>7182</v>
      </c>
      <c r="G1206">
        <f>'4L'!$G$31</f>
        <v>0</v>
      </c>
    </row>
    <row r="1207" spans="1:7">
      <c r="A1207" t="s">
        <v>639</v>
      </c>
      <c r="C1207" t="str">
        <f>'4L'!$AX$31</f>
        <v>B0229SSC_RWS</v>
      </c>
      <c r="D1207" t="str">
        <f>_xlfn.CONCAT('4L'!$B$30, "-", '4L'!$B$31, "-", '4L'!$H$7, "-", '4L'!$G$6, "-", '4L'!$F$5)</f>
        <v>Supply-demand balance-Supply-side improvements delivering benefits in 2020-2025-Raw water storage-Water network+-Expenditure in report year</v>
      </c>
      <c r="F1207" t="s">
        <v>7182</v>
      </c>
      <c r="G1207">
        <f>'4L'!$H$31</f>
        <v>0</v>
      </c>
    </row>
    <row r="1208" spans="1:7">
      <c r="A1208" t="s">
        <v>639</v>
      </c>
      <c r="C1208" t="str">
        <f>'4L'!$AY$31</f>
        <v>B0229SSC_WT</v>
      </c>
      <c r="D1208" t="str">
        <f>_xlfn.CONCAT('4L'!$B$30, "-", '4L'!$B$31, "-", '4L'!$I$7, "-", '4L'!$G$6, "-", '4L'!$F$5)</f>
        <v>Supply-demand balance-Supply-side improvements delivering benefits in 2020-2025-Water treatment-Water network+-Expenditure in report year</v>
      </c>
      <c r="F1208" t="s">
        <v>7182</v>
      </c>
      <c r="G1208">
        <f>'4L'!$I$31</f>
        <v>0</v>
      </c>
    </row>
    <row r="1209" spans="1:7">
      <c r="A1209" t="s">
        <v>639</v>
      </c>
      <c r="C1209" t="str">
        <f>'4L'!$AZ$31</f>
        <v>B0229SSC_TWD</v>
      </c>
      <c r="D1209" t="str">
        <f>_xlfn.CONCAT('4L'!$B$30, "-", '4L'!$B$31, "-", '4L'!$J$7, "-", '4L'!$G$6, "-", '4L'!$F$5)</f>
        <v>Supply-demand balance-Supply-side improvements delivering benefits in 2020-2025-Treated water distribution-Water network+-Expenditure in report year</v>
      </c>
      <c r="F1209" t="s">
        <v>7182</v>
      </c>
      <c r="G1209">
        <f>'4L'!$J$31</f>
        <v>0</v>
      </c>
    </row>
    <row r="1210" spans="1:7">
      <c r="A1210" t="s">
        <v>639</v>
      </c>
      <c r="C1210" t="str">
        <f>'4L'!$BA$31</f>
        <v>B0229SSC_TOT</v>
      </c>
      <c r="D1210" t="str">
        <f>_xlfn.CONCAT('4L'!$B$30, "-", '4L'!$B$31, "-", '4L'!$K$6, "-", '4L'!$K$6, "-", '4L'!$F$5)</f>
        <v>Supply-demand balance-Supply-side improvements delivering benefits in 2020-2025-Total-Total-Expenditure in report year</v>
      </c>
      <c r="F1210" t="s">
        <v>7182</v>
      </c>
      <c r="G1210">
        <f>'4L'!$K$31</f>
        <v>0</v>
      </c>
    </row>
    <row r="1211" spans="1:7">
      <c r="A1211" t="s">
        <v>639</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7182</v>
      </c>
      <c r="G1211">
        <f>'4L'!$L$31</f>
        <v>0</v>
      </c>
    </row>
    <row r="1212" spans="1:7">
      <c r="A1212" t="s">
        <v>639</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7182</v>
      </c>
      <c r="G1212">
        <f>'4L'!$M$31</f>
        <v>0</v>
      </c>
    </row>
    <row r="1213" spans="1:7">
      <c r="A1213" t="s">
        <v>639</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7182</v>
      </c>
      <c r="G1213">
        <f>'4L'!$N$31</f>
        <v>0</v>
      </c>
    </row>
    <row r="1214" spans="1:7">
      <c r="A1214" t="s">
        <v>639</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7182</v>
      </c>
      <c r="G1214">
        <f>'4L'!$O$31</f>
        <v>0</v>
      </c>
    </row>
    <row r="1215" spans="1:7">
      <c r="A1215" t="s">
        <v>639</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7182</v>
      </c>
      <c r="G1215">
        <f>'4L'!$P$31</f>
        <v>0</v>
      </c>
    </row>
    <row r="1216" spans="1:7">
      <c r="A1216" t="s">
        <v>639</v>
      </c>
      <c r="C1216" t="str">
        <f>'4L'!$BG$31</f>
        <v>B0C229SSC_TOT</v>
      </c>
      <c r="D1216" t="str">
        <f>_xlfn.CONCAT('4L'!$B$30, "-", '4L'!$B$31, "-", '4L'!$Q$6, "-", '4L'!$Q$6, "-", '4L'!$L$5)</f>
        <v>Supply-demand balance-Supply-side improvements delivering benefits in 2020-2025-Total-Total-Cumulative expenditure on schemes completed in the report year</v>
      </c>
      <c r="F1216" t="s">
        <v>7182</v>
      </c>
      <c r="G1216">
        <f>'4L'!$Q$31</f>
        <v>0</v>
      </c>
    </row>
    <row r="1217" spans="1:7">
      <c r="A1217" t="s">
        <v>639</v>
      </c>
      <c r="C1217" t="str">
        <f>'4L'!$AV$32</f>
        <v>B0230SSO_WR</v>
      </c>
      <c r="D1217" t="str">
        <f>_xlfn.CONCAT('4L'!$B$30, "-", '4L'!$B$32, "-", '4L'!$F$6, "-", '4L'!$F$6, "-", '4L'!$F$5)</f>
        <v>Supply-demand balance-Supply-side improvements delivering benefits in 2020-2025-Water resources-Water resources-Expenditure in report year</v>
      </c>
      <c r="F1217" t="s">
        <v>7182</v>
      </c>
      <c r="G1217">
        <f>'4L'!$F$32</f>
        <v>0</v>
      </c>
    </row>
    <row r="1218" spans="1:7">
      <c r="A1218" t="s">
        <v>639</v>
      </c>
      <c r="C1218" t="str">
        <f>'4L'!$AW$32</f>
        <v>B0230SSO_RWT</v>
      </c>
      <c r="D1218" t="str">
        <f>_xlfn.CONCAT('4L'!$B$30, "-", '4L'!$B$32, "-", '4L'!$G$7, "-", '4L'!$G$6, "-", '4L'!$F$5)</f>
        <v>Supply-demand balance-Supply-side improvements delivering benefits in 2020-2025-Raw water transport-Water network+-Expenditure in report year</v>
      </c>
      <c r="F1218" t="s">
        <v>7182</v>
      </c>
      <c r="G1218">
        <f>'4L'!$G$32</f>
        <v>0</v>
      </c>
    </row>
    <row r="1219" spans="1:7">
      <c r="A1219" t="s">
        <v>639</v>
      </c>
      <c r="C1219" t="str">
        <f>'4L'!$AX$32</f>
        <v>B0230SSO_RWS</v>
      </c>
      <c r="D1219" t="str">
        <f>_xlfn.CONCAT('4L'!$B$30, "-", '4L'!$B$32, "-", '4L'!$H$7, "-", '4L'!$G$6, "-", '4L'!$F$5)</f>
        <v>Supply-demand balance-Supply-side improvements delivering benefits in 2020-2025-Raw water storage-Water network+-Expenditure in report year</v>
      </c>
      <c r="F1219" t="s">
        <v>7182</v>
      </c>
      <c r="G1219">
        <f>'4L'!$H$32</f>
        <v>0</v>
      </c>
    </row>
    <row r="1220" spans="1:7">
      <c r="A1220" t="s">
        <v>639</v>
      </c>
      <c r="C1220" t="str">
        <f>'4L'!$AY$32</f>
        <v>B0230SSO_WT</v>
      </c>
      <c r="D1220" t="str">
        <f>_xlfn.CONCAT('4L'!$B$30, "-", '4L'!$B$32, "-", '4L'!$I$7, "-", '4L'!$G$6, "-", '4L'!$F$5)</f>
        <v>Supply-demand balance-Supply-side improvements delivering benefits in 2020-2025-Water treatment-Water network+-Expenditure in report year</v>
      </c>
      <c r="F1220" t="s">
        <v>7182</v>
      </c>
      <c r="G1220">
        <f>'4L'!$I$32</f>
        <v>0</v>
      </c>
    </row>
    <row r="1221" spans="1:7">
      <c r="A1221" t="s">
        <v>639</v>
      </c>
      <c r="C1221" t="str">
        <f>'4L'!$AZ$32</f>
        <v>B0230SSO_TWD</v>
      </c>
      <c r="D1221" t="str">
        <f>_xlfn.CONCAT('4L'!$B$30, "-", '4L'!$B$32, "-", '4L'!$J$7, "-", '4L'!$G$6, "-", '4L'!$F$5)</f>
        <v>Supply-demand balance-Supply-side improvements delivering benefits in 2020-2025-Treated water distribution-Water network+-Expenditure in report year</v>
      </c>
      <c r="F1221" t="s">
        <v>7182</v>
      </c>
      <c r="G1221">
        <f>'4L'!$J$32</f>
        <v>0</v>
      </c>
    </row>
    <row r="1222" spans="1:7">
      <c r="A1222" t="s">
        <v>639</v>
      </c>
      <c r="C1222" t="str">
        <f>'4L'!$BA$32</f>
        <v>B0230SSO_TOT</v>
      </c>
      <c r="D1222" t="str">
        <f>_xlfn.CONCAT('4L'!$B$30, "-", '4L'!$B$32, "-", '4L'!$K$6, "-", '4L'!$K$6, "-", '4L'!$F$5)</f>
        <v>Supply-demand balance-Supply-side improvements delivering benefits in 2020-2025-Total-Total-Expenditure in report year</v>
      </c>
      <c r="F1222" t="s">
        <v>7182</v>
      </c>
      <c r="G1222">
        <f>'4L'!$K$32</f>
        <v>0</v>
      </c>
    </row>
    <row r="1223" spans="1:7">
      <c r="A1223" t="s">
        <v>639</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7182</v>
      </c>
      <c r="G1223">
        <f>'4L'!$L$32</f>
        <v>0</v>
      </c>
    </row>
    <row r="1224" spans="1:7">
      <c r="A1224" t="s">
        <v>639</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7182</v>
      </c>
      <c r="G1224">
        <f>'4L'!$M$32</f>
        <v>0</v>
      </c>
    </row>
    <row r="1225" spans="1:7">
      <c r="A1225" t="s">
        <v>639</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7182</v>
      </c>
      <c r="G1225">
        <f>'4L'!$N$32</f>
        <v>0</v>
      </c>
    </row>
    <row r="1226" spans="1:7">
      <c r="A1226" t="s">
        <v>639</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7182</v>
      </c>
      <c r="G1226">
        <f>'4L'!$O$32</f>
        <v>0</v>
      </c>
    </row>
    <row r="1227" spans="1:7">
      <c r="A1227" t="s">
        <v>639</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7182</v>
      </c>
      <c r="G1227">
        <f>'4L'!$J$61</f>
        <v>0.35199999999999998</v>
      </c>
    </row>
    <row r="1228" spans="1:7">
      <c r="A1228" t="s">
        <v>639</v>
      </c>
      <c r="C1228" t="str">
        <f>'4L'!$BG$32</f>
        <v>B0C230SSO_TOT</v>
      </c>
      <c r="D1228" t="str">
        <f>_xlfn.CONCAT('4L'!$B$30, "-", '4L'!$B$32, "-", '4L'!$Q$6, "-", '4L'!$Q$6, "-", '4L'!$L$5)</f>
        <v>Supply-demand balance-Supply-side improvements delivering benefits in 2020-2025-Total-Total-Cumulative expenditure on schemes completed in the report year</v>
      </c>
      <c r="F1228" t="s">
        <v>7182</v>
      </c>
      <c r="G1228">
        <f>'4L'!$K$61</f>
        <v>0.35199999999999998</v>
      </c>
    </row>
    <row r="1229" spans="1:7">
      <c r="A1229" t="s">
        <v>639</v>
      </c>
      <c r="C1229" t="str">
        <f>'4L'!$AV$33</f>
        <v>B0231SST_WR</v>
      </c>
      <c r="D1229" t="str">
        <f>_xlfn.CONCAT('4L'!$B$30, "-", '4L'!$B$33, "-", '4L'!$F$6, "-", '4L'!$F$6, "-", '4L'!$F$5)</f>
        <v>Supply-demand balance-Supply-side improvements delivering benefits in 2020-2025-Water resources-Water resources-Expenditure in report year</v>
      </c>
      <c r="F1229" t="s">
        <v>7182</v>
      </c>
      <c r="G1229">
        <f>'4L'!$F$33</f>
        <v>0</v>
      </c>
    </row>
    <row r="1230" spans="1:7">
      <c r="A1230" t="s">
        <v>639</v>
      </c>
      <c r="C1230" t="str">
        <f>'4L'!$AW$33</f>
        <v>B0231SST_RWT</v>
      </c>
      <c r="D1230" t="str">
        <f>_xlfn.CONCAT('4L'!$B$30, "-", '4L'!$B$33, "-", '4L'!$G$7, "-", '4L'!$G$6, "-", '4L'!$F$5)</f>
        <v>Supply-demand balance-Supply-side improvements delivering benefits in 2020-2025-Raw water transport-Water network+-Expenditure in report year</v>
      </c>
      <c r="F1230" t="s">
        <v>7182</v>
      </c>
      <c r="G1230">
        <f>'4L'!$G$33</f>
        <v>0</v>
      </c>
    </row>
    <row r="1231" spans="1:7">
      <c r="A1231" t="s">
        <v>639</v>
      </c>
      <c r="C1231" t="str">
        <f>'4L'!$AX$33</f>
        <v>B0231SST_RWS</v>
      </c>
      <c r="D1231" t="str">
        <f>_xlfn.CONCAT('4L'!$B$30, "-", '4L'!$B$33, "-", '4L'!$H$7, "-", '4L'!$G$6, "-", '4L'!$F$5)</f>
        <v>Supply-demand balance-Supply-side improvements delivering benefits in 2020-2025-Raw water storage-Water network+-Expenditure in report year</v>
      </c>
      <c r="F1231" t="s">
        <v>7182</v>
      </c>
      <c r="G1231">
        <f>'4L'!$H$33</f>
        <v>0</v>
      </c>
    </row>
    <row r="1232" spans="1:7">
      <c r="A1232" t="s">
        <v>639</v>
      </c>
      <c r="C1232" t="str">
        <f>'4L'!$AY$33</f>
        <v>B0231SST_WT</v>
      </c>
      <c r="D1232" t="str">
        <f>_xlfn.CONCAT('4L'!$B$30, "-", '4L'!$B$33, "-", '4L'!$I$7, "-", '4L'!$G$6, "-", '4L'!$F$5)</f>
        <v>Supply-demand balance-Supply-side improvements delivering benefits in 2020-2025-Water treatment-Water network+-Expenditure in report year</v>
      </c>
      <c r="F1232" t="s">
        <v>7182</v>
      </c>
      <c r="G1232">
        <f>'4L'!$I$33</f>
        <v>0</v>
      </c>
    </row>
    <row r="1233" spans="1:7">
      <c r="A1233" t="s">
        <v>639</v>
      </c>
      <c r="C1233" t="str">
        <f>'4L'!$AZ$33</f>
        <v>B0231SST_TWD</v>
      </c>
      <c r="D1233" t="str">
        <f>_xlfn.CONCAT('4L'!$B$30, "-", '4L'!$B$33, "-", '4L'!$J$7, "-", '4L'!$G$6, "-", '4L'!$F$5)</f>
        <v>Supply-demand balance-Supply-side improvements delivering benefits in 2020-2025-Treated water distribution-Water network+-Expenditure in report year</v>
      </c>
      <c r="F1233" t="s">
        <v>7182</v>
      </c>
      <c r="G1233">
        <f>'4L'!$J$33</f>
        <v>0</v>
      </c>
    </row>
    <row r="1234" spans="1:7">
      <c r="A1234" t="s">
        <v>639</v>
      </c>
      <c r="C1234" t="str">
        <f>'4L'!$BA$33</f>
        <v>B0231SST_TOT</v>
      </c>
      <c r="D1234" t="str">
        <f>_xlfn.CONCAT('4L'!$B$30, "-", '4L'!$B$33, "-", '4L'!$K$6, "-", '4L'!$K$6, "-", '4L'!$F$5)</f>
        <v>Supply-demand balance-Supply-side improvements delivering benefits in 2020-2025-Total-Total-Expenditure in report year</v>
      </c>
      <c r="F1234" t="s">
        <v>7182</v>
      </c>
      <c r="G1234">
        <f>'4L'!$K$33</f>
        <v>0</v>
      </c>
    </row>
    <row r="1235" spans="1:7">
      <c r="A1235" t="s">
        <v>639</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7182</v>
      </c>
      <c r="G1235">
        <f>'4L'!$L$33</f>
        <v>0</v>
      </c>
    </row>
    <row r="1236" spans="1:7">
      <c r="A1236" t="s">
        <v>639</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7182</v>
      </c>
      <c r="G1236">
        <f>'4L'!$M$33</f>
        <v>0</v>
      </c>
    </row>
    <row r="1237" spans="1:7">
      <c r="A1237" t="s">
        <v>639</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7182</v>
      </c>
      <c r="G1237">
        <f>'4L'!$N$33</f>
        <v>0</v>
      </c>
    </row>
    <row r="1238" spans="1:7">
      <c r="A1238" t="s">
        <v>639</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7182</v>
      </c>
      <c r="G1238">
        <f>'4L'!$O$33</f>
        <v>0</v>
      </c>
    </row>
    <row r="1239" spans="1:7">
      <c r="A1239" t="s">
        <v>639</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7182</v>
      </c>
      <c r="G1239">
        <f>'4L'!$J$62</f>
        <v>0</v>
      </c>
    </row>
    <row r="1240" spans="1:7">
      <c r="A1240" t="s">
        <v>639</v>
      </c>
      <c r="C1240" t="str">
        <f>'4L'!$BG$33</f>
        <v>B0C231SST_TOT</v>
      </c>
      <c r="D1240" t="str">
        <f>_xlfn.CONCAT('4L'!$B$30, "-", '4L'!$B$33, "-", '4L'!$Q$6, "-", '4L'!$Q$6, "-", '4L'!$L$5)</f>
        <v>Supply-demand balance-Supply-side improvements delivering benefits in 2020-2025-Total-Total-Cumulative expenditure on schemes completed in the report year</v>
      </c>
      <c r="F1240" t="s">
        <v>7182</v>
      </c>
      <c r="G1240">
        <f>'4L'!$K$62</f>
        <v>0</v>
      </c>
    </row>
    <row r="1241" spans="1:7">
      <c r="A1241" t="s">
        <v>639</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7182</v>
      </c>
      <c r="G1241">
        <f>'4L'!$R$33</f>
        <v>0.20599999999999999</v>
      </c>
    </row>
    <row r="1242" spans="1:7">
      <c r="A1242" t="s">
        <v>639</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7182</v>
      </c>
      <c r="G1242">
        <f>'4L'!$S$33</f>
        <v>0</v>
      </c>
    </row>
    <row r="1243" spans="1:7">
      <c r="A1243" t="s">
        <v>639</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7182</v>
      </c>
      <c r="G1243">
        <f>'4L'!$T$33</f>
        <v>0</v>
      </c>
    </row>
    <row r="1244" spans="1:7">
      <c r="A1244" t="s">
        <v>639</v>
      </c>
      <c r="C1244" t="str">
        <f>'4L'!$AV$34</f>
        <v>B0232DSC_WR</v>
      </c>
      <c r="D1244" t="str">
        <f>_xlfn.CONCAT('4L'!$B$30, "-", '4L'!$B$34, "-", '4L'!$F$6, "-", '4L'!$F$6, "-", '4L'!$F$5)</f>
        <v>Supply-demand balance-Demand-side improvements delivering benefits in 2020-2025 (excl leakage and metering)-Water resources-Water resources-Expenditure in report year</v>
      </c>
      <c r="F1244" t="s">
        <v>7182</v>
      </c>
      <c r="G1244">
        <f>'4L'!$F$34</f>
        <v>0</v>
      </c>
    </row>
    <row r="1245" spans="1:7">
      <c r="A1245" t="s">
        <v>639</v>
      </c>
      <c r="C1245" t="str">
        <f>'4L'!$AW$34</f>
        <v>B0232DSC_RWT</v>
      </c>
      <c r="D1245" t="str">
        <f>_xlfn.CONCAT('4L'!$B$30, "-", '4L'!$B$34, "-", '4L'!$G$7, "-", '4L'!$G$6, "-", '4L'!$F$5)</f>
        <v>Supply-demand balance-Demand-side improvements delivering benefits in 2020-2025 (excl leakage and metering)-Raw water transport-Water network+-Expenditure in report year</v>
      </c>
      <c r="F1245" t="s">
        <v>7182</v>
      </c>
      <c r="G1245">
        <f>'4L'!$G$34</f>
        <v>0</v>
      </c>
    </row>
    <row r="1246" spans="1:7">
      <c r="A1246" t="s">
        <v>639</v>
      </c>
      <c r="C1246" t="str">
        <f>'4L'!$AX$34</f>
        <v>B0232DSC_RWS</v>
      </c>
      <c r="D1246" t="str">
        <f>_xlfn.CONCAT('4L'!$B$30, "-", '4L'!$B$34, "-", '4L'!$H$7, "-", '4L'!$G$6, "-", '4L'!$F$5)</f>
        <v>Supply-demand balance-Demand-side improvements delivering benefits in 2020-2025 (excl leakage and metering)-Raw water storage-Water network+-Expenditure in report year</v>
      </c>
      <c r="F1246" t="s">
        <v>7182</v>
      </c>
      <c r="G1246">
        <f>'4L'!$H$34</f>
        <v>0</v>
      </c>
    </row>
    <row r="1247" spans="1:7">
      <c r="A1247" t="s">
        <v>639</v>
      </c>
      <c r="C1247" t="str">
        <f>'4L'!$AY$34</f>
        <v>B0232DSC_WT</v>
      </c>
      <c r="D1247" t="str">
        <f>_xlfn.CONCAT('4L'!$B$30, "-", '4L'!$B$34, "-", '4L'!$I$7, "-", '4L'!$G$6, "-", '4L'!$F$5)</f>
        <v>Supply-demand balance-Demand-side improvements delivering benefits in 2020-2025 (excl leakage and metering)-Water treatment-Water network+-Expenditure in report year</v>
      </c>
      <c r="F1247" t="s">
        <v>7182</v>
      </c>
      <c r="G1247">
        <f>'4L'!$I$34</f>
        <v>0</v>
      </c>
    </row>
    <row r="1248" spans="1:7">
      <c r="A1248" t="s">
        <v>639</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7182</v>
      </c>
      <c r="G1248">
        <f>'4L'!$J$34</f>
        <v>0</v>
      </c>
    </row>
    <row r="1249" spans="1:7">
      <c r="A1249" t="s">
        <v>639</v>
      </c>
      <c r="C1249" t="str">
        <f>'4L'!$BA$34</f>
        <v>B0232DSC_TOT</v>
      </c>
      <c r="D1249" t="str">
        <f>_xlfn.CONCAT('4L'!$B$30, "-", '4L'!$B$34, "-", '4L'!$K$6, "-", '4L'!$K$6, "-", '4L'!$F$5)</f>
        <v>Supply-demand balance-Demand-side improvements delivering benefits in 2020-2025 (excl leakage and metering)-Total-Total-Expenditure in report year</v>
      </c>
      <c r="F1249" t="s">
        <v>7182</v>
      </c>
      <c r="G1249">
        <f>'4L'!$K$34</f>
        <v>0</v>
      </c>
    </row>
    <row r="1250" spans="1:7">
      <c r="A1250" t="s">
        <v>639</v>
      </c>
      <c r="C1250" t="str">
        <f>'4L'!$AV$35</f>
        <v>B0233DSO_WR</v>
      </c>
      <c r="D1250" t="str">
        <f>_xlfn.CONCAT('4L'!$B$30, "-", '4L'!$B$35, "-", '4L'!$F$6, "-", '4L'!$F$6, "-", '4L'!$F$5)</f>
        <v>Supply-demand balance-Demand-side improvements delivering benefits in 2020-2025 (excl leakage and metering)-Water resources-Water resources-Expenditure in report year</v>
      </c>
      <c r="F1250" t="s">
        <v>7182</v>
      </c>
      <c r="G1250">
        <f>'4L'!$F$35</f>
        <v>0.373</v>
      </c>
    </row>
    <row r="1251" spans="1:7">
      <c r="A1251" t="s">
        <v>639</v>
      </c>
      <c r="C1251" t="str">
        <f>'4L'!$AW$35</f>
        <v>B0233DSO_RWT</v>
      </c>
      <c r="D1251" t="str">
        <f>_xlfn.CONCAT('4L'!$B$30, "-", '4L'!$B$35, "-", '4L'!$G$7, "-", '4L'!$G$6, "-", '4L'!$F$5)</f>
        <v>Supply-demand balance-Demand-side improvements delivering benefits in 2020-2025 (excl leakage and metering)-Raw water transport-Water network+-Expenditure in report year</v>
      </c>
      <c r="F1251" t="s">
        <v>7182</v>
      </c>
      <c r="G1251">
        <f>'4L'!$G$35</f>
        <v>0</v>
      </c>
    </row>
    <row r="1252" spans="1:7">
      <c r="A1252" t="s">
        <v>639</v>
      </c>
      <c r="C1252" t="str">
        <f>'4L'!$AX$35</f>
        <v>B0233DSO_RWS</v>
      </c>
      <c r="D1252" t="str">
        <f>_xlfn.CONCAT('4L'!$B$30, "-", '4L'!$B$35, "-", '4L'!$H$7, "-", '4L'!$G$6, "-", '4L'!$F$5)</f>
        <v>Supply-demand balance-Demand-side improvements delivering benefits in 2020-2025 (excl leakage and metering)-Raw water storage-Water network+-Expenditure in report year</v>
      </c>
      <c r="F1252" t="s">
        <v>7182</v>
      </c>
      <c r="G1252">
        <f>'4L'!$H$35</f>
        <v>0</v>
      </c>
    </row>
    <row r="1253" spans="1:7">
      <c r="A1253" t="s">
        <v>639</v>
      </c>
      <c r="C1253" t="str">
        <f>'4L'!$AY$35</f>
        <v>B0233DSO_WT</v>
      </c>
      <c r="D1253" t="str">
        <f>_xlfn.CONCAT('4L'!$B$30, "-", '4L'!$B$35, "-", '4L'!$I$7, "-", '4L'!$G$6, "-", '4L'!$F$5)</f>
        <v>Supply-demand balance-Demand-side improvements delivering benefits in 2020-2025 (excl leakage and metering)-Water treatment-Water network+-Expenditure in report year</v>
      </c>
      <c r="F1253" t="s">
        <v>7182</v>
      </c>
      <c r="G1253">
        <f>'4L'!$I$35</f>
        <v>0.373</v>
      </c>
    </row>
    <row r="1254" spans="1:7">
      <c r="A1254" t="s">
        <v>639</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7182</v>
      </c>
      <c r="G1254">
        <f>'4L'!$J$35</f>
        <v>0.373</v>
      </c>
    </row>
    <row r="1255" spans="1:7">
      <c r="A1255" t="s">
        <v>639</v>
      </c>
      <c r="C1255" t="str">
        <f>'4L'!$BA$35</f>
        <v>B0233DSO_TOT</v>
      </c>
      <c r="D1255" t="str">
        <f>_xlfn.CONCAT('4L'!$B$30, "-", '4L'!$B$35, "-", '4L'!$K$6, "-", '4L'!$K$6, "-", '4L'!$F$5)</f>
        <v>Supply-demand balance-Demand-side improvements delivering benefits in 2020-2025 (excl leakage and metering)-Total-Total-Expenditure in report year</v>
      </c>
      <c r="F1255" t="s">
        <v>7182</v>
      </c>
      <c r="G1255">
        <f>'4L'!$K$35</f>
        <v>1.119</v>
      </c>
    </row>
    <row r="1256" spans="1:7">
      <c r="A1256" t="s">
        <v>639</v>
      </c>
      <c r="C1256" t="str">
        <f>'4L'!$AV$36</f>
        <v>B0234DST_WR</v>
      </c>
      <c r="D1256" t="str">
        <f>_xlfn.CONCAT('4L'!$B$30, "-", '4L'!$B$36, "-", '4L'!$F$6, "-", '4L'!$F$6, "-", '4L'!$F$5)</f>
        <v>Supply-demand balance-Demand-side improvements delivering benefits in 2020-2025 (excl leakage and metering)-Water resources-Water resources-Expenditure in report year</v>
      </c>
      <c r="F1256" t="s">
        <v>7182</v>
      </c>
      <c r="G1256">
        <f>'4L'!$F$36</f>
        <v>0.373</v>
      </c>
    </row>
    <row r="1257" spans="1:7">
      <c r="A1257" t="s">
        <v>639</v>
      </c>
      <c r="C1257" t="str">
        <f>'4L'!$AW$36</f>
        <v>B0234DST_RWT</v>
      </c>
      <c r="D1257" t="str">
        <f>_xlfn.CONCAT('4L'!$B$30, "-", '4L'!$B$36, "-", '4L'!$G$7, "-", '4L'!$G$6, "-", '4L'!$F$5)</f>
        <v>Supply-demand balance-Demand-side improvements delivering benefits in 2020-2025 (excl leakage and metering)-Raw water transport-Water network+-Expenditure in report year</v>
      </c>
      <c r="F1257" t="s">
        <v>7182</v>
      </c>
      <c r="G1257">
        <f>'4L'!$G$36</f>
        <v>0</v>
      </c>
    </row>
    <row r="1258" spans="1:7">
      <c r="A1258" t="s">
        <v>639</v>
      </c>
      <c r="C1258" t="str">
        <f>'4L'!$AX$36</f>
        <v>B0234DST_RWS</v>
      </c>
      <c r="D1258" t="str">
        <f>_xlfn.CONCAT('4L'!$B$30, "-", '4L'!$B$36, "-", '4L'!$H$7, "-", '4L'!$G$6, "-", '4L'!$F$5)</f>
        <v>Supply-demand balance-Demand-side improvements delivering benefits in 2020-2025 (excl leakage and metering)-Raw water storage-Water network+-Expenditure in report year</v>
      </c>
      <c r="F1258" t="s">
        <v>7182</v>
      </c>
      <c r="G1258">
        <f>'4L'!$H$36</f>
        <v>0</v>
      </c>
    </row>
    <row r="1259" spans="1:7">
      <c r="A1259" t="s">
        <v>639</v>
      </c>
      <c r="C1259" t="str">
        <f>'4L'!$AY$36</f>
        <v>B0234DST_WT</v>
      </c>
      <c r="D1259" t="str">
        <f>_xlfn.CONCAT('4L'!$B$30, "-", '4L'!$B$36, "-", '4L'!$I$7, "-", '4L'!$G$6, "-", '4L'!$F$5)</f>
        <v>Supply-demand balance-Demand-side improvements delivering benefits in 2020-2025 (excl leakage and metering)-Water treatment-Water network+-Expenditure in report year</v>
      </c>
      <c r="F1259" t="s">
        <v>7182</v>
      </c>
      <c r="G1259">
        <f>'4L'!$I$36</f>
        <v>0.373</v>
      </c>
    </row>
    <row r="1260" spans="1:7">
      <c r="A1260" t="s">
        <v>639</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7182</v>
      </c>
      <c r="G1260">
        <f>'4L'!$J$36</f>
        <v>0.373</v>
      </c>
    </row>
    <row r="1261" spans="1:7">
      <c r="A1261" t="s">
        <v>639</v>
      </c>
      <c r="C1261" t="str">
        <f>'4L'!$BA$36</f>
        <v>B0234DST_TOT</v>
      </c>
      <c r="D1261" t="str">
        <f>_xlfn.CONCAT('4L'!$B$30, "-", '4L'!$B$36, "-", '4L'!$K$6, "-", '4L'!$K$6, "-", '4L'!$F$5)</f>
        <v>Supply-demand balance-Demand-side improvements delivering benefits in 2020-2025 (excl leakage and metering)-Total-Total-Expenditure in report year</v>
      </c>
      <c r="F1261" t="s">
        <v>7182</v>
      </c>
      <c r="G1261">
        <f>'4L'!$K$36</f>
        <v>1.119</v>
      </c>
    </row>
    <row r="1262" spans="1:7">
      <c r="A1262" t="s">
        <v>639</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7182</v>
      </c>
      <c r="G1262">
        <f>'4L'!$R$36</f>
        <v>2.7829999999999999</v>
      </c>
    </row>
    <row r="1263" spans="1:7">
      <c r="A1263" t="s">
        <v>639</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7182</v>
      </c>
      <c r="G1263">
        <f>'4L'!$S$36</f>
        <v>0</v>
      </c>
    </row>
    <row r="1264" spans="1:7">
      <c r="A1264" t="s">
        <v>639</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7182</v>
      </c>
      <c r="G1264">
        <f>'4L'!$T$36</f>
        <v>0</v>
      </c>
    </row>
    <row r="1265" spans="1:7">
      <c r="A1265" t="s">
        <v>639</v>
      </c>
      <c r="C1265" t="str">
        <f>'4L'!$AV$37</f>
        <v>B0235LIC_WR</v>
      </c>
      <c r="D1265" t="str">
        <f>_xlfn.CONCAT('4L'!$B$30, "-", '4L'!$B$37, "-", '4L'!$F$6, "-", '4L'!$F$6, "-", '4L'!$F$5)</f>
        <v>Supply-demand balance-Leakage improvements delivering benefits in 2020-2025-Water resources-Water resources-Expenditure in report year</v>
      </c>
      <c r="F1265" t="s">
        <v>7182</v>
      </c>
      <c r="G1265">
        <f>'4L'!$F$37</f>
        <v>0</v>
      </c>
    </row>
    <row r="1266" spans="1:7">
      <c r="A1266" t="s">
        <v>639</v>
      </c>
      <c r="C1266" t="str">
        <f>'4L'!$AW$37</f>
        <v>B0235LIC_RWT</v>
      </c>
      <c r="D1266" t="str">
        <f>_xlfn.CONCAT('4L'!$B$30, "-", '4L'!$B$37, "-", '4L'!$G$7, "-", '4L'!$G$6, "-", '4L'!$F$5)</f>
        <v>Supply-demand balance-Leakage improvements delivering benefits in 2020-2025-Raw water transport-Water network+-Expenditure in report year</v>
      </c>
      <c r="F1266" t="s">
        <v>7182</v>
      </c>
      <c r="G1266">
        <f>'4L'!$G$37</f>
        <v>0</v>
      </c>
    </row>
    <row r="1267" spans="1:7">
      <c r="A1267" t="s">
        <v>639</v>
      </c>
      <c r="C1267" t="str">
        <f>'4L'!$AX$37</f>
        <v>B0235LIC_RWS</v>
      </c>
      <c r="D1267" t="str">
        <f>_xlfn.CONCAT('4L'!$B$30, "-", '4L'!$B$37, "-", '4L'!$H$7, "-", '4L'!$G$6, "-", '4L'!$F$5)</f>
        <v>Supply-demand balance-Leakage improvements delivering benefits in 2020-2025-Raw water storage-Water network+-Expenditure in report year</v>
      </c>
      <c r="F1267" t="s">
        <v>7182</v>
      </c>
      <c r="G1267">
        <f>'4L'!$H$37</f>
        <v>0</v>
      </c>
    </row>
    <row r="1268" spans="1:7">
      <c r="A1268" t="s">
        <v>639</v>
      </c>
      <c r="C1268" t="str">
        <f>'4L'!$AY$37</f>
        <v>B0235LIC_WT</v>
      </c>
      <c r="D1268" t="str">
        <f>_xlfn.CONCAT('4L'!$B$30, "-", '4L'!$B$37, "-", '4L'!$I$7, "-", '4L'!$G$6, "-", '4L'!$F$5)</f>
        <v>Supply-demand balance-Leakage improvements delivering benefits in 2020-2025-Water treatment-Water network+-Expenditure in report year</v>
      </c>
      <c r="F1268" t="s">
        <v>7182</v>
      </c>
      <c r="G1268">
        <f>'4L'!$I$37</f>
        <v>0</v>
      </c>
    </row>
    <row r="1269" spans="1:7">
      <c r="A1269" t="s">
        <v>639</v>
      </c>
      <c r="C1269" t="str">
        <f>'4L'!$AZ$37</f>
        <v>B0235LIC_TWD</v>
      </c>
      <c r="D1269" t="str">
        <f>_xlfn.CONCAT('4L'!$B$30, "-", '4L'!$B$37, "-", '4L'!$J$7, "-", '4L'!$G$6, "-", '4L'!$F$5)</f>
        <v>Supply-demand balance-Leakage improvements delivering benefits in 2020-2025-Treated water distribution-Water network+-Expenditure in report year</v>
      </c>
      <c r="F1269" t="s">
        <v>7182</v>
      </c>
      <c r="G1269">
        <f>'4L'!$J$37</f>
        <v>0</v>
      </c>
    </row>
    <row r="1270" spans="1:7">
      <c r="A1270" t="s">
        <v>639</v>
      </c>
      <c r="C1270" t="str">
        <f>'4L'!$BA$37</f>
        <v>B0235LIC_TOT</v>
      </c>
      <c r="D1270" t="str">
        <f>_xlfn.CONCAT('4L'!$B$30, "-", '4L'!$B$37, "-", '4L'!$K$6, "-", '4L'!$K$6, "-", '4L'!$F$5)</f>
        <v>Supply-demand balance-Leakage improvements delivering benefits in 2020-2025-Total-Total-Expenditure in report year</v>
      </c>
      <c r="F1270" t="s">
        <v>7182</v>
      </c>
      <c r="G1270">
        <f>'4L'!$K$37</f>
        <v>0</v>
      </c>
    </row>
    <row r="1271" spans="1:7">
      <c r="A1271" t="s">
        <v>639</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7182</v>
      </c>
      <c r="G1271">
        <f>'4L'!$L$37</f>
        <v>0</v>
      </c>
    </row>
    <row r="1272" spans="1:7">
      <c r="A1272" t="s">
        <v>639</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7182</v>
      </c>
      <c r="G1272">
        <f>'4L'!$M$37</f>
        <v>0</v>
      </c>
    </row>
    <row r="1273" spans="1:7">
      <c r="A1273" t="s">
        <v>639</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7182</v>
      </c>
      <c r="G1273">
        <f>'4L'!$N$37</f>
        <v>0</v>
      </c>
    </row>
    <row r="1274" spans="1:7">
      <c r="A1274" t="s">
        <v>639</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7182</v>
      </c>
      <c r="G1274">
        <f>'4L'!$O$37</f>
        <v>0</v>
      </c>
    </row>
    <row r="1275" spans="1:7">
      <c r="A1275" t="s">
        <v>639</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7182</v>
      </c>
      <c r="G1275">
        <f>'4L'!$P$37</f>
        <v>0</v>
      </c>
    </row>
    <row r="1276" spans="1:7">
      <c r="A1276" t="s">
        <v>639</v>
      </c>
      <c r="C1276" t="str">
        <f>'4L'!$BG$37</f>
        <v>B0235LIC_C_TOT</v>
      </c>
      <c r="D1276" t="str">
        <f>_xlfn.CONCAT('4L'!$B$30, "-", '4L'!$B$37, "-", '4L'!$Q$6, "-", '4L'!$Q$6, "-", '4L'!$L$5)</f>
        <v>Supply-demand balance-Leakage improvements delivering benefits in 2020-2025-Total-Total-Cumulative expenditure on schemes completed in the report year</v>
      </c>
      <c r="F1276" t="s">
        <v>7182</v>
      </c>
      <c r="G1276">
        <f>'4L'!$Q$37</f>
        <v>0</v>
      </c>
    </row>
    <row r="1277" spans="1:7">
      <c r="A1277" t="s">
        <v>639</v>
      </c>
      <c r="C1277" t="str">
        <f>'4L'!$AV$38</f>
        <v>B0236LIO_WR</v>
      </c>
      <c r="D1277" t="str">
        <f>_xlfn.CONCAT('4L'!$B$30, "-", '4L'!$B$38, "-", '4L'!$F$6, "-", '4L'!$F$6, "-", '4L'!$F$5)</f>
        <v>Supply-demand balance-Leakage improvements delivering benefits in 2020-2025-Water resources-Water resources-Expenditure in report year</v>
      </c>
      <c r="F1277" t="s">
        <v>7182</v>
      </c>
      <c r="G1277">
        <f>'4L'!$F$38</f>
        <v>0</v>
      </c>
    </row>
    <row r="1278" spans="1:7">
      <c r="A1278" t="s">
        <v>639</v>
      </c>
      <c r="C1278" t="str">
        <f>'4L'!$AW$38</f>
        <v>B0236LIO_RWT</v>
      </c>
      <c r="D1278" t="str">
        <f>_xlfn.CONCAT('4L'!$B$30, "-", '4L'!$B$38, "-", '4L'!$G$7, "-", '4L'!$G$6, "-", '4L'!$F$5)</f>
        <v>Supply-demand balance-Leakage improvements delivering benefits in 2020-2025-Raw water transport-Water network+-Expenditure in report year</v>
      </c>
      <c r="F1278" t="s">
        <v>7182</v>
      </c>
      <c r="G1278">
        <f>'4L'!$G$38</f>
        <v>0</v>
      </c>
    </row>
    <row r="1279" spans="1:7">
      <c r="A1279" t="s">
        <v>639</v>
      </c>
      <c r="C1279" t="str">
        <f>'4L'!$AX$38</f>
        <v>B0236LIO_RWS</v>
      </c>
      <c r="D1279" t="str">
        <f>_xlfn.CONCAT('4L'!$B$30, "-", '4L'!$B$38, "-", '4L'!$H$7, "-", '4L'!$G$6, "-", '4L'!$F$5)</f>
        <v>Supply-demand balance-Leakage improvements delivering benefits in 2020-2025-Raw water storage-Water network+-Expenditure in report year</v>
      </c>
      <c r="F1279" t="s">
        <v>7182</v>
      </c>
      <c r="G1279">
        <f>'4L'!$H$38</f>
        <v>0</v>
      </c>
    </row>
    <row r="1280" spans="1:7">
      <c r="A1280" t="s">
        <v>639</v>
      </c>
      <c r="C1280" t="str">
        <f>'4L'!$AY$38</f>
        <v>B0236LIO_WT</v>
      </c>
      <c r="D1280" t="str">
        <f>_xlfn.CONCAT('4L'!$B$30, "-", '4L'!$B$38, "-", '4L'!$I$7, "-", '4L'!$G$6, "-", '4L'!$F$5)</f>
        <v>Supply-demand balance-Leakage improvements delivering benefits in 2020-2025-Water treatment-Water network+-Expenditure in report year</v>
      </c>
      <c r="F1280" t="s">
        <v>7182</v>
      </c>
      <c r="G1280">
        <f>'4L'!$I$38</f>
        <v>0</v>
      </c>
    </row>
    <row r="1281" spans="1:7">
      <c r="A1281" t="s">
        <v>639</v>
      </c>
      <c r="C1281" t="str">
        <f>'4L'!$AZ$38</f>
        <v>B0236LIO_TWD</v>
      </c>
      <c r="D1281" t="str">
        <f>_xlfn.CONCAT('4L'!$B$30, "-", '4L'!$B$38, "-", '4L'!$J$7, "-", '4L'!$G$6, "-", '4L'!$F$5)</f>
        <v>Supply-demand balance-Leakage improvements delivering benefits in 2020-2025-Treated water distribution-Water network+-Expenditure in report year</v>
      </c>
      <c r="F1281" t="s">
        <v>7182</v>
      </c>
      <c r="G1281">
        <f>'4L'!$J$38</f>
        <v>0</v>
      </c>
    </row>
    <row r="1282" spans="1:7">
      <c r="A1282" t="s">
        <v>639</v>
      </c>
      <c r="C1282" t="str">
        <f>'4L'!$BA$38</f>
        <v>B0236LIO_TOT</v>
      </c>
      <c r="D1282" t="str">
        <f>_xlfn.CONCAT('4L'!$B$30, "-", '4L'!$B$38, "-", '4L'!$K$6, "-", '4L'!$K$6, "-", '4L'!$F$5)</f>
        <v>Supply-demand balance-Leakage improvements delivering benefits in 2020-2025-Total-Total-Expenditure in report year</v>
      </c>
      <c r="F1282" t="s">
        <v>7182</v>
      </c>
      <c r="G1282">
        <f>'4L'!$K$38</f>
        <v>0</v>
      </c>
    </row>
    <row r="1283" spans="1:7">
      <c r="A1283" t="s">
        <v>639</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7182</v>
      </c>
      <c r="G1283">
        <f>'4L'!$L$38</f>
        <v>0</v>
      </c>
    </row>
    <row r="1284" spans="1:7">
      <c r="A1284" t="s">
        <v>639</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7182</v>
      </c>
      <c r="G1284">
        <f>'4L'!$M$38</f>
        <v>0</v>
      </c>
    </row>
    <row r="1285" spans="1:7">
      <c r="A1285" t="s">
        <v>639</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7182</v>
      </c>
      <c r="G1285">
        <f>'4L'!$N$38</f>
        <v>0</v>
      </c>
    </row>
    <row r="1286" spans="1:7">
      <c r="A1286" t="s">
        <v>639</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7182</v>
      </c>
      <c r="G1286">
        <f>'4L'!$O$38</f>
        <v>0</v>
      </c>
    </row>
    <row r="1287" spans="1:7">
      <c r="A1287" t="s">
        <v>639</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7182</v>
      </c>
      <c r="G1287">
        <f>'4L'!$P$38</f>
        <v>0</v>
      </c>
    </row>
    <row r="1288" spans="1:7">
      <c r="A1288" t="s">
        <v>639</v>
      </c>
      <c r="C1288" t="str">
        <f>'4L'!$BG$38</f>
        <v>B0236LIO_C_TOT</v>
      </c>
      <c r="D1288" t="str">
        <f>_xlfn.CONCAT('4L'!$B$30, "-", '4L'!$B$38, "-", '4L'!$Q$6, "-", '4L'!$Q$6, "-", '4L'!$L$5)</f>
        <v>Supply-demand balance-Leakage improvements delivering benefits in 2020-2025-Total-Total-Cumulative expenditure on schemes completed in the report year</v>
      </c>
      <c r="F1288" t="s">
        <v>7182</v>
      </c>
      <c r="G1288">
        <f>'4L'!$Q$38</f>
        <v>0</v>
      </c>
    </row>
    <row r="1289" spans="1:7">
      <c r="A1289" t="s">
        <v>639</v>
      </c>
      <c r="C1289" t="str">
        <f>'4L'!$AV$39</f>
        <v>B0237LIT_WR</v>
      </c>
      <c r="D1289" t="str">
        <f>_xlfn.CONCAT('4L'!$B$30, "-", '4L'!$B$39, "-", '4L'!$F$6, "-", '4L'!$F$6, "-", '4L'!$F$5)</f>
        <v>Supply-demand balance-Leakage improvements delivering benefits in 2020-2025-Water resources-Water resources-Expenditure in report year</v>
      </c>
      <c r="F1289" t="s">
        <v>7182</v>
      </c>
      <c r="G1289">
        <f>'4L'!$F$39</f>
        <v>0</v>
      </c>
    </row>
    <row r="1290" spans="1:7">
      <c r="A1290" t="s">
        <v>639</v>
      </c>
      <c r="C1290" t="str">
        <f>'4L'!$AW$39</f>
        <v>B0237LIT_RWT</v>
      </c>
      <c r="D1290" t="str">
        <f>_xlfn.CONCAT('4L'!$B$30, "-", '4L'!$B$39, "-", '4L'!$G$7, "-", '4L'!$G$6, "-", '4L'!$F$5)</f>
        <v>Supply-demand balance-Leakage improvements delivering benefits in 2020-2025-Raw water transport-Water network+-Expenditure in report year</v>
      </c>
      <c r="F1290" t="s">
        <v>7182</v>
      </c>
      <c r="G1290">
        <f>'4L'!$G$39</f>
        <v>0</v>
      </c>
    </row>
    <row r="1291" spans="1:7">
      <c r="A1291" t="s">
        <v>639</v>
      </c>
      <c r="C1291" t="str">
        <f>'4L'!$AX$39</f>
        <v>B0237LIT_RWS</v>
      </c>
      <c r="D1291" t="str">
        <f>_xlfn.CONCAT('4L'!$B$30, "-", '4L'!$B$39, "-", '4L'!$H$7, "-", '4L'!$G$6, "-", '4L'!$F$5)</f>
        <v>Supply-demand balance-Leakage improvements delivering benefits in 2020-2025-Raw water storage-Water network+-Expenditure in report year</v>
      </c>
      <c r="F1291" t="s">
        <v>7182</v>
      </c>
      <c r="G1291">
        <f>'4L'!$H$39</f>
        <v>0</v>
      </c>
    </row>
    <row r="1292" spans="1:7">
      <c r="A1292" t="s">
        <v>639</v>
      </c>
      <c r="C1292" t="str">
        <f>'4L'!$AY$39</f>
        <v>B0237LIT_WT</v>
      </c>
      <c r="D1292" t="str">
        <f>_xlfn.CONCAT('4L'!$B$30, "-", '4L'!$B$39, "-", '4L'!$I$7, "-", '4L'!$G$6, "-", '4L'!$F$5)</f>
        <v>Supply-demand balance-Leakage improvements delivering benefits in 2020-2025-Water treatment-Water network+-Expenditure in report year</v>
      </c>
      <c r="F1292" t="s">
        <v>7182</v>
      </c>
      <c r="G1292">
        <f>'4L'!$I$39</f>
        <v>0</v>
      </c>
    </row>
    <row r="1293" spans="1:7">
      <c r="A1293" t="s">
        <v>639</v>
      </c>
      <c r="C1293" t="str">
        <f>'4L'!$AZ$39</f>
        <v>B0237LIT_TWD</v>
      </c>
      <c r="D1293" t="str">
        <f>_xlfn.CONCAT('4L'!$B$30, "-", '4L'!$B$39, "-", '4L'!$J$7, "-", '4L'!$G$6, "-", '4L'!$F$5)</f>
        <v>Supply-demand balance-Leakage improvements delivering benefits in 2020-2025-Treated water distribution-Water network+-Expenditure in report year</v>
      </c>
      <c r="F1293" t="s">
        <v>7182</v>
      </c>
      <c r="G1293">
        <f>'4L'!$J$39</f>
        <v>0</v>
      </c>
    </row>
    <row r="1294" spans="1:7">
      <c r="A1294" t="s">
        <v>639</v>
      </c>
      <c r="C1294" t="str">
        <f>'4L'!$BA$39</f>
        <v>B0237LIT_TOT</v>
      </c>
      <c r="D1294" t="str">
        <f>_xlfn.CONCAT('4L'!$B$30, "-", '4L'!$B$39, "-", '4L'!$K$6, "-", '4L'!$K$6, "-", '4L'!$F$5)</f>
        <v>Supply-demand balance-Leakage improvements delivering benefits in 2020-2025-Total-Total-Expenditure in report year</v>
      </c>
      <c r="F1294" t="s">
        <v>7182</v>
      </c>
      <c r="G1294">
        <f>'4L'!$K$39</f>
        <v>0</v>
      </c>
    </row>
    <row r="1295" spans="1:7">
      <c r="A1295" t="s">
        <v>639</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7182</v>
      </c>
      <c r="G1295">
        <f>'4L'!$L$39</f>
        <v>0</v>
      </c>
    </row>
    <row r="1296" spans="1:7">
      <c r="A1296" t="s">
        <v>639</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7182</v>
      </c>
      <c r="G1296">
        <f>'4L'!$M$39</f>
        <v>0</v>
      </c>
    </row>
    <row r="1297" spans="1:7">
      <c r="A1297" t="s">
        <v>639</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7182</v>
      </c>
      <c r="G1297">
        <f>'4L'!$N$39</f>
        <v>0</v>
      </c>
    </row>
    <row r="1298" spans="1:7">
      <c r="A1298" t="s">
        <v>639</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7182</v>
      </c>
      <c r="G1298">
        <f>'4L'!$O$39</f>
        <v>0</v>
      </c>
    </row>
    <row r="1299" spans="1:7">
      <c r="A1299" t="s">
        <v>639</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7182</v>
      </c>
      <c r="G1299">
        <f>'4L'!$P$39</f>
        <v>0</v>
      </c>
    </row>
    <row r="1300" spans="1:7">
      <c r="A1300" t="s">
        <v>639</v>
      </c>
      <c r="C1300" t="str">
        <f>'4L'!$BG$39</f>
        <v>B0237LIT_C_TOT</v>
      </c>
      <c r="D1300" t="str">
        <f>_xlfn.CONCAT('4L'!$B$30, "-", '4L'!$B$39, "-", '4L'!$Q$6, "-", '4L'!$Q$6, "-", '4L'!$L$5)</f>
        <v>Supply-demand balance-Leakage improvements delivering benefits in 2020-2025-Total-Total-Cumulative expenditure on schemes completed in the report year</v>
      </c>
      <c r="F1300" t="s">
        <v>7182</v>
      </c>
      <c r="G1300">
        <f>'4L'!$Q$39</f>
        <v>0</v>
      </c>
    </row>
    <row r="1301" spans="1:7">
      <c r="A1301" t="s">
        <v>639</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7182</v>
      </c>
      <c r="G1301">
        <f>'4L'!$R$39</f>
        <v>0</v>
      </c>
    </row>
    <row r="1302" spans="1:7">
      <c r="A1302" t="s">
        <v>639</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7182</v>
      </c>
      <c r="G1302">
        <f>'4L'!$S$39</f>
        <v>0</v>
      </c>
    </row>
    <row r="1303" spans="1:7">
      <c r="A1303" t="s">
        <v>639</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7182</v>
      </c>
      <c r="G1303">
        <f>'4L'!$T$39</f>
        <v>0</v>
      </c>
    </row>
    <row r="1304" spans="1:7">
      <c r="A1304" t="s">
        <v>639</v>
      </c>
      <c r="C1304" t="str">
        <f>'4L'!$AV$40</f>
        <v>B0238IIC_WR</v>
      </c>
      <c r="D1304" t="str">
        <f>_xlfn.CONCAT('4L'!$B$30, "-", '4L'!$B$40, "-", '4L'!$F$6, "-", '4L'!$F$6, "-", '4L'!$F$5)</f>
        <v>Supply-demand balance-Internal interconnectors delivering benefits in 2020-2025-Water resources-Water resources-Expenditure in report year</v>
      </c>
      <c r="F1304" t="s">
        <v>7182</v>
      </c>
      <c r="G1304">
        <f>'4L'!$F$40</f>
        <v>0</v>
      </c>
    </row>
    <row r="1305" spans="1:7">
      <c r="A1305" t="s">
        <v>639</v>
      </c>
      <c r="C1305" t="str">
        <f>'4L'!$AW$40</f>
        <v>B0238IIC_RWT</v>
      </c>
      <c r="D1305" t="str">
        <f>_xlfn.CONCAT('4L'!$B$30, "-", '4L'!$B$40, "-", '4L'!$G$7, "-", '4L'!$G$6, "-", '4L'!$F$5)</f>
        <v>Supply-demand balance-Internal interconnectors delivering benefits in 2020-2025-Raw water transport-Water network+-Expenditure in report year</v>
      </c>
      <c r="F1305" t="s">
        <v>7182</v>
      </c>
      <c r="G1305">
        <f>'4L'!$G$40</f>
        <v>0</v>
      </c>
    </row>
    <row r="1306" spans="1:7">
      <c r="A1306" t="s">
        <v>639</v>
      </c>
      <c r="C1306" t="str">
        <f>'4L'!$AX$40</f>
        <v>B0238IIC_RWS</v>
      </c>
      <c r="D1306" t="str">
        <f>_xlfn.CONCAT('4L'!$B$30, "-", '4L'!$B$40, "-", '4L'!$H$7, "-", '4L'!$G$6, "-", '4L'!$F$5)</f>
        <v>Supply-demand balance-Internal interconnectors delivering benefits in 2020-2025-Raw water storage-Water network+-Expenditure in report year</v>
      </c>
      <c r="F1306" t="s">
        <v>7182</v>
      </c>
      <c r="G1306">
        <f>'4L'!$H$40</f>
        <v>0</v>
      </c>
    </row>
    <row r="1307" spans="1:7">
      <c r="A1307" t="s">
        <v>639</v>
      </c>
      <c r="C1307" t="str">
        <f>'4L'!$AY$40</f>
        <v>B0238IIC_WT</v>
      </c>
      <c r="D1307" t="str">
        <f>_xlfn.CONCAT('4L'!$B$30, "-", '4L'!$B$40, "-", '4L'!$I$7, "-", '4L'!$G$6, "-", '4L'!$F$5)</f>
        <v>Supply-demand balance-Internal interconnectors delivering benefits in 2020-2025-Water treatment-Water network+-Expenditure in report year</v>
      </c>
      <c r="F1307" t="s">
        <v>7182</v>
      </c>
      <c r="G1307">
        <f>'4L'!$I$40</f>
        <v>0</v>
      </c>
    </row>
    <row r="1308" spans="1:7">
      <c r="A1308" t="s">
        <v>639</v>
      </c>
      <c r="C1308" t="str">
        <f>'4L'!$AZ$40</f>
        <v>B0238IIC_TWD</v>
      </c>
      <c r="D1308" t="str">
        <f>_xlfn.CONCAT('4L'!$B$30, "-", '4L'!$B$40, "-", '4L'!$J$7, "-", '4L'!$G$6, "-", '4L'!$F$5)</f>
        <v>Supply-demand balance-Internal interconnectors delivering benefits in 2020-2025-Treated water distribution-Water network+-Expenditure in report year</v>
      </c>
      <c r="F1308" t="s">
        <v>7182</v>
      </c>
      <c r="G1308">
        <f>'4L'!$J$40</f>
        <v>0</v>
      </c>
    </row>
    <row r="1309" spans="1:7">
      <c r="A1309" t="s">
        <v>639</v>
      </c>
      <c r="C1309" t="str">
        <f>'4L'!$BA$40</f>
        <v>B0238IIC_TOT</v>
      </c>
      <c r="D1309" t="str">
        <f>_xlfn.CONCAT('4L'!$B$30, "-", '4L'!$B$40, "-", '4L'!$K$6, "-", '4L'!$K$6, "-", '4L'!$F$5)</f>
        <v>Supply-demand balance-Internal interconnectors delivering benefits in 2020-2025-Total-Total-Expenditure in report year</v>
      </c>
      <c r="F1309" t="s">
        <v>7182</v>
      </c>
      <c r="G1309">
        <f>'4L'!$K$40</f>
        <v>0</v>
      </c>
    </row>
    <row r="1310" spans="1:7">
      <c r="A1310" t="s">
        <v>639</v>
      </c>
      <c r="C1310" t="str">
        <f>'4L'!$AV$41</f>
        <v>B0239IIO_WR</v>
      </c>
      <c r="D1310" t="str">
        <f>_xlfn.CONCAT('4L'!$B$30, "-", '4L'!$B$41, "-", '4L'!$F$6, "-", '4L'!$F$6, "-", '4L'!$F$5)</f>
        <v>Supply-demand balance-Internal interconnectors delivering benefits in 2020-2025-Water resources-Water resources-Expenditure in report year</v>
      </c>
      <c r="F1310" t="s">
        <v>7182</v>
      </c>
      <c r="G1310">
        <f>'4L'!$F$41</f>
        <v>0</v>
      </c>
    </row>
    <row r="1311" spans="1:7">
      <c r="A1311" t="s">
        <v>639</v>
      </c>
      <c r="C1311" t="str">
        <f>'4L'!$AW$41</f>
        <v>B0239IIO_RWT</v>
      </c>
      <c r="D1311" t="str">
        <f>_xlfn.CONCAT('4L'!$B$30, "-", '4L'!$B$41, "-", '4L'!$G$7, "-", '4L'!$G$6, "-", '4L'!$F$5)</f>
        <v>Supply-demand balance-Internal interconnectors delivering benefits in 2020-2025-Raw water transport-Water network+-Expenditure in report year</v>
      </c>
      <c r="F1311" t="s">
        <v>7182</v>
      </c>
      <c r="G1311">
        <f>'4L'!$G$41</f>
        <v>0</v>
      </c>
    </row>
    <row r="1312" spans="1:7">
      <c r="A1312" t="s">
        <v>639</v>
      </c>
      <c r="C1312" t="str">
        <f>'4L'!$AX$41</f>
        <v>B0239IIO_RWS</v>
      </c>
      <c r="D1312" t="str">
        <f>_xlfn.CONCAT('4L'!$B$30, "-", '4L'!$B$41, "-", '4L'!$H$7, "-", '4L'!$G$6, "-", '4L'!$F$5)</f>
        <v>Supply-demand balance-Internal interconnectors delivering benefits in 2020-2025-Raw water storage-Water network+-Expenditure in report year</v>
      </c>
      <c r="F1312" t="s">
        <v>7182</v>
      </c>
      <c r="G1312">
        <f>'4L'!$H$41</f>
        <v>0</v>
      </c>
    </row>
    <row r="1313" spans="1:7">
      <c r="A1313" t="s">
        <v>639</v>
      </c>
      <c r="C1313" t="str">
        <f>'4L'!$AY$41</f>
        <v>B0239IIO_WT</v>
      </c>
      <c r="D1313" t="str">
        <f>_xlfn.CONCAT('4L'!$B$30, "-", '4L'!$B$41, "-", '4L'!$I$7, "-", '4L'!$G$6, "-", '4L'!$F$5)</f>
        <v>Supply-demand balance-Internal interconnectors delivering benefits in 2020-2025-Water treatment-Water network+-Expenditure in report year</v>
      </c>
      <c r="F1313" t="s">
        <v>7182</v>
      </c>
      <c r="G1313">
        <f>'4L'!$I$41</f>
        <v>0</v>
      </c>
    </row>
    <row r="1314" spans="1:7">
      <c r="A1314" t="s">
        <v>639</v>
      </c>
      <c r="C1314" t="str">
        <f>'4L'!$AZ$41</f>
        <v>B0239IIO_TWD</v>
      </c>
      <c r="D1314" t="str">
        <f>_xlfn.CONCAT('4L'!$B$30, "-", '4L'!$B$41, "-", '4L'!$J$7, "-", '4L'!$G$6, "-", '4L'!$F$5)</f>
        <v>Supply-demand balance-Internal interconnectors delivering benefits in 2020-2025-Treated water distribution-Water network+-Expenditure in report year</v>
      </c>
      <c r="F1314" t="s">
        <v>7182</v>
      </c>
      <c r="G1314">
        <f>'4L'!$J$41</f>
        <v>0</v>
      </c>
    </row>
    <row r="1315" spans="1:7">
      <c r="A1315" t="s">
        <v>639</v>
      </c>
      <c r="C1315" t="str">
        <f>'4L'!$BA$41</f>
        <v>B0239IIO_TOT</v>
      </c>
      <c r="D1315" t="str">
        <f>_xlfn.CONCAT('4L'!$B$30, "-", '4L'!$B$41, "-", '4L'!$K$6, "-", '4L'!$K$6, "-", '4L'!$F$5)</f>
        <v>Supply-demand balance-Internal interconnectors delivering benefits in 2020-2025-Total-Total-Expenditure in report year</v>
      </c>
      <c r="F1315" t="s">
        <v>7182</v>
      </c>
      <c r="G1315">
        <f>'4L'!$K$41</f>
        <v>0</v>
      </c>
    </row>
    <row r="1316" spans="1:7">
      <c r="A1316" t="s">
        <v>639</v>
      </c>
      <c r="C1316" t="str">
        <f>'4L'!$AV$42</f>
        <v>B0240IIT_WR</v>
      </c>
      <c r="D1316" t="str">
        <f>_xlfn.CONCAT('4L'!$B$30, "-", '4L'!$B$42, "-", '4L'!$F$6, "-", '4L'!$F$6, "-", '4L'!$F$5)</f>
        <v>Supply-demand balance-Internal interconnectors delivering benefits in 2020-2025-Water resources-Water resources-Expenditure in report year</v>
      </c>
      <c r="F1316" t="s">
        <v>7182</v>
      </c>
      <c r="G1316">
        <f>'4L'!$F$42</f>
        <v>0</v>
      </c>
    </row>
    <row r="1317" spans="1:7">
      <c r="A1317" t="s">
        <v>639</v>
      </c>
      <c r="C1317" t="str">
        <f>'4L'!$AW$42</f>
        <v>B0240IIT_RWT</v>
      </c>
      <c r="D1317" t="str">
        <f>_xlfn.CONCAT('4L'!$B$30, "-", '4L'!$B$42, "-", '4L'!$G$7, "-", '4L'!$G$6, "-", '4L'!$F$5)</f>
        <v>Supply-demand balance-Internal interconnectors delivering benefits in 2020-2025-Raw water transport-Water network+-Expenditure in report year</v>
      </c>
      <c r="F1317" t="s">
        <v>7182</v>
      </c>
      <c r="G1317">
        <f>'4L'!$G$42</f>
        <v>0</v>
      </c>
    </row>
    <row r="1318" spans="1:7">
      <c r="A1318" t="s">
        <v>639</v>
      </c>
      <c r="C1318" t="str">
        <f>'4L'!$AX$42</f>
        <v>B0240IIT_RWS</v>
      </c>
      <c r="D1318" t="str">
        <f>_xlfn.CONCAT('4L'!$B$30, "-", '4L'!$B$42, "-", '4L'!$H$7, "-", '4L'!$G$6, "-", '4L'!$F$5)</f>
        <v>Supply-demand balance-Internal interconnectors delivering benefits in 2020-2025-Raw water storage-Water network+-Expenditure in report year</v>
      </c>
      <c r="F1318" t="s">
        <v>7182</v>
      </c>
      <c r="G1318">
        <f>'4L'!$H$42</f>
        <v>0</v>
      </c>
    </row>
    <row r="1319" spans="1:7">
      <c r="A1319" t="s">
        <v>639</v>
      </c>
      <c r="C1319" t="str">
        <f>'4L'!$AY$42</f>
        <v>B0240IIT_WT</v>
      </c>
      <c r="D1319" t="str">
        <f>_xlfn.CONCAT('4L'!$B$30, "-", '4L'!$B$42, "-", '4L'!$I$7, "-", '4L'!$G$6, "-", '4L'!$F$5)</f>
        <v>Supply-demand balance-Internal interconnectors delivering benefits in 2020-2025-Water treatment-Water network+-Expenditure in report year</v>
      </c>
      <c r="F1319" t="s">
        <v>7182</v>
      </c>
      <c r="G1319">
        <f>'4L'!$I$42</f>
        <v>0</v>
      </c>
    </row>
    <row r="1320" spans="1:7">
      <c r="A1320" t="s">
        <v>639</v>
      </c>
      <c r="C1320" t="str">
        <f>'4L'!$AZ$42</f>
        <v>B0240IIT_TWD</v>
      </c>
      <c r="D1320" t="str">
        <f>_xlfn.CONCAT('4L'!$B$30, "-", '4L'!$B$42, "-", '4L'!$J$7, "-", '4L'!$G$6, "-", '4L'!$F$5)</f>
        <v>Supply-demand balance-Internal interconnectors delivering benefits in 2020-2025-Treated water distribution-Water network+-Expenditure in report year</v>
      </c>
      <c r="F1320" t="s">
        <v>7182</v>
      </c>
      <c r="G1320">
        <f>'4L'!$J$42</f>
        <v>0</v>
      </c>
    </row>
    <row r="1321" spans="1:7">
      <c r="A1321" t="s">
        <v>639</v>
      </c>
      <c r="C1321" t="str">
        <f>'4L'!$BA$42</f>
        <v>B0240IIT_TOT</v>
      </c>
      <c r="D1321" t="str">
        <f>_xlfn.CONCAT('4L'!$B$30, "-", '4L'!$B$42, "-", '4L'!$K$6, "-", '4L'!$K$6, "-", '4L'!$F$5)</f>
        <v>Supply-demand balance-Internal interconnectors delivering benefits in 2020-2025-Total-Total-Expenditure in report year</v>
      </c>
      <c r="F1321" t="s">
        <v>7182</v>
      </c>
      <c r="G1321">
        <f>'4L'!$K$42</f>
        <v>0</v>
      </c>
    </row>
    <row r="1322" spans="1:7">
      <c r="A1322" t="s">
        <v>639</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7182</v>
      </c>
      <c r="G1322">
        <f>'4L'!$R$42</f>
        <v>0</v>
      </c>
    </row>
    <row r="1323" spans="1:7">
      <c r="A1323" t="s">
        <v>639</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7182</v>
      </c>
      <c r="G1323">
        <f>'4L'!$S$42</f>
        <v>0</v>
      </c>
    </row>
    <row r="1324" spans="1:7">
      <c r="A1324" t="s">
        <v>639</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7182</v>
      </c>
      <c r="G1324">
        <f>'4L'!$T$42</f>
        <v>0</v>
      </c>
    </row>
    <row r="1325" spans="1:7">
      <c r="A1325" t="s">
        <v>639</v>
      </c>
      <c r="C1325" t="str">
        <f>'4L'!$AV$43</f>
        <v>B0241SDC_WR</v>
      </c>
      <c r="D1325" t="str">
        <f>_xlfn.CONCAT('4L'!$B$30, "-", '4L'!$B$43, "-", '4L'!$F$6, "-", '4L'!$F$6, "-", '4L'!$F$5)</f>
        <v>Supply-demand balance-Supply demand balance improvements delivering benefits starting from 2026-Water resources-Water resources-Expenditure in report year</v>
      </c>
      <c r="F1325" t="s">
        <v>7182</v>
      </c>
      <c r="G1325">
        <f>'4L'!$F$43</f>
        <v>0</v>
      </c>
    </row>
    <row r="1326" spans="1:7">
      <c r="A1326" t="s">
        <v>639</v>
      </c>
      <c r="C1326" t="str">
        <f>'4L'!$AW$43</f>
        <v>B0241SDC_RWT</v>
      </c>
      <c r="D1326" t="str">
        <f>_xlfn.CONCAT('4L'!$B$30, "-", '4L'!$B$43, "-", '4L'!$G$7, "-", '4L'!$G$6, "-", '4L'!$F$5)</f>
        <v>Supply-demand balance-Supply demand balance improvements delivering benefits starting from 2026-Raw water transport-Water network+-Expenditure in report year</v>
      </c>
      <c r="F1326" t="s">
        <v>7182</v>
      </c>
      <c r="G1326">
        <f>'4L'!$G$43</f>
        <v>0</v>
      </c>
    </row>
    <row r="1327" spans="1:7">
      <c r="A1327" t="s">
        <v>639</v>
      </c>
      <c r="C1327" t="str">
        <f>'4L'!$AX$43</f>
        <v>B0241SDC_RWS</v>
      </c>
      <c r="D1327" t="str">
        <f>_xlfn.CONCAT('4L'!$B$30, "-", '4L'!$B$43, "-", '4L'!$H$7, "-", '4L'!$G$6, "-", '4L'!$F$5)</f>
        <v>Supply-demand balance-Supply demand balance improvements delivering benefits starting from 2026-Raw water storage-Water network+-Expenditure in report year</v>
      </c>
      <c r="F1327" t="s">
        <v>7182</v>
      </c>
      <c r="G1327">
        <f>'4L'!$H$43</f>
        <v>0</v>
      </c>
    </row>
    <row r="1328" spans="1:7">
      <c r="A1328" t="s">
        <v>639</v>
      </c>
      <c r="C1328" t="str">
        <f>'4L'!$AY$43</f>
        <v>B0241SDC_WT</v>
      </c>
      <c r="D1328" t="str">
        <f>_xlfn.CONCAT('4L'!$B$30, "-", '4L'!$B$43, "-", '4L'!$I$7, "-", '4L'!$G$6, "-", '4L'!$F$5)</f>
        <v>Supply-demand balance-Supply demand balance improvements delivering benefits starting from 2026-Water treatment-Water network+-Expenditure in report year</v>
      </c>
      <c r="F1328" t="s">
        <v>7182</v>
      </c>
      <c r="G1328">
        <f>'4L'!$I$43</f>
        <v>0</v>
      </c>
    </row>
    <row r="1329" spans="1:7">
      <c r="A1329" t="s">
        <v>639</v>
      </c>
      <c r="C1329" t="str">
        <f>'4L'!$AZ$43</f>
        <v>B0241SDC_TWD</v>
      </c>
      <c r="D1329" t="str">
        <f>_xlfn.CONCAT('4L'!$B$30, "-", '4L'!$B$43, "-", '4L'!$J$7, "-", '4L'!$G$6, "-", '4L'!$F$5)</f>
        <v>Supply-demand balance-Supply demand balance improvements delivering benefits starting from 2026-Treated water distribution-Water network+-Expenditure in report year</v>
      </c>
      <c r="F1329" t="s">
        <v>7182</v>
      </c>
      <c r="G1329">
        <f>'4L'!$J$43</f>
        <v>0</v>
      </c>
    </row>
    <row r="1330" spans="1:7">
      <c r="A1330" t="s">
        <v>639</v>
      </c>
      <c r="C1330" t="str">
        <f>'4L'!$BA$43</f>
        <v>B0241SDC_TOT</v>
      </c>
      <c r="D1330" t="str">
        <f>_xlfn.CONCAT('4L'!$B$30, "-", '4L'!$B$43, "-", '4L'!$K$6, "-", '4L'!$K$6, "-", '4L'!$F$5)</f>
        <v>Supply-demand balance-Supply demand balance improvements delivering benefits starting from 2026-Total-Total-Expenditure in report year</v>
      </c>
      <c r="F1330" t="s">
        <v>7182</v>
      </c>
      <c r="G1330">
        <f>'4L'!$K$43</f>
        <v>0</v>
      </c>
    </row>
    <row r="1331" spans="1:7">
      <c r="A1331" t="s">
        <v>639</v>
      </c>
      <c r="C1331" t="str">
        <f>'4L'!$AV$44</f>
        <v>B0242SDO_WR</v>
      </c>
      <c r="D1331" t="str">
        <f>_xlfn.CONCAT('4L'!$B$30, "-", '4L'!$B$44, "-", '4L'!$F$6, "-", '4L'!$F$6, "-", '4L'!$F$5)</f>
        <v>Supply-demand balance-Supply demand balance improvements delivering benefits starting from 2026-Water resources-Water resources-Expenditure in report year</v>
      </c>
      <c r="F1331" t="s">
        <v>7182</v>
      </c>
      <c r="G1331">
        <f>'4L'!$F$44</f>
        <v>0</v>
      </c>
    </row>
    <row r="1332" spans="1:7">
      <c r="A1332" t="s">
        <v>639</v>
      </c>
      <c r="C1332" t="str">
        <f>'4L'!$AW$44</f>
        <v>B0242SDO_RWT</v>
      </c>
      <c r="D1332" t="str">
        <f>_xlfn.CONCAT('4L'!$B$30, "-", '4L'!$B$44, "-", '4L'!$G$7, "-", '4L'!$G$6, "-", '4L'!$F$5)</f>
        <v>Supply-demand balance-Supply demand balance improvements delivering benefits starting from 2026-Raw water transport-Water network+-Expenditure in report year</v>
      </c>
      <c r="F1332" t="s">
        <v>7182</v>
      </c>
      <c r="G1332">
        <f>'4L'!$G$44</f>
        <v>0</v>
      </c>
    </row>
    <row r="1333" spans="1:7">
      <c r="A1333" t="s">
        <v>639</v>
      </c>
      <c r="C1333" t="str">
        <f>'4L'!$AX$44</f>
        <v>B0242SDO_RWS</v>
      </c>
      <c r="D1333" t="str">
        <f>_xlfn.CONCAT('4L'!$B$30, "-", '4L'!$B$44, "-", '4L'!$H$7, "-", '4L'!$G$6, "-", '4L'!$F$5)</f>
        <v>Supply-demand balance-Supply demand balance improvements delivering benefits starting from 2026-Raw water storage-Water network+-Expenditure in report year</v>
      </c>
      <c r="F1333" t="s">
        <v>7182</v>
      </c>
      <c r="G1333">
        <f>'4L'!$H$44</f>
        <v>0</v>
      </c>
    </row>
    <row r="1334" spans="1:7">
      <c r="A1334" t="s">
        <v>639</v>
      </c>
      <c r="C1334" t="str">
        <f>'4L'!$AY$44</f>
        <v>B0242SDO_WT</v>
      </c>
      <c r="D1334" t="str">
        <f>_xlfn.CONCAT('4L'!$B$30, "-", '4L'!$B$44, "-", '4L'!$I$7, "-", '4L'!$G$6, "-", '4L'!$F$5)</f>
        <v>Supply-demand balance-Supply demand balance improvements delivering benefits starting from 2026-Water treatment-Water network+-Expenditure in report year</v>
      </c>
      <c r="F1334" t="s">
        <v>7182</v>
      </c>
      <c r="G1334">
        <f>'4L'!$I$44</f>
        <v>0</v>
      </c>
    </row>
    <row r="1335" spans="1:7">
      <c r="A1335" t="s">
        <v>639</v>
      </c>
      <c r="C1335" t="str">
        <f>'4L'!$AZ$44</f>
        <v>B0242SDO_TWD</v>
      </c>
      <c r="D1335" t="str">
        <f>_xlfn.CONCAT('4L'!$B$30, "-", '4L'!$B$44, "-", '4L'!$J$7, "-", '4L'!$G$6, "-", '4L'!$F$5)</f>
        <v>Supply-demand balance-Supply demand balance improvements delivering benefits starting from 2026-Treated water distribution-Water network+-Expenditure in report year</v>
      </c>
      <c r="F1335" t="s">
        <v>7182</v>
      </c>
      <c r="G1335">
        <f>'4L'!$J$44</f>
        <v>0</v>
      </c>
    </row>
    <row r="1336" spans="1:7">
      <c r="A1336" t="s">
        <v>639</v>
      </c>
      <c r="C1336" t="str">
        <f>'4L'!$BA$44</f>
        <v>B0242SDO_TOT</v>
      </c>
      <c r="D1336" t="str">
        <f>_xlfn.CONCAT('4L'!$B$30, "-", '4L'!$B$44, "-", '4L'!$K$6, "-", '4L'!$K$6, "-", '4L'!$F$5)</f>
        <v>Supply-demand balance-Supply demand balance improvements delivering benefits starting from 2026-Total-Total-Expenditure in report year</v>
      </c>
      <c r="F1336" t="s">
        <v>7182</v>
      </c>
      <c r="G1336">
        <f>'4L'!$K$44</f>
        <v>0</v>
      </c>
    </row>
    <row r="1337" spans="1:7">
      <c r="A1337" t="s">
        <v>639</v>
      </c>
      <c r="C1337" t="str">
        <f>'4L'!$AV$45</f>
        <v>B0243SDT_WR</v>
      </c>
      <c r="D1337" t="str">
        <f>_xlfn.CONCAT('4L'!$B$30, "-", '4L'!$B$45, "-", '4L'!$F$6, "-", '4L'!$F$6, "-", '4L'!$F$5)</f>
        <v>Supply-demand balance-Supply demand balance improvements delivering benefits starting from 2026-Water resources-Water resources-Expenditure in report year</v>
      </c>
      <c r="F1337" t="s">
        <v>7182</v>
      </c>
      <c r="G1337">
        <f>'4L'!$F$45</f>
        <v>0</v>
      </c>
    </row>
    <row r="1338" spans="1:7">
      <c r="A1338" t="s">
        <v>639</v>
      </c>
      <c r="C1338" t="str">
        <f>'4L'!$AW$45</f>
        <v>B0243SDT_RWT</v>
      </c>
      <c r="D1338" t="str">
        <f>_xlfn.CONCAT('4L'!$B$30, "-", '4L'!$B$45, "-", '4L'!$G$7, "-", '4L'!$G$6, "-", '4L'!$F$5)</f>
        <v>Supply-demand balance-Supply demand balance improvements delivering benefits starting from 2026-Raw water transport-Water network+-Expenditure in report year</v>
      </c>
      <c r="F1338" t="s">
        <v>7182</v>
      </c>
      <c r="G1338">
        <f>'4L'!$G$45</f>
        <v>0</v>
      </c>
    </row>
    <row r="1339" spans="1:7">
      <c r="A1339" t="s">
        <v>639</v>
      </c>
      <c r="C1339" t="str">
        <f>'4L'!$AX$45</f>
        <v>B0243SDT_RWS</v>
      </c>
      <c r="D1339" t="str">
        <f>_xlfn.CONCAT('4L'!$B$30, "-", '4L'!$B$45, "-", '4L'!$H$7, "-", '4L'!$G$6, "-", '4L'!$F$5)</f>
        <v>Supply-demand balance-Supply demand balance improvements delivering benefits starting from 2026-Raw water storage-Water network+-Expenditure in report year</v>
      </c>
      <c r="F1339" t="s">
        <v>7182</v>
      </c>
      <c r="G1339">
        <f>'4L'!$H$45</f>
        <v>0</v>
      </c>
    </row>
    <row r="1340" spans="1:7">
      <c r="A1340" t="s">
        <v>639</v>
      </c>
      <c r="C1340" t="str">
        <f>'4L'!$AY$45</f>
        <v>B0243SDT_WT</v>
      </c>
      <c r="D1340" t="str">
        <f>_xlfn.CONCAT('4L'!$B$30, "-", '4L'!$B$45, "-", '4L'!$I$7, "-", '4L'!$G$6, "-", '4L'!$F$5)</f>
        <v>Supply-demand balance-Supply demand balance improvements delivering benefits starting from 2026-Water treatment-Water network+-Expenditure in report year</v>
      </c>
      <c r="F1340" t="s">
        <v>7182</v>
      </c>
      <c r="G1340">
        <f>'4L'!$I$45</f>
        <v>0</v>
      </c>
    </row>
    <row r="1341" spans="1:7">
      <c r="A1341" t="s">
        <v>639</v>
      </c>
      <c r="C1341" t="str">
        <f>'4L'!$AZ$45</f>
        <v>B0243SDT_TWD</v>
      </c>
      <c r="D1341" t="str">
        <f>_xlfn.CONCAT('4L'!$B$30, "-", '4L'!$B$45, "-", '4L'!$J$7, "-", '4L'!$G$6, "-", '4L'!$F$5)</f>
        <v>Supply-demand balance-Supply demand balance improvements delivering benefits starting from 2026-Treated water distribution-Water network+-Expenditure in report year</v>
      </c>
      <c r="F1341" t="s">
        <v>7182</v>
      </c>
      <c r="G1341">
        <f>'4L'!$J$45</f>
        <v>0</v>
      </c>
    </row>
    <row r="1342" spans="1:7">
      <c r="A1342" t="s">
        <v>639</v>
      </c>
      <c r="C1342" t="str">
        <f>'4L'!$BA$45</f>
        <v>B0243SDT_TOT</v>
      </c>
      <c r="D1342" t="str">
        <f>_xlfn.CONCAT('4L'!$B$30, "-", '4L'!$B$45, "-", '4L'!$K$6, "-", '4L'!$K$6, "-", '4L'!$F$5)</f>
        <v>Supply-demand balance-Supply demand balance improvements delivering benefits starting from 2026-Total-Total-Expenditure in report year</v>
      </c>
      <c r="F1342" t="s">
        <v>7182</v>
      </c>
      <c r="G1342">
        <f>'4L'!$K$45</f>
        <v>0</v>
      </c>
    </row>
    <row r="1343" spans="1:7">
      <c r="A1343" t="s">
        <v>639</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7182</v>
      </c>
      <c r="G1343">
        <f>'4L'!$R$45</f>
        <v>0</v>
      </c>
    </row>
    <row r="1344" spans="1:7">
      <c r="A1344" t="s">
        <v>639</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7182</v>
      </c>
      <c r="G1344">
        <f>'4L'!$S$45</f>
        <v>0</v>
      </c>
    </row>
    <row r="1345" spans="1:7">
      <c r="A1345" t="s">
        <v>639</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7182</v>
      </c>
      <c r="G1345">
        <f>'4L'!$T$45</f>
        <v>0</v>
      </c>
    </row>
    <row r="1346" spans="1:7">
      <c r="A1346" t="s">
        <v>639</v>
      </c>
      <c r="C1346" t="str">
        <f>'4L'!$AV$46</f>
        <v>B0244SRC_WR</v>
      </c>
      <c r="D1346" t="str">
        <f>_xlfn.CONCAT('4L'!$B$30, "-", '4L'!$B$46, "-", '4L'!$F$6, "-", '4L'!$F$6, "-", '4L'!$F$5)</f>
        <v>Supply-demand balance-Strategic regional water resources-Water resources-Water resources-Expenditure in report year</v>
      </c>
      <c r="F1346" t="s">
        <v>7182</v>
      </c>
      <c r="G1346">
        <f>'4L'!$F$46</f>
        <v>0</v>
      </c>
    </row>
    <row r="1347" spans="1:7">
      <c r="A1347" t="s">
        <v>639</v>
      </c>
      <c r="C1347" t="str">
        <f>'4L'!$AW$46</f>
        <v>B0244SRC_RWT</v>
      </c>
      <c r="D1347" t="str">
        <f>_xlfn.CONCAT('4L'!$B$30, "-", '4L'!$B$46, "-", '4L'!$G$7, "-", '4L'!$G$6, "-", '4L'!$F$5)</f>
        <v>Supply-demand balance-Strategic regional water resources-Raw water transport-Water network+-Expenditure in report year</v>
      </c>
      <c r="F1347" t="s">
        <v>7182</v>
      </c>
      <c r="G1347">
        <f>'4L'!$G$46</f>
        <v>0</v>
      </c>
    </row>
    <row r="1348" spans="1:7">
      <c r="A1348" t="s">
        <v>639</v>
      </c>
      <c r="C1348" t="str">
        <f>'4L'!$AX$46</f>
        <v>B0244SRC_RWS</v>
      </c>
      <c r="D1348" t="str">
        <f>_xlfn.CONCAT('4L'!$B$30, "-", '4L'!$B$46, "-", '4L'!$H$7, "-", '4L'!$G$6, "-", '4L'!$F$5)</f>
        <v>Supply-demand balance-Strategic regional water resources-Raw water storage-Water network+-Expenditure in report year</v>
      </c>
      <c r="F1348" t="s">
        <v>7182</v>
      </c>
      <c r="G1348">
        <f>'4L'!$H$46</f>
        <v>0</v>
      </c>
    </row>
    <row r="1349" spans="1:7">
      <c r="A1349" t="s">
        <v>639</v>
      </c>
      <c r="C1349" t="str">
        <f>'4L'!$AY$46</f>
        <v>B0244SRC_WT</v>
      </c>
      <c r="D1349" t="str">
        <f>_xlfn.CONCAT('4L'!$B$30, "-", '4L'!$B$46, "-", '4L'!$I$7, "-", '4L'!$G$6, "-", '4L'!$F$5)</f>
        <v>Supply-demand balance-Strategic regional water resources-Water treatment-Water network+-Expenditure in report year</v>
      </c>
      <c r="F1349" t="s">
        <v>7182</v>
      </c>
      <c r="G1349">
        <f>'4L'!$I$46</f>
        <v>0</v>
      </c>
    </row>
    <row r="1350" spans="1:7">
      <c r="A1350" t="s">
        <v>639</v>
      </c>
      <c r="C1350" t="str">
        <f>'4L'!$AZ$46</f>
        <v>B0244SRC_TWD</v>
      </c>
      <c r="D1350" t="str">
        <f>_xlfn.CONCAT('4L'!$B$30, "-", '4L'!$B$46, "-", '4L'!$J$7, "-", '4L'!$G$6, "-", '4L'!$F$5)</f>
        <v>Supply-demand balance-Strategic regional water resources-Treated water distribution-Water network+-Expenditure in report year</v>
      </c>
      <c r="F1350" t="s">
        <v>7182</v>
      </c>
      <c r="G1350">
        <f>'4L'!$J$46</f>
        <v>0</v>
      </c>
    </row>
    <row r="1351" spans="1:7">
      <c r="A1351" t="s">
        <v>639</v>
      </c>
      <c r="C1351" t="str">
        <f>'4L'!$BA$46</f>
        <v>B0244SRC_TOT</v>
      </c>
      <c r="D1351" t="str">
        <f>_xlfn.CONCAT('4L'!$B$30, "-", '4L'!$B$46, "-", '4L'!$K$6, "-", '4L'!$K$6, "-", '4L'!$F$5)</f>
        <v>Supply-demand balance-Strategic regional water resources-Total-Total-Expenditure in report year</v>
      </c>
      <c r="F1351" t="s">
        <v>7182</v>
      </c>
      <c r="G1351">
        <f>'4L'!$K$46</f>
        <v>0</v>
      </c>
    </row>
    <row r="1352" spans="1:7">
      <c r="A1352" t="s">
        <v>639</v>
      </c>
      <c r="C1352" t="str">
        <f>'4L'!$AV$47</f>
        <v>B0245SRO_WR</v>
      </c>
      <c r="D1352" t="str">
        <f>_xlfn.CONCAT('4L'!$B$30, "-", '4L'!$B$47, "-", '4L'!$F$6, "-", '4L'!$F$6, "-", '4L'!$F$5)</f>
        <v>Supply-demand balance-Strategic regional water resources-Water resources-Water resources-Expenditure in report year</v>
      </c>
      <c r="F1352" t="s">
        <v>7182</v>
      </c>
      <c r="G1352">
        <f>'4L'!$F$47</f>
        <v>0</v>
      </c>
    </row>
    <row r="1353" spans="1:7">
      <c r="A1353" t="s">
        <v>639</v>
      </c>
      <c r="C1353" t="str">
        <f>'4L'!$AW$47</f>
        <v>B0245SRO_RWT</v>
      </c>
      <c r="D1353" t="str">
        <f>_xlfn.CONCAT('4L'!$B$30, "-", '4L'!$B$47, "-", '4L'!$G$7, "-", '4L'!$G$6, "-", '4L'!$F$5)</f>
        <v>Supply-demand balance-Strategic regional water resources-Raw water transport-Water network+-Expenditure in report year</v>
      </c>
      <c r="F1353" t="s">
        <v>7182</v>
      </c>
      <c r="G1353">
        <f>'4L'!$G$47</f>
        <v>0</v>
      </c>
    </row>
    <row r="1354" spans="1:7">
      <c r="A1354" t="s">
        <v>639</v>
      </c>
      <c r="C1354" t="str">
        <f>'4L'!$AX$47</f>
        <v>B0245SRO_RWS</v>
      </c>
      <c r="D1354" t="str">
        <f>_xlfn.CONCAT('4L'!$B$30, "-", '4L'!$B$47, "-", '4L'!$H$7, "-", '4L'!$G$6, "-", '4L'!$F$5)</f>
        <v>Supply-demand balance-Strategic regional water resources-Raw water storage-Water network+-Expenditure in report year</v>
      </c>
      <c r="F1354" t="s">
        <v>7182</v>
      </c>
      <c r="G1354">
        <f>'4L'!$H$47</f>
        <v>0</v>
      </c>
    </row>
    <row r="1355" spans="1:7">
      <c r="A1355" t="s">
        <v>639</v>
      </c>
      <c r="C1355" t="str">
        <f>'4L'!$AY$47</f>
        <v>B0245SRO_WT</v>
      </c>
      <c r="D1355" t="str">
        <f>_xlfn.CONCAT('4L'!$B$30, "-", '4L'!$B$47, "-", '4L'!$I$7, "-", '4L'!$G$6, "-", '4L'!$F$5)</f>
        <v>Supply-demand balance-Strategic regional water resources-Water treatment-Water network+-Expenditure in report year</v>
      </c>
      <c r="F1355" t="s">
        <v>7182</v>
      </c>
      <c r="G1355">
        <f>'4L'!$I$47</f>
        <v>0</v>
      </c>
    </row>
    <row r="1356" spans="1:7">
      <c r="A1356" t="s">
        <v>639</v>
      </c>
      <c r="C1356" t="str">
        <f>'4L'!$AZ$47</f>
        <v>B0245SRO_TWD</v>
      </c>
      <c r="D1356" t="str">
        <f>_xlfn.CONCAT('4L'!$B$30, "-", '4L'!$B$47, "-", '4L'!$J$7, "-", '4L'!$G$6, "-", '4L'!$F$5)</f>
        <v>Supply-demand balance-Strategic regional water resources-Treated water distribution-Water network+-Expenditure in report year</v>
      </c>
      <c r="F1356" t="s">
        <v>7182</v>
      </c>
      <c r="G1356">
        <f>'4L'!$J$47</f>
        <v>0</v>
      </c>
    </row>
    <row r="1357" spans="1:7">
      <c r="A1357" t="s">
        <v>639</v>
      </c>
      <c r="C1357" t="str">
        <f>'4L'!$BA$47</f>
        <v>B0245SRO_TOT</v>
      </c>
      <c r="D1357" t="str">
        <f>_xlfn.CONCAT('4L'!$B$30, "-", '4L'!$B$47, "-", '4L'!$K$6, "-", '4L'!$K$6, "-", '4L'!$F$5)</f>
        <v>Supply-demand balance-Strategic regional water resources-Total-Total-Expenditure in report year</v>
      </c>
      <c r="F1357" t="s">
        <v>7182</v>
      </c>
      <c r="G1357">
        <f>'4L'!$K$47</f>
        <v>0</v>
      </c>
    </row>
    <row r="1358" spans="1:7">
      <c r="A1358" t="s">
        <v>639</v>
      </c>
      <c r="C1358" t="str">
        <f>'4L'!$AV$48</f>
        <v>B0246SRT_WR</v>
      </c>
      <c r="D1358" t="str">
        <f>_xlfn.CONCAT('4L'!$B$30, "-", '4L'!$B$48, "-", '4L'!$F$6, "-", '4L'!$F$6, "-", '4L'!$F$5)</f>
        <v>Supply-demand balance-Strategic regional water resources-Water resources-Water resources-Expenditure in report year</v>
      </c>
      <c r="F1358" t="s">
        <v>7182</v>
      </c>
      <c r="G1358">
        <f>'4L'!$F$48</f>
        <v>0</v>
      </c>
    </row>
    <row r="1359" spans="1:7">
      <c r="A1359" t="s">
        <v>639</v>
      </c>
      <c r="C1359" t="str">
        <f>'4L'!$AW$48</f>
        <v>B0246SRT_RWT</v>
      </c>
      <c r="D1359" t="str">
        <f>_xlfn.CONCAT('4L'!$B$30, "-", '4L'!$B$48, "-", '4L'!$G$7, "-", '4L'!$G$6, "-", '4L'!$F$5)</f>
        <v>Supply-demand balance-Strategic regional water resources-Raw water transport-Water network+-Expenditure in report year</v>
      </c>
      <c r="F1359" t="s">
        <v>7182</v>
      </c>
      <c r="G1359">
        <f>'4L'!$G$48</f>
        <v>0</v>
      </c>
    </row>
    <row r="1360" spans="1:7">
      <c r="A1360" t="s">
        <v>639</v>
      </c>
      <c r="C1360" t="str">
        <f>'4L'!$AX$48</f>
        <v>B0246SRT_RWS</v>
      </c>
      <c r="D1360" t="str">
        <f>_xlfn.CONCAT('4L'!$B$30, "-", '4L'!$B$48, "-", '4L'!$H$7, "-", '4L'!$G$6, "-", '4L'!$F$5)</f>
        <v>Supply-demand balance-Strategic regional water resources-Raw water storage-Water network+-Expenditure in report year</v>
      </c>
      <c r="F1360" t="s">
        <v>7182</v>
      </c>
      <c r="G1360">
        <f>'4L'!$H$48</f>
        <v>0</v>
      </c>
    </row>
    <row r="1361" spans="1:7">
      <c r="A1361" t="s">
        <v>639</v>
      </c>
      <c r="C1361" t="str">
        <f>'4L'!$AY$48</f>
        <v>B0246SRT_WT</v>
      </c>
      <c r="D1361" t="str">
        <f>_xlfn.CONCAT('4L'!$B$30, "-", '4L'!$B$48, "-", '4L'!$I$7, "-", '4L'!$G$6, "-", '4L'!$F$5)</f>
        <v>Supply-demand balance-Strategic regional water resources-Water treatment-Water network+-Expenditure in report year</v>
      </c>
      <c r="F1361" t="s">
        <v>7182</v>
      </c>
      <c r="G1361">
        <f>'4L'!$I$48</f>
        <v>0</v>
      </c>
    </row>
    <row r="1362" spans="1:7">
      <c r="A1362" t="s">
        <v>639</v>
      </c>
      <c r="C1362" t="str">
        <f>'4L'!$AZ$48</f>
        <v>B0246SRT_TWD</v>
      </c>
      <c r="D1362" t="str">
        <f>_xlfn.CONCAT('4L'!$B$30, "-", '4L'!$B$48, "-", '4L'!$J$7, "-", '4L'!$G$6, "-", '4L'!$F$5)</f>
        <v>Supply-demand balance-Strategic regional water resources-Treated water distribution-Water network+-Expenditure in report year</v>
      </c>
      <c r="F1362" t="s">
        <v>7182</v>
      </c>
      <c r="G1362">
        <f>'4L'!$J$48</f>
        <v>0</v>
      </c>
    </row>
    <row r="1363" spans="1:7">
      <c r="A1363" t="s">
        <v>639</v>
      </c>
      <c r="C1363" t="str">
        <f>'4L'!$BA$48</f>
        <v>B0246SRT_TOT</v>
      </c>
      <c r="D1363" t="str">
        <f>_xlfn.CONCAT('4L'!$B$30, "-", '4L'!$B$48, "-", '4L'!$K$6, "-", '4L'!$K$6, "-", '4L'!$F$5)</f>
        <v>Supply-demand balance-Strategic regional water resources-Total-Total-Expenditure in report year</v>
      </c>
      <c r="F1363" t="s">
        <v>7182</v>
      </c>
      <c r="G1363">
        <f>'4L'!$K$48</f>
        <v>0</v>
      </c>
    </row>
    <row r="1364" spans="1:7">
      <c r="A1364" t="s">
        <v>639</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7182</v>
      </c>
      <c r="G1364">
        <f>'4L'!$R$48</f>
        <v>0</v>
      </c>
    </row>
    <row r="1365" spans="1:7">
      <c r="A1365" t="s">
        <v>639</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7182</v>
      </c>
      <c r="G1365">
        <f>'4L'!$S$48</f>
        <v>0</v>
      </c>
    </row>
    <row r="1366" spans="1:7">
      <c r="A1366" t="s">
        <v>639</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7182</v>
      </c>
      <c r="G1366">
        <f>'4L'!$T$48</f>
        <v>0</v>
      </c>
    </row>
    <row r="1367" spans="1:7">
      <c r="A1367" t="s">
        <v>639</v>
      </c>
      <c r="C1367" t="str">
        <f>'4L'!$AV$49</f>
        <v>B0247SST_WR</v>
      </c>
      <c r="D1367" t="str">
        <f>_xlfn.CONCAT('4L'!$B$30, "-", '4L'!$B$49, "-", '4L'!$F$6, "-", '4L'!$F$6, "-", '4L'!$F$5)</f>
        <v>Supply-demand balance-Total supply demand expenditure -Water resources-Water resources-Expenditure in report year</v>
      </c>
      <c r="F1367" t="s">
        <v>7182</v>
      </c>
      <c r="G1367">
        <f>'4L'!$F$49</f>
        <v>0.373</v>
      </c>
    </row>
    <row r="1368" spans="1:7">
      <c r="A1368" t="s">
        <v>639</v>
      </c>
      <c r="C1368" t="str">
        <f>'4L'!$AW$49</f>
        <v>B0247SST_RWT</v>
      </c>
      <c r="D1368" t="str">
        <f>_xlfn.CONCAT('4L'!$B$30, "-", '4L'!$B$49, "-", '4L'!$G$7, "-", '4L'!$G$6, "-", '4L'!$F$5)</f>
        <v>Supply-demand balance-Total supply demand expenditure -Raw water transport-Water network+-Expenditure in report year</v>
      </c>
      <c r="F1368" t="s">
        <v>7182</v>
      </c>
      <c r="G1368">
        <f>'4L'!$G$49</f>
        <v>0</v>
      </c>
    </row>
    <row r="1369" spans="1:7">
      <c r="A1369" t="s">
        <v>639</v>
      </c>
      <c r="C1369" t="str">
        <f>'4L'!$AX$49</f>
        <v>B0247SST_RWS</v>
      </c>
      <c r="D1369" t="str">
        <f>_xlfn.CONCAT('4L'!$B$30, "-", '4L'!$B$49, "-", '4L'!$H$7, "-", '4L'!$G$6, "-", '4L'!$F$5)</f>
        <v>Supply-demand balance-Total supply demand expenditure -Raw water storage-Water network+-Expenditure in report year</v>
      </c>
      <c r="F1369" t="s">
        <v>7182</v>
      </c>
      <c r="G1369">
        <f>'4L'!$H$49</f>
        <v>0</v>
      </c>
    </row>
    <row r="1370" spans="1:7">
      <c r="A1370" t="s">
        <v>639</v>
      </c>
      <c r="C1370" t="str">
        <f>'4L'!$AY$49</f>
        <v>B0247SST_WT</v>
      </c>
      <c r="D1370" t="str">
        <f>_xlfn.CONCAT('4L'!$B$30, "-", '4L'!$B$49, "-", '4L'!$I$7, "-", '4L'!$G$6, "-", '4L'!$F$5)</f>
        <v>Supply-demand balance-Total supply demand expenditure -Water treatment-Water network+-Expenditure in report year</v>
      </c>
      <c r="F1370" t="s">
        <v>7182</v>
      </c>
      <c r="G1370">
        <f>'4L'!$I$49</f>
        <v>0.373</v>
      </c>
    </row>
    <row r="1371" spans="1:7">
      <c r="A1371" t="s">
        <v>639</v>
      </c>
      <c r="C1371" t="str">
        <f>'4L'!$AZ$49</f>
        <v>B0247SST_TWD</v>
      </c>
      <c r="D1371" t="str">
        <f>_xlfn.CONCAT('4L'!$B$30, "-", '4L'!$B$49, "-", '4L'!$J$7, "-", '4L'!$G$6, "-", '4L'!$F$5)</f>
        <v>Supply-demand balance-Total supply demand expenditure -Treated water distribution-Water network+-Expenditure in report year</v>
      </c>
      <c r="F1371" t="s">
        <v>7182</v>
      </c>
      <c r="G1371">
        <f>'4L'!$J$49</f>
        <v>0.373</v>
      </c>
    </row>
    <row r="1372" spans="1:7">
      <c r="A1372" t="s">
        <v>639</v>
      </c>
      <c r="C1372" t="str">
        <f>'4L'!$BA$49</f>
        <v>B0247SST_TOT</v>
      </c>
      <c r="D1372" t="str">
        <f>_xlfn.CONCAT('4L'!$B$30, "-", '4L'!$B$49, "-", '4L'!$K$6, "-", '4L'!$K$6, "-", '4L'!$F$5)</f>
        <v>Supply-demand balance-Total supply demand expenditure -Total-Total-Expenditure in report year</v>
      </c>
      <c r="F1372" t="s">
        <v>7182</v>
      </c>
      <c r="G1372">
        <f>'4L'!$K$49</f>
        <v>1.119</v>
      </c>
    </row>
    <row r="1373" spans="1:7">
      <c r="A1373" t="s">
        <v>639</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7182</v>
      </c>
      <c r="G1373">
        <f>'4L'!$R$49</f>
        <v>2.9889999999999999</v>
      </c>
    </row>
    <row r="1374" spans="1:7">
      <c r="A1374" t="s">
        <v>639</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7182</v>
      </c>
      <c r="G1374">
        <f>'4L'!$S$49</f>
        <v>0</v>
      </c>
    </row>
    <row r="1375" spans="1:7">
      <c r="A1375" t="s">
        <v>639</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7182</v>
      </c>
      <c r="G1375">
        <f>'4L'!$T$49</f>
        <v>0</v>
      </c>
    </row>
    <row r="1376" spans="1:7">
      <c r="A1376" t="s">
        <v>639</v>
      </c>
      <c r="C1376" t="str">
        <f>'4L'!$AZ$52</f>
        <v>B0248NMC_TWD</v>
      </c>
      <c r="D1376" t="str">
        <f>_xlfn.CONCAT('4L'!$B$51, "-", '4L'!$B$52, "-", '4L'!$J$7, "-", '4L'!$G$6, "-", '4L'!$F$5)</f>
        <v>Metering-New meters requested by existing customers (optants)-Treated water distribution-Water network+-Expenditure in report year</v>
      </c>
      <c r="F1376" t="s">
        <v>7182</v>
      </c>
      <c r="G1376">
        <f>'4L'!$J$52</f>
        <v>3.7250000000000001</v>
      </c>
    </row>
    <row r="1377" spans="1:7">
      <c r="A1377" t="s">
        <v>639</v>
      </c>
      <c r="C1377" t="str">
        <f>'4L'!$BA$52</f>
        <v>B0248NMC_TOT</v>
      </c>
      <c r="D1377" t="str">
        <f>_xlfn.CONCAT('4L'!$B$51, "-", '4L'!$B$52, "-", '4L'!$K$6, "-", '4L'!$K$6, "-", '4L'!$F$5)</f>
        <v>Metering-New meters requested by existing customers (optants)-Total-Total-Expenditure in report year</v>
      </c>
      <c r="F1377" t="s">
        <v>7182</v>
      </c>
      <c r="G1377">
        <f>'4L'!$K$52</f>
        <v>3.7250000000000001</v>
      </c>
    </row>
    <row r="1378" spans="1:7">
      <c r="A1378" t="s">
        <v>639</v>
      </c>
      <c r="C1378" t="str">
        <f>'4L'!$AZ$53</f>
        <v>B0249NMO_TWD</v>
      </c>
      <c r="D1378" t="str">
        <f>_xlfn.CONCAT('4L'!$B$51, "-", '4L'!$B$53, "-", '4L'!$J$7, "-", '4L'!$G$6, "-", '4L'!$F$5)</f>
        <v>Metering-New meters requested by existing customers (optants)-Treated water distribution-Water network+-Expenditure in report year</v>
      </c>
      <c r="F1378" t="s">
        <v>7182</v>
      </c>
      <c r="G1378">
        <f>'4L'!$J$53</f>
        <v>0</v>
      </c>
    </row>
    <row r="1379" spans="1:7">
      <c r="A1379" t="s">
        <v>639</v>
      </c>
      <c r="C1379" t="str">
        <f>'4L'!$BA$53</f>
        <v>B0249NMO_TOT</v>
      </c>
      <c r="D1379" t="str">
        <f>_xlfn.CONCAT('4L'!$B$51, "-", '4L'!$B$53, "-", '4L'!$K$6, "-", '4L'!$K$6, "-", '4L'!$F$5)</f>
        <v>Metering-New meters requested by existing customers (optants)-Total-Total-Expenditure in report year</v>
      </c>
      <c r="F1379" t="s">
        <v>7182</v>
      </c>
      <c r="G1379">
        <f>'4L'!$K$53</f>
        <v>0</v>
      </c>
    </row>
    <row r="1380" spans="1:7">
      <c r="A1380" t="s">
        <v>639</v>
      </c>
      <c r="C1380" t="str">
        <f>'4L'!$AZ$54</f>
        <v>B0250NMT_TWD</v>
      </c>
      <c r="D1380" t="str">
        <f>_xlfn.CONCAT('4L'!$B$51, "-", '4L'!$B$54, "-", '4L'!$J$7, "-", '4L'!$G$6, "-", '4L'!$F$5)</f>
        <v>Metering-New meters requested by existing customers (optants)-Treated water distribution-Water network+-Expenditure in report year</v>
      </c>
      <c r="F1380" t="s">
        <v>7182</v>
      </c>
      <c r="G1380">
        <f>'4L'!$J$54</f>
        <v>3.7250000000000001</v>
      </c>
    </row>
    <row r="1381" spans="1:7">
      <c r="A1381" t="s">
        <v>639</v>
      </c>
      <c r="C1381" t="str">
        <f>'4L'!$BA$54</f>
        <v>B0250NMT_TOT</v>
      </c>
      <c r="D1381" t="str">
        <f>_xlfn.CONCAT('4L'!$B$51, "-", '4L'!$B$54, "-", '4L'!$K$6, "-", '4L'!$K$6, "-", '4L'!$F$5)</f>
        <v>Metering-New meters requested by existing customers (optants)-Total-Total-Expenditure in report year</v>
      </c>
      <c r="F1381" t="s">
        <v>7182</v>
      </c>
      <c r="G1381">
        <f>'4L'!$K$54</f>
        <v>3.7250000000000001</v>
      </c>
    </row>
    <row r="1382" spans="1:7">
      <c r="A1382" t="s">
        <v>639</v>
      </c>
      <c r="C1382" t="str">
        <f>'4L'!$AZ$55</f>
        <v>B0251NMC_TWD</v>
      </c>
      <c r="D1382" t="str">
        <f>_xlfn.CONCAT('4L'!$B$51, "-", '4L'!$B$55, "-", '4L'!$J$7, "-", '4L'!$G$6, "-", '4L'!$F$5)</f>
        <v>Metering-New meters introduced by companies for existing customers-Treated water distribution-Water network+-Expenditure in report year</v>
      </c>
      <c r="F1382" t="s">
        <v>7182</v>
      </c>
      <c r="G1382">
        <f>'4L'!$J$55</f>
        <v>1.0109999999999999</v>
      </c>
    </row>
    <row r="1383" spans="1:7">
      <c r="A1383" t="s">
        <v>639</v>
      </c>
      <c r="C1383" t="str">
        <f>'4L'!$BA$55</f>
        <v>B0251NMC_TOT</v>
      </c>
      <c r="D1383" t="str">
        <f>_xlfn.CONCAT('4L'!$B$51, "-", '4L'!$B$55, "-", '4L'!$K$6, "-", '4L'!$K$6, "-", '4L'!$F$5)</f>
        <v>Metering-New meters introduced by companies for existing customers-Total-Total-Expenditure in report year</v>
      </c>
      <c r="F1383" t="s">
        <v>7182</v>
      </c>
      <c r="G1383">
        <f>'4L'!$K$55</f>
        <v>1.0109999999999999</v>
      </c>
    </row>
    <row r="1384" spans="1:7">
      <c r="A1384" t="s">
        <v>639</v>
      </c>
      <c r="C1384" t="str">
        <f>'4L'!$AZ$56</f>
        <v>B0252NMO_TWD</v>
      </c>
      <c r="D1384" t="str">
        <f>_xlfn.CONCAT('4L'!$B$51, "-", '4L'!$B$56, "-", '4L'!$J$7, "-", '4L'!$G$6, "-", '4L'!$F$5)</f>
        <v>Metering-New meters introduced by companies for existing customers-Treated water distribution-Water network+-Expenditure in report year</v>
      </c>
      <c r="F1384" t="s">
        <v>7182</v>
      </c>
      <c r="G1384">
        <f>'4L'!$J$56</f>
        <v>0</v>
      </c>
    </row>
    <row r="1385" spans="1:7">
      <c r="A1385" t="s">
        <v>639</v>
      </c>
      <c r="C1385" t="str">
        <f>'4L'!$BA$56</f>
        <v>B0252NMO_TOT</v>
      </c>
      <c r="D1385" t="str">
        <f>_xlfn.CONCAT('4L'!$B$51, "-", '4L'!$B$56, "-", '4L'!$K$6, "-", '4L'!$K$6, "-", '4L'!$F$5)</f>
        <v>Metering-New meters introduced by companies for existing customers-Total-Total-Expenditure in report year</v>
      </c>
      <c r="F1385" t="s">
        <v>7182</v>
      </c>
      <c r="G1385">
        <f>'4L'!$K$56</f>
        <v>0</v>
      </c>
    </row>
    <row r="1386" spans="1:7">
      <c r="A1386" t="s">
        <v>639</v>
      </c>
      <c r="C1386" t="str">
        <f>'4L'!$AZ$57</f>
        <v>B0253NMT_TWD</v>
      </c>
      <c r="D1386" t="str">
        <f>_xlfn.CONCAT('4L'!$B$51, "-", '4L'!$B$57, "-", '4L'!$J$7, "-", '4L'!$G$6, "-", '4L'!$F$5)</f>
        <v>Metering-New meters introduced by companies for existing customers-Treated water distribution-Water network+-Expenditure in report year</v>
      </c>
      <c r="F1386" t="s">
        <v>7182</v>
      </c>
      <c r="G1386">
        <f>'4L'!$J$57</f>
        <v>1.0109999999999999</v>
      </c>
    </row>
    <row r="1387" spans="1:7">
      <c r="A1387" t="s">
        <v>639</v>
      </c>
      <c r="C1387" t="str">
        <f>'4L'!$BA$57</f>
        <v>B0253NMT_TOT</v>
      </c>
      <c r="D1387" t="str">
        <f>_xlfn.CONCAT('4L'!$B$51, "-", '4L'!$B$57, "-", '4L'!$K$6, "-", '4L'!$K$6, "-", '4L'!$F$5)</f>
        <v>Metering-New meters introduced by companies for existing customers-Total-Total-Expenditure in report year</v>
      </c>
      <c r="F1387" t="s">
        <v>7182</v>
      </c>
      <c r="G1387">
        <f>'4L'!$K$57</f>
        <v>1.0109999999999999</v>
      </c>
    </row>
    <row r="1388" spans="1:7">
      <c r="A1388" t="s">
        <v>639</v>
      </c>
      <c r="C1388" t="str">
        <f>'4L'!$AZ$58</f>
        <v>B0254NMC_TWD</v>
      </c>
      <c r="D1388" t="str">
        <f>_xlfn.CONCAT('4L'!$B$51, "-", '4L'!$B$58, "-", '4L'!$J$7, "-", '4L'!$G$6, "-", '4L'!$F$5)</f>
        <v>Metering-New meters for existing customers - business-Treated water distribution-Water network+-Expenditure in report year</v>
      </c>
      <c r="F1388" t="s">
        <v>7182</v>
      </c>
      <c r="G1388">
        <f>'4L'!$J$58</f>
        <v>7.0000000000000001E-3</v>
      </c>
    </row>
    <row r="1389" spans="1:7">
      <c r="A1389" t="s">
        <v>639</v>
      </c>
      <c r="C1389" t="str">
        <f>'4L'!$BA$58</f>
        <v>B0254NMC_TOT</v>
      </c>
      <c r="D1389" t="str">
        <f>_xlfn.CONCAT('4L'!$B$51, "-", '4L'!$B$58, "-", '4L'!$K$6, "-", '4L'!$K$6, "-", '4L'!$F$5)</f>
        <v>Metering-New meters for existing customers - business-Total-Total-Expenditure in report year</v>
      </c>
      <c r="F1389" t="s">
        <v>7182</v>
      </c>
      <c r="G1389">
        <f>'4L'!$K$58</f>
        <v>7.0000000000000001E-3</v>
      </c>
    </row>
    <row r="1390" spans="1:7">
      <c r="A1390" t="s">
        <v>639</v>
      </c>
      <c r="C1390" t="str">
        <f>'4L'!$AZ$59</f>
        <v>B0255NMO_TWD</v>
      </c>
      <c r="D1390" t="str">
        <f>_xlfn.CONCAT('4L'!$B$51, "-", '4L'!$B$59, "-", '4L'!$J$7, "-", '4L'!$G$6, "-", '4L'!$F$5)</f>
        <v>Metering-New meters for existing customers - business-Treated water distribution-Water network+-Expenditure in report year</v>
      </c>
      <c r="F1390" t="s">
        <v>7182</v>
      </c>
      <c r="G1390">
        <f>'4L'!$J$59</f>
        <v>0</v>
      </c>
    </row>
    <row r="1391" spans="1:7">
      <c r="A1391" t="s">
        <v>639</v>
      </c>
      <c r="C1391" t="str">
        <f>'4L'!$BA$59</f>
        <v>B0255NMO_TOT</v>
      </c>
      <c r="D1391" t="str">
        <f>_xlfn.CONCAT('4L'!$B$51, "-", '4L'!$B$59, "-", '4L'!$K$6, "-", '4L'!$K$6, "-", '4L'!$F$5)</f>
        <v>Metering-New meters for existing customers - business-Total-Total-Expenditure in report year</v>
      </c>
      <c r="F1391" t="s">
        <v>7182</v>
      </c>
      <c r="G1391">
        <f>'4L'!$K$59</f>
        <v>0</v>
      </c>
    </row>
    <row r="1392" spans="1:7">
      <c r="A1392" t="s">
        <v>639</v>
      </c>
      <c r="C1392" t="str">
        <f>'4L'!$AZ$60</f>
        <v>B0256NMT_TWD</v>
      </c>
      <c r="D1392" t="str">
        <f>_xlfn.CONCAT('4L'!$B$51, "-", '4L'!$B$60, "-", '4L'!$J$7, "-", '4L'!$G$6, "-", '4L'!$F$5)</f>
        <v>Metering-New meters for existing customers - business-Treated water distribution-Water network+-Expenditure in report year</v>
      </c>
      <c r="F1392" t="s">
        <v>7182</v>
      </c>
      <c r="G1392">
        <f>'4L'!$J$60</f>
        <v>7.0000000000000001E-3</v>
      </c>
    </row>
    <row r="1393" spans="1:7">
      <c r="A1393" t="s">
        <v>639</v>
      </c>
      <c r="C1393" t="str">
        <f>'4L'!$BA$60</f>
        <v>B0256NMT_TOT</v>
      </c>
      <c r="D1393" t="str">
        <f>_xlfn.CONCAT('4L'!$B$51, "-", '4L'!$B$60, "-", '4L'!$K$6, "-", '4L'!$K$6, "-", '4L'!$F$5)</f>
        <v>Metering-New meters for existing customers - business-Total-Total-Expenditure in report year</v>
      </c>
      <c r="F1393" t="s">
        <v>7182</v>
      </c>
      <c r="G1393">
        <f>'4L'!$K$60</f>
        <v>7.0000000000000001E-3</v>
      </c>
    </row>
    <row r="1394" spans="1:7">
      <c r="A1394" t="s">
        <v>639</v>
      </c>
      <c r="C1394" t="str">
        <f>'4L'!$AZ$63</f>
        <v>B0C232DSC_TWD</v>
      </c>
      <c r="D1394" t="str">
        <f>_xlfn.CONCAT('4L'!$B$51, "-", '4L'!$B$63, "-", '4L'!$J$7, "-", '4L'!$G$6, "-", '4L'!$F$5)</f>
        <v>Metering-Replacement of existing basic meters with AMR or AMI meters for household customers-Treated water distribution-Water network+-Expenditure in report year</v>
      </c>
      <c r="F1394" t="s">
        <v>7182</v>
      </c>
      <c r="G1394">
        <f>'4L'!$J$63</f>
        <v>0.35199999999999998</v>
      </c>
    </row>
    <row r="1395" spans="1:7">
      <c r="A1395" t="s">
        <v>639</v>
      </c>
      <c r="C1395" t="str">
        <f>'4L'!$BA$63</f>
        <v>B0C232DSC_TOT</v>
      </c>
      <c r="D1395" t="str">
        <f>_xlfn.CONCAT('4L'!$B$51, "-", '4L'!$B$63, "-", '4L'!$K$6, "-", '4L'!$K$6, "-", '4L'!$F$5)</f>
        <v>Metering-Replacement of existing basic meters with AMR or AMI meters for household customers-Total-Total-Expenditure in report year</v>
      </c>
      <c r="F1395" t="s">
        <v>7182</v>
      </c>
      <c r="G1395">
        <f>'4L'!$K$63</f>
        <v>0.35199999999999998</v>
      </c>
    </row>
    <row r="1396" spans="1:7">
      <c r="A1396" t="s">
        <v>639</v>
      </c>
      <c r="C1396" t="str">
        <f>'4L'!$AZ$64</f>
        <v>B0C233DSO_TWD</v>
      </c>
      <c r="D1396" t="str">
        <f>_xlfn.CONCAT('4L'!$B$51, "-", '4L'!$B$64, "-", '4L'!$J$7, "-", '4L'!$G$6, "-", '4L'!$F$5)</f>
        <v>Metering-Replacement of existing AMR meters with AMI meters for household customers-Treated water distribution-Water network+-Expenditure in report year</v>
      </c>
      <c r="F1396" t="s">
        <v>7182</v>
      </c>
      <c r="G1396">
        <f>'4L'!$J$64</f>
        <v>2.5000000000000001E-2</v>
      </c>
    </row>
    <row r="1397" spans="1:7">
      <c r="A1397" t="s">
        <v>639</v>
      </c>
      <c r="C1397" t="str">
        <f>'4L'!$BA$64</f>
        <v>B0C233DSO_TOT</v>
      </c>
      <c r="D1397" t="str">
        <f>_xlfn.CONCAT('4L'!$B$51, "-", '4L'!$B$64, "-", '4L'!$K$6, "-", '4L'!$K$6, "-", '4L'!$F$5)</f>
        <v>Metering-Replacement of existing AMR meters with AMI meters for household customers-Total-Total-Expenditure in report year</v>
      </c>
      <c r="F1397" t="s">
        <v>7182</v>
      </c>
      <c r="G1397">
        <f>'4L'!$K$64</f>
        <v>2.5000000000000001E-2</v>
      </c>
    </row>
    <row r="1398" spans="1:7">
      <c r="A1398" t="s">
        <v>639</v>
      </c>
      <c r="C1398" t="str">
        <f>'4L'!$AZ$65</f>
        <v>B0C234DST_TWD</v>
      </c>
      <c r="D1398" t="str">
        <f>_xlfn.CONCAT('4L'!$B$51, "-", '4L'!$B$65, "-", '4L'!$J$7, "-", '4L'!$G$6, "-", '4L'!$F$5)</f>
        <v>Metering-Replacement of existing AMR meters with AMI meters for household customers-Treated water distribution-Water network+-Expenditure in report year</v>
      </c>
      <c r="F1398" t="s">
        <v>7182</v>
      </c>
      <c r="G1398">
        <f>'4L'!$J$65</f>
        <v>0</v>
      </c>
    </row>
    <row r="1399" spans="1:7">
      <c r="A1399" t="s">
        <v>639</v>
      </c>
      <c r="C1399" t="str">
        <f>'4L'!$BA$65</f>
        <v>B0C234DST_TOT</v>
      </c>
      <c r="D1399" t="str">
        <f>_xlfn.CONCAT('4L'!$B$51, "-", '4L'!$B$65, "-", '4L'!$K$6, "-", '4L'!$K$6, "-", '4L'!$F$5)</f>
        <v>Metering-Replacement of existing AMR meters with AMI meters for household customers-Total-Total-Expenditure in report year</v>
      </c>
      <c r="F1399" t="s">
        <v>7182</v>
      </c>
      <c r="G1399">
        <f>'4L'!$K$65</f>
        <v>0</v>
      </c>
    </row>
    <row r="1400" spans="1:7">
      <c r="A1400" t="s">
        <v>639</v>
      </c>
      <c r="C1400" t="str">
        <f>'4L'!$AZ$66</f>
        <v>B0C235LIC_TWD</v>
      </c>
      <c r="D1400" t="str">
        <f>_xlfn.CONCAT('4L'!$B$51, "-", '4L'!$B$66, "-", '4L'!$J$7, "-", '4L'!$G$6, "-", '4L'!$F$5)</f>
        <v>Metering-Replacement of existing AMR meters with AMI meters for household customers-Treated water distribution-Water network+-Expenditure in report year</v>
      </c>
      <c r="F1400" t="s">
        <v>7182</v>
      </c>
      <c r="G1400">
        <f>'4L'!$J$66</f>
        <v>2.5000000000000001E-2</v>
      </c>
    </row>
    <row r="1401" spans="1:7">
      <c r="A1401" t="s">
        <v>639</v>
      </c>
      <c r="C1401" t="str">
        <f>'4L'!$BA$66</f>
        <v>B0C235LIC_TOT</v>
      </c>
      <c r="D1401" t="str">
        <f>_xlfn.CONCAT('4L'!$B$51, "-", '4L'!$B$66, "-", '4L'!$K$6, "-", '4L'!$K$6, "-", '4L'!$F$5)</f>
        <v>Metering-Replacement of existing AMR meters with AMI meters for household customers-Total-Total-Expenditure in report year</v>
      </c>
      <c r="F1401" t="s">
        <v>7182</v>
      </c>
      <c r="G1401">
        <f>'4L'!$K$66</f>
        <v>2.5000000000000001E-2</v>
      </c>
    </row>
    <row r="1402" spans="1:7">
      <c r="A1402" t="s">
        <v>639</v>
      </c>
      <c r="C1402" t="str">
        <f>'4L'!$AZ$67</f>
        <v>B0375RBMSM_TWD</v>
      </c>
      <c r="D1402" t="str">
        <f>_xlfn.CONCAT('4L'!$B$51, "-", '4L'!$B$67, "-", '4L'!$J$7, "-", '4L'!$G$6, "-", '4L'!$F$5)</f>
        <v>Metering-Replacement of existing basic meters with AMR or AMI meters for business customers-Treated water distribution-Water network+-Expenditure in report year</v>
      </c>
      <c r="F1402" t="s">
        <v>7182</v>
      </c>
      <c r="G1402">
        <f>'4L'!$J$67</f>
        <v>2.3E-2</v>
      </c>
    </row>
    <row r="1403" spans="1:7">
      <c r="A1403" t="s">
        <v>639</v>
      </c>
      <c r="C1403" t="str">
        <f>'4L'!$BA$67</f>
        <v>B0375RBMSM_TOT</v>
      </c>
      <c r="D1403" t="str">
        <f>_xlfn.CONCAT('4L'!$B$51, "-", '4L'!$B$67, "-", '4L'!$K$6, "-", '4L'!$K$6, "-", '4L'!$F$5)</f>
        <v>Metering-Replacement of existing basic meters with AMR or AMI meters for business customers-Total-Total-Expenditure in report year</v>
      </c>
      <c r="F1403" t="s">
        <v>7182</v>
      </c>
      <c r="G1403">
        <f>'4L'!$K$67</f>
        <v>2.3E-2</v>
      </c>
    </row>
    <row r="1404" spans="1:7">
      <c r="A1404" t="s">
        <v>639</v>
      </c>
      <c r="C1404" t="str">
        <f>'4L'!$AZ$68</f>
        <v>B0376RBMSM_TWD</v>
      </c>
      <c r="D1404" t="str">
        <f>_xlfn.CONCAT('4L'!$B$51, "-", '4L'!$B$68, "-", '4L'!$J$7, "-", '4L'!$G$6, "-", '4L'!$F$5)</f>
        <v>Metering-Replacement of existing basic meters with AMR or AMI meters for business customers-Treated water distribution-Water network+-Expenditure in report year</v>
      </c>
      <c r="F1404" t="s">
        <v>7182</v>
      </c>
      <c r="G1404">
        <f>'4L'!$J$68</f>
        <v>0</v>
      </c>
    </row>
    <row r="1405" spans="1:7">
      <c r="A1405" t="s">
        <v>639</v>
      </c>
      <c r="C1405" t="str">
        <f>'4L'!$BA$68</f>
        <v>B0376RBMSM_TOT</v>
      </c>
      <c r="D1405" t="str">
        <f>_xlfn.CONCAT('4L'!$B$51, "-", '4L'!$B$68, "-", '4L'!$K$6, "-", '4L'!$K$6, "-", '4L'!$F$5)</f>
        <v>Metering-Replacement of existing basic meters with AMR or AMI meters for business customers-Total-Total-Expenditure in report year</v>
      </c>
      <c r="F1405" t="s">
        <v>7182</v>
      </c>
      <c r="G1405">
        <f>'4L'!$K$68</f>
        <v>0</v>
      </c>
    </row>
    <row r="1406" spans="1:7">
      <c r="A1406" t="s">
        <v>639</v>
      </c>
      <c r="C1406" t="str">
        <f>'4L'!$AZ$69</f>
        <v>B0377RBMSM_TWD</v>
      </c>
      <c r="D1406" t="str">
        <f>_xlfn.CONCAT('4L'!$B$51, "-", '4L'!$B$69, "-", '4L'!$J$7, "-", '4L'!$G$6, "-", '4L'!$F$5)</f>
        <v>Metering-Replacement of existing basic meters with AMR or AMI meters for business customers-Treated water distribution-Water network+-Expenditure in report year</v>
      </c>
      <c r="F1406" t="s">
        <v>7182</v>
      </c>
      <c r="G1406">
        <f>'4L'!$J$69</f>
        <v>2.3E-2</v>
      </c>
    </row>
    <row r="1407" spans="1:7">
      <c r="A1407" t="s">
        <v>639</v>
      </c>
      <c r="C1407" t="str">
        <f>'4L'!$BA$69</f>
        <v>B0377RBMSM_TOT</v>
      </c>
      <c r="D1407" t="str">
        <f>_xlfn.CONCAT('4L'!$B$51, "-", '4L'!$B$69, "-", '4L'!$K$6, "-", '4L'!$K$6, "-", '4L'!$F$5)</f>
        <v>Metering-Replacement of existing basic meters with AMR or AMI meters for business customers-Total-Total-Expenditure in report year</v>
      </c>
      <c r="F1407" t="s">
        <v>7182</v>
      </c>
      <c r="G1407">
        <f>'4L'!$K$69</f>
        <v>2.3E-2</v>
      </c>
    </row>
    <row r="1408" spans="1:7">
      <c r="A1408" t="s">
        <v>639</v>
      </c>
      <c r="C1408" t="str">
        <f>'4L'!$AZ$70</f>
        <v>B0C266ARTT_TWD</v>
      </c>
      <c r="D1408" t="str">
        <f>_xlfn.CONCAT('4L'!$B$51, "-", '4L'!$B$70, "-", '4L'!$J$7, "-", '4L'!$G$6, "-", '4L'!$F$5)</f>
        <v>Metering-Replacement of existing AMR meters with AMI meters for business customers-Treated water distribution-Water network+-Expenditure in report year</v>
      </c>
      <c r="F1408" t="s">
        <v>7182</v>
      </c>
      <c r="G1408">
        <f>'4L'!$P$84</f>
        <v>0</v>
      </c>
    </row>
    <row r="1409" spans="1:7">
      <c r="A1409" t="s">
        <v>639</v>
      </c>
      <c r="C1409" t="str">
        <f>'4L'!$BA$70</f>
        <v>B0C266ARTT_TOT</v>
      </c>
      <c r="D1409" t="str">
        <f>_xlfn.CONCAT('4L'!$B$51, "-", '4L'!$B$70, "-", '4L'!$K$6, "-", '4L'!$K$6, "-", '4L'!$F$5)</f>
        <v>Metering-Replacement of existing AMR meters with AMI meters for business customers-Total-Total-Expenditure in report year</v>
      </c>
      <c r="F1409" t="s">
        <v>7182</v>
      </c>
      <c r="G1409">
        <f>'4L'!$Q$84</f>
        <v>0</v>
      </c>
    </row>
    <row r="1410" spans="1:7">
      <c r="A1410" t="s">
        <v>639</v>
      </c>
      <c r="C1410" t="str">
        <f>'4L'!$AZ$71</f>
        <v>B0C264ARCN_TWD</v>
      </c>
      <c r="D1410" t="str">
        <f>_xlfn.CONCAT('4L'!$B$51, "-", '4L'!$B$71, "-", '4L'!$J$7, "-", '4L'!$G$6, "-", '4L'!$F$5)</f>
        <v>Metering-Replacement of existing AMR meters with AMI meters for business customers-Treated water distribution-Water network+-Expenditure in report year</v>
      </c>
      <c r="F1410" t="s">
        <v>7182</v>
      </c>
      <c r="G1410">
        <f>'4L'!$P$85</f>
        <v>0</v>
      </c>
    </row>
    <row r="1411" spans="1:7">
      <c r="A1411" t="s">
        <v>639</v>
      </c>
      <c r="C1411" t="str">
        <f>'4L'!$BA$71</f>
        <v>B0C264ARCN_TOT</v>
      </c>
      <c r="D1411" t="str">
        <f>_xlfn.CONCAT('4L'!$B$51, "-", '4L'!$B$71, "-", '4L'!$K$6, "-", '4L'!$K$6, "-", '4L'!$F$5)</f>
        <v>Metering-Replacement of existing AMR meters with AMI meters for business customers-Total-Total-Expenditure in report year</v>
      </c>
      <c r="F1411" t="s">
        <v>7182</v>
      </c>
      <c r="G1411">
        <f>'4L'!$Q$85</f>
        <v>0</v>
      </c>
    </row>
    <row r="1412" spans="1:7">
      <c r="A1412" t="s">
        <v>639</v>
      </c>
      <c r="C1412" t="str">
        <f>'4L'!$AZ$72</f>
        <v>B0C265ARON_TWD</v>
      </c>
      <c r="D1412" t="str">
        <f>_xlfn.CONCAT('4L'!$B$51, "-", '4L'!$B$72, "-", '4L'!$J$7, "-", '4L'!$G$6, "-", '4L'!$F$5)</f>
        <v>Metering-Replacement of existing AMR meters with AMI meters for business customers-Treated water distribution-Water network+-Expenditure in report year</v>
      </c>
      <c r="F1412" t="s">
        <v>7182</v>
      </c>
      <c r="G1412">
        <f>'4L'!$P$86</f>
        <v>0</v>
      </c>
    </row>
    <row r="1413" spans="1:7">
      <c r="A1413" t="s">
        <v>639</v>
      </c>
      <c r="C1413" t="str">
        <f>'4L'!$BA$72</f>
        <v>B0C265ARON_TOT</v>
      </c>
      <c r="D1413" t="str">
        <f>_xlfn.CONCAT('4L'!$B$51, "-", '4L'!$B$72, "-", '4L'!$K$6, "-", '4L'!$K$6, "-", '4L'!$F$5)</f>
        <v>Metering-Replacement of existing AMR meters with AMI meters for business customers-Total-Total-Expenditure in report year</v>
      </c>
      <c r="F1413" t="s">
        <v>7182</v>
      </c>
      <c r="G1413">
        <f>'4L'!$Q$86</f>
        <v>0</v>
      </c>
    </row>
    <row r="1414" spans="1:7">
      <c r="A1414" t="s">
        <v>639</v>
      </c>
      <c r="C1414" t="str">
        <f>'4L'!$AZ$73</f>
        <v>B0378SMI_TWD</v>
      </c>
      <c r="D1414" t="str">
        <f>_xlfn.CONCAT('4L'!$B$51, "-", '4L'!$B$73, "-", '4L'!$J$7, "-", '4L'!$G$6, "-", '4L'!$F$5)</f>
        <v>Metering-Smart meter infrastructure-Treated water distribution-Water network+-Expenditure in report year</v>
      </c>
      <c r="F1414" t="s">
        <v>7182</v>
      </c>
      <c r="G1414">
        <f>'4L'!$J$73</f>
        <v>3.766</v>
      </c>
    </row>
    <row r="1415" spans="1:7">
      <c r="A1415" t="s">
        <v>639</v>
      </c>
      <c r="C1415" t="str">
        <f>'4L'!$BA$73</f>
        <v>B0378SMI_TOT</v>
      </c>
      <c r="D1415" t="str">
        <f>_xlfn.CONCAT('4L'!$B$51, "-", '4L'!$B$73, "-", '4L'!$K$6, "-", '4L'!$K$6, "-", '4L'!$F$5)</f>
        <v>Metering-Smart meter infrastructure-Total-Total-Expenditure in report year</v>
      </c>
      <c r="F1415" t="s">
        <v>7182</v>
      </c>
      <c r="G1415">
        <f>'4L'!$K$73</f>
        <v>3.766</v>
      </c>
    </row>
    <row r="1416" spans="1:7">
      <c r="A1416" t="s">
        <v>639</v>
      </c>
      <c r="C1416" t="str">
        <f>'4L'!$AZ$74</f>
        <v>B0379SMI_TWD</v>
      </c>
      <c r="D1416" t="str">
        <f>_xlfn.CONCAT('4L'!$B$51, "-", '4L'!$B$74, "-", '4L'!$J$7, "-", '4L'!$G$6, "-", '4L'!$F$5)</f>
        <v>Metering-Smart meter infrastructure-Treated water distribution-Water network+-Expenditure in report year</v>
      </c>
      <c r="F1416" t="s">
        <v>7182</v>
      </c>
      <c r="G1416">
        <f>'4L'!$J$74</f>
        <v>0</v>
      </c>
    </row>
    <row r="1417" spans="1:7">
      <c r="A1417" t="s">
        <v>639</v>
      </c>
      <c r="C1417" t="str">
        <f>'4L'!$BA$74</f>
        <v>B0379SMI_TOT</v>
      </c>
      <c r="D1417" t="str">
        <f>_xlfn.CONCAT('4L'!$B$51, "-", '4L'!$B$74, "-", '4L'!$K$6, "-", '4L'!$K$6, "-", '4L'!$F$5)</f>
        <v>Metering-Smart meter infrastructure-Total-Total-Expenditure in report year</v>
      </c>
      <c r="F1417" t="s">
        <v>7182</v>
      </c>
      <c r="G1417">
        <f>'4L'!$K$74</f>
        <v>0</v>
      </c>
    </row>
    <row r="1418" spans="1:7">
      <c r="A1418" t="s">
        <v>639</v>
      </c>
      <c r="C1418" t="str">
        <f>'4L'!$AZ$75</f>
        <v>B0380SMI_TWD</v>
      </c>
      <c r="D1418" t="str">
        <f>_xlfn.CONCAT('4L'!$B$51, "-", '4L'!$B$75, "-", '4L'!$J$7, "-", '4L'!$G$6, "-", '4L'!$F$5)</f>
        <v>Metering-Smart meter infrastructure-Treated water distribution-Water network+-Expenditure in report year</v>
      </c>
      <c r="F1418" t="s">
        <v>7182</v>
      </c>
      <c r="G1418">
        <f>'4L'!$J$75</f>
        <v>3.766</v>
      </c>
    </row>
    <row r="1419" spans="1:7">
      <c r="A1419" t="s">
        <v>639</v>
      </c>
      <c r="C1419" t="str">
        <f>'4L'!$BA$75</f>
        <v>B0380SMI_TOT</v>
      </c>
      <c r="D1419" t="str">
        <f>_xlfn.CONCAT('4L'!$B$51, "-", '4L'!$B$75, "-", '4L'!$K$6, "-", '4L'!$K$6, "-", '4L'!$F$5)</f>
        <v>Metering-Smart meter infrastructure-Total-Total-Expenditure in report year</v>
      </c>
      <c r="F1419" t="s">
        <v>7182</v>
      </c>
      <c r="G1419">
        <f>'4L'!$K$75</f>
        <v>3.766</v>
      </c>
    </row>
    <row r="1420" spans="1:7">
      <c r="A1420" t="s">
        <v>639</v>
      </c>
      <c r="C1420" t="str">
        <f>'4L'!$AZ$76</f>
        <v>B0257TMT_TWD</v>
      </c>
      <c r="D1420" t="str">
        <f>_xlfn.CONCAT('4L'!$B$51, "-", '4L'!$B$76, "-", '4L'!$J$7, "-", '4L'!$G$6, "-", '4L'!$F$5)</f>
        <v>Metering-Total metering expenditure -Treated water distribution-Water network+-Expenditure in report year</v>
      </c>
      <c r="F1420" t="s">
        <v>7182</v>
      </c>
      <c r="G1420">
        <f>'4L'!$J$76</f>
        <v>8.9090000000000007</v>
      </c>
    </row>
    <row r="1421" spans="1:7">
      <c r="A1421" t="s">
        <v>639</v>
      </c>
      <c r="C1421" t="str">
        <f>'4L'!$BA$76</f>
        <v>B0257TMT_TOT</v>
      </c>
      <c r="D1421" t="str">
        <f>_xlfn.CONCAT('4L'!$B$51, "-", '4L'!$B$76, "-", '4L'!$K$6, "-", '4L'!$K$6, "-", '4L'!$F$5)</f>
        <v>Metering-Total metering expenditure -Total-Total-Expenditure in report year</v>
      </c>
      <c r="F1421" t="s">
        <v>7182</v>
      </c>
      <c r="G1421">
        <f>'4L'!$K$76</f>
        <v>8.9090000000000007</v>
      </c>
    </row>
    <row r="1422" spans="1:7">
      <c r="A1422" t="s">
        <v>639</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7182</v>
      </c>
      <c r="G1422">
        <f>'4L'!$R$76</f>
        <v>20.623000000000001</v>
      </c>
    </row>
    <row r="1423" spans="1:7">
      <c r="A1423" t="s">
        <v>639</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7182</v>
      </c>
      <c r="G1423">
        <f>'4L'!$S$76</f>
        <v>38.185000000000002</v>
      </c>
    </row>
    <row r="1424" spans="1:7">
      <c r="A1424" t="s">
        <v>639</v>
      </c>
      <c r="C1424" t="str">
        <f>'4L'!$BJ$76</f>
        <v>B0394TME_CUMMT</v>
      </c>
      <c r="D1424" t="str">
        <f>_xlfn.CONCAT('4L'!$B$51, "-", '4L'!$B$76, "-", '4L'!$T$7, "-", '4L'!$T$5, "-", '4L'!$T$5)</f>
        <v>Metering-Total metering expenditure -Total-Cumulative allowed expenditure on all schemes 2020-25-Cumulative allowed expenditure on all schemes 2020-25</v>
      </c>
      <c r="F1424" t="s">
        <v>7182</v>
      </c>
      <c r="G1424">
        <f>'4L'!$T$76</f>
        <v>49.734999999999999</v>
      </c>
    </row>
    <row r="1425" spans="1:7">
      <c r="A1425" t="s">
        <v>639</v>
      </c>
      <c r="C1425" t="str">
        <f>'4L'!$AV$79</f>
        <v>B0258ITC_WR</v>
      </c>
      <c r="D1425" t="str">
        <f>_xlfn.CONCAT('4L'!$B$78, "-", '4L'!$B$79, "-", '4L'!$F$6, "-", '4L'!$F$6, "-", '4L'!$F$5)</f>
        <v>Other enhancement-Improvements to taste, odour and colour-Water resources-Water resources-Expenditure in report year</v>
      </c>
      <c r="F1425" t="s">
        <v>7182</v>
      </c>
      <c r="G1425">
        <f>'4L'!$F$79</f>
        <v>0</v>
      </c>
    </row>
    <row r="1426" spans="1:7">
      <c r="A1426" t="s">
        <v>639</v>
      </c>
      <c r="C1426" t="str">
        <f>'4L'!$AW$79</f>
        <v>B0258ITC_RWT</v>
      </c>
      <c r="D1426" t="str">
        <f>_xlfn.CONCAT('4L'!$B$78, "-", '4L'!$B$79, "-", '4L'!$G$7, "-", '4L'!$G$6, "-", '4L'!$F$5)</f>
        <v>Other enhancement-Improvements to taste, odour and colour-Raw water transport-Water network+-Expenditure in report year</v>
      </c>
      <c r="F1426" t="s">
        <v>7182</v>
      </c>
      <c r="G1426">
        <f>'4L'!$G$79</f>
        <v>0</v>
      </c>
    </row>
    <row r="1427" spans="1:7">
      <c r="A1427" t="s">
        <v>639</v>
      </c>
      <c r="C1427" t="str">
        <f>'4L'!$AX$79</f>
        <v>B0258ITC_RWS</v>
      </c>
      <c r="D1427" t="str">
        <f>_xlfn.CONCAT('4L'!$B$78, "-", '4L'!$B$79, "-", '4L'!$H$7, "-", '4L'!$G$6, "-", '4L'!$F$5)</f>
        <v>Other enhancement-Improvements to taste, odour and colour-Raw water storage-Water network+-Expenditure in report year</v>
      </c>
      <c r="F1427" t="s">
        <v>7182</v>
      </c>
      <c r="G1427">
        <f>'4L'!$H$79</f>
        <v>0</v>
      </c>
    </row>
    <row r="1428" spans="1:7">
      <c r="A1428" t="s">
        <v>639</v>
      </c>
      <c r="C1428" t="str">
        <f>'4L'!$AY$79</f>
        <v>B0258ITC_WT</v>
      </c>
      <c r="D1428" t="str">
        <f>_xlfn.CONCAT('4L'!$B$78, "-", '4L'!$B$79, "-", '4L'!$I$7, "-", '4L'!$G$6, "-", '4L'!$F$5)</f>
        <v>Other enhancement-Improvements to taste, odour and colour-Water treatment-Water network+-Expenditure in report year</v>
      </c>
      <c r="F1428" t="s">
        <v>7182</v>
      </c>
      <c r="G1428">
        <f>'4L'!$I$79</f>
        <v>0</v>
      </c>
    </row>
    <row r="1429" spans="1:7">
      <c r="A1429" t="s">
        <v>639</v>
      </c>
      <c r="C1429" t="str">
        <f>'4L'!$AZ$79</f>
        <v>B0258ITC_TWD</v>
      </c>
      <c r="D1429" t="str">
        <f>_xlfn.CONCAT('4L'!$B$78, "-", '4L'!$B$79, "-", '4L'!$J$7, "-", '4L'!$G$6, "-", '4L'!$F$5)</f>
        <v>Other enhancement-Improvements to taste, odour and colour-Treated water distribution-Water network+-Expenditure in report year</v>
      </c>
      <c r="F1429" t="s">
        <v>7182</v>
      </c>
      <c r="G1429">
        <f>'4L'!$J$79</f>
        <v>0</v>
      </c>
    </row>
    <row r="1430" spans="1:7">
      <c r="A1430" t="s">
        <v>639</v>
      </c>
      <c r="C1430" t="str">
        <f>'4L'!$BA$79</f>
        <v>B0258ITC_TOT</v>
      </c>
      <c r="D1430" t="str">
        <f>_xlfn.CONCAT('4L'!$B$78, "-", '4L'!$B$79, "-", '4L'!$K$6, "-", '4L'!$K$6, "-", '4L'!$F$5)</f>
        <v>Other enhancement-Improvements to taste, odour and colour-Total-Total-Expenditure in report year</v>
      </c>
      <c r="F1430" t="s">
        <v>7182</v>
      </c>
      <c r="G1430">
        <f>'4L'!$K$79</f>
        <v>0</v>
      </c>
    </row>
    <row r="1431" spans="1:7">
      <c r="A1431" t="s">
        <v>639</v>
      </c>
      <c r="C1431" t="str">
        <f>'4L'!$AV$80</f>
        <v>B0259ITO_WR</v>
      </c>
      <c r="D1431" t="str">
        <f>_xlfn.CONCAT('4L'!$B$78, "-", '4L'!$B$80, "-", '4L'!$F$6, "-", '4L'!$F$6, "-", '4L'!$F$5)</f>
        <v>Other enhancement-Improvements to taste, odour and colour-Water resources-Water resources-Expenditure in report year</v>
      </c>
      <c r="F1431" t="s">
        <v>7182</v>
      </c>
      <c r="G1431">
        <f>'4L'!$F$80</f>
        <v>0</v>
      </c>
    </row>
    <row r="1432" spans="1:7">
      <c r="A1432" t="s">
        <v>639</v>
      </c>
      <c r="C1432" t="str">
        <f>'4L'!$AW$80</f>
        <v>B0259ITO_RWT</v>
      </c>
      <c r="D1432" t="str">
        <f>_xlfn.CONCAT('4L'!$B$78, "-", '4L'!$B$80, "-", '4L'!$G$7, "-", '4L'!$G$6, "-", '4L'!$F$5)</f>
        <v>Other enhancement-Improvements to taste, odour and colour-Raw water transport-Water network+-Expenditure in report year</v>
      </c>
      <c r="F1432" t="s">
        <v>7182</v>
      </c>
      <c r="G1432">
        <f>'4L'!$G$80</f>
        <v>0</v>
      </c>
    </row>
    <row r="1433" spans="1:7">
      <c r="A1433" t="s">
        <v>639</v>
      </c>
      <c r="C1433" t="str">
        <f>'4L'!$AX$80</f>
        <v>B0259ITO_RWS</v>
      </c>
      <c r="D1433" t="str">
        <f>_xlfn.CONCAT('4L'!$B$78, "-", '4L'!$B$80, "-", '4L'!$H$7, "-", '4L'!$G$6, "-", '4L'!$F$5)</f>
        <v>Other enhancement-Improvements to taste, odour and colour-Raw water storage-Water network+-Expenditure in report year</v>
      </c>
      <c r="F1433" t="s">
        <v>7182</v>
      </c>
      <c r="G1433">
        <f>'4L'!$H$80</f>
        <v>0</v>
      </c>
    </row>
    <row r="1434" spans="1:7">
      <c r="A1434" t="s">
        <v>639</v>
      </c>
      <c r="C1434" t="str">
        <f>'4L'!$AY$80</f>
        <v>B0259ITO_WT</v>
      </c>
      <c r="D1434" t="str">
        <f>_xlfn.CONCAT('4L'!$B$78, "-", '4L'!$B$80, "-", '4L'!$I$7, "-", '4L'!$G$6, "-", '4L'!$F$5)</f>
        <v>Other enhancement-Improvements to taste, odour and colour-Water treatment-Water network+-Expenditure in report year</v>
      </c>
      <c r="F1434" t="s">
        <v>7182</v>
      </c>
      <c r="G1434">
        <f>'4L'!$I$80</f>
        <v>0</v>
      </c>
    </row>
    <row r="1435" spans="1:7">
      <c r="A1435" t="s">
        <v>639</v>
      </c>
      <c r="C1435" t="str">
        <f>'4L'!$AZ$80</f>
        <v>B0259ITO_TWD</v>
      </c>
      <c r="D1435" t="str">
        <f>_xlfn.CONCAT('4L'!$B$78, "-", '4L'!$B$80, "-", '4L'!$J$7, "-", '4L'!$G$6, "-", '4L'!$F$5)</f>
        <v>Other enhancement-Improvements to taste, odour and colour-Treated water distribution-Water network+-Expenditure in report year</v>
      </c>
      <c r="F1435" t="s">
        <v>7182</v>
      </c>
      <c r="G1435">
        <f>'4L'!$J$80</f>
        <v>0</v>
      </c>
    </row>
    <row r="1436" spans="1:7">
      <c r="A1436" t="s">
        <v>639</v>
      </c>
      <c r="C1436" t="str">
        <f>'4L'!$BA$80</f>
        <v>B0259ITO_TOT</v>
      </c>
      <c r="D1436" t="str">
        <f>_xlfn.CONCAT('4L'!$B$78, "-", '4L'!$B$80, "-", '4L'!$K$6, "-", '4L'!$K$6, "-", '4L'!$F$5)</f>
        <v>Other enhancement-Improvements to taste, odour and colour-Total-Total-Expenditure in report year</v>
      </c>
      <c r="F1436" t="s">
        <v>7182</v>
      </c>
      <c r="G1436">
        <f>'4L'!$K$80</f>
        <v>0</v>
      </c>
    </row>
    <row r="1437" spans="1:7">
      <c r="A1437" t="s">
        <v>639</v>
      </c>
      <c r="C1437" t="str">
        <f>'4L'!$AV$81</f>
        <v>B0260ITT_WR</v>
      </c>
      <c r="D1437" t="str">
        <f>_xlfn.CONCAT('4L'!$B$78, "-", '4L'!$B$81, "-", '4L'!$F$6, "-", '4L'!$F$6, "-", '4L'!$F$5)</f>
        <v>Other enhancement-Improvements to taste, odour and colour-Water resources-Water resources-Expenditure in report year</v>
      </c>
      <c r="F1437" t="s">
        <v>7182</v>
      </c>
      <c r="G1437">
        <f>'4L'!$F$81</f>
        <v>0</v>
      </c>
    </row>
    <row r="1438" spans="1:7">
      <c r="A1438" t="s">
        <v>639</v>
      </c>
      <c r="C1438" t="str">
        <f>'4L'!$AW$81</f>
        <v>B0260ITT_RWT</v>
      </c>
      <c r="D1438" t="str">
        <f>_xlfn.CONCAT('4L'!$B$78, "-", '4L'!$B$81, "-", '4L'!$G$7, "-", '4L'!$G$6, "-", '4L'!$F$5)</f>
        <v>Other enhancement-Improvements to taste, odour and colour-Raw water transport-Water network+-Expenditure in report year</v>
      </c>
      <c r="F1438" t="s">
        <v>7182</v>
      </c>
      <c r="G1438">
        <f>'4L'!$G$81</f>
        <v>0</v>
      </c>
    </row>
    <row r="1439" spans="1:7">
      <c r="A1439" t="s">
        <v>639</v>
      </c>
      <c r="C1439" t="str">
        <f>'4L'!$AX$81</f>
        <v>B0260ITT_RWS</v>
      </c>
      <c r="D1439" t="str">
        <f>_xlfn.CONCAT('4L'!$B$78, "-", '4L'!$B$81, "-", '4L'!$H$7, "-", '4L'!$G$6, "-", '4L'!$F$5)</f>
        <v>Other enhancement-Improvements to taste, odour and colour-Raw water storage-Water network+-Expenditure in report year</v>
      </c>
      <c r="F1439" t="s">
        <v>7182</v>
      </c>
      <c r="G1439">
        <f>'4L'!$H$81</f>
        <v>0</v>
      </c>
    </row>
    <row r="1440" spans="1:7">
      <c r="A1440" t="s">
        <v>639</v>
      </c>
      <c r="C1440" t="str">
        <f>'4L'!$AY$81</f>
        <v>B0260ITT_WT</v>
      </c>
      <c r="D1440" t="str">
        <f>_xlfn.CONCAT('4L'!$B$78, "-", '4L'!$B$81, "-", '4L'!$I$7, "-", '4L'!$G$6, "-", '4L'!$F$5)</f>
        <v>Other enhancement-Improvements to taste, odour and colour-Water treatment-Water network+-Expenditure in report year</v>
      </c>
      <c r="F1440" t="s">
        <v>7182</v>
      </c>
      <c r="G1440">
        <f>'4L'!$I$81</f>
        <v>0</v>
      </c>
    </row>
    <row r="1441" spans="1:7">
      <c r="A1441" t="s">
        <v>639</v>
      </c>
      <c r="C1441" t="str">
        <f>'4L'!$AZ$81</f>
        <v>B0260ITT_TWD</v>
      </c>
      <c r="D1441" t="str">
        <f>_xlfn.CONCAT('4L'!$B$78, "-", '4L'!$B$81, "-", '4L'!$J$7, "-", '4L'!$G$6, "-", '4L'!$F$5)</f>
        <v>Other enhancement-Improvements to taste, odour and colour-Treated water distribution-Water network+-Expenditure in report year</v>
      </c>
      <c r="F1441" t="s">
        <v>7182</v>
      </c>
      <c r="G1441">
        <f>'4L'!$J$81</f>
        <v>0</v>
      </c>
    </row>
    <row r="1442" spans="1:7">
      <c r="A1442" t="s">
        <v>639</v>
      </c>
      <c r="C1442" t="str">
        <f>'4L'!$BA$81</f>
        <v>B0260ITT_TOT</v>
      </c>
      <c r="D1442" t="str">
        <f>_xlfn.CONCAT('4L'!$B$78, "-", '4L'!$B$81, "-", '4L'!$K$6, "-", '4L'!$K$6, "-", '4L'!$F$5)</f>
        <v>Other enhancement-Improvements to taste, odour and colour-Total-Total-Expenditure in report year</v>
      </c>
      <c r="F1442" t="s">
        <v>7182</v>
      </c>
      <c r="G1442">
        <f>'4L'!$K$81</f>
        <v>0</v>
      </c>
    </row>
    <row r="1443" spans="1:7">
      <c r="A1443" t="s">
        <v>639</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7182</v>
      </c>
      <c r="G1443">
        <f>'4L'!$R$81</f>
        <v>0.20300000000000001</v>
      </c>
    </row>
    <row r="1444" spans="1:7">
      <c r="A1444" t="s">
        <v>639</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7182</v>
      </c>
      <c r="G1444">
        <f>'4L'!$S$81</f>
        <v>0</v>
      </c>
    </row>
    <row r="1445" spans="1:7">
      <c r="A1445" t="s">
        <v>639</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7182</v>
      </c>
      <c r="G1445">
        <f>'4L'!$T$81</f>
        <v>0</v>
      </c>
    </row>
    <row r="1446" spans="1:7">
      <c r="A1446" t="s">
        <v>639</v>
      </c>
      <c r="C1446" t="str">
        <f>'4L'!$AV$82</f>
        <v>B0264ARCT_WR</v>
      </c>
      <c r="D1446" t="str">
        <f>_xlfn.CONCAT('4L'!$B$78, "-", '4L'!$B$82, "-", '4L'!$F$6, "-", '4L'!$F$6, "-", '4L'!$F$5)</f>
        <v>Other enhancement-Addressing raw water deterioration (grey solutions)-Water resources-Water resources-Expenditure in report year</v>
      </c>
      <c r="F1446" t="s">
        <v>7182</v>
      </c>
      <c r="G1446">
        <f>'4L'!$F$82</f>
        <v>0</v>
      </c>
    </row>
    <row r="1447" spans="1:7">
      <c r="A1447" t="s">
        <v>639</v>
      </c>
      <c r="C1447" t="str">
        <f>'4L'!$AW$82</f>
        <v>B0264ARCT_RWT</v>
      </c>
      <c r="D1447" t="str">
        <f>_xlfn.CONCAT('4L'!$B$78, "-", '4L'!$B$82, "-", '4L'!$G$7, "-", '4L'!$G$6, "-", '4L'!$F$5)</f>
        <v>Other enhancement-Addressing raw water deterioration (grey solutions)-Raw water transport-Water network+-Expenditure in report year</v>
      </c>
      <c r="F1447" t="s">
        <v>7182</v>
      </c>
      <c r="G1447">
        <f>'4L'!$G$82</f>
        <v>0</v>
      </c>
    </row>
    <row r="1448" spans="1:7">
      <c r="A1448" t="s">
        <v>639</v>
      </c>
      <c r="C1448" t="str">
        <f>'4L'!$AX$82</f>
        <v>B0264ARCT_RWS</v>
      </c>
      <c r="D1448" t="str">
        <f>_xlfn.CONCAT('4L'!$B$78, "-", '4L'!$B$82, "-", '4L'!$H$7, "-", '4L'!$G$6, "-", '4L'!$F$5)</f>
        <v>Other enhancement-Addressing raw water deterioration (grey solutions)-Raw water storage-Water network+-Expenditure in report year</v>
      </c>
      <c r="F1448" t="s">
        <v>7182</v>
      </c>
      <c r="G1448">
        <f>'4L'!$H$82</f>
        <v>0</v>
      </c>
    </row>
    <row r="1449" spans="1:7">
      <c r="A1449" t="s">
        <v>639</v>
      </c>
      <c r="C1449" t="str">
        <f>'4L'!$AY$82</f>
        <v>B0264ARCT_WT</v>
      </c>
      <c r="D1449" t="str">
        <f>_xlfn.CONCAT('4L'!$B$78, "-", '4L'!$B$82, "-", '4L'!$I$7, "-", '4L'!$G$6, "-", '4L'!$F$5)</f>
        <v>Other enhancement-Addressing raw water deterioration (grey solutions)-Water treatment-Water network+-Expenditure in report year</v>
      </c>
      <c r="F1449" t="s">
        <v>7182</v>
      </c>
      <c r="G1449">
        <f>'4L'!$I$82</f>
        <v>3.0310000000000001</v>
      </c>
    </row>
    <row r="1450" spans="1:7">
      <c r="A1450" t="s">
        <v>639</v>
      </c>
      <c r="C1450" t="str">
        <f>'4L'!$AZ$82</f>
        <v>B0264ARCT_TWD</v>
      </c>
      <c r="D1450" t="str">
        <f>_xlfn.CONCAT('4L'!$B$78, "-", '4L'!$B$82, "-", '4L'!$J$7, "-", '4L'!$G$6, "-", '4L'!$F$5)</f>
        <v>Other enhancement-Addressing raw water deterioration (grey solutions)-Treated water distribution-Water network+-Expenditure in report year</v>
      </c>
      <c r="F1450" t="s">
        <v>7182</v>
      </c>
      <c r="G1450">
        <f>'4L'!$J$82</f>
        <v>0</v>
      </c>
    </row>
    <row r="1451" spans="1:7">
      <c r="A1451" t="s">
        <v>639</v>
      </c>
      <c r="C1451" t="str">
        <f>'4L'!$BA$82</f>
        <v>B0264ARCT_TOT</v>
      </c>
      <c r="D1451" t="str">
        <f>_xlfn.CONCAT('4L'!$B$78, "-", '4L'!$B$82, "-", '4L'!$K$6, "-", '4L'!$K$6, "-", '4L'!$F$5)</f>
        <v>Other enhancement-Addressing raw water deterioration (grey solutions)-Total-Total-Expenditure in report year</v>
      </c>
      <c r="F1451" t="s">
        <v>7182</v>
      </c>
      <c r="G1451">
        <f>'4L'!$K$82</f>
        <v>3.0310000000000001</v>
      </c>
    </row>
    <row r="1452" spans="1:7">
      <c r="A1452" t="s">
        <v>639</v>
      </c>
      <c r="C1452" t="str">
        <f>'4L'!$BB$82</f>
        <v>B0C264ARCT_WR</v>
      </c>
      <c r="D1452" t="str">
        <f>_xlfn.CONCAT('4L'!$B$78, "-", '4L'!$B$82, "-", '4L'!$L$6, "-", '4L'!$L$6, "-", '4L'!$L$5)</f>
        <v>Other enhancement-Addressing raw water deterioration (grey solutions)-Water resources-Water resources-Cumulative expenditure on schemes completed in the report year</v>
      </c>
      <c r="F1452" t="s">
        <v>7182</v>
      </c>
      <c r="G1452">
        <f>'4L'!$L$82</f>
        <v>0</v>
      </c>
    </row>
    <row r="1453" spans="1:7">
      <c r="A1453" t="s">
        <v>639</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7182</v>
      </c>
      <c r="G1453">
        <f>'4L'!$M$82</f>
        <v>0</v>
      </c>
    </row>
    <row r="1454" spans="1:7">
      <c r="A1454" t="s">
        <v>639</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7182</v>
      </c>
      <c r="G1454">
        <f>'4L'!$N$82</f>
        <v>0</v>
      </c>
    </row>
    <row r="1455" spans="1:7">
      <c r="A1455" t="s">
        <v>639</v>
      </c>
      <c r="C1455" t="str">
        <f>'4L'!$BE$82</f>
        <v>B0C264ARCT_WT</v>
      </c>
      <c r="D1455" t="str">
        <f>_xlfn.CONCAT('4L'!$B$78, "-", '4L'!$B$82, "-", '4L'!$O$7, "-", '4L'!$M$6, "-", '4L'!$L$5)</f>
        <v>Other enhancement-Addressing raw water deterioration (grey solutions)-Water treatment-Water network+-Cumulative expenditure on schemes completed in the report year</v>
      </c>
      <c r="F1455" t="s">
        <v>7182</v>
      </c>
      <c r="G1455">
        <f>'4L'!$O$82</f>
        <v>0</v>
      </c>
    </row>
    <row r="1456" spans="1:7">
      <c r="A1456" t="s">
        <v>639</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7182</v>
      </c>
      <c r="G1456">
        <f>'4L'!$P$82</f>
        <v>0</v>
      </c>
    </row>
    <row r="1457" spans="1:7">
      <c r="A1457" t="s">
        <v>639</v>
      </c>
      <c r="C1457" t="str">
        <f>'4L'!$BG$82</f>
        <v>B0C264ARCT_TOT</v>
      </c>
      <c r="D1457" t="str">
        <f>_xlfn.CONCAT('4L'!$B$78, "-", '4L'!$B$82, "-", '4L'!$Q$6, "-", '4L'!$Q$6, "-", '4L'!$L$5)</f>
        <v>Other enhancement-Addressing raw water deterioration (grey solutions)-Total-Total-Cumulative expenditure on schemes completed in the report year</v>
      </c>
      <c r="F1457" t="s">
        <v>7182</v>
      </c>
      <c r="G1457">
        <f>'4L'!$Q$82</f>
        <v>0</v>
      </c>
    </row>
    <row r="1458" spans="1:7">
      <c r="A1458" t="s">
        <v>639</v>
      </c>
      <c r="C1458" t="str">
        <f>'4L'!$AV$83</f>
        <v>B0265AROT_WR</v>
      </c>
      <c r="D1458" t="str">
        <f>_xlfn.CONCAT('4L'!$B$78, "-", '4L'!$B$83, "-", '4L'!$F$6, "-", '4L'!$F$6, "-", '4L'!$F$5)</f>
        <v>Other enhancement-Addressing raw water deterioration (grey solutions)-Water resources-Water resources-Expenditure in report year</v>
      </c>
      <c r="F1458" t="s">
        <v>7182</v>
      </c>
      <c r="G1458">
        <f>'4L'!$F$83</f>
        <v>0</v>
      </c>
    </row>
    <row r="1459" spans="1:7">
      <c r="A1459" t="s">
        <v>639</v>
      </c>
      <c r="C1459" t="str">
        <f>'4L'!$AW$83</f>
        <v>B0265AROT_RWT</v>
      </c>
      <c r="D1459" t="str">
        <f>_xlfn.CONCAT('4L'!$B$78, "-", '4L'!$B$83, "-", '4L'!$G$7, "-", '4L'!$G$6, "-", '4L'!$F$5)</f>
        <v>Other enhancement-Addressing raw water deterioration (grey solutions)-Raw water transport-Water network+-Expenditure in report year</v>
      </c>
      <c r="F1459" t="s">
        <v>7182</v>
      </c>
      <c r="G1459">
        <f>'4L'!$G$83</f>
        <v>0</v>
      </c>
    </row>
    <row r="1460" spans="1:7">
      <c r="A1460" t="s">
        <v>639</v>
      </c>
      <c r="C1460" t="str">
        <f>'4L'!$AX$83</f>
        <v>B0265AROT_RWS</v>
      </c>
      <c r="D1460" t="str">
        <f>_xlfn.CONCAT('4L'!$B$78, "-", '4L'!$B$83, "-", '4L'!$H$7, "-", '4L'!$G$6, "-", '4L'!$F$5)</f>
        <v>Other enhancement-Addressing raw water deterioration (grey solutions)-Raw water storage-Water network+-Expenditure in report year</v>
      </c>
      <c r="F1460" t="s">
        <v>7182</v>
      </c>
      <c r="G1460">
        <f>'4L'!$H$83</f>
        <v>0</v>
      </c>
    </row>
    <row r="1461" spans="1:7">
      <c r="A1461" t="s">
        <v>639</v>
      </c>
      <c r="C1461" t="str">
        <f>'4L'!$AY$83</f>
        <v>B0265AROT_WT</v>
      </c>
      <c r="D1461" t="str">
        <f>_xlfn.CONCAT('4L'!$B$78, "-", '4L'!$B$83, "-", '4L'!$I$7, "-", '4L'!$G$6, "-", '4L'!$F$5)</f>
        <v>Other enhancement-Addressing raw water deterioration (grey solutions)-Water treatment-Water network+-Expenditure in report year</v>
      </c>
      <c r="F1461" t="s">
        <v>7182</v>
      </c>
      <c r="G1461">
        <f>'4L'!$I$83</f>
        <v>0</v>
      </c>
    </row>
    <row r="1462" spans="1:7">
      <c r="A1462" t="s">
        <v>639</v>
      </c>
      <c r="C1462" t="str">
        <f>'4L'!$AZ$83</f>
        <v>B0265AROT_TWD</v>
      </c>
      <c r="D1462" t="str">
        <f>_xlfn.CONCAT('4L'!$B$78, "-", '4L'!$B$83, "-", '4L'!$J$7, "-", '4L'!$G$6, "-", '4L'!$F$5)</f>
        <v>Other enhancement-Addressing raw water deterioration (grey solutions)-Treated water distribution-Water network+-Expenditure in report year</v>
      </c>
      <c r="F1462" t="s">
        <v>7182</v>
      </c>
      <c r="G1462">
        <f>'4L'!$J$83</f>
        <v>0</v>
      </c>
    </row>
    <row r="1463" spans="1:7">
      <c r="A1463" t="s">
        <v>639</v>
      </c>
      <c r="C1463" t="str">
        <f>'4L'!$BA$83</f>
        <v>B0265AROT_TOT</v>
      </c>
      <c r="D1463" t="str">
        <f>_xlfn.CONCAT('4L'!$B$78, "-", '4L'!$B$83, "-", '4L'!$K$6, "-", '4L'!$K$6, "-", '4L'!$F$5)</f>
        <v>Other enhancement-Addressing raw water deterioration (grey solutions)-Total-Total-Expenditure in report year</v>
      </c>
      <c r="F1463" t="s">
        <v>7182</v>
      </c>
      <c r="G1463">
        <f>'4L'!$K$83</f>
        <v>0</v>
      </c>
    </row>
    <row r="1464" spans="1:7">
      <c r="A1464" t="s">
        <v>639</v>
      </c>
      <c r="C1464" t="str">
        <f>'4L'!$BB$83</f>
        <v>B0C265AROT_WR</v>
      </c>
      <c r="D1464" t="str">
        <f>_xlfn.CONCAT('4L'!$B$78, "-", '4L'!$B$83, "-", '4L'!$L$6, "-", '4L'!$L$6, "-", '4L'!$L$5)</f>
        <v>Other enhancement-Addressing raw water deterioration (grey solutions)-Water resources-Water resources-Cumulative expenditure on schemes completed in the report year</v>
      </c>
      <c r="F1464" t="s">
        <v>7182</v>
      </c>
      <c r="G1464">
        <f>'4L'!$L$83</f>
        <v>0</v>
      </c>
    </row>
    <row r="1465" spans="1:7">
      <c r="A1465" t="s">
        <v>639</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7182</v>
      </c>
      <c r="G1465">
        <f>'4L'!$M$83</f>
        <v>0</v>
      </c>
    </row>
    <row r="1466" spans="1:7">
      <c r="A1466" t="s">
        <v>639</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7182</v>
      </c>
      <c r="G1466">
        <f>'4L'!$N$83</f>
        <v>0</v>
      </c>
    </row>
    <row r="1467" spans="1:7">
      <c r="A1467" t="s">
        <v>639</v>
      </c>
      <c r="C1467" t="str">
        <f>'4L'!$BE$83</f>
        <v>B0C265AROT_WT</v>
      </c>
      <c r="D1467" t="str">
        <f>_xlfn.CONCAT('4L'!$B$78, "-", '4L'!$B$83, "-", '4L'!$O$7, "-", '4L'!$M$6, "-", '4L'!$L$5)</f>
        <v>Other enhancement-Addressing raw water deterioration (grey solutions)-Water treatment-Water network+-Cumulative expenditure on schemes completed in the report year</v>
      </c>
      <c r="F1467" t="s">
        <v>7182</v>
      </c>
      <c r="G1467">
        <f>'4L'!$O$83</f>
        <v>0</v>
      </c>
    </row>
    <row r="1468" spans="1:7">
      <c r="A1468" t="s">
        <v>639</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7182</v>
      </c>
      <c r="G1468">
        <f>'4L'!$P$83</f>
        <v>0</v>
      </c>
    </row>
    <row r="1469" spans="1:7">
      <c r="A1469" t="s">
        <v>639</v>
      </c>
      <c r="C1469" t="str">
        <f>'4L'!$BG$83</f>
        <v>B0C265AROT_TOT</v>
      </c>
      <c r="D1469" t="str">
        <f>_xlfn.CONCAT('4L'!$B$78, "-", '4L'!$B$83, "-", '4L'!$Q$6, "-", '4L'!$Q$6, "-", '4L'!$L$5)</f>
        <v>Other enhancement-Addressing raw water deterioration (grey solutions)-Total-Total-Cumulative expenditure on schemes completed in the report year</v>
      </c>
      <c r="F1469" t="s">
        <v>7182</v>
      </c>
      <c r="G1469">
        <f>'4L'!$Q$83</f>
        <v>0</v>
      </c>
    </row>
    <row r="1470" spans="1:7">
      <c r="A1470" t="s">
        <v>639</v>
      </c>
      <c r="C1470" t="str">
        <f>'4L'!$AV$84</f>
        <v>B0266ARTT_WR</v>
      </c>
      <c r="D1470" t="str">
        <f>_xlfn.CONCAT('4L'!$B$78, "-", '4L'!$B$84, "-", '4L'!$F$6, "-", '4L'!$F$6, "-", '4L'!$F$5)</f>
        <v>Other enhancement-Addressing raw water deterioration (grey solutions)-Water resources-Water resources-Expenditure in report year</v>
      </c>
      <c r="F1470" t="s">
        <v>7182</v>
      </c>
      <c r="G1470">
        <f>'4L'!$F$84</f>
        <v>0</v>
      </c>
    </row>
    <row r="1471" spans="1:7">
      <c r="A1471" t="s">
        <v>639</v>
      </c>
      <c r="C1471" t="str">
        <f>'4L'!$AW$84</f>
        <v>B0266ARTT_RWT</v>
      </c>
      <c r="D1471" t="str">
        <f>_xlfn.CONCAT('4L'!$B$78, "-", '4L'!$B$84, "-", '4L'!$G$7, "-", '4L'!$G$6, "-", '4L'!$F$5)</f>
        <v>Other enhancement-Addressing raw water deterioration (grey solutions)-Raw water transport-Water network+-Expenditure in report year</v>
      </c>
      <c r="F1471" t="s">
        <v>7182</v>
      </c>
      <c r="G1471">
        <f>'4L'!$G$84</f>
        <v>0</v>
      </c>
    </row>
    <row r="1472" spans="1:7">
      <c r="A1472" t="s">
        <v>639</v>
      </c>
      <c r="C1472" t="str">
        <f>'4L'!$AX$84</f>
        <v>B0266ARTT_RWS</v>
      </c>
      <c r="D1472" t="str">
        <f>_xlfn.CONCAT('4L'!$B$78, "-", '4L'!$B$84, "-", '4L'!$H$7, "-", '4L'!$G$6, "-", '4L'!$F$5)</f>
        <v>Other enhancement-Addressing raw water deterioration (grey solutions)-Raw water storage-Water network+-Expenditure in report year</v>
      </c>
      <c r="F1472" t="s">
        <v>7182</v>
      </c>
      <c r="G1472">
        <f>'4L'!$H$84</f>
        <v>0</v>
      </c>
    </row>
    <row r="1473" spans="1:7">
      <c r="A1473" t="s">
        <v>639</v>
      </c>
      <c r="C1473" t="str">
        <f>'4L'!$AY$84</f>
        <v>B0266ARTT_WT</v>
      </c>
      <c r="D1473" t="str">
        <f>_xlfn.CONCAT('4L'!$B$78, "-", '4L'!$B$84, "-", '4L'!$I$7, "-", '4L'!$G$6, "-", '4L'!$F$5)</f>
        <v>Other enhancement-Addressing raw water deterioration (grey solutions)-Water treatment-Water network+-Expenditure in report year</v>
      </c>
      <c r="F1473" t="s">
        <v>7182</v>
      </c>
      <c r="G1473">
        <f>'4L'!$I$84</f>
        <v>3.0310000000000001</v>
      </c>
    </row>
    <row r="1474" spans="1:7">
      <c r="A1474" t="s">
        <v>639</v>
      </c>
      <c r="C1474" t="str">
        <f>'4L'!$AZ$84</f>
        <v>B0266ARTT_TWD</v>
      </c>
      <c r="D1474" t="str">
        <f>_xlfn.CONCAT('4L'!$B$78, "-", '4L'!$B$84, "-", '4L'!$J$7, "-", '4L'!$G$6, "-", '4L'!$F$5)</f>
        <v>Other enhancement-Addressing raw water deterioration (grey solutions)-Treated water distribution-Water network+-Expenditure in report year</v>
      </c>
      <c r="F1474" t="s">
        <v>7182</v>
      </c>
      <c r="G1474">
        <f>'4L'!$J$84</f>
        <v>0</v>
      </c>
    </row>
    <row r="1475" spans="1:7">
      <c r="A1475" t="s">
        <v>639</v>
      </c>
      <c r="C1475" t="str">
        <f>'4L'!$BA$84</f>
        <v>B0266ARTT_TOT</v>
      </c>
      <c r="D1475" t="str">
        <f>_xlfn.CONCAT('4L'!$B$78, "-", '4L'!$B$84, "-", '4L'!$K$6, "-", '4L'!$K$6, "-", '4L'!$F$5)</f>
        <v>Other enhancement-Addressing raw water deterioration (grey solutions)-Total-Total-Expenditure in report year</v>
      </c>
      <c r="F1475" t="s">
        <v>7182</v>
      </c>
      <c r="G1475">
        <f>'4L'!$K$84</f>
        <v>3.0310000000000001</v>
      </c>
    </row>
    <row r="1476" spans="1:7">
      <c r="A1476" t="s">
        <v>639</v>
      </c>
      <c r="C1476" t="str">
        <f>'4L'!$BB$84</f>
        <v>B0C266ARTT_WR</v>
      </c>
      <c r="D1476" t="str">
        <f>_xlfn.CONCAT('4L'!$B$78, "-", '4L'!$B$84, "-", '4L'!$L$6, "-", '4L'!$L$6, "-", '4L'!$L$5)</f>
        <v>Other enhancement-Addressing raw water deterioration (grey solutions)-Water resources-Water resources-Cumulative expenditure on schemes completed in the report year</v>
      </c>
      <c r="F1476" t="s">
        <v>7182</v>
      </c>
      <c r="G1476">
        <f>'4L'!$L$84</f>
        <v>0</v>
      </c>
    </row>
    <row r="1477" spans="1:7">
      <c r="A1477" t="s">
        <v>639</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7182</v>
      </c>
      <c r="G1477">
        <f>'4L'!$M$84</f>
        <v>0</v>
      </c>
    </row>
    <row r="1478" spans="1:7">
      <c r="A1478" t="s">
        <v>639</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7182</v>
      </c>
      <c r="G1478">
        <f>'4L'!$N$84</f>
        <v>0</v>
      </c>
    </row>
    <row r="1479" spans="1:7">
      <c r="A1479" t="s">
        <v>639</v>
      </c>
      <c r="C1479" t="str">
        <f>'4L'!$BE$84</f>
        <v>B0C266ARTT_WT</v>
      </c>
      <c r="D1479" t="str">
        <f>_xlfn.CONCAT('4L'!$B$78, "-", '4L'!$B$84, "-", '4L'!$O$7, "-", '4L'!$M$6, "-", '4L'!$L$5)</f>
        <v>Other enhancement-Addressing raw water deterioration (grey solutions)-Water treatment-Water network+-Cumulative expenditure on schemes completed in the report year</v>
      </c>
      <c r="F1479" t="s">
        <v>7182</v>
      </c>
      <c r="G1479">
        <f>'4L'!$O$84</f>
        <v>0</v>
      </c>
    </row>
    <row r="1480" spans="1:7">
      <c r="A1480" t="s">
        <v>639</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7182</v>
      </c>
      <c r="G1480">
        <f>'4L'!$R$90</f>
        <v>7.0310000000000006</v>
      </c>
    </row>
    <row r="1481" spans="1:7">
      <c r="A1481" t="s">
        <v>639</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7182</v>
      </c>
      <c r="G1481">
        <f>'4L'!$S$90</f>
        <v>24.174999999999997</v>
      </c>
    </row>
    <row r="1482" spans="1:7">
      <c r="A1482" t="s">
        <v>639</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7182</v>
      </c>
      <c r="G1482">
        <f>'4L'!$T$90</f>
        <v>31.486999999999998</v>
      </c>
    </row>
    <row r="1483" spans="1:7">
      <c r="A1483" t="s">
        <v>639</v>
      </c>
      <c r="C1483" t="str">
        <f>'4L'!$AV$85</f>
        <v>B0264ARCN_WR</v>
      </c>
      <c r="D1483" t="str">
        <f>_xlfn.CONCAT('4L'!$B$78, "-", '4L'!$B$85, "-", '4L'!$F$6, "-", '4L'!$F$6, "-", '4L'!$F$5)</f>
        <v>Other enhancement-Addressing raw water deterioration (green solutions)-Water resources-Water resources-Expenditure in report year</v>
      </c>
      <c r="F1483" t="s">
        <v>7182</v>
      </c>
      <c r="G1483">
        <f>'4L'!$F$85</f>
        <v>0</v>
      </c>
    </row>
    <row r="1484" spans="1:7">
      <c r="A1484" t="s">
        <v>639</v>
      </c>
      <c r="C1484" t="str">
        <f>'4L'!$AW$85</f>
        <v>B0264ARCN_RWT</v>
      </c>
      <c r="D1484" t="str">
        <f>_xlfn.CONCAT('4L'!$B$78, "-", '4L'!$B$85, "-", '4L'!$G$7, "-", '4L'!$G$6, "-", '4L'!$F$5)</f>
        <v>Other enhancement-Addressing raw water deterioration (green solutions)-Raw water transport-Water network+-Expenditure in report year</v>
      </c>
      <c r="F1484" t="s">
        <v>7182</v>
      </c>
      <c r="G1484">
        <f>'4L'!$G$85</f>
        <v>0</v>
      </c>
    </row>
    <row r="1485" spans="1:7">
      <c r="A1485" t="s">
        <v>639</v>
      </c>
      <c r="C1485" t="str">
        <f>'4L'!$AX$85</f>
        <v>B0264ARCN_RWS</v>
      </c>
      <c r="D1485" t="str">
        <f>_xlfn.CONCAT('4L'!$B$78, "-", '4L'!$B$85, "-", '4L'!$H$7, "-", '4L'!$G$6, "-", '4L'!$F$5)</f>
        <v>Other enhancement-Addressing raw water deterioration (green solutions)-Raw water storage-Water network+-Expenditure in report year</v>
      </c>
      <c r="F1485" t="s">
        <v>7182</v>
      </c>
      <c r="G1485">
        <f>'4L'!$H$85</f>
        <v>0</v>
      </c>
    </row>
    <row r="1486" spans="1:7">
      <c r="A1486" t="s">
        <v>639</v>
      </c>
      <c r="C1486" t="str">
        <f>'4L'!$AY$85</f>
        <v>B0264ARCN_WT</v>
      </c>
      <c r="D1486" t="str">
        <f>_xlfn.CONCAT('4L'!$B$78, "-", '4L'!$B$85, "-", '4L'!$I$7, "-", '4L'!$G$6, "-", '4L'!$F$5)</f>
        <v>Other enhancement-Addressing raw water deterioration (green solutions)-Water treatment-Water network+-Expenditure in report year</v>
      </c>
      <c r="F1486" t="s">
        <v>7182</v>
      </c>
      <c r="G1486">
        <f>'4L'!$I$85</f>
        <v>0</v>
      </c>
    </row>
    <row r="1487" spans="1:7">
      <c r="A1487" t="s">
        <v>639</v>
      </c>
      <c r="C1487" t="str">
        <f>'4L'!$AZ$85</f>
        <v>B0264ARCN_TWD</v>
      </c>
      <c r="D1487" t="str">
        <f>_xlfn.CONCAT('4L'!$B$78, "-", '4L'!$B$85, "-", '4L'!$J$7, "-", '4L'!$G$6, "-", '4L'!$F$5)</f>
        <v>Other enhancement-Addressing raw water deterioration (green solutions)-Treated water distribution-Water network+-Expenditure in report year</v>
      </c>
      <c r="F1487" t="s">
        <v>7182</v>
      </c>
      <c r="G1487">
        <f>'4L'!$J$85</f>
        <v>0</v>
      </c>
    </row>
    <row r="1488" spans="1:7">
      <c r="A1488" t="s">
        <v>639</v>
      </c>
      <c r="C1488" t="str">
        <f>'4L'!$BA$85</f>
        <v>B0264ARCN_TOT</v>
      </c>
      <c r="D1488" t="str">
        <f>_xlfn.CONCAT('4L'!$B$78, "-", '4L'!$B$85, "-", '4L'!$K$6, "-", '4L'!$K$6, "-", '4L'!$F$5)</f>
        <v>Other enhancement-Addressing raw water deterioration (green solutions)-Total-Total-Expenditure in report year</v>
      </c>
      <c r="F1488" t="s">
        <v>7182</v>
      </c>
      <c r="G1488">
        <f>'4L'!$K$85</f>
        <v>0</v>
      </c>
    </row>
    <row r="1489" spans="1:7">
      <c r="A1489" t="s">
        <v>639</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7182</v>
      </c>
      <c r="G1489">
        <f>'4L'!$L$85</f>
        <v>0</v>
      </c>
    </row>
    <row r="1490" spans="1:7">
      <c r="A1490" t="s">
        <v>639</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7182</v>
      </c>
      <c r="G1490">
        <f>'4L'!$M$85</f>
        <v>0</v>
      </c>
    </row>
    <row r="1491" spans="1:7">
      <c r="A1491" t="s">
        <v>639</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7182</v>
      </c>
      <c r="G1491">
        <f>'4L'!$N$85</f>
        <v>0</v>
      </c>
    </row>
    <row r="1492" spans="1:7">
      <c r="A1492" t="s">
        <v>639</v>
      </c>
      <c r="C1492" t="str">
        <f>'4L'!$BE$85</f>
        <v>B0C264ARCN_WT</v>
      </c>
      <c r="D1492" t="str">
        <f>_xlfn.CONCAT('4L'!$B$78, "-", '4L'!$B$85, "-", '4L'!$O$7, "-", '4L'!$M$6, "-", '4L'!$L$5)</f>
        <v>Other enhancement-Addressing raw water deterioration (green solutions)-Water treatment-Water network+-Cumulative expenditure on schemes completed in the report year</v>
      </c>
      <c r="F1492" t="s">
        <v>7182</v>
      </c>
      <c r="G1492">
        <f>'4L'!$O$85</f>
        <v>0</v>
      </c>
    </row>
    <row r="1493" spans="1:7">
      <c r="A1493" t="s">
        <v>639</v>
      </c>
      <c r="C1493" t="str">
        <f>'4L'!$AV$86</f>
        <v>B0265ARON_WR</v>
      </c>
      <c r="D1493" t="str">
        <f>_xlfn.CONCAT('4L'!$B$78, "-", '4L'!$B$86, "-", '4L'!$F$6, "-", '4L'!$F$6, "-", '4L'!$F$5)</f>
        <v>Other enhancement-Addressing raw water deterioration (green solutions)-Water resources-Water resources-Expenditure in report year</v>
      </c>
      <c r="F1493" t="s">
        <v>7182</v>
      </c>
      <c r="G1493">
        <f>'4L'!$F$86</f>
        <v>0</v>
      </c>
    </row>
    <row r="1494" spans="1:7">
      <c r="A1494" t="s">
        <v>639</v>
      </c>
      <c r="C1494" t="str">
        <f>'4L'!$AW$86</f>
        <v>B0265ARON_RWT</v>
      </c>
      <c r="D1494" t="str">
        <f>_xlfn.CONCAT('4L'!$B$78, "-", '4L'!$B$86, "-", '4L'!$G$7, "-", '4L'!$G$6, "-", '4L'!$F$5)</f>
        <v>Other enhancement-Addressing raw water deterioration (green solutions)-Raw water transport-Water network+-Expenditure in report year</v>
      </c>
      <c r="F1494" t="s">
        <v>7182</v>
      </c>
      <c r="G1494">
        <f>'4L'!$G$86</f>
        <v>0</v>
      </c>
    </row>
    <row r="1495" spans="1:7">
      <c r="A1495" t="s">
        <v>639</v>
      </c>
      <c r="C1495" t="str">
        <f>'4L'!$AX$86</f>
        <v>B0265ARON_RWS</v>
      </c>
      <c r="D1495" t="str">
        <f>_xlfn.CONCAT('4L'!$B$78, "-", '4L'!$B$86, "-", '4L'!$H$7, "-", '4L'!$G$6, "-", '4L'!$F$5)</f>
        <v>Other enhancement-Addressing raw water deterioration (green solutions)-Raw water storage-Water network+-Expenditure in report year</v>
      </c>
      <c r="F1495" t="s">
        <v>7182</v>
      </c>
      <c r="G1495">
        <f>'4L'!$H$86</f>
        <v>0</v>
      </c>
    </row>
    <row r="1496" spans="1:7">
      <c r="A1496" t="s">
        <v>639</v>
      </c>
      <c r="C1496" t="str">
        <f>'4L'!$AY$86</f>
        <v>B0265ARON_WT</v>
      </c>
      <c r="D1496" t="str">
        <f>_xlfn.CONCAT('4L'!$B$78, "-", '4L'!$B$86, "-", '4L'!$I$7, "-", '4L'!$G$6, "-", '4L'!$F$5)</f>
        <v>Other enhancement-Addressing raw water deterioration (green solutions)-Water treatment-Water network+-Expenditure in report year</v>
      </c>
      <c r="F1496" t="s">
        <v>7182</v>
      </c>
      <c r="G1496">
        <f>'4L'!$I$86</f>
        <v>0</v>
      </c>
    </row>
    <row r="1497" spans="1:7">
      <c r="A1497" t="s">
        <v>639</v>
      </c>
      <c r="C1497" t="str">
        <f>'4L'!$AZ$86</f>
        <v>B0265ARON_TWD</v>
      </c>
      <c r="D1497" t="str">
        <f>_xlfn.CONCAT('4L'!$B$78, "-", '4L'!$B$86, "-", '4L'!$J$7, "-", '4L'!$G$6, "-", '4L'!$F$5)</f>
        <v>Other enhancement-Addressing raw water deterioration (green solutions)-Treated water distribution-Water network+-Expenditure in report year</v>
      </c>
      <c r="F1497" t="s">
        <v>7182</v>
      </c>
      <c r="G1497">
        <f>'4L'!$J$86</f>
        <v>0</v>
      </c>
    </row>
    <row r="1498" spans="1:7">
      <c r="A1498" t="s">
        <v>639</v>
      </c>
      <c r="C1498" t="str">
        <f>'4L'!$BA$86</f>
        <v>B0265ARON_TOT</v>
      </c>
      <c r="D1498" t="str">
        <f>_xlfn.CONCAT('4L'!$B$78, "-", '4L'!$B$86, "-", '4L'!$K$6, "-", '4L'!$K$6, "-", '4L'!$F$5)</f>
        <v>Other enhancement-Addressing raw water deterioration (green solutions)-Total-Total-Expenditure in report year</v>
      </c>
      <c r="F1498" t="s">
        <v>7182</v>
      </c>
      <c r="G1498">
        <f>'4L'!$K$86</f>
        <v>0</v>
      </c>
    </row>
    <row r="1499" spans="1:7">
      <c r="A1499" t="s">
        <v>639</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7182</v>
      </c>
      <c r="G1499">
        <f>'4L'!$L$86</f>
        <v>0</v>
      </c>
    </row>
    <row r="1500" spans="1:7">
      <c r="A1500" t="s">
        <v>639</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7182</v>
      </c>
      <c r="G1500">
        <f>'4L'!$M$86</f>
        <v>0</v>
      </c>
    </row>
    <row r="1501" spans="1:7">
      <c r="A1501" t="s">
        <v>639</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7182</v>
      </c>
      <c r="G1501">
        <f>'4L'!$N$86</f>
        <v>0</v>
      </c>
    </row>
    <row r="1502" spans="1:7">
      <c r="A1502" t="s">
        <v>639</v>
      </c>
      <c r="C1502" t="str">
        <f>'4L'!$BE$86</f>
        <v>B0C265ARON_WT</v>
      </c>
      <c r="D1502" t="str">
        <f>_xlfn.CONCAT('4L'!$B$78, "-", '4L'!$B$86, "-", '4L'!$O$7, "-", '4L'!$M$6, "-", '4L'!$L$5)</f>
        <v>Other enhancement-Addressing raw water deterioration (green solutions)-Water treatment-Water network+-Cumulative expenditure on schemes completed in the report year</v>
      </c>
      <c r="F1502" t="s">
        <v>7182</v>
      </c>
      <c r="G1502">
        <f>'4L'!$O$86</f>
        <v>0</v>
      </c>
    </row>
    <row r="1503" spans="1:7">
      <c r="A1503" t="s">
        <v>639</v>
      </c>
      <c r="C1503" t="str">
        <f>'4L'!$AV$87</f>
        <v>B0266ARTN_WR</v>
      </c>
      <c r="D1503" t="str">
        <f>_xlfn.CONCAT('4L'!$B$78, "-", '4L'!$B$87, "-", '4L'!$F$6, "-", '4L'!$F$6, "-", '4L'!$F$5)</f>
        <v>Other enhancement-Addressing raw water deterioration (green solutions)-Water resources-Water resources-Expenditure in report year</v>
      </c>
      <c r="F1503" t="s">
        <v>7182</v>
      </c>
      <c r="G1503">
        <f>'4L'!$F$87</f>
        <v>0</v>
      </c>
    </row>
    <row r="1504" spans="1:7">
      <c r="A1504" t="s">
        <v>639</v>
      </c>
      <c r="C1504" t="str">
        <f>'4L'!$AW$87</f>
        <v>B0266ARTN_RWT</v>
      </c>
      <c r="D1504" t="str">
        <f>_xlfn.CONCAT('4L'!$B$78, "-", '4L'!$B$87, "-", '4L'!$G$7, "-", '4L'!$G$6, "-", '4L'!$F$5)</f>
        <v>Other enhancement-Addressing raw water deterioration (green solutions)-Raw water transport-Water network+-Expenditure in report year</v>
      </c>
      <c r="F1504" t="s">
        <v>7182</v>
      </c>
      <c r="G1504">
        <f>'4L'!$G$87</f>
        <v>0</v>
      </c>
    </row>
    <row r="1505" spans="1:7">
      <c r="A1505" t="s">
        <v>639</v>
      </c>
      <c r="C1505" t="str">
        <f>'4L'!$AX$87</f>
        <v>B0266ARTN_RWS</v>
      </c>
      <c r="D1505" t="str">
        <f>_xlfn.CONCAT('4L'!$B$78, "-", '4L'!$B$87, "-", '4L'!$H$7, "-", '4L'!$G$6, "-", '4L'!$F$5)</f>
        <v>Other enhancement-Addressing raw water deterioration (green solutions)-Raw water storage-Water network+-Expenditure in report year</v>
      </c>
      <c r="F1505" t="s">
        <v>7182</v>
      </c>
      <c r="G1505">
        <f>'4L'!$H$87</f>
        <v>0</v>
      </c>
    </row>
    <row r="1506" spans="1:7">
      <c r="A1506" t="s">
        <v>639</v>
      </c>
      <c r="C1506" t="str">
        <f>'4L'!$AY$87</f>
        <v>B0266ARTN_WT</v>
      </c>
      <c r="D1506" t="str">
        <f>_xlfn.CONCAT('4L'!$B$78, "-", '4L'!$B$87, "-", '4L'!$I$7, "-", '4L'!$G$6, "-", '4L'!$F$5)</f>
        <v>Other enhancement-Addressing raw water deterioration (green solutions)-Water treatment-Water network+-Expenditure in report year</v>
      </c>
      <c r="F1506" t="s">
        <v>7182</v>
      </c>
      <c r="G1506">
        <f>'4L'!$I$87</f>
        <v>0</v>
      </c>
    </row>
    <row r="1507" spans="1:7">
      <c r="A1507" t="s">
        <v>639</v>
      </c>
      <c r="C1507" t="str">
        <f>'4L'!$AZ$87</f>
        <v>B0266ARTN_TWD</v>
      </c>
      <c r="D1507" t="str">
        <f>_xlfn.CONCAT('4L'!$B$78, "-", '4L'!$B$87, "-", '4L'!$J$7, "-", '4L'!$G$6, "-", '4L'!$F$5)</f>
        <v>Other enhancement-Addressing raw water deterioration (green solutions)-Treated water distribution-Water network+-Expenditure in report year</v>
      </c>
      <c r="F1507" t="s">
        <v>7182</v>
      </c>
      <c r="G1507">
        <f>'4L'!$J$87</f>
        <v>0</v>
      </c>
    </row>
    <row r="1508" spans="1:7">
      <c r="A1508" t="s">
        <v>639</v>
      </c>
      <c r="C1508" t="str">
        <f>'4L'!$BA$87</f>
        <v>B0266ARTN_TOT</v>
      </c>
      <c r="D1508" t="str">
        <f>_xlfn.CONCAT('4L'!$B$78, "-", '4L'!$B$87, "-", '4L'!$K$6, "-", '4L'!$K$6, "-", '4L'!$F$5)</f>
        <v>Other enhancement-Addressing raw water deterioration (green solutions)-Total-Total-Expenditure in report year</v>
      </c>
      <c r="F1508" t="s">
        <v>7182</v>
      </c>
      <c r="G1508">
        <f>'4L'!$K$87</f>
        <v>0</v>
      </c>
    </row>
    <row r="1509" spans="1:7">
      <c r="A1509" t="s">
        <v>639</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7182</v>
      </c>
      <c r="G1509">
        <f>'4L'!$L$87</f>
        <v>0</v>
      </c>
    </row>
    <row r="1510" spans="1:7">
      <c r="A1510" t="s">
        <v>639</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7182</v>
      </c>
      <c r="G1510">
        <f>'4L'!$M$87</f>
        <v>0</v>
      </c>
    </row>
    <row r="1511" spans="1:7">
      <c r="A1511" t="s">
        <v>639</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7182</v>
      </c>
      <c r="G1511">
        <f>'4L'!$N$87</f>
        <v>0</v>
      </c>
    </row>
    <row r="1512" spans="1:7">
      <c r="A1512" t="s">
        <v>639</v>
      </c>
      <c r="C1512" t="str">
        <f>'4L'!$BE$87</f>
        <v>B0C266ARTN_WT</v>
      </c>
      <c r="D1512" t="str">
        <f>_xlfn.CONCAT('4L'!$B$78, "-", '4L'!$B$87, "-", '4L'!$O$7, "-", '4L'!$M$6, "-", '4L'!$L$5)</f>
        <v>Other enhancement-Addressing raw water deterioration (green solutions)-Water treatment-Water network+-Cumulative expenditure on schemes completed in the report year</v>
      </c>
      <c r="F1512" t="s">
        <v>7182</v>
      </c>
      <c r="G1512">
        <f>'4L'!$O$87</f>
        <v>0</v>
      </c>
    </row>
    <row r="1513" spans="1:7">
      <c r="A1513" t="s">
        <v>639</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7182</v>
      </c>
      <c r="G1513">
        <f>'4L'!$P$87</f>
        <v>0</v>
      </c>
    </row>
    <row r="1514" spans="1:7">
      <c r="A1514" t="s">
        <v>639</v>
      </c>
      <c r="C1514" t="str">
        <f>'4L'!$BG$87</f>
        <v>B0C266ARTN_TOT</v>
      </c>
      <c r="D1514" t="str">
        <f>_xlfn.CONCAT('4L'!$B$78, "-", '4L'!$B$87, "-", '4L'!$Q$6, "-", '4L'!$Q$6, "-", '4L'!$L$5)</f>
        <v>Other enhancement-Addressing raw water deterioration (green solutions)-Total-Total-Cumulative expenditure on schemes completed in the report year</v>
      </c>
      <c r="F1514" t="s">
        <v>7182</v>
      </c>
      <c r="G1514">
        <f>'4L'!$Q$87</f>
        <v>0</v>
      </c>
    </row>
    <row r="1515" spans="1:7">
      <c r="A1515" t="s">
        <v>639</v>
      </c>
      <c r="C1515" t="str">
        <f>'4L'!$AV$88</f>
        <v>B0264ARC_WR</v>
      </c>
      <c r="D1515" t="str">
        <f>_xlfn.CONCAT('4L'!$B$78, "-", '4L'!$B$88, "-", '4L'!$F$6, "-", '4L'!$F$6, "-", '4L'!$F$5)</f>
        <v>Other enhancement-Addressing raw water deterioration (total)-Water resources-Water resources-Expenditure in report year</v>
      </c>
      <c r="F1515" t="s">
        <v>7182</v>
      </c>
      <c r="G1515">
        <f>'4L'!$F$88</f>
        <v>0</v>
      </c>
    </row>
    <row r="1516" spans="1:7">
      <c r="A1516" t="s">
        <v>639</v>
      </c>
      <c r="C1516" t="str">
        <f>'4L'!$AW$88</f>
        <v>B0264ARC_RWT</v>
      </c>
      <c r="D1516" t="str">
        <f>_xlfn.CONCAT('4L'!$B$78, "-", '4L'!$B$88, "-", '4L'!$G$7, "-", '4L'!$G$6, "-", '4L'!$F$5)</f>
        <v>Other enhancement-Addressing raw water deterioration (total)-Raw water transport-Water network+-Expenditure in report year</v>
      </c>
      <c r="F1516" t="s">
        <v>7182</v>
      </c>
      <c r="G1516">
        <f>'4L'!$G$88</f>
        <v>0</v>
      </c>
    </row>
    <row r="1517" spans="1:7">
      <c r="A1517" t="s">
        <v>639</v>
      </c>
      <c r="C1517" t="str">
        <f>'4L'!$AX$88</f>
        <v>B0264ARC_RWS</v>
      </c>
      <c r="D1517" t="str">
        <f>_xlfn.CONCAT('4L'!$B$78, "-", '4L'!$B$88, "-", '4L'!$H$7, "-", '4L'!$G$6, "-", '4L'!$F$5)</f>
        <v>Other enhancement-Addressing raw water deterioration (total)-Raw water storage-Water network+-Expenditure in report year</v>
      </c>
      <c r="F1517" t="s">
        <v>7182</v>
      </c>
      <c r="G1517">
        <f>'4L'!$H$88</f>
        <v>0</v>
      </c>
    </row>
    <row r="1518" spans="1:7">
      <c r="A1518" t="s">
        <v>639</v>
      </c>
      <c r="C1518" t="str">
        <f>'4L'!$AY$88</f>
        <v>B0264ARC_WT</v>
      </c>
      <c r="D1518" t="str">
        <f>_xlfn.CONCAT('4L'!$B$78, "-", '4L'!$B$88, "-", '4L'!$I$7, "-", '4L'!$G$6, "-", '4L'!$F$5)</f>
        <v>Other enhancement-Addressing raw water deterioration (total)-Water treatment-Water network+-Expenditure in report year</v>
      </c>
      <c r="F1518" t="s">
        <v>7182</v>
      </c>
      <c r="G1518">
        <f>'4L'!$I$88</f>
        <v>3.0310000000000001</v>
      </c>
    </row>
    <row r="1519" spans="1:7">
      <c r="A1519" t="s">
        <v>639</v>
      </c>
      <c r="C1519" t="str">
        <f>'4L'!$AZ$88</f>
        <v>B0264ARC_TWD</v>
      </c>
      <c r="D1519" t="str">
        <f>_xlfn.CONCAT('4L'!$B$78, "-", '4L'!$B$88, "-", '4L'!$J$7, "-", '4L'!$G$6, "-", '4L'!$F$5)</f>
        <v>Other enhancement-Addressing raw water deterioration (total)-Treated water distribution-Water network+-Expenditure in report year</v>
      </c>
      <c r="F1519" t="s">
        <v>7182</v>
      </c>
      <c r="G1519">
        <f>'4L'!$J$88</f>
        <v>0</v>
      </c>
    </row>
    <row r="1520" spans="1:7">
      <c r="A1520" t="s">
        <v>639</v>
      </c>
      <c r="C1520" t="str">
        <f>'4L'!$BA$88</f>
        <v>B0264ARC_TOT</v>
      </c>
      <c r="D1520" t="str">
        <f>_xlfn.CONCAT('4L'!$B$78, "-", '4L'!$B$88, "-", '4L'!$K$6, "-", '4L'!$K$6, "-", '4L'!$F$5)</f>
        <v>Other enhancement-Addressing raw water deterioration (total)-Total-Total-Expenditure in report year</v>
      </c>
      <c r="F1520" t="s">
        <v>7182</v>
      </c>
      <c r="G1520">
        <f>'4L'!$K$88</f>
        <v>3.0310000000000001</v>
      </c>
    </row>
    <row r="1521" spans="1:7">
      <c r="A1521" t="s">
        <v>639</v>
      </c>
      <c r="C1521" t="str">
        <f>'4L'!$BB$88</f>
        <v>B0C264ARC_WR</v>
      </c>
      <c r="D1521" t="str">
        <f>_xlfn.CONCAT('4L'!$B$78, "-", '4L'!$B$88, "-", '4L'!$L$6, "-", '4L'!$L$6, "-", '4L'!$L$5)</f>
        <v>Other enhancement-Addressing raw water deterioration (total)-Water resources-Water resources-Cumulative expenditure on schemes completed in the report year</v>
      </c>
      <c r="F1521" t="s">
        <v>7182</v>
      </c>
      <c r="G1521">
        <f>'4L'!$L$88</f>
        <v>0</v>
      </c>
    </row>
    <row r="1522" spans="1:7">
      <c r="A1522" t="s">
        <v>639</v>
      </c>
      <c r="C1522" t="str">
        <f>'4L'!$BC$88</f>
        <v>B0C264ARC_RWT</v>
      </c>
      <c r="D1522" t="str">
        <f>_xlfn.CONCAT('4L'!$B$78, "-", '4L'!$B$88, "-", '4L'!$M$7, "-", '4L'!$M$6, "-", '4L'!$L$5)</f>
        <v>Other enhancement-Addressing raw water deterioration (total)-Raw water transport-Water network+-Cumulative expenditure on schemes completed in the report year</v>
      </c>
      <c r="F1522" t="s">
        <v>7182</v>
      </c>
      <c r="G1522">
        <f>'4L'!$M$88</f>
        <v>0</v>
      </c>
    </row>
    <row r="1523" spans="1:7">
      <c r="A1523" t="s">
        <v>639</v>
      </c>
      <c r="C1523" t="str">
        <f>'4L'!$BD$88</f>
        <v>B0C264ARC_RWS</v>
      </c>
      <c r="D1523" t="str">
        <f>_xlfn.CONCAT('4L'!$B$78, "-", '4L'!$B$88, "-", '4L'!$N$7, "-", '4L'!$M$6, "-", '4L'!$L$5)</f>
        <v>Other enhancement-Addressing raw water deterioration (total)-Raw water storage-Water network+-Cumulative expenditure on schemes completed in the report year</v>
      </c>
      <c r="F1523" t="s">
        <v>7182</v>
      </c>
      <c r="G1523">
        <f>'4L'!$N$88</f>
        <v>0</v>
      </c>
    </row>
    <row r="1524" spans="1:7">
      <c r="A1524" t="s">
        <v>639</v>
      </c>
      <c r="C1524" t="str">
        <f>'4L'!$BE$88</f>
        <v>B0C264ARC_WT</v>
      </c>
      <c r="D1524" t="str">
        <f>_xlfn.CONCAT('4L'!$B$78, "-", '4L'!$B$88, "-", '4L'!$O$7, "-", '4L'!$M$6, "-", '4L'!$L$5)</f>
        <v>Other enhancement-Addressing raw water deterioration (total)-Water treatment-Water network+-Cumulative expenditure on schemes completed in the report year</v>
      </c>
      <c r="F1524" t="s">
        <v>7182</v>
      </c>
      <c r="G1524">
        <f>'4L'!$O$88</f>
        <v>0</v>
      </c>
    </row>
    <row r="1525" spans="1:7">
      <c r="A1525" t="s">
        <v>639</v>
      </c>
      <c r="C1525" t="str">
        <f>'4L'!$BF$88</f>
        <v>B0C264ARC_TWD</v>
      </c>
      <c r="D1525" t="str">
        <f>_xlfn.CONCAT('4L'!$B$78, "-", '4L'!$B$88, "-", '4L'!$P$7, "-", '4L'!$M$6, "-", '4L'!$L$5)</f>
        <v>Other enhancement-Addressing raw water deterioration (total)-Treated water distribution-Water network+-Cumulative expenditure on schemes completed in the report year</v>
      </c>
      <c r="F1525" t="s">
        <v>7182</v>
      </c>
      <c r="G1525">
        <f>'4L'!$P$88</f>
        <v>0</v>
      </c>
    </row>
    <row r="1526" spans="1:7">
      <c r="A1526" t="s">
        <v>639</v>
      </c>
      <c r="C1526" t="str">
        <f>'4L'!$BG$88</f>
        <v>B0C264ARC_TOT</v>
      </c>
      <c r="D1526" t="str">
        <f>_xlfn.CONCAT('4L'!$B$78, "-", '4L'!$B$88, "-", '4L'!$Q$6, "-", '4L'!$Q$6, "-", '4L'!$L$5)</f>
        <v>Other enhancement-Addressing raw water deterioration (total)-Total-Total-Cumulative expenditure on schemes completed in the report year</v>
      </c>
      <c r="F1526" t="s">
        <v>7182</v>
      </c>
      <c r="G1526">
        <f>'4L'!$Q$88</f>
        <v>0</v>
      </c>
    </row>
    <row r="1527" spans="1:7">
      <c r="A1527" t="s">
        <v>639</v>
      </c>
      <c r="C1527" t="str">
        <f>'4L'!$AV$89</f>
        <v>B0265ARO_WR</v>
      </c>
      <c r="D1527" t="str">
        <f>_xlfn.CONCAT('4L'!$B$78, "-", '4L'!$B$89, "-", '4L'!$F$6, "-", '4L'!$F$6, "-", '4L'!$F$5)</f>
        <v>Other enhancement-Addressing raw water deterioration (total)-Water resources-Water resources-Expenditure in report year</v>
      </c>
      <c r="F1527" t="s">
        <v>7182</v>
      </c>
      <c r="G1527">
        <f>'4L'!$F$89</f>
        <v>0</v>
      </c>
    </row>
    <row r="1528" spans="1:7">
      <c r="A1528" t="s">
        <v>639</v>
      </c>
      <c r="C1528" t="str">
        <f>'4L'!$AW$89</f>
        <v>B0265ARO_RWT</v>
      </c>
      <c r="D1528" t="str">
        <f>_xlfn.CONCAT('4L'!$B$78, "-", '4L'!$B$89, "-", '4L'!$G$7, "-", '4L'!$G$6, "-", '4L'!$F$5)</f>
        <v>Other enhancement-Addressing raw water deterioration (total)-Raw water transport-Water network+-Expenditure in report year</v>
      </c>
      <c r="F1528" t="s">
        <v>7182</v>
      </c>
      <c r="G1528">
        <f>'4L'!$G$89</f>
        <v>0</v>
      </c>
    </row>
    <row r="1529" spans="1:7">
      <c r="A1529" t="s">
        <v>639</v>
      </c>
      <c r="C1529" t="str">
        <f>'4L'!$AX$89</f>
        <v>B0265ARO_RWS</v>
      </c>
      <c r="D1529" t="str">
        <f>_xlfn.CONCAT('4L'!$B$78, "-", '4L'!$B$89, "-", '4L'!$H$7, "-", '4L'!$G$6, "-", '4L'!$F$5)</f>
        <v>Other enhancement-Addressing raw water deterioration (total)-Raw water storage-Water network+-Expenditure in report year</v>
      </c>
      <c r="F1529" t="s">
        <v>7182</v>
      </c>
      <c r="G1529">
        <f>'4L'!$H$89</f>
        <v>0</v>
      </c>
    </row>
    <row r="1530" spans="1:7">
      <c r="A1530" t="s">
        <v>639</v>
      </c>
      <c r="C1530" t="str">
        <f>'4L'!$AY$89</f>
        <v>B0265ARO_WT</v>
      </c>
      <c r="D1530" t="str">
        <f>_xlfn.CONCAT('4L'!$B$78, "-", '4L'!$B$89, "-", '4L'!$I$7, "-", '4L'!$G$6, "-", '4L'!$F$5)</f>
        <v>Other enhancement-Addressing raw water deterioration (total)-Water treatment-Water network+-Expenditure in report year</v>
      </c>
      <c r="F1530" t="s">
        <v>7182</v>
      </c>
      <c r="G1530">
        <f>'4L'!$I$89</f>
        <v>0</v>
      </c>
    </row>
    <row r="1531" spans="1:7">
      <c r="A1531" t="s">
        <v>639</v>
      </c>
      <c r="C1531" t="str">
        <f>'4L'!$AZ$89</f>
        <v>B0265ARO_TWD</v>
      </c>
      <c r="D1531" t="str">
        <f>_xlfn.CONCAT('4L'!$B$78, "-", '4L'!$B$89, "-", '4L'!$J$7, "-", '4L'!$G$6, "-", '4L'!$F$5)</f>
        <v>Other enhancement-Addressing raw water deterioration (total)-Treated water distribution-Water network+-Expenditure in report year</v>
      </c>
      <c r="F1531" t="s">
        <v>7182</v>
      </c>
      <c r="G1531">
        <f>'4L'!$J$89</f>
        <v>0</v>
      </c>
    </row>
    <row r="1532" spans="1:7">
      <c r="A1532" t="s">
        <v>639</v>
      </c>
      <c r="C1532" t="str">
        <f>'4L'!$BA$89</f>
        <v>B0265ARO_TOT</v>
      </c>
      <c r="D1532" t="str">
        <f>_xlfn.CONCAT('4L'!$B$78, "-", '4L'!$B$89, "-", '4L'!$K$6, "-", '4L'!$K$6, "-", '4L'!$F$5)</f>
        <v>Other enhancement-Addressing raw water deterioration (total)-Total-Total-Expenditure in report year</v>
      </c>
      <c r="F1532" t="s">
        <v>7182</v>
      </c>
      <c r="G1532">
        <f>'4L'!$K$89</f>
        <v>0</v>
      </c>
    </row>
    <row r="1533" spans="1:7">
      <c r="A1533" t="s">
        <v>639</v>
      </c>
      <c r="C1533" t="str">
        <f>'4L'!$BB$89</f>
        <v>B0C265ARO_WR</v>
      </c>
      <c r="D1533" t="str">
        <f>_xlfn.CONCAT('4L'!$B$78, "-", '4L'!$B$89, "-", '4L'!$L$6, "-", '4L'!$L$6, "-", '4L'!$L$5)</f>
        <v>Other enhancement-Addressing raw water deterioration (total)-Water resources-Water resources-Cumulative expenditure on schemes completed in the report year</v>
      </c>
      <c r="F1533" t="s">
        <v>7182</v>
      </c>
      <c r="G1533">
        <f>'4L'!$L$89</f>
        <v>0</v>
      </c>
    </row>
    <row r="1534" spans="1:7">
      <c r="A1534" t="s">
        <v>639</v>
      </c>
      <c r="C1534" t="str">
        <f>'4L'!$BC$89</f>
        <v>B0C265ARO_RWT</v>
      </c>
      <c r="D1534" t="str">
        <f>_xlfn.CONCAT('4L'!$B$78, "-", '4L'!$B$89, "-", '4L'!$M$7, "-", '4L'!$M$6, "-", '4L'!$L$5)</f>
        <v>Other enhancement-Addressing raw water deterioration (total)-Raw water transport-Water network+-Cumulative expenditure on schemes completed in the report year</v>
      </c>
      <c r="F1534" t="s">
        <v>7182</v>
      </c>
      <c r="G1534">
        <f>'4L'!$M$89</f>
        <v>0</v>
      </c>
    </row>
    <row r="1535" spans="1:7">
      <c r="A1535" t="s">
        <v>639</v>
      </c>
      <c r="C1535" t="str">
        <f>'4L'!$BD$89</f>
        <v>B0C265ARO_RWS</v>
      </c>
      <c r="D1535" t="str">
        <f>_xlfn.CONCAT('4L'!$B$78, "-", '4L'!$B$89, "-", '4L'!$N$7, "-", '4L'!$M$6, "-", '4L'!$L$5)</f>
        <v>Other enhancement-Addressing raw water deterioration (total)-Raw water storage-Water network+-Cumulative expenditure on schemes completed in the report year</v>
      </c>
      <c r="F1535" t="s">
        <v>7182</v>
      </c>
      <c r="G1535">
        <f>'4L'!$N$89</f>
        <v>0</v>
      </c>
    </row>
    <row r="1536" spans="1:7">
      <c r="A1536" t="s">
        <v>639</v>
      </c>
      <c r="C1536" t="str">
        <f>'4L'!$BE$89</f>
        <v>B0C265ARO_WT</v>
      </c>
      <c r="D1536" t="str">
        <f>_xlfn.CONCAT('4L'!$B$78, "-", '4L'!$B$89, "-", '4L'!$O$7, "-", '4L'!$M$6, "-", '4L'!$L$5)</f>
        <v>Other enhancement-Addressing raw water deterioration (total)-Water treatment-Water network+-Cumulative expenditure on schemes completed in the report year</v>
      </c>
      <c r="F1536" t="s">
        <v>7182</v>
      </c>
      <c r="G1536">
        <f>'4L'!$O$89</f>
        <v>0</v>
      </c>
    </row>
    <row r="1537" spans="1:7">
      <c r="A1537" t="s">
        <v>639</v>
      </c>
      <c r="C1537" t="str">
        <f>'4L'!$BF$89</f>
        <v>B0C265ARO_TWD</v>
      </c>
      <c r="D1537" t="str">
        <f>_xlfn.CONCAT('4L'!$B$78, "-", '4L'!$B$89, "-", '4L'!$P$7, "-", '4L'!$M$6, "-", '4L'!$L$5)</f>
        <v>Other enhancement-Addressing raw water deterioration (total)-Treated water distribution-Water network+-Cumulative expenditure on schemes completed in the report year</v>
      </c>
      <c r="F1537" t="s">
        <v>7182</v>
      </c>
      <c r="G1537">
        <f>'4L'!$P$89</f>
        <v>0</v>
      </c>
    </row>
    <row r="1538" spans="1:7">
      <c r="A1538" t="s">
        <v>639</v>
      </c>
      <c r="C1538" t="str">
        <f>'4L'!$BG$89</f>
        <v>B0C265ARO_TOT</v>
      </c>
      <c r="D1538" t="str">
        <f>_xlfn.CONCAT('4L'!$B$78, "-", '4L'!$B$89, "-", '4L'!$Q$6, "-", '4L'!$Q$6, "-", '4L'!$L$5)</f>
        <v>Other enhancement-Addressing raw water deterioration (total)-Total-Total-Cumulative expenditure on schemes completed in the report year</v>
      </c>
      <c r="F1538" t="s">
        <v>7182</v>
      </c>
      <c r="G1538">
        <f>'4L'!$Q$89</f>
        <v>0</v>
      </c>
    </row>
    <row r="1539" spans="1:7">
      <c r="A1539" t="s">
        <v>639</v>
      </c>
      <c r="C1539" t="str">
        <f>'4L'!$AV$90</f>
        <v>B0266ART_WR</v>
      </c>
      <c r="D1539" t="str">
        <f>_xlfn.CONCAT('4L'!$B$78, "-", '4L'!$B$90, "-", '4L'!$F$6, "-", '4L'!$F$6, "-", '4L'!$F$5)</f>
        <v>Other enhancement-Addressing raw water deterioration (total)-Water resources-Water resources-Expenditure in report year</v>
      </c>
      <c r="F1539" t="s">
        <v>7182</v>
      </c>
      <c r="G1539">
        <f>'4L'!$F$90</f>
        <v>0</v>
      </c>
    </row>
    <row r="1540" spans="1:7">
      <c r="A1540" t="s">
        <v>639</v>
      </c>
      <c r="C1540" t="str">
        <f>'4L'!$AW$90</f>
        <v>B0266ART_RWT</v>
      </c>
      <c r="D1540" t="str">
        <f>_xlfn.CONCAT('4L'!$B$78, "-", '4L'!$B$90, "-", '4L'!$G$7, "-", '4L'!$G$6, "-", '4L'!$F$5)</f>
        <v>Other enhancement-Addressing raw water deterioration (total)-Raw water transport-Water network+-Expenditure in report year</v>
      </c>
      <c r="F1540" t="s">
        <v>7182</v>
      </c>
      <c r="G1540">
        <f>'4L'!$G$90</f>
        <v>0</v>
      </c>
    </row>
    <row r="1541" spans="1:7">
      <c r="A1541" t="s">
        <v>639</v>
      </c>
      <c r="C1541" t="str">
        <f>'4L'!$AX$90</f>
        <v>B0266ART_RWS</v>
      </c>
      <c r="D1541" t="str">
        <f>_xlfn.CONCAT('4L'!$B$78, "-", '4L'!$B$90, "-", '4L'!$H$7, "-", '4L'!$G$6, "-", '4L'!$F$5)</f>
        <v>Other enhancement-Addressing raw water deterioration (total)-Raw water storage-Water network+-Expenditure in report year</v>
      </c>
      <c r="F1541" t="s">
        <v>7182</v>
      </c>
      <c r="G1541">
        <f>'4L'!$H$90</f>
        <v>0</v>
      </c>
    </row>
    <row r="1542" spans="1:7">
      <c r="A1542" t="s">
        <v>639</v>
      </c>
      <c r="C1542" t="str">
        <f>'4L'!$AY$90</f>
        <v>B0266ART_WT</v>
      </c>
      <c r="D1542" t="str">
        <f>_xlfn.CONCAT('4L'!$B$78, "-", '4L'!$B$90, "-", '4L'!$I$7, "-", '4L'!$G$6, "-", '4L'!$F$5)</f>
        <v>Other enhancement-Addressing raw water deterioration (total)-Water treatment-Water network+-Expenditure in report year</v>
      </c>
      <c r="F1542" t="s">
        <v>7182</v>
      </c>
      <c r="G1542">
        <f>'4L'!$I$90</f>
        <v>3.0310000000000001</v>
      </c>
    </row>
    <row r="1543" spans="1:7">
      <c r="A1543" t="s">
        <v>639</v>
      </c>
      <c r="C1543" t="str">
        <f>'4L'!$AZ$90</f>
        <v>B0266ART_TWD</v>
      </c>
      <c r="D1543" t="str">
        <f>_xlfn.CONCAT('4L'!$B$78, "-", '4L'!$B$90, "-", '4L'!$J$7, "-", '4L'!$G$6, "-", '4L'!$F$5)</f>
        <v>Other enhancement-Addressing raw water deterioration (total)-Treated water distribution-Water network+-Expenditure in report year</v>
      </c>
      <c r="F1543" t="s">
        <v>7182</v>
      </c>
      <c r="G1543">
        <f>'4L'!$J$90</f>
        <v>0</v>
      </c>
    </row>
    <row r="1544" spans="1:7">
      <c r="A1544" t="s">
        <v>639</v>
      </c>
      <c r="C1544" t="str">
        <f>'4L'!$BA$90</f>
        <v>B0266ART_TOT</v>
      </c>
      <c r="D1544" t="str">
        <f>_xlfn.CONCAT('4L'!$B$78, "-", '4L'!$B$90, "-", '4L'!$K$6, "-", '4L'!$K$6, "-", '4L'!$F$5)</f>
        <v>Other enhancement-Addressing raw water deterioration (total)-Total-Total-Expenditure in report year</v>
      </c>
      <c r="F1544" t="s">
        <v>7182</v>
      </c>
      <c r="G1544">
        <f>'4L'!$K$90</f>
        <v>3.0310000000000001</v>
      </c>
    </row>
    <row r="1545" spans="1:7">
      <c r="A1545" t="s">
        <v>639</v>
      </c>
      <c r="C1545" t="str">
        <f>'4L'!$BB$90</f>
        <v>B0C266ART_WR</v>
      </c>
      <c r="D1545" t="str">
        <f>_xlfn.CONCAT('4L'!$B$78, "-", '4L'!$B$90, "-", '4L'!$L$6, "-", '4L'!$L$6, "-", '4L'!$L$5)</f>
        <v>Other enhancement-Addressing raw water deterioration (total)-Water resources-Water resources-Cumulative expenditure on schemes completed in the report year</v>
      </c>
      <c r="F1545" t="s">
        <v>7182</v>
      </c>
      <c r="G1545">
        <f>'4L'!$L$90</f>
        <v>0</v>
      </c>
    </row>
    <row r="1546" spans="1:7">
      <c r="A1546" t="s">
        <v>639</v>
      </c>
      <c r="C1546" t="str">
        <f>'4L'!$BC$90</f>
        <v>B0C266ART_RWT</v>
      </c>
      <c r="D1546" t="str">
        <f>_xlfn.CONCAT('4L'!$B$78, "-", '4L'!$B$90, "-", '4L'!$M$7, "-", '4L'!$M$6, "-", '4L'!$L$5)</f>
        <v>Other enhancement-Addressing raw water deterioration (total)-Raw water transport-Water network+-Cumulative expenditure on schemes completed in the report year</v>
      </c>
      <c r="F1546" t="s">
        <v>7182</v>
      </c>
      <c r="G1546">
        <f>'4L'!$M$90</f>
        <v>0</v>
      </c>
    </row>
    <row r="1547" spans="1:7">
      <c r="A1547" t="s">
        <v>639</v>
      </c>
      <c r="C1547" t="str">
        <f>'4L'!$BD$90</f>
        <v>B0C266ART_RWS</v>
      </c>
      <c r="D1547" t="str">
        <f>_xlfn.CONCAT('4L'!$B$78, "-", '4L'!$B$90, "-", '4L'!$N$7, "-", '4L'!$M$6, "-", '4L'!$L$5)</f>
        <v>Other enhancement-Addressing raw water deterioration (total)-Raw water storage-Water network+-Cumulative expenditure on schemes completed in the report year</v>
      </c>
      <c r="F1547" t="s">
        <v>7182</v>
      </c>
      <c r="G1547">
        <f>'4L'!$N$90</f>
        <v>0</v>
      </c>
    </row>
    <row r="1548" spans="1:7">
      <c r="A1548" t="s">
        <v>639</v>
      </c>
      <c r="C1548" t="str">
        <f>'4L'!$BE$90</f>
        <v>B0C266ART_WT</v>
      </c>
      <c r="D1548" t="str">
        <f>_xlfn.CONCAT('4L'!$B$78, "-", '4L'!$B$90, "-", '4L'!$O$7, "-", '4L'!$M$6, "-", '4L'!$L$5)</f>
        <v>Other enhancement-Addressing raw water deterioration (total)-Water treatment-Water network+-Cumulative expenditure on schemes completed in the report year</v>
      </c>
      <c r="F1548" t="s">
        <v>7182</v>
      </c>
      <c r="G1548">
        <f>'4L'!$O$90</f>
        <v>0</v>
      </c>
    </row>
    <row r="1549" spans="1:7">
      <c r="A1549" t="s">
        <v>639</v>
      </c>
      <c r="C1549" t="str">
        <f>'4L'!$BF$90</f>
        <v>B0C266ART_TWD</v>
      </c>
      <c r="D1549" t="str">
        <f>_xlfn.CONCAT('4L'!$B$78, "-", '4L'!$B$90, "-", '4L'!$P$7, "-", '4L'!$M$6, "-", '4L'!$L$5)</f>
        <v>Other enhancement-Addressing raw water deterioration (total)-Treated water distribution-Water network+-Cumulative expenditure on schemes completed in the report year</v>
      </c>
      <c r="F1549" t="s">
        <v>7182</v>
      </c>
      <c r="G1549">
        <f>'4L'!$P$90</f>
        <v>0</v>
      </c>
    </row>
    <row r="1550" spans="1:7">
      <c r="A1550" t="s">
        <v>639</v>
      </c>
      <c r="C1550" t="str">
        <f>'4L'!$BG$90</f>
        <v>B0C266ART_TOT</v>
      </c>
      <c r="D1550" t="str">
        <f>_xlfn.CONCAT('4L'!$B$78, "-", '4L'!$B$90, "-", '4L'!$Q$6, "-", '4L'!$Q$6, "-", '4L'!$L$5)</f>
        <v>Other enhancement-Addressing raw water deterioration (total)-Total-Total-Cumulative expenditure on schemes completed in the report year</v>
      </c>
      <c r="F1550" t="s">
        <v>7182</v>
      </c>
      <c r="G1550">
        <f>'4L'!$Q$90</f>
        <v>0</v>
      </c>
    </row>
    <row r="1551" spans="1:7">
      <c r="A1551" t="s">
        <v>639</v>
      </c>
      <c r="C1551" t="str">
        <f>'4L'!$AV$91</f>
        <v>B0267IRC_WR</v>
      </c>
      <c r="D1551" t="str">
        <f>_xlfn.CONCAT('4L'!$B$78, "-", '4L'!$B$91, "-", '4L'!$F$6, "-", '4L'!$F$6, "-", '4L'!$F$5)</f>
        <v>Other enhancement-Improvements to river flow-Water resources-Water resources-Expenditure in report year</v>
      </c>
      <c r="F1551" t="s">
        <v>7182</v>
      </c>
      <c r="G1551">
        <f>'4L'!$F$91</f>
        <v>0</v>
      </c>
    </row>
    <row r="1552" spans="1:7">
      <c r="A1552" t="s">
        <v>639</v>
      </c>
      <c r="C1552" t="str">
        <f>'4L'!$AW$91</f>
        <v>B0267IRC_RWT</v>
      </c>
      <c r="D1552" t="str">
        <f>_xlfn.CONCAT('4L'!$B$78, "-", '4L'!$B$91, "-", '4L'!$G$7, "-", '4L'!$G$6, "-", '4L'!$F$5)</f>
        <v>Other enhancement-Improvements to river flow-Raw water transport-Water network+-Expenditure in report year</v>
      </c>
      <c r="F1552" t="s">
        <v>7182</v>
      </c>
      <c r="G1552">
        <f>'4L'!$G$91</f>
        <v>0</v>
      </c>
    </row>
    <row r="1553" spans="1:7">
      <c r="A1553" t="s">
        <v>639</v>
      </c>
      <c r="C1553" t="str">
        <f>'4L'!$AX$91</f>
        <v>B0267IRC_RWS</v>
      </c>
      <c r="D1553" t="str">
        <f>_xlfn.CONCAT('4L'!$B$78, "-", '4L'!$B$91, "-", '4L'!$H$7, "-", '4L'!$G$6, "-", '4L'!$F$5)</f>
        <v>Other enhancement-Improvements to river flow-Raw water storage-Water network+-Expenditure in report year</v>
      </c>
      <c r="F1553" t="s">
        <v>7182</v>
      </c>
      <c r="G1553">
        <f>'4L'!$H$91</f>
        <v>0</v>
      </c>
    </row>
    <row r="1554" spans="1:7">
      <c r="A1554" t="s">
        <v>639</v>
      </c>
      <c r="C1554" t="str">
        <f>'4L'!$AY$91</f>
        <v>B0267IRC_WT</v>
      </c>
      <c r="D1554" t="str">
        <f>_xlfn.CONCAT('4L'!$B$78, "-", '4L'!$B$91, "-", '4L'!$I$7, "-", '4L'!$G$6, "-", '4L'!$F$5)</f>
        <v>Other enhancement-Improvements to river flow-Water treatment-Water network+-Expenditure in report year</v>
      </c>
      <c r="F1554" t="s">
        <v>7182</v>
      </c>
      <c r="G1554">
        <f>'4L'!$I$91</f>
        <v>0</v>
      </c>
    </row>
    <row r="1555" spans="1:7">
      <c r="A1555" t="s">
        <v>639</v>
      </c>
      <c r="C1555" t="str">
        <f>'4L'!$AZ$91</f>
        <v>B0267IRC_TWD</v>
      </c>
      <c r="D1555" t="str">
        <f>_xlfn.CONCAT('4L'!$B$78, "-", '4L'!$B$91, "-", '4L'!$J$7, "-", '4L'!$G$6, "-", '4L'!$F$5)</f>
        <v>Other enhancement-Improvements to river flow-Treated water distribution-Water network+-Expenditure in report year</v>
      </c>
      <c r="F1555" t="s">
        <v>7182</v>
      </c>
      <c r="G1555">
        <f>'4L'!$J$91</f>
        <v>0</v>
      </c>
    </row>
    <row r="1556" spans="1:7">
      <c r="A1556" t="s">
        <v>639</v>
      </c>
      <c r="C1556" t="str">
        <f>'4L'!$BA$91</f>
        <v>B0267IRC_TOT</v>
      </c>
      <c r="D1556" t="str">
        <f>_xlfn.CONCAT('4L'!$B$78, "-", '4L'!$B$91, "-", '4L'!$K$6, "-", '4L'!$K$6, "-", '4L'!$F$5)</f>
        <v>Other enhancement-Improvements to river flow-Total-Total-Expenditure in report year</v>
      </c>
      <c r="F1556" t="s">
        <v>7182</v>
      </c>
      <c r="G1556">
        <f>'4L'!$K$91</f>
        <v>0</v>
      </c>
    </row>
    <row r="1557" spans="1:7">
      <c r="A1557" t="s">
        <v>639</v>
      </c>
      <c r="C1557" t="str">
        <f>'4L'!$AV$92</f>
        <v>B0268IRO_WR</v>
      </c>
      <c r="D1557" t="str">
        <f>_xlfn.CONCAT('4L'!$B$78, "-", '4L'!$B$92, "-", '4L'!$F$6, "-", '4L'!$F$6, "-", '4L'!$F$5)</f>
        <v>Other enhancement-Improvements to river flow-Water resources-Water resources-Expenditure in report year</v>
      </c>
      <c r="F1557" t="s">
        <v>7182</v>
      </c>
      <c r="G1557">
        <f>'4L'!$F$92</f>
        <v>0</v>
      </c>
    </row>
    <row r="1558" spans="1:7">
      <c r="A1558" t="s">
        <v>639</v>
      </c>
      <c r="C1558" t="str">
        <f>'4L'!$AW$92</f>
        <v>B0268IRO_RWT</v>
      </c>
      <c r="D1558" t="str">
        <f>_xlfn.CONCAT('4L'!$B$78, "-", '4L'!$B$92, "-", '4L'!$G$7, "-", '4L'!$G$6, "-", '4L'!$F$5)</f>
        <v>Other enhancement-Improvements to river flow-Raw water transport-Water network+-Expenditure in report year</v>
      </c>
      <c r="F1558" t="s">
        <v>7182</v>
      </c>
      <c r="G1558">
        <f>'4L'!$G$92</f>
        <v>0</v>
      </c>
    </row>
    <row r="1559" spans="1:7">
      <c r="A1559" t="s">
        <v>639</v>
      </c>
      <c r="C1559" t="str">
        <f>'4L'!$AX$92</f>
        <v>B0268IRO_RWS</v>
      </c>
      <c r="D1559" t="str">
        <f>_xlfn.CONCAT('4L'!$B$78, "-", '4L'!$B$92, "-", '4L'!$H$7, "-", '4L'!$G$6, "-", '4L'!$F$5)</f>
        <v>Other enhancement-Improvements to river flow-Raw water storage-Water network+-Expenditure in report year</v>
      </c>
      <c r="F1559" t="s">
        <v>7182</v>
      </c>
      <c r="G1559">
        <f>'4L'!$H$92</f>
        <v>0</v>
      </c>
    </row>
    <row r="1560" spans="1:7">
      <c r="A1560" t="s">
        <v>639</v>
      </c>
      <c r="C1560" t="str">
        <f>'4L'!$AY$92</f>
        <v>B0268IRO_WT</v>
      </c>
      <c r="D1560" t="str">
        <f>_xlfn.CONCAT('4L'!$B$78, "-", '4L'!$B$92, "-", '4L'!$I$7, "-", '4L'!$G$6, "-", '4L'!$F$5)</f>
        <v>Other enhancement-Improvements to river flow-Water treatment-Water network+-Expenditure in report year</v>
      </c>
      <c r="F1560" t="s">
        <v>7182</v>
      </c>
      <c r="G1560">
        <f>'4L'!$I$92</f>
        <v>0</v>
      </c>
    </row>
    <row r="1561" spans="1:7">
      <c r="A1561" t="s">
        <v>639</v>
      </c>
      <c r="C1561" t="str">
        <f>'4L'!$AZ$92</f>
        <v>B0268IRO_TWD</v>
      </c>
      <c r="D1561" t="str">
        <f>_xlfn.CONCAT('4L'!$B$78, "-", '4L'!$B$92, "-", '4L'!$J$7, "-", '4L'!$G$6, "-", '4L'!$F$5)</f>
        <v>Other enhancement-Improvements to river flow-Treated water distribution-Water network+-Expenditure in report year</v>
      </c>
      <c r="F1561" t="s">
        <v>7182</v>
      </c>
      <c r="G1561">
        <f>'4L'!$J$92</f>
        <v>0</v>
      </c>
    </row>
    <row r="1562" spans="1:7">
      <c r="A1562" t="s">
        <v>639</v>
      </c>
      <c r="C1562" t="str">
        <f>'4L'!$BA$92</f>
        <v>B0268IRO_TOT</v>
      </c>
      <c r="D1562" t="str">
        <f>_xlfn.CONCAT('4L'!$B$78, "-", '4L'!$B$92, "-", '4L'!$K$6, "-", '4L'!$K$6, "-", '4L'!$F$5)</f>
        <v>Other enhancement-Improvements to river flow-Total-Total-Expenditure in report year</v>
      </c>
      <c r="F1562" t="s">
        <v>7182</v>
      </c>
      <c r="G1562">
        <f>'4L'!$K$92</f>
        <v>0</v>
      </c>
    </row>
    <row r="1563" spans="1:7">
      <c r="A1563" t="s">
        <v>639</v>
      </c>
      <c r="C1563" t="str">
        <f>'4L'!$AV$93</f>
        <v>B0269IRT_WR</v>
      </c>
      <c r="D1563" t="str">
        <f>_xlfn.CONCAT('4L'!$B$78, "-", '4L'!$B$93, "-", '4L'!$F$6, "-", '4L'!$F$6, "-", '4L'!$F$5)</f>
        <v>Other enhancement-Improvements to river flow-Water resources-Water resources-Expenditure in report year</v>
      </c>
      <c r="F1563" t="s">
        <v>7182</v>
      </c>
      <c r="G1563">
        <f>'4L'!$F$93</f>
        <v>0</v>
      </c>
    </row>
    <row r="1564" spans="1:7">
      <c r="A1564" t="s">
        <v>639</v>
      </c>
      <c r="C1564" t="str">
        <f>'4L'!$AW$93</f>
        <v>B0269IRT_RWT</v>
      </c>
      <c r="D1564" t="str">
        <f>_xlfn.CONCAT('4L'!$B$78, "-", '4L'!$B$93, "-", '4L'!$G$7, "-", '4L'!$G$6, "-", '4L'!$F$5)</f>
        <v>Other enhancement-Improvements to river flow-Raw water transport-Water network+-Expenditure in report year</v>
      </c>
      <c r="F1564" t="s">
        <v>7182</v>
      </c>
      <c r="G1564">
        <f>'4L'!$G$93</f>
        <v>0</v>
      </c>
    </row>
    <row r="1565" spans="1:7">
      <c r="A1565" t="s">
        <v>639</v>
      </c>
      <c r="C1565" t="str">
        <f>'4L'!$AX$93</f>
        <v>B0269IRT_RWS</v>
      </c>
      <c r="D1565" t="str">
        <f>_xlfn.CONCAT('4L'!$B$78, "-", '4L'!$B$93, "-", '4L'!$H$7, "-", '4L'!$G$6, "-", '4L'!$F$5)</f>
        <v>Other enhancement-Improvements to river flow-Raw water storage-Water network+-Expenditure in report year</v>
      </c>
      <c r="F1565" t="s">
        <v>7182</v>
      </c>
      <c r="G1565">
        <f>'4L'!$H$93</f>
        <v>0</v>
      </c>
    </row>
    <row r="1566" spans="1:7">
      <c r="A1566" t="s">
        <v>639</v>
      </c>
      <c r="C1566" t="str">
        <f>'4L'!$AY$93</f>
        <v>B0269IRT_WT</v>
      </c>
      <c r="D1566" t="str">
        <f>_xlfn.CONCAT('4L'!$B$78, "-", '4L'!$B$93, "-", '4L'!$I$7, "-", '4L'!$G$6, "-", '4L'!$F$5)</f>
        <v>Other enhancement-Improvements to river flow-Water treatment-Water network+-Expenditure in report year</v>
      </c>
      <c r="F1566" t="s">
        <v>7182</v>
      </c>
      <c r="G1566">
        <f>'4L'!$I$93</f>
        <v>0</v>
      </c>
    </row>
    <row r="1567" spans="1:7">
      <c r="A1567" t="s">
        <v>639</v>
      </c>
      <c r="C1567" t="str">
        <f>'4L'!$AZ$93</f>
        <v>B0269IRT_TWD</v>
      </c>
      <c r="D1567" t="str">
        <f>_xlfn.CONCAT('4L'!$B$78, "-", '4L'!$B$93, "-", '4L'!$J$7, "-", '4L'!$G$6, "-", '4L'!$F$5)</f>
        <v>Other enhancement-Improvements to river flow-Treated water distribution-Water network+-Expenditure in report year</v>
      </c>
      <c r="F1567" t="s">
        <v>7182</v>
      </c>
      <c r="G1567">
        <f>'4L'!$J$93</f>
        <v>0</v>
      </c>
    </row>
    <row r="1568" spans="1:7">
      <c r="A1568" t="s">
        <v>639</v>
      </c>
      <c r="C1568" t="str">
        <f>'4L'!$BA$93</f>
        <v>B0269IRT_TOT</v>
      </c>
      <c r="D1568" t="str">
        <f>_xlfn.CONCAT('4L'!$B$78, "-", '4L'!$B$93, "-", '4L'!$K$6, "-", '4L'!$K$6, "-", '4L'!$F$5)</f>
        <v>Other enhancement-Improvements to river flow-Total-Total-Expenditure in report year</v>
      </c>
      <c r="F1568" t="s">
        <v>7182</v>
      </c>
      <c r="G1568">
        <f>'4L'!$K$93</f>
        <v>0</v>
      </c>
    </row>
    <row r="1569" spans="1:7">
      <c r="A1569" t="s">
        <v>639</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7182</v>
      </c>
      <c r="G1569">
        <f>'4L'!$R$93</f>
        <v>0</v>
      </c>
    </row>
    <row r="1570" spans="1:7">
      <c r="A1570" t="s">
        <v>639</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7182</v>
      </c>
      <c r="G1570">
        <f>'4L'!$S$93</f>
        <v>5.2999999999999999E-2</v>
      </c>
    </row>
    <row r="1571" spans="1:7">
      <c r="A1571" t="s">
        <v>639</v>
      </c>
      <c r="C1571" t="str">
        <f>'4L'!$BJ$93</f>
        <v>B0398IRF_CUMMT</v>
      </c>
      <c r="D1571" t="str">
        <f>_xlfn.CONCAT('4L'!$B$78, "-", '4L'!$B$93, "-", '4L'!$T$7, "-", '4L'!$T$5, "-", '4L'!$T$5)</f>
        <v>Other enhancement-Improvements to river flow-Total-Cumulative allowed expenditure on all schemes 2020-25-Cumulative allowed expenditure on all schemes 2020-25</v>
      </c>
      <c r="F1571" t="s">
        <v>7182</v>
      </c>
      <c r="G1571">
        <f>'4L'!$T$93</f>
        <v>6.5000000000000002E-2</v>
      </c>
    </row>
    <row r="1572" spans="1:7">
      <c r="A1572" t="s">
        <v>639</v>
      </c>
      <c r="C1572" t="str">
        <f>'4L'!$AV$94</f>
        <v>B0270ERC_WR</v>
      </c>
      <c r="D1572" t="str">
        <f>_xlfn.CONCAT('4L'!$B$78, "-", '4L'!$B$94, "-", '4L'!$F$6, "-", '4L'!$F$6, "-", '4L'!$F$5)</f>
        <v>Other enhancement-Enhancing resilience to low probability high consequence events-Water resources-Water resources-Expenditure in report year</v>
      </c>
      <c r="F1572" t="s">
        <v>7182</v>
      </c>
      <c r="G1572">
        <f>'4L'!$F$94</f>
        <v>1.732</v>
      </c>
    </row>
    <row r="1573" spans="1:7">
      <c r="A1573" t="s">
        <v>639</v>
      </c>
      <c r="C1573" t="str">
        <f>'4L'!$AW$94</f>
        <v>B0270ERC_RWT</v>
      </c>
      <c r="D1573" t="str">
        <f>_xlfn.CONCAT('4L'!$B$78, "-", '4L'!$B$94, "-", '4L'!$G$7, "-", '4L'!$G$6, "-", '4L'!$F$5)</f>
        <v>Other enhancement-Enhancing resilience to low probability high consequence events-Raw water transport-Water network+-Expenditure in report year</v>
      </c>
      <c r="F1573" t="s">
        <v>7182</v>
      </c>
      <c r="G1573">
        <f>'4L'!$G$94</f>
        <v>1.175</v>
      </c>
    </row>
    <row r="1574" spans="1:7">
      <c r="A1574" t="s">
        <v>639</v>
      </c>
      <c r="C1574" t="str">
        <f>'4L'!$AX$94</f>
        <v>B0270ERC_RWS</v>
      </c>
      <c r="D1574" t="str">
        <f>_xlfn.CONCAT('4L'!$B$78, "-", '4L'!$B$94, "-", '4L'!$H$7, "-", '4L'!$G$6, "-", '4L'!$F$5)</f>
        <v>Other enhancement-Enhancing resilience to low probability high consequence events-Raw water storage-Water network+-Expenditure in report year</v>
      </c>
      <c r="F1574" t="s">
        <v>7182</v>
      </c>
      <c r="G1574">
        <f>'4L'!$H$94</f>
        <v>0</v>
      </c>
    </row>
    <row r="1575" spans="1:7">
      <c r="A1575" t="s">
        <v>639</v>
      </c>
      <c r="C1575" t="str">
        <f>'4L'!$AY$94</f>
        <v>B0270ERC_WT</v>
      </c>
      <c r="D1575" t="str">
        <f>_xlfn.CONCAT('4L'!$B$78, "-", '4L'!$B$94, "-", '4L'!$I$7, "-", '4L'!$G$6, "-", '4L'!$F$5)</f>
        <v>Other enhancement-Enhancing resilience to low probability high consequence events-Water treatment-Water network+-Expenditure in report year</v>
      </c>
      <c r="F1575" t="s">
        <v>7182</v>
      </c>
      <c r="G1575">
        <f>'4L'!$I$94</f>
        <v>3.6999999999999998E-2</v>
      </c>
    </row>
    <row r="1576" spans="1:7">
      <c r="A1576" t="s">
        <v>639</v>
      </c>
      <c r="C1576" t="str">
        <f>'4L'!$AZ$94</f>
        <v>B0270ERC_TWD</v>
      </c>
      <c r="D1576" t="str">
        <f>_xlfn.CONCAT('4L'!$B$78, "-", '4L'!$B$94, "-", '4L'!$J$7, "-", '4L'!$G$6, "-", '4L'!$F$5)</f>
        <v>Other enhancement-Enhancing resilience to low probability high consequence events-Treated water distribution-Water network+-Expenditure in report year</v>
      </c>
      <c r="F1576" t="s">
        <v>7182</v>
      </c>
      <c r="G1576">
        <f>'4L'!$J$94</f>
        <v>5.2430000000000003</v>
      </c>
    </row>
    <row r="1577" spans="1:7">
      <c r="A1577" t="s">
        <v>639</v>
      </c>
      <c r="C1577" t="str">
        <f>'4L'!$BA$94</f>
        <v>B0270ERC_TOT</v>
      </c>
      <c r="D1577" t="str">
        <f>_xlfn.CONCAT('4L'!$B$78, "-", '4L'!$B$94, "-", '4L'!$K$6, "-", '4L'!$K$6, "-", '4L'!$F$5)</f>
        <v>Other enhancement-Enhancing resilience to low probability high consequence events-Total-Total-Expenditure in report year</v>
      </c>
      <c r="F1577" t="s">
        <v>7182</v>
      </c>
      <c r="G1577">
        <f>'4L'!$K$94</f>
        <v>8.1870000000000012</v>
      </c>
    </row>
    <row r="1578" spans="1:7">
      <c r="A1578" t="s">
        <v>639</v>
      </c>
      <c r="C1578" t="str">
        <f>'4L'!$AV$95</f>
        <v>B0271ERO_WR</v>
      </c>
      <c r="D1578" t="str">
        <f>_xlfn.CONCAT('4L'!$B$78, "-", '4L'!$B$95, "-", '4L'!$F$6, "-", '4L'!$F$6, "-", '4L'!$F$5)</f>
        <v>Other enhancement-Enhancing resilience to low probability high consequence events-Water resources-Water resources-Expenditure in report year</v>
      </c>
      <c r="F1578" t="s">
        <v>7182</v>
      </c>
      <c r="G1578">
        <f>'4L'!$F$95</f>
        <v>0</v>
      </c>
    </row>
    <row r="1579" spans="1:7">
      <c r="A1579" t="s">
        <v>639</v>
      </c>
      <c r="C1579" t="str">
        <f>'4L'!$AW$95</f>
        <v>B0271ERO_RWT</v>
      </c>
      <c r="D1579" t="str">
        <f>_xlfn.CONCAT('4L'!$B$78, "-", '4L'!$B$95, "-", '4L'!$G$7, "-", '4L'!$G$6, "-", '4L'!$F$5)</f>
        <v>Other enhancement-Enhancing resilience to low probability high consequence events-Raw water transport-Water network+-Expenditure in report year</v>
      </c>
      <c r="F1579" t="s">
        <v>7182</v>
      </c>
      <c r="G1579">
        <f>'4L'!$G$95</f>
        <v>0</v>
      </c>
    </row>
    <row r="1580" spans="1:7">
      <c r="A1580" t="s">
        <v>639</v>
      </c>
      <c r="C1580" t="str">
        <f>'4L'!$AX$95</f>
        <v>B0271ERO_RWS</v>
      </c>
      <c r="D1580" t="str">
        <f>_xlfn.CONCAT('4L'!$B$78, "-", '4L'!$B$95, "-", '4L'!$H$7, "-", '4L'!$G$6, "-", '4L'!$F$5)</f>
        <v>Other enhancement-Enhancing resilience to low probability high consequence events-Raw water storage-Water network+-Expenditure in report year</v>
      </c>
      <c r="F1580" t="s">
        <v>7182</v>
      </c>
      <c r="G1580">
        <f>'4L'!$H$95</f>
        <v>0</v>
      </c>
    </row>
    <row r="1581" spans="1:7">
      <c r="A1581" t="s">
        <v>639</v>
      </c>
      <c r="C1581" t="str">
        <f>'4L'!$AY$95</f>
        <v>B0271ERO_WT</v>
      </c>
      <c r="D1581" t="str">
        <f>_xlfn.CONCAT('4L'!$B$78, "-", '4L'!$B$95, "-", '4L'!$I$7, "-", '4L'!$G$6, "-", '4L'!$F$5)</f>
        <v>Other enhancement-Enhancing resilience to low probability high consequence events-Water treatment-Water network+-Expenditure in report year</v>
      </c>
      <c r="F1581" t="s">
        <v>7182</v>
      </c>
      <c r="G1581">
        <f>'4L'!$I$95</f>
        <v>0</v>
      </c>
    </row>
    <row r="1582" spans="1:7">
      <c r="A1582" t="s">
        <v>639</v>
      </c>
      <c r="C1582" t="str">
        <f>'4L'!$AZ$95</f>
        <v>B0271ERO_TWD</v>
      </c>
      <c r="D1582" t="str">
        <f>_xlfn.CONCAT('4L'!$B$78, "-", '4L'!$B$95, "-", '4L'!$J$7, "-", '4L'!$G$6, "-", '4L'!$F$5)</f>
        <v>Other enhancement-Enhancing resilience to low probability high consequence events-Treated water distribution-Water network+-Expenditure in report year</v>
      </c>
      <c r="F1582" t="s">
        <v>7182</v>
      </c>
      <c r="G1582">
        <f>'4L'!$J$95</f>
        <v>1.7999999999999999E-2</v>
      </c>
    </row>
    <row r="1583" spans="1:7">
      <c r="A1583" t="s">
        <v>639</v>
      </c>
      <c r="C1583" t="str">
        <f>'4L'!$BA$95</f>
        <v>B0271ERO_TOT</v>
      </c>
      <c r="D1583" t="str">
        <f>_xlfn.CONCAT('4L'!$B$78, "-", '4L'!$B$95, "-", '4L'!$K$6, "-", '4L'!$K$6, "-", '4L'!$F$5)</f>
        <v>Other enhancement-Enhancing resilience to low probability high consequence events-Total-Total-Expenditure in report year</v>
      </c>
      <c r="F1583" t="s">
        <v>7182</v>
      </c>
      <c r="G1583">
        <f>'4L'!$K$95</f>
        <v>1.7999999999999999E-2</v>
      </c>
    </row>
    <row r="1584" spans="1:7">
      <c r="A1584" t="s">
        <v>639</v>
      </c>
      <c r="C1584" t="str">
        <f>'4L'!$AV$96</f>
        <v>B0272ERT_WR</v>
      </c>
      <c r="D1584" t="str">
        <f>_xlfn.CONCAT('4L'!$B$78, "-", '4L'!$B$96, "-", '4L'!$F$6, "-", '4L'!$F$6, "-", '4L'!$F$5)</f>
        <v>Other enhancement-Enhancing resilience to low probability high consequence events-Water resources-Water resources-Expenditure in report year</v>
      </c>
      <c r="F1584" t="s">
        <v>7182</v>
      </c>
      <c r="G1584">
        <f>'4L'!$F$96</f>
        <v>1.732</v>
      </c>
    </row>
    <row r="1585" spans="1:7">
      <c r="A1585" t="s">
        <v>639</v>
      </c>
      <c r="C1585" t="str">
        <f>'4L'!$AW$96</f>
        <v>B0272ERT_RWT</v>
      </c>
      <c r="D1585" t="str">
        <f>_xlfn.CONCAT('4L'!$B$78, "-", '4L'!$B$96, "-", '4L'!$G$7, "-", '4L'!$G$6, "-", '4L'!$F$5)</f>
        <v>Other enhancement-Enhancing resilience to low probability high consequence events-Raw water transport-Water network+-Expenditure in report year</v>
      </c>
      <c r="F1585" t="s">
        <v>7182</v>
      </c>
      <c r="G1585">
        <f>'4L'!$G$96</f>
        <v>1.175</v>
      </c>
    </row>
    <row r="1586" spans="1:7">
      <c r="A1586" t="s">
        <v>639</v>
      </c>
      <c r="C1586" t="str">
        <f>'4L'!$AX$96</f>
        <v>B0272ERT_RWS</v>
      </c>
      <c r="D1586" t="str">
        <f>_xlfn.CONCAT('4L'!$B$78, "-", '4L'!$B$96, "-", '4L'!$H$7, "-", '4L'!$G$6, "-", '4L'!$F$5)</f>
        <v>Other enhancement-Enhancing resilience to low probability high consequence events-Raw water storage-Water network+-Expenditure in report year</v>
      </c>
      <c r="F1586" t="s">
        <v>7182</v>
      </c>
      <c r="G1586">
        <f>'4L'!$H$96</f>
        <v>0</v>
      </c>
    </row>
    <row r="1587" spans="1:7">
      <c r="A1587" t="s">
        <v>639</v>
      </c>
      <c r="C1587" t="str">
        <f>'4L'!$AY$96</f>
        <v>B0272ERT_WT</v>
      </c>
      <c r="D1587" t="str">
        <f>_xlfn.CONCAT('4L'!$B$78, "-", '4L'!$B$96, "-", '4L'!$I$7, "-", '4L'!$G$6, "-", '4L'!$F$5)</f>
        <v>Other enhancement-Enhancing resilience to low probability high consequence events-Water treatment-Water network+-Expenditure in report year</v>
      </c>
      <c r="F1587" t="s">
        <v>7182</v>
      </c>
      <c r="G1587">
        <f>'4L'!$I$96</f>
        <v>3.6999999999999998E-2</v>
      </c>
    </row>
    <row r="1588" spans="1:7">
      <c r="A1588" t="s">
        <v>639</v>
      </c>
      <c r="C1588" t="str">
        <f>'4L'!$AZ$96</f>
        <v>B0272ERT_TWD</v>
      </c>
      <c r="D1588" t="str">
        <f>_xlfn.CONCAT('4L'!$B$78, "-", '4L'!$B$96, "-", '4L'!$J$7, "-", '4L'!$G$6, "-", '4L'!$F$5)</f>
        <v>Other enhancement-Enhancing resilience to low probability high consequence events-Treated water distribution-Water network+-Expenditure in report year</v>
      </c>
      <c r="F1588" t="s">
        <v>7182</v>
      </c>
      <c r="G1588">
        <f>'4L'!$J$96</f>
        <v>5.2610000000000001</v>
      </c>
    </row>
    <row r="1589" spans="1:7">
      <c r="A1589" t="s">
        <v>639</v>
      </c>
      <c r="C1589" t="str">
        <f>'4L'!$BA$96</f>
        <v>B0272ERT_TOT</v>
      </c>
      <c r="D1589" t="str">
        <f>_xlfn.CONCAT('4L'!$B$78, "-", '4L'!$B$96, "-", '4L'!$K$6, "-", '4L'!$K$6, "-", '4L'!$F$5)</f>
        <v>Other enhancement-Enhancing resilience to low probability high consequence events-Total-Total-Expenditure in report year</v>
      </c>
      <c r="F1589" t="s">
        <v>7182</v>
      </c>
      <c r="G1589">
        <f>'4L'!$K$96</f>
        <v>8.2050000000000001</v>
      </c>
    </row>
    <row r="1590" spans="1:7">
      <c r="A1590" t="s">
        <v>639</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7182</v>
      </c>
      <c r="G1590">
        <f>'4L'!$R$96</f>
        <v>12.654</v>
      </c>
    </row>
    <row r="1591" spans="1:7">
      <c r="A1591" t="s">
        <v>639</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7182</v>
      </c>
      <c r="G1591">
        <f>'4L'!$S$96</f>
        <v>69.725999999999999</v>
      </c>
    </row>
    <row r="1592" spans="1:7">
      <c r="A1592" t="s">
        <v>639</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7182</v>
      </c>
      <c r="G1592">
        <f>'4L'!$T$96</f>
        <v>90.816000000000003</v>
      </c>
    </row>
    <row r="1593" spans="1:7">
      <c r="A1593" t="s">
        <v>639</v>
      </c>
      <c r="C1593" t="str">
        <f>'4L'!$AV$97</f>
        <v>B0261MLCC_WR</v>
      </c>
      <c r="D1593" t="str">
        <f>_xlfn.CONCAT('4L'!$B$78, "-", '4L'!$B$97, "-", '4L'!$F$6, "-", '4L'!$F$6, "-", '4L'!$F$5)</f>
        <v>Other enhancement-Conditioning water to reduce plumbosolvency-Water resources-Water resources-Expenditure in report year</v>
      </c>
      <c r="F1593" t="s">
        <v>7182</v>
      </c>
      <c r="G1593">
        <f>'4L'!$F$97</f>
        <v>0</v>
      </c>
    </row>
    <row r="1594" spans="1:7">
      <c r="A1594" t="s">
        <v>639</v>
      </c>
      <c r="C1594" t="str">
        <f>'4L'!$AW$97</f>
        <v>B0261MLCC_RWT</v>
      </c>
      <c r="D1594" t="str">
        <f>_xlfn.CONCAT('4L'!$B$78, "-", '4L'!$B$97, "-", '4L'!$G$7, "-", '4L'!$G$6, "-", '4L'!$F$5)</f>
        <v>Other enhancement-Conditioning water to reduce plumbosolvency-Raw water transport-Water network+-Expenditure in report year</v>
      </c>
      <c r="F1594" t="s">
        <v>7182</v>
      </c>
      <c r="G1594">
        <f>'4L'!$G$97</f>
        <v>0</v>
      </c>
    </row>
    <row r="1595" spans="1:7">
      <c r="A1595" t="s">
        <v>639</v>
      </c>
      <c r="C1595" t="str">
        <f>'4L'!$AX$97</f>
        <v>B0261MLCC_RWS</v>
      </c>
      <c r="D1595" t="str">
        <f>_xlfn.CONCAT('4L'!$B$78, "-", '4L'!$B$97, "-", '4L'!$H$7, "-", '4L'!$G$6, "-", '4L'!$F$5)</f>
        <v>Other enhancement-Conditioning water to reduce plumbosolvency-Raw water storage-Water network+-Expenditure in report year</v>
      </c>
      <c r="F1595" t="s">
        <v>7182</v>
      </c>
      <c r="G1595">
        <f>'4L'!$H$97</f>
        <v>0</v>
      </c>
    </row>
    <row r="1596" spans="1:7">
      <c r="A1596" t="s">
        <v>639</v>
      </c>
      <c r="C1596" t="str">
        <f>'4L'!$AY$97</f>
        <v>B0261MLCC_WT</v>
      </c>
      <c r="D1596" t="str">
        <f>_xlfn.CONCAT('4L'!$B$78, "-", '4L'!$B$97, "-", '4L'!$I$7, "-", '4L'!$G$6, "-", '4L'!$F$5)</f>
        <v>Other enhancement-Conditioning water to reduce plumbosolvency-Water treatment-Water network+-Expenditure in report year</v>
      </c>
      <c r="F1596" t="s">
        <v>7182</v>
      </c>
      <c r="G1596">
        <f>'4L'!$I$97</f>
        <v>0</v>
      </c>
    </row>
    <row r="1597" spans="1:7">
      <c r="A1597" t="s">
        <v>639</v>
      </c>
      <c r="C1597" t="str">
        <f>'4L'!$AZ$97</f>
        <v>B0261MLCC_TWD</v>
      </c>
      <c r="D1597" t="str">
        <f>_xlfn.CONCAT('4L'!$B$78, "-", '4L'!$B$97, "-", '4L'!$J$7, "-", '4L'!$G$6, "-", '4L'!$F$5)</f>
        <v>Other enhancement-Conditioning water to reduce plumbosolvency-Treated water distribution-Water network+-Expenditure in report year</v>
      </c>
      <c r="F1597" t="s">
        <v>7182</v>
      </c>
      <c r="G1597">
        <f>'4L'!$J$97</f>
        <v>0</v>
      </c>
    </row>
    <row r="1598" spans="1:7">
      <c r="A1598" t="s">
        <v>639</v>
      </c>
      <c r="C1598" t="str">
        <f>'4L'!$BA$97</f>
        <v>B0261MLCC_TOT</v>
      </c>
      <c r="D1598" t="str">
        <f>_xlfn.CONCAT('4L'!$B$78, "-", '4L'!$B$97, "-", '4L'!$K$6, "-", '4L'!$K$6, "-", '4L'!$F$5)</f>
        <v>Other enhancement-Conditioning water to reduce plumbosolvency-Total-Total-Expenditure in report year</v>
      </c>
      <c r="F1598" t="s">
        <v>7182</v>
      </c>
      <c r="G1598">
        <f>'4L'!$K$97</f>
        <v>0</v>
      </c>
    </row>
    <row r="1599" spans="1:7">
      <c r="A1599" t="s">
        <v>639</v>
      </c>
      <c r="C1599" t="str">
        <f>'4L'!$AV$98</f>
        <v>B0262MLOC_WR</v>
      </c>
      <c r="D1599" t="str">
        <f>_xlfn.CONCAT('4L'!$B$78, "-", '4L'!$B$98, "-", '4L'!$F$6, "-", '4L'!$F$6, "-", '4L'!$F$5)</f>
        <v>Other enhancement-Conditioning water to reduce plumbosolvency-Water resources-Water resources-Expenditure in report year</v>
      </c>
      <c r="F1599" t="s">
        <v>7182</v>
      </c>
      <c r="G1599">
        <f>'4L'!$F$98</f>
        <v>0</v>
      </c>
    </row>
    <row r="1600" spans="1:7">
      <c r="A1600" t="s">
        <v>639</v>
      </c>
      <c r="C1600" t="str">
        <f>'4L'!$AW$98</f>
        <v>B0262MLOC_RWT</v>
      </c>
      <c r="D1600" t="str">
        <f>_xlfn.CONCAT('4L'!$B$78, "-", '4L'!$B$98, "-", '4L'!$G$7, "-", '4L'!$G$6, "-", '4L'!$F$5)</f>
        <v>Other enhancement-Conditioning water to reduce plumbosolvency-Raw water transport-Water network+-Expenditure in report year</v>
      </c>
      <c r="F1600" t="s">
        <v>7182</v>
      </c>
      <c r="G1600">
        <f>'4L'!$G$98</f>
        <v>0</v>
      </c>
    </row>
    <row r="1601" spans="1:7">
      <c r="A1601" t="s">
        <v>639</v>
      </c>
      <c r="C1601" t="str">
        <f>'4L'!$AX$98</f>
        <v>B0262MLOC_RWS</v>
      </c>
      <c r="D1601" t="str">
        <f>_xlfn.CONCAT('4L'!$B$78, "-", '4L'!$B$98, "-", '4L'!$H$7, "-", '4L'!$G$6, "-", '4L'!$F$5)</f>
        <v>Other enhancement-Conditioning water to reduce plumbosolvency-Raw water storage-Water network+-Expenditure in report year</v>
      </c>
      <c r="F1601" t="s">
        <v>7182</v>
      </c>
      <c r="G1601">
        <f>'4L'!$H$98</f>
        <v>0</v>
      </c>
    </row>
    <row r="1602" spans="1:7">
      <c r="A1602" t="s">
        <v>639</v>
      </c>
      <c r="C1602" t="str">
        <f>'4L'!$AY$98</f>
        <v>B0262MLOC_WT</v>
      </c>
      <c r="D1602" t="str">
        <f>_xlfn.CONCAT('4L'!$B$78, "-", '4L'!$B$98, "-", '4L'!$I$7, "-", '4L'!$G$6, "-", '4L'!$F$5)</f>
        <v>Other enhancement-Conditioning water to reduce plumbosolvency-Water treatment-Water network+-Expenditure in report year</v>
      </c>
      <c r="F1602" t="s">
        <v>7182</v>
      </c>
      <c r="G1602">
        <f>'4L'!$I$98</f>
        <v>0</v>
      </c>
    </row>
    <row r="1603" spans="1:7">
      <c r="A1603" t="s">
        <v>639</v>
      </c>
      <c r="C1603" t="str">
        <f>'4L'!$AZ$98</f>
        <v>B0262MLOC_TWD</v>
      </c>
      <c r="D1603" t="str">
        <f>_xlfn.CONCAT('4L'!$B$78, "-", '4L'!$B$98, "-", '4L'!$J$7, "-", '4L'!$G$6, "-", '4L'!$F$5)</f>
        <v>Other enhancement-Conditioning water to reduce plumbosolvency-Treated water distribution-Water network+-Expenditure in report year</v>
      </c>
      <c r="F1603" t="s">
        <v>7182</v>
      </c>
      <c r="G1603">
        <f>'4L'!$J$98</f>
        <v>0</v>
      </c>
    </row>
    <row r="1604" spans="1:7">
      <c r="A1604" t="s">
        <v>639</v>
      </c>
      <c r="C1604" t="str">
        <f>'4L'!$BA$98</f>
        <v>B0262MLOC_TOT</v>
      </c>
      <c r="D1604" t="str">
        <f>_xlfn.CONCAT('4L'!$B$78, "-", '4L'!$B$98, "-", '4L'!$K$6, "-", '4L'!$K$6, "-", '4L'!$F$5)</f>
        <v>Other enhancement-Conditioning water to reduce plumbosolvency-Total-Total-Expenditure in report year</v>
      </c>
      <c r="F1604" t="s">
        <v>7182</v>
      </c>
      <c r="G1604">
        <f>'4L'!$K$98</f>
        <v>0</v>
      </c>
    </row>
    <row r="1605" spans="1:7">
      <c r="A1605" t="s">
        <v>639</v>
      </c>
      <c r="C1605" t="str">
        <f>'4L'!$AV$99</f>
        <v>B0263MLTC_WR</v>
      </c>
      <c r="D1605" t="str">
        <f>_xlfn.CONCAT('4L'!$B$78, "-", '4L'!$B$99, "-", '4L'!$F$6, "-", '4L'!$F$6, "-", '4L'!$F$5)</f>
        <v>Other enhancement-Conditioning water to reduce plumbosolvency-Water resources-Water resources-Expenditure in report year</v>
      </c>
      <c r="F1605" t="s">
        <v>7182</v>
      </c>
      <c r="G1605">
        <f>'4L'!$F$99</f>
        <v>0</v>
      </c>
    </row>
    <row r="1606" spans="1:7">
      <c r="A1606" t="s">
        <v>639</v>
      </c>
      <c r="C1606" t="str">
        <f>'4L'!$AW$99</f>
        <v>B0263MLTC_RWT</v>
      </c>
      <c r="D1606" t="str">
        <f>_xlfn.CONCAT('4L'!$B$78, "-", '4L'!$B$99, "-", '4L'!$G$7, "-", '4L'!$G$6, "-", '4L'!$F$5)</f>
        <v>Other enhancement-Conditioning water to reduce plumbosolvency-Raw water transport-Water network+-Expenditure in report year</v>
      </c>
      <c r="F1606" t="s">
        <v>7182</v>
      </c>
      <c r="G1606">
        <f>'4L'!$G$99</f>
        <v>0</v>
      </c>
    </row>
    <row r="1607" spans="1:7">
      <c r="A1607" t="s">
        <v>639</v>
      </c>
      <c r="C1607" t="str">
        <f>'4L'!$AX$99</f>
        <v>B0263MLTC_RWS</v>
      </c>
      <c r="D1607" t="str">
        <f>_xlfn.CONCAT('4L'!$B$78, "-", '4L'!$B$99, "-", '4L'!$H$7, "-", '4L'!$G$6, "-", '4L'!$F$5)</f>
        <v>Other enhancement-Conditioning water to reduce plumbosolvency-Raw water storage-Water network+-Expenditure in report year</v>
      </c>
      <c r="F1607" t="s">
        <v>7182</v>
      </c>
      <c r="G1607">
        <f>'4L'!$H$99</f>
        <v>0</v>
      </c>
    </row>
    <row r="1608" spans="1:7">
      <c r="A1608" t="s">
        <v>639</v>
      </c>
      <c r="C1608" t="str">
        <f>'4L'!$AY$99</f>
        <v>B0263MLTC_WT</v>
      </c>
      <c r="D1608" t="str">
        <f>_xlfn.CONCAT('4L'!$B$78, "-", '4L'!$B$99, "-", '4L'!$I$7, "-", '4L'!$G$6, "-", '4L'!$F$5)</f>
        <v>Other enhancement-Conditioning water to reduce plumbosolvency-Water treatment-Water network+-Expenditure in report year</v>
      </c>
      <c r="F1608" t="s">
        <v>7182</v>
      </c>
      <c r="G1608">
        <f>'4L'!$I$99</f>
        <v>0</v>
      </c>
    </row>
    <row r="1609" spans="1:7">
      <c r="A1609" t="s">
        <v>639</v>
      </c>
      <c r="C1609" t="str">
        <f>'4L'!$AZ$99</f>
        <v>B0263MLTC_TWD</v>
      </c>
      <c r="D1609" t="str">
        <f>_xlfn.CONCAT('4L'!$B$78, "-", '4L'!$B$99, "-", '4L'!$J$7, "-", '4L'!$G$6, "-", '4L'!$F$5)</f>
        <v>Other enhancement-Conditioning water to reduce plumbosolvency-Treated water distribution-Water network+-Expenditure in report year</v>
      </c>
      <c r="F1609" t="s">
        <v>7182</v>
      </c>
      <c r="G1609">
        <f>'4L'!$J$99</f>
        <v>0</v>
      </c>
    </row>
    <row r="1610" spans="1:7">
      <c r="A1610" t="s">
        <v>639</v>
      </c>
      <c r="C1610" t="str">
        <f>'4L'!$BA$99</f>
        <v>B0263MLTC_TOT</v>
      </c>
      <c r="D1610" t="str">
        <f>_xlfn.CONCAT('4L'!$B$78, "-", '4L'!$B$99, "-", '4L'!$K$6, "-", '4L'!$K$6, "-", '4L'!$F$5)</f>
        <v>Other enhancement-Conditioning water to reduce plumbosolvency-Total-Total-Expenditure in report year</v>
      </c>
      <c r="F1610" t="s">
        <v>7182</v>
      </c>
      <c r="G1610">
        <f>'4L'!$K$99</f>
        <v>0</v>
      </c>
    </row>
    <row r="1611" spans="1:7">
      <c r="A1611" t="s">
        <v>639</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7182</v>
      </c>
      <c r="G1611">
        <f>'4L'!$R$99</f>
        <v>0</v>
      </c>
    </row>
    <row r="1612" spans="1:7">
      <c r="A1612" t="s">
        <v>639</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7182</v>
      </c>
      <c r="G1612">
        <f>'4L'!$S$99</f>
        <v>0</v>
      </c>
    </row>
    <row r="1613" spans="1:7">
      <c r="A1613" t="s">
        <v>639</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7182</v>
      </c>
      <c r="G1613">
        <f>'4L'!$T$99</f>
        <v>0</v>
      </c>
    </row>
    <row r="1614" spans="1:7">
      <c r="A1614" t="s">
        <v>639</v>
      </c>
      <c r="C1614" t="str">
        <f>'4L'!$AV$100</f>
        <v>B0261MLCCP_WR</v>
      </c>
      <c r="D1614" t="str">
        <f>_xlfn.CONCAT('4L'!$B$78, "-", '4L'!$B$100, "-", '4L'!$F$6, "-", '4L'!$F$6, "-", '4L'!$F$5)</f>
        <v>Other enhancement-Lead communication pipes replaced or relined for water quality-Water resources-Water resources-Expenditure in report year</v>
      </c>
      <c r="F1614" t="s">
        <v>7182</v>
      </c>
      <c r="G1614">
        <f>'4L'!$F$100</f>
        <v>0</v>
      </c>
    </row>
    <row r="1615" spans="1:7">
      <c r="A1615" t="s">
        <v>639</v>
      </c>
      <c r="C1615" t="str">
        <f>'4L'!$AW$100</f>
        <v>B0261MLCCP_RWT</v>
      </c>
      <c r="D1615" t="str">
        <f>_xlfn.CONCAT('4L'!$B$78, "-", '4L'!$B$100, "-", '4L'!$G$7, "-", '4L'!$G$6, "-", '4L'!$F$5)</f>
        <v>Other enhancement-Lead communication pipes replaced or relined for water quality-Raw water transport-Water network+-Expenditure in report year</v>
      </c>
      <c r="F1615" t="s">
        <v>7182</v>
      </c>
      <c r="G1615">
        <f>'4L'!$G$100</f>
        <v>0</v>
      </c>
    </row>
    <row r="1616" spans="1:7">
      <c r="A1616" t="s">
        <v>639</v>
      </c>
      <c r="C1616" t="str">
        <f>'4L'!$AX$100</f>
        <v>B0261MLCCP_RWS</v>
      </c>
      <c r="D1616" t="str">
        <f>_xlfn.CONCAT('4L'!$B$78, "-", '4L'!$B$100, "-", '4L'!$H$7, "-", '4L'!$G$6, "-", '4L'!$F$5)</f>
        <v>Other enhancement-Lead communication pipes replaced or relined for water quality-Raw water storage-Water network+-Expenditure in report year</v>
      </c>
      <c r="F1616" t="s">
        <v>7182</v>
      </c>
      <c r="G1616">
        <f>'4L'!$H$100</f>
        <v>0</v>
      </c>
    </row>
    <row r="1617" spans="1:7">
      <c r="A1617" t="s">
        <v>639</v>
      </c>
      <c r="C1617" t="str">
        <f>'4L'!$AY$100</f>
        <v>B0261MLCCP_WT</v>
      </c>
      <c r="D1617" t="str">
        <f>_xlfn.CONCAT('4L'!$B$78, "-", '4L'!$B$100, "-", '4L'!$I$7, "-", '4L'!$G$6, "-", '4L'!$F$5)</f>
        <v>Other enhancement-Lead communication pipes replaced or relined for water quality-Water treatment-Water network+-Expenditure in report year</v>
      </c>
      <c r="F1617" t="s">
        <v>7182</v>
      </c>
      <c r="G1617">
        <f>'4L'!$I$100</f>
        <v>0</v>
      </c>
    </row>
    <row r="1618" spans="1:7">
      <c r="A1618" t="s">
        <v>639</v>
      </c>
      <c r="C1618" t="str">
        <f>'4L'!$AZ$100</f>
        <v>B0261MLCCP_TWD</v>
      </c>
      <c r="D1618" t="str">
        <f>_xlfn.CONCAT('4L'!$B$78, "-", '4L'!$B$100, "-", '4L'!$J$7, "-", '4L'!$G$6, "-", '4L'!$F$5)</f>
        <v>Other enhancement-Lead communication pipes replaced or relined for water quality-Treated water distribution-Water network+-Expenditure in report year</v>
      </c>
      <c r="F1618" t="s">
        <v>7182</v>
      </c>
      <c r="G1618">
        <f>'4L'!$J$100</f>
        <v>0.245</v>
      </c>
    </row>
    <row r="1619" spans="1:7">
      <c r="A1619" t="s">
        <v>639</v>
      </c>
      <c r="C1619" t="str">
        <f>'4L'!$BA$100</f>
        <v>B0261MLCCP_TOT</v>
      </c>
      <c r="D1619" t="str">
        <f>_xlfn.CONCAT('4L'!$B$78, "-", '4L'!$B$100, "-", '4L'!$K$6, "-", '4L'!$K$6, "-", '4L'!$F$5)</f>
        <v>Other enhancement-Lead communication pipes replaced or relined for water quality-Total-Total-Expenditure in report year</v>
      </c>
      <c r="F1619" t="s">
        <v>7182</v>
      </c>
      <c r="G1619">
        <f>'4L'!$K$100</f>
        <v>0.245</v>
      </c>
    </row>
    <row r="1620" spans="1:7">
      <c r="A1620" t="s">
        <v>639</v>
      </c>
      <c r="C1620" t="str">
        <f>'4L'!$AV$101</f>
        <v>B0262MLOCP_WR</v>
      </c>
      <c r="D1620" t="str">
        <f>_xlfn.CONCAT('4L'!$B$78, "-", '4L'!$B$101, "-", '4L'!$F$6, "-", '4L'!$F$6, "-", '4L'!$F$5)</f>
        <v>Other enhancement-Lead communication pipes replaced or relined for water quality-Water resources-Water resources-Expenditure in report year</v>
      </c>
      <c r="F1620" t="s">
        <v>7182</v>
      </c>
      <c r="G1620">
        <f>'4L'!$F$101</f>
        <v>0</v>
      </c>
    </row>
    <row r="1621" spans="1:7">
      <c r="A1621" t="s">
        <v>639</v>
      </c>
      <c r="C1621" t="str">
        <f>'4L'!$AW$101</f>
        <v>B0262MLOCP_RWT</v>
      </c>
      <c r="D1621" t="str">
        <f>_xlfn.CONCAT('4L'!$B$78, "-", '4L'!$B$101, "-", '4L'!$G$7, "-", '4L'!$G$6, "-", '4L'!$F$5)</f>
        <v>Other enhancement-Lead communication pipes replaced or relined for water quality-Raw water transport-Water network+-Expenditure in report year</v>
      </c>
      <c r="F1621" t="s">
        <v>7182</v>
      </c>
      <c r="G1621">
        <f>'4L'!$G$101</f>
        <v>0</v>
      </c>
    </row>
    <row r="1622" spans="1:7">
      <c r="A1622" t="s">
        <v>639</v>
      </c>
      <c r="C1622" t="str">
        <f>'4L'!$AX$101</f>
        <v>B0262MLOCP_RWS</v>
      </c>
      <c r="D1622" t="str">
        <f>_xlfn.CONCAT('4L'!$B$78, "-", '4L'!$B$101, "-", '4L'!$H$7, "-", '4L'!$G$6, "-", '4L'!$F$5)</f>
        <v>Other enhancement-Lead communication pipes replaced or relined for water quality-Raw water storage-Water network+-Expenditure in report year</v>
      </c>
      <c r="F1622" t="s">
        <v>7182</v>
      </c>
      <c r="G1622">
        <f>'4L'!$H$101</f>
        <v>0</v>
      </c>
    </row>
    <row r="1623" spans="1:7">
      <c r="A1623" t="s">
        <v>639</v>
      </c>
      <c r="C1623" t="str">
        <f>'4L'!$AY$101</f>
        <v>B0262MLOCP_WT</v>
      </c>
      <c r="D1623" t="str">
        <f>_xlfn.CONCAT('4L'!$B$78, "-", '4L'!$B$101, "-", '4L'!$I$7, "-", '4L'!$G$6, "-", '4L'!$F$5)</f>
        <v>Other enhancement-Lead communication pipes replaced or relined for water quality-Water treatment-Water network+-Expenditure in report year</v>
      </c>
      <c r="F1623" t="s">
        <v>7182</v>
      </c>
      <c r="G1623">
        <f>'4L'!$I$101</f>
        <v>0</v>
      </c>
    </row>
    <row r="1624" spans="1:7">
      <c r="A1624" t="s">
        <v>639</v>
      </c>
      <c r="C1624" t="str">
        <f>'4L'!$AZ$101</f>
        <v>B0262MLOCP_TWD</v>
      </c>
      <c r="D1624" t="str">
        <f>_xlfn.CONCAT('4L'!$B$78, "-", '4L'!$B$101, "-", '4L'!$J$7, "-", '4L'!$G$6, "-", '4L'!$F$5)</f>
        <v>Other enhancement-Lead communication pipes replaced or relined for water quality-Treated water distribution-Water network+-Expenditure in report year</v>
      </c>
      <c r="F1624" t="s">
        <v>7182</v>
      </c>
      <c r="G1624">
        <f>'4L'!$J$101</f>
        <v>0</v>
      </c>
    </row>
    <row r="1625" spans="1:7">
      <c r="A1625" t="s">
        <v>639</v>
      </c>
      <c r="C1625" t="str">
        <f>'4L'!$BA$101</f>
        <v>B0262MLOCP_TOT</v>
      </c>
      <c r="D1625" t="str">
        <f>_xlfn.CONCAT('4L'!$B$78, "-", '4L'!$B$101, "-", '4L'!$K$6, "-", '4L'!$K$6, "-", '4L'!$F$5)</f>
        <v>Other enhancement-Lead communication pipes replaced or relined for water quality-Total-Total-Expenditure in report year</v>
      </c>
      <c r="F1625" t="s">
        <v>7182</v>
      </c>
      <c r="G1625">
        <f>'4L'!$K$101</f>
        <v>0</v>
      </c>
    </row>
    <row r="1626" spans="1:7">
      <c r="A1626" t="s">
        <v>639</v>
      </c>
      <c r="C1626" t="str">
        <f>'4L'!$AV$102</f>
        <v>B0263MLTCP_WR</v>
      </c>
      <c r="D1626" t="str">
        <f>_xlfn.CONCAT('4L'!$B$78, "-", '4L'!$B$102, "-", '4L'!$F$6, "-", '4L'!$F$6, "-", '4L'!$F$5)</f>
        <v>Other enhancement-Lead communication pipes replaced or relined for water quality-Water resources-Water resources-Expenditure in report year</v>
      </c>
      <c r="F1626" t="s">
        <v>7182</v>
      </c>
      <c r="G1626">
        <f>'4L'!$F$102</f>
        <v>0</v>
      </c>
    </row>
    <row r="1627" spans="1:7">
      <c r="A1627" t="s">
        <v>639</v>
      </c>
      <c r="C1627" t="str">
        <f>'4L'!$AW$102</f>
        <v>B0263MLTCP_RWT</v>
      </c>
      <c r="D1627" t="str">
        <f>_xlfn.CONCAT('4L'!$B$78, "-", '4L'!$B$102, "-", '4L'!$G$7, "-", '4L'!$G$6, "-", '4L'!$F$5)</f>
        <v>Other enhancement-Lead communication pipes replaced or relined for water quality-Raw water transport-Water network+-Expenditure in report year</v>
      </c>
      <c r="F1627" t="s">
        <v>7182</v>
      </c>
      <c r="G1627">
        <f>'4L'!$G$102</f>
        <v>0</v>
      </c>
    </row>
    <row r="1628" spans="1:7">
      <c r="A1628" t="s">
        <v>639</v>
      </c>
      <c r="C1628" t="str">
        <f>'4L'!$AX$102</f>
        <v>B0263MLTCP_RWS</v>
      </c>
      <c r="D1628" t="str">
        <f>_xlfn.CONCAT('4L'!$B$78, "-", '4L'!$B$102, "-", '4L'!$H$7, "-", '4L'!$G$6, "-", '4L'!$F$5)</f>
        <v>Other enhancement-Lead communication pipes replaced or relined for water quality-Raw water storage-Water network+-Expenditure in report year</v>
      </c>
      <c r="F1628" t="s">
        <v>7182</v>
      </c>
      <c r="G1628">
        <f>'4L'!$H$102</f>
        <v>0</v>
      </c>
    </row>
    <row r="1629" spans="1:7">
      <c r="A1629" t="s">
        <v>639</v>
      </c>
      <c r="C1629" t="str">
        <f>'4L'!$AY$102</f>
        <v>B0263MLTCP_WT</v>
      </c>
      <c r="D1629" t="str">
        <f>_xlfn.CONCAT('4L'!$B$78, "-", '4L'!$B$102, "-", '4L'!$I$7, "-", '4L'!$G$6, "-", '4L'!$F$5)</f>
        <v>Other enhancement-Lead communication pipes replaced or relined for water quality-Water treatment-Water network+-Expenditure in report year</v>
      </c>
      <c r="F1629" t="s">
        <v>7182</v>
      </c>
      <c r="G1629">
        <f>'4L'!$I$102</f>
        <v>0</v>
      </c>
    </row>
    <row r="1630" spans="1:7">
      <c r="A1630" t="s">
        <v>639</v>
      </c>
      <c r="C1630" t="str">
        <f>'4L'!$AZ$102</f>
        <v>B0263MLTCP_TWD</v>
      </c>
      <c r="D1630" t="str">
        <f>_xlfn.CONCAT('4L'!$B$78, "-", '4L'!$B$102, "-", '4L'!$J$7, "-", '4L'!$G$6, "-", '4L'!$F$5)</f>
        <v>Other enhancement-Lead communication pipes replaced or relined for water quality-Treated water distribution-Water network+-Expenditure in report year</v>
      </c>
      <c r="F1630" t="s">
        <v>7182</v>
      </c>
      <c r="G1630">
        <f>'4L'!$J$102</f>
        <v>0.245</v>
      </c>
    </row>
    <row r="1631" spans="1:7">
      <c r="A1631" t="s">
        <v>639</v>
      </c>
      <c r="C1631" t="str">
        <f>'4L'!$BA$102</f>
        <v>B0263MLTCP_TOT</v>
      </c>
      <c r="D1631" t="str">
        <f>_xlfn.CONCAT('4L'!$B$78, "-", '4L'!$B$102, "-", '4L'!$K$6, "-", '4L'!$K$6, "-", '4L'!$F$5)</f>
        <v>Other enhancement-Lead communication pipes replaced or relined for water quality-Total-Total-Expenditure in report year</v>
      </c>
      <c r="F1631" t="s">
        <v>7182</v>
      </c>
      <c r="G1631">
        <f>'4L'!$K$102</f>
        <v>0.245</v>
      </c>
    </row>
    <row r="1632" spans="1:7">
      <c r="A1632" t="s">
        <v>639</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7182</v>
      </c>
      <c r="G1632">
        <f>'4L'!$R$102</f>
        <v>2.903</v>
      </c>
    </row>
    <row r="1633" spans="1:7">
      <c r="A1633" t="s">
        <v>639</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7182</v>
      </c>
      <c r="G1633">
        <f>'4L'!$S$102</f>
        <v>0</v>
      </c>
    </row>
    <row r="1634" spans="1:7">
      <c r="A1634" t="s">
        <v>639</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7182</v>
      </c>
      <c r="G1634">
        <f>'4L'!$T$102</f>
        <v>0</v>
      </c>
    </row>
    <row r="1635" spans="1:7">
      <c r="A1635" t="s">
        <v>639</v>
      </c>
      <c r="C1635" t="str">
        <f>'4L'!$AV$103</f>
        <v>B0261MLCI_WR</v>
      </c>
      <c r="D1635" t="str">
        <f>_xlfn.CONCAT('4L'!$B$78, "-", '4L'!$B$103, "-", '4L'!$F$6, "-", '4L'!$F$6, "-", '4L'!$F$5)</f>
        <v>Other enhancement-Other lead reduction related activity-Water resources-Water resources-Expenditure in report year</v>
      </c>
      <c r="F1635" t="s">
        <v>7182</v>
      </c>
      <c r="G1635">
        <f>'4L'!$F$103</f>
        <v>0</v>
      </c>
    </row>
    <row r="1636" spans="1:7">
      <c r="A1636" t="s">
        <v>639</v>
      </c>
      <c r="C1636" t="str">
        <f>'4L'!$AW$103</f>
        <v>B0261MLCI_RWT</v>
      </c>
      <c r="D1636" t="str">
        <f>_xlfn.CONCAT('4L'!$B$78, "-", '4L'!$B$103, "-", '4L'!$G$7, "-", '4L'!$G$6, "-", '4L'!$F$5)</f>
        <v>Other enhancement-Other lead reduction related activity-Raw water transport-Water network+-Expenditure in report year</v>
      </c>
      <c r="F1636" t="s">
        <v>7182</v>
      </c>
      <c r="G1636">
        <f>'4L'!$G$103</f>
        <v>0</v>
      </c>
    </row>
    <row r="1637" spans="1:7">
      <c r="A1637" t="s">
        <v>639</v>
      </c>
      <c r="C1637" t="str">
        <f>'4L'!$AX$103</f>
        <v>B0261MLCI_RWS</v>
      </c>
      <c r="D1637" t="str">
        <f>_xlfn.CONCAT('4L'!$B$78, "-", '4L'!$B$103, "-", '4L'!$H$7, "-", '4L'!$G$6, "-", '4L'!$F$5)</f>
        <v>Other enhancement-Other lead reduction related activity-Raw water storage-Water network+-Expenditure in report year</v>
      </c>
      <c r="F1637" t="s">
        <v>7182</v>
      </c>
      <c r="G1637">
        <f>'4L'!$H$103</f>
        <v>0</v>
      </c>
    </row>
    <row r="1638" spans="1:7">
      <c r="A1638" t="s">
        <v>639</v>
      </c>
      <c r="C1638" t="str">
        <f>'4L'!$AY$103</f>
        <v>B0261MLCI_WT</v>
      </c>
      <c r="D1638" t="str">
        <f>_xlfn.CONCAT('4L'!$B$78, "-", '4L'!$B$103, "-", '4L'!$I$7, "-", '4L'!$G$6, "-", '4L'!$F$5)</f>
        <v>Other enhancement-Other lead reduction related activity-Water treatment-Water network+-Expenditure in report year</v>
      </c>
      <c r="F1638" t="s">
        <v>7182</v>
      </c>
      <c r="G1638">
        <f>'4L'!$I$103</f>
        <v>0</v>
      </c>
    </row>
    <row r="1639" spans="1:7">
      <c r="A1639" t="s">
        <v>639</v>
      </c>
      <c r="C1639" t="str">
        <f>'4L'!$AZ$103</f>
        <v>B0261MLCI_TWD</v>
      </c>
      <c r="D1639" t="str">
        <f>_xlfn.CONCAT('4L'!$B$78, "-", '4L'!$B$103, "-", '4L'!$J$7, "-", '4L'!$G$6, "-", '4L'!$F$5)</f>
        <v>Other enhancement-Other lead reduction related activity-Treated water distribution-Water network+-Expenditure in report year</v>
      </c>
      <c r="F1639" t="s">
        <v>7182</v>
      </c>
      <c r="G1639">
        <f>'4L'!$J$103</f>
        <v>2.6579999999999999</v>
      </c>
    </row>
    <row r="1640" spans="1:7">
      <c r="A1640" t="s">
        <v>639</v>
      </c>
      <c r="C1640" t="str">
        <f>'4L'!$BA$103</f>
        <v>B0261MLCI_TOT</v>
      </c>
      <c r="D1640" t="str">
        <f>_xlfn.CONCAT('4L'!$B$78, "-", '4L'!$B$103, "-", '4L'!$K$6, "-", '4L'!$K$6, "-", '4L'!$F$5)</f>
        <v>Other enhancement-Other lead reduction related activity-Total-Total-Expenditure in report year</v>
      </c>
      <c r="F1640" t="s">
        <v>7182</v>
      </c>
      <c r="G1640">
        <f>'4L'!$K$103</f>
        <v>2.6579999999999999</v>
      </c>
    </row>
    <row r="1641" spans="1:7">
      <c r="A1641" t="s">
        <v>639</v>
      </c>
      <c r="C1641" t="str">
        <f>'4L'!$AV$104</f>
        <v>B0262MLOI_WR</v>
      </c>
      <c r="D1641" t="str">
        <f>_xlfn.CONCAT('4L'!$B$78, "-", '4L'!$B$104, "-", '4L'!$F$6, "-", '4L'!$F$6, "-", '4L'!$F$5)</f>
        <v>Other enhancement-Other lead reduction related activity-Water resources-Water resources-Expenditure in report year</v>
      </c>
      <c r="F1641" t="s">
        <v>7182</v>
      </c>
      <c r="G1641">
        <f>'4L'!$F$104</f>
        <v>0</v>
      </c>
    </row>
    <row r="1642" spans="1:7">
      <c r="A1642" t="s">
        <v>639</v>
      </c>
      <c r="C1642" t="str">
        <f>'4L'!$AW$104</f>
        <v>B0262MLOI_RWT</v>
      </c>
      <c r="D1642" t="str">
        <f>_xlfn.CONCAT('4L'!$B$78, "-", '4L'!$B$104, "-", '4L'!$G$7, "-", '4L'!$G$6, "-", '4L'!$F$5)</f>
        <v>Other enhancement-Other lead reduction related activity-Raw water transport-Water network+-Expenditure in report year</v>
      </c>
      <c r="F1642" t="s">
        <v>7182</v>
      </c>
      <c r="G1642">
        <f>'4L'!$G$104</f>
        <v>0</v>
      </c>
    </row>
    <row r="1643" spans="1:7">
      <c r="A1643" t="s">
        <v>639</v>
      </c>
      <c r="C1643" t="str">
        <f>'4L'!$AX$104</f>
        <v>B0262MLOI_RWS</v>
      </c>
      <c r="D1643" t="str">
        <f>_xlfn.CONCAT('4L'!$B$78, "-", '4L'!$B$104, "-", '4L'!$H$7, "-", '4L'!$G$6, "-", '4L'!$F$5)</f>
        <v>Other enhancement-Other lead reduction related activity-Raw water storage-Water network+-Expenditure in report year</v>
      </c>
      <c r="F1643" t="s">
        <v>7182</v>
      </c>
      <c r="G1643">
        <f>'4L'!$H$104</f>
        <v>0</v>
      </c>
    </row>
    <row r="1644" spans="1:7">
      <c r="A1644" t="s">
        <v>639</v>
      </c>
      <c r="C1644" t="str">
        <f>'4L'!$AY$104</f>
        <v>B0262MLOI_WT</v>
      </c>
      <c r="D1644" t="str">
        <f>_xlfn.CONCAT('4L'!$B$78, "-", '4L'!$B$104, "-", '4L'!$I$7, "-", '4L'!$G$6, "-", '4L'!$F$5)</f>
        <v>Other enhancement-Other lead reduction related activity-Water treatment-Water network+-Expenditure in report year</v>
      </c>
      <c r="F1644" t="s">
        <v>7182</v>
      </c>
      <c r="G1644">
        <f>'4L'!$I$104</f>
        <v>0</v>
      </c>
    </row>
    <row r="1645" spans="1:7">
      <c r="A1645" t="s">
        <v>639</v>
      </c>
      <c r="C1645" t="str">
        <f>'4L'!$AZ$104</f>
        <v>B0262MLOI_TWD</v>
      </c>
      <c r="D1645" t="str">
        <f>_xlfn.CONCAT('4L'!$B$78, "-", '4L'!$B$104, "-", '4L'!$J$7, "-", '4L'!$G$6, "-", '4L'!$F$5)</f>
        <v>Other enhancement-Other lead reduction related activity-Treated water distribution-Water network+-Expenditure in report year</v>
      </c>
      <c r="F1645" t="s">
        <v>7182</v>
      </c>
      <c r="G1645">
        <f>'4L'!$J$104</f>
        <v>0</v>
      </c>
    </row>
    <row r="1646" spans="1:7">
      <c r="A1646" t="s">
        <v>639</v>
      </c>
      <c r="C1646" t="str">
        <f>'4L'!$BA$104</f>
        <v>B0262MLOI_TOT</v>
      </c>
      <c r="D1646" t="str">
        <f>_xlfn.CONCAT('4L'!$B$78, "-", '4L'!$B$104, "-", '4L'!$K$6, "-", '4L'!$K$6, "-", '4L'!$F$5)</f>
        <v>Other enhancement-Other lead reduction related activity-Total-Total-Expenditure in report year</v>
      </c>
      <c r="F1646" t="s">
        <v>7182</v>
      </c>
      <c r="G1646">
        <f>'4L'!$K$104</f>
        <v>0</v>
      </c>
    </row>
    <row r="1647" spans="1:7">
      <c r="A1647" t="s">
        <v>639</v>
      </c>
      <c r="C1647" t="str">
        <f>'4L'!$AV$105</f>
        <v>B0263MLTI_WR</v>
      </c>
      <c r="D1647" t="str">
        <f>_xlfn.CONCAT('4L'!$B$78, "-", '4L'!$B$105, "-", '4L'!$F$6, "-", '4L'!$F$6, "-", '4L'!$F$5)</f>
        <v>Other enhancement-Other lead reduction related activity-Water resources-Water resources-Expenditure in report year</v>
      </c>
      <c r="F1647" t="s">
        <v>7182</v>
      </c>
      <c r="G1647">
        <f>'4L'!$F$105</f>
        <v>0</v>
      </c>
    </row>
    <row r="1648" spans="1:7">
      <c r="A1648" t="s">
        <v>639</v>
      </c>
      <c r="C1648" t="str">
        <f>'4L'!$AW$105</f>
        <v>B0263MLTI_RWT</v>
      </c>
      <c r="D1648" t="str">
        <f>_xlfn.CONCAT('4L'!$B$78, "-", '4L'!$B$105, "-", '4L'!$G$7, "-", '4L'!$G$6, "-", '4L'!$F$5)</f>
        <v>Other enhancement-Other lead reduction related activity-Raw water transport-Water network+-Expenditure in report year</v>
      </c>
      <c r="F1648" t="s">
        <v>7182</v>
      </c>
      <c r="G1648">
        <f>'4L'!$G$105</f>
        <v>0</v>
      </c>
    </row>
    <row r="1649" spans="1:7">
      <c r="A1649" t="s">
        <v>639</v>
      </c>
      <c r="C1649" t="str">
        <f>'4L'!$AX$105</f>
        <v>B0263MLTI_RWS</v>
      </c>
      <c r="D1649" t="str">
        <f>_xlfn.CONCAT('4L'!$B$78, "-", '4L'!$B$105, "-", '4L'!$H$7, "-", '4L'!$G$6, "-", '4L'!$F$5)</f>
        <v>Other enhancement-Other lead reduction related activity-Raw water storage-Water network+-Expenditure in report year</v>
      </c>
      <c r="F1649" t="s">
        <v>7182</v>
      </c>
      <c r="G1649">
        <f>'4L'!$H$105</f>
        <v>0</v>
      </c>
    </row>
    <row r="1650" spans="1:7">
      <c r="A1650" t="s">
        <v>639</v>
      </c>
      <c r="C1650" t="str">
        <f>'4L'!$AY$105</f>
        <v>B0263MLTI_WT</v>
      </c>
      <c r="D1650" t="str">
        <f>_xlfn.CONCAT('4L'!$B$78, "-", '4L'!$B$105, "-", '4L'!$I$7, "-", '4L'!$G$6, "-", '4L'!$F$5)</f>
        <v>Other enhancement-Other lead reduction related activity-Water treatment-Water network+-Expenditure in report year</v>
      </c>
      <c r="F1650" t="s">
        <v>7182</v>
      </c>
      <c r="G1650">
        <f>'4L'!$I$105</f>
        <v>0</v>
      </c>
    </row>
    <row r="1651" spans="1:7">
      <c r="A1651" t="s">
        <v>639</v>
      </c>
      <c r="C1651" t="str">
        <f>'4L'!$AZ$105</f>
        <v>B0263MLTI_TWD</v>
      </c>
      <c r="D1651" t="str">
        <f>_xlfn.CONCAT('4L'!$B$78, "-", '4L'!$B$105, "-", '4L'!$J$7, "-", '4L'!$G$6, "-", '4L'!$F$5)</f>
        <v>Other enhancement-Other lead reduction related activity-Treated water distribution-Water network+-Expenditure in report year</v>
      </c>
      <c r="F1651" t="s">
        <v>7182</v>
      </c>
      <c r="G1651">
        <f>'4L'!$J$105</f>
        <v>2.6579999999999999</v>
      </c>
    </row>
    <row r="1652" spans="1:7">
      <c r="A1652" t="s">
        <v>639</v>
      </c>
      <c r="C1652" t="str">
        <f>'4L'!$BA$105</f>
        <v>B0263MLTI_TOT</v>
      </c>
      <c r="D1652" t="str">
        <f>_xlfn.CONCAT('4L'!$B$78, "-", '4L'!$B$105, "-", '4L'!$K$6, "-", '4L'!$K$6, "-", '4L'!$F$5)</f>
        <v>Other enhancement-Other lead reduction related activity-Total-Total-Expenditure in report year</v>
      </c>
      <c r="F1652" t="s">
        <v>7182</v>
      </c>
      <c r="G1652">
        <f>'4L'!$K$105</f>
        <v>2.6579999999999999</v>
      </c>
    </row>
    <row r="1653" spans="1:7">
      <c r="A1653" t="s">
        <v>639</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7182</v>
      </c>
      <c r="G1653">
        <f>'4L'!$R$105</f>
        <v>0</v>
      </c>
    </row>
    <row r="1654" spans="1:7">
      <c r="A1654" t="s">
        <v>639</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7182</v>
      </c>
      <c r="G1654">
        <f>'4L'!$S$105</f>
        <v>0</v>
      </c>
    </row>
    <row r="1655" spans="1:7">
      <c r="A1655" t="s">
        <v>639</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7182</v>
      </c>
      <c r="G1655">
        <f>'4L'!$T$105</f>
        <v>0</v>
      </c>
    </row>
    <row r="1656" spans="1:7">
      <c r="A1656" t="s">
        <v>639</v>
      </c>
      <c r="C1656" t="str">
        <f>'4L'!$AV$106</f>
        <v>B0261MLC_WR</v>
      </c>
      <c r="D1656" t="str">
        <f>_xlfn.CONCAT('4L'!$B$78, "-", '4L'!$B$106, "-", '4L'!$F$6, "-", '4L'!$F$6, "-", '4L'!$F$5)</f>
        <v>Other enhancement-Meeting lead standards (total)-Water resources-Water resources-Expenditure in report year</v>
      </c>
      <c r="F1656" t="s">
        <v>7182</v>
      </c>
      <c r="G1656">
        <f>'4L'!$F$106</f>
        <v>0</v>
      </c>
    </row>
    <row r="1657" spans="1:7">
      <c r="A1657" t="s">
        <v>639</v>
      </c>
      <c r="C1657" t="str">
        <f>'4L'!$AW$106</f>
        <v>B0261MLC_RWT</v>
      </c>
      <c r="D1657" t="str">
        <f>_xlfn.CONCAT('4L'!$B$78, "-", '4L'!$B$106, "-", '4L'!$G$7, "-", '4L'!$G$6, "-", '4L'!$F$5)</f>
        <v>Other enhancement-Meeting lead standards (total)-Raw water transport-Water network+-Expenditure in report year</v>
      </c>
      <c r="F1657" t="s">
        <v>7182</v>
      </c>
      <c r="G1657">
        <f>'4L'!$G$106</f>
        <v>0</v>
      </c>
    </row>
    <row r="1658" spans="1:7">
      <c r="A1658" t="s">
        <v>639</v>
      </c>
      <c r="C1658" t="str">
        <f>'4L'!$AX$106</f>
        <v>B0261MLC_RWS</v>
      </c>
      <c r="D1658" t="str">
        <f>_xlfn.CONCAT('4L'!$B$78, "-", '4L'!$B$106, "-", '4L'!$H$7, "-", '4L'!$G$6, "-", '4L'!$F$5)</f>
        <v>Other enhancement-Meeting lead standards (total)-Raw water storage-Water network+-Expenditure in report year</v>
      </c>
      <c r="F1658" t="s">
        <v>7182</v>
      </c>
      <c r="G1658">
        <f>'4L'!$H$106</f>
        <v>0</v>
      </c>
    </row>
    <row r="1659" spans="1:7">
      <c r="A1659" t="s">
        <v>639</v>
      </c>
      <c r="C1659" t="str">
        <f>'4L'!$AY$106</f>
        <v>B0261MLC_WT</v>
      </c>
      <c r="D1659" t="str">
        <f>_xlfn.CONCAT('4L'!$B$78, "-", '4L'!$B$106, "-", '4L'!$I$7, "-", '4L'!$G$6, "-", '4L'!$F$5)</f>
        <v>Other enhancement-Meeting lead standards (total)-Water treatment-Water network+-Expenditure in report year</v>
      </c>
      <c r="F1659" t="s">
        <v>7182</v>
      </c>
      <c r="G1659">
        <f>'4L'!$I$106</f>
        <v>0</v>
      </c>
    </row>
    <row r="1660" spans="1:7">
      <c r="A1660" t="s">
        <v>639</v>
      </c>
      <c r="C1660" t="str">
        <f>'4L'!$AZ$106</f>
        <v>B0261MLC_TWD</v>
      </c>
      <c r="D1660" t="str">
        <f>_xlfn.CONCAT('4L'!$B$78, "-", '4L'!$B$106, "-", '4L'!$J$7, "-", '4L'!$G$6, "-", '4L'!$F$5)</f>
        <v>Other enhancement-Meeting lead standards (total)-Treated water distribution-Water network+-Expenditure in report year</v>
      </c>
      <c r="F1660" t="s">
        <v>7182</v>
      </c>
      <c r="G1660">
        <f>'4L'!$J$106</f>
        <v>2.903</v>
      </c>
    </row>
    <row r="1661" spans="1:7">
      <c r="A1661" t="s">
        <v>639</v>
      </c>
      <c r="C1661" t="str">
        <f>'4L'!$BA$106</f>
        <v>B0261MLC_TOT</v>
      </c>
      <c r="D1661" t="str">
        <f>_xlfn.CONCAT('4L'!$B$78, "-", '4L'!$B$106, "-", '4L'!$K$6, "-", '4L'!$K$6, "-", '4L'!$F$5)</f>
        <v>Other enhancement-Meeting lead standards (total)-Total-Total-Expenditure in report year</v>
      </c>
      <c r="F1661" t="s">
        <v>7182</v>
      </c>
      <c r="G1661">
        <f>'4L'!$K$106</f>
        <v>2.903</v>
      </c>
    </row>
    <row r="1662" spans="1:7">
      <c r="A1662" t="s">
        <v>639</v>
      </c>
      <c r="C1662" t="str">
        <f>'4L'!$AV$107</f>
        <v>B0262MLO_WR</v>
      </c>
      <c r="D1662" t="str">
        <f>_xlfn.CONCAT('4L'!$B$78, "-", '4L'!$B$107, "-", '4L'!$F$6, "-", '4L'!$F$6, "-", '4L'!$F$5)</f>
        <v>Other enhancement-Meeting lead standards (total)-Water resources-Water resources-Expenditure in report year</v>
      </c>
      <c r="F1662" t="s">
        <v>7182</v>
      </c>
      <c r="G1662">
        <f>'4L'!$F$107</f>
        <v>0</v>
      </c>
    </row>
    <row r="1663" spans="1:7">
      <c r="A1663" t="s">
        <v>639</v>
      </c>
      <c r="C1663" t="str">
        <f>'4L'!$AW$107</f>
        <v>B0262MLO_RWT</v>
      </c>
      <c r="D1663" t="str">
        <f>_xlfn.CONCAT('4L'!$B$78, "-", '4L'!$B$107, "-", '4L'!$G$7, "-", '4L'!$G$6, "-", '4L'!$F$5)</f>
        <v>Other enhancement-Meeting lead standards (total)-Raw water transport-Water network+-Expenditure in report year</v>
      </c>
      <c r="F1663" t="s">
        <v>7182</v>
      </c>
      <c r="G1663">
        <f>'4L'!$G$107</f>
        <v>0</v>
      </c>
    </row>
    <row r="1664" spans="1:7">
      <c r="A1664" t="s">
        <v>639</v>
      </c>
      <c r="C1664" t="str">
        <f>'4L'!$AX$107</f>
        <v>B0262MLO_RWS</v>
      </c>
      <c r="D1664" t="str">
        <f>_xlfn.CONCAT('4L'!$B$78, "-", '4L'!$B$107, "-", '4L'!$H$7, "-", '4L'!$G$6, "-", '4L'!$F$5)</f>
        <v>Other enhancement-Meeting lead standards (total)-Raw water storage-Water network+-Expenditure in report year</v>
      </c>
      <c r="F1664" t="s">
        <v>7182</v>
      </c>
      <c r="G1664">
        <f>'4L'!$H$107</f>
        <v>0</v>
      </c>
    </row>
    <row r="1665" spans="1:7">
      <c r="A1665" t="s">
        <v>639</v>
      </c>
      <c r="C1665" t="str">
        <f>'4L'!$AY$107</f>
        <v>B0262MLO_WT</v>
      </c>
      <c r="D1665" t="str">
        <f>_xlfn.CONCAT('4L'!$B$78, "-", '4L'!$B$107, "-", '4L'!$I$7, "-", '4L'!$G$6, "-", '4L'!$F$5)</f>
        <v>Other enhancement-Meeting lead standards (total)-Water treatment-Water network+-Expenditure in report year</v>
      </c>
      <c r="F1665" t="s">
        <v>7182</v>
      </c>
      <c r="G1665">
        <f>'4L'!$I$107</f>
        <v>0</v>
      </c>
    </row>
    <row r="1666" spans="1:7">
      <c r="A1666" t="s">
        <v>639</v>
      </c>
      <c r="C1666" t="str">
        <f>'4L'!$AZ$107</f>
        <v>B0262MLO_TWD</v>
      </c>
      <c r="D1666" t="str">
        <f>_xlfn.CONCAT('4L'!$B$78, "-", '4L'!$B$107, "-", '4L'!$J$7, "-", '4L'!$G$6, "-", '4L'!$F$5)</f>
        <v>Other enhancement-Meeting lead standards (total)-Treated water distribution-Water network+-Expenditure in report year</v>
      </c>
      <c r="F1666" t="s">
        <v>7182</v>
      </c>
      <c r="G1666">
        <f>'4L'!$J$107</f>
        <v>0</v>
      </c>
    </row>
    <row r="1667" spans="1:7">
      <c r="A1667" t="s">
        <v>639</v>
      </c>
      <c r="C1667" t="str">
        <f>'4L'!$BA$107</f>
        <v>B0262MLO_TOT</v>
      </c>
      <c r="D1667" t="str">
        <f>_xlfn.CONCAT('4L'!$B$78, "-", '4L'!$B$107, "-", '4L'!$K$6, "-", '4L'!$K$6, "-", '4L'!$F$5)</f>
        <v>Other enhancement-Meeting lead standards (total)-Total-Total-Expenditure in report year</v>
      </c>
      <c r="F1667" t="s">
        <v>7182</v>
      </c>
      <c r="G1667">
        <f>'4L'!$K$107</f>
        <v>0</v>
      </c>
    </row>
    <row r="1668" spans="1:7">
      <c r="A1668" t="s">
        <v>639</v>
      </c>
      <c r="C1668" t="str">
        <f>'4L'!$AV$108</f>
        <v>B0263MLT_WR</v>
      </c>
      <c r="D1668" t="str">
        <f>_xlfn.CONCAT('4L'!$B$78, "-", '4L'!$B$108, "-", '4L'!$F$6, "-", '4L'!$F$6, "-", '4L'!$F$5)</f>
        <v>Other enhancement-Meeting lead standards (total)-Water resources-Water resources-Expenditure in report year</v>
      </c>
      <c r="F1668" t="s">
        <v>7182</v>
      </c>
      <c r="G1668">
        <f>'4L'!$F$108</f>
        <v>0</v>
      </c>
    </row>
    <row r="1669" spans="1:7">
      <c r="A1669" t="s">
        <v>639</v>
      </c>
      <c r="C1669" t="str">
        <f>'4L'!$AW$108</f>
        <v>B0263MLT_RWT</v>
      </c>
      <c r="D1669" t="str">
        <f>_xlfn.CONCAT('4L'!$B$78, "-", '4L'!$B$108, "-", '4L'!$G$7, "-", '4L'!$G$6, "-", '4L'!$F$5)</f>
        <v>Other enhancement-Meeting lead standards (total)-Raw water transport-Water network+-Expenditure in report year</v>
      </c>
      <c r="F1669" t="s">
        <v>7182</v>
      </c>
      <c r="G1669">
        <f>'4L'!$G$108</f>
        <v>0</v>
      </c>
    </row>
    <row r="1670" spans="1:7">
      <c r="A1670" t="s">
        <v>639</v>
      </c>
      <c r="C1670" t="str">
        <f>'4L'!$AX$108</f>
        <v>B0263MLT_RWS</v>
      </c>
      <c r="D1670" t="str">
        <f>_xlfn.CONCAT('4L'!$B$78, "-", '4L'!$B$108, "-", '4L'!$H$7, "-", '4L'!$G$6, "-", '4L'!$F$5)</f>
        <v>Other enhancement-Meeting lead standards (total)-Raw water storage-Water network+-Expenditure in report year</v>
      </c>
      <c r="F1670" t="s">
        <v>7182</v>
      </c>
      <c r="G1670">
        <f>'4L'!$H$108</f>
        <v>0</v>
      </c>
    </row>
    <row r="1671" spans="1:7">
      <c r="A1671" t="s">
        <v>639</v>
      </c>
      <c r="C1671" t="str">
        <f>'4L'!$AY$108</f>
        <v>B0263MLT_WT</v>
      </c>
      <c r="D1671" t="str">
        <f>_xlfn.CONCAT('4L'!$B$78, "-", '4L'!$B$108, "-", '4L'!$I$7, "-", '4L'!$G$6, "-", '4L'!$F$5)</f>
        <v>Other enhancement-Meeting lead standards (total)-Water treatment-Water network+-Expenditure in report year</v>
      </c>
      <c r="F1671" t="s">
        <v>7182</v>
      </c>
      <c r="G1671">
        <f>'4L'!$I$108</f>
        <v>0</v>
      </c>
    </row>
    <row r="1672" spans="1:7">
      <c r="A1672" t="s">
        <v>639</v>
      </c>
      <c r="C1672" t="str">
        <f>'4L'!$AZ$108</f>
        <v>B0263MLT_TWD</v>
      </c>
      <c r="D1672" t="str">
        <f>_xlfn.CONCAT('4L'!$B$78, "-", '4L'!$B$108, "-", '4L'!$J$7, "-", '4L'!$G$6, "-", '4L'!$F$5)</f>
        <v>Other enhancement-Meeting lead standards (total)-Treated water distribution-Water network+-Expenditure in report year</v>
      </c>
      <c r="F1672" t="s">
        <v>7182</v>
      </c>
      <c r="G1672">
        <f>'4L'!$J$108</f>
        <v>2.903</v>
      </c>
    </row>
    <row r="1673" spans="1:7">
      <c r="A1673" t="s">
        <v>639</v>
      </c>
      <c r="C1673" t="str">
        <f>'4L'!$BA$108</f>
        <v>B0263MLT_TOT</v>
      </c>
      <c r="D1673" t="str">
        <f>_xlfn.CONCAT('4L'!$B$78, "-", '4L'!$B$108, "-", '4L'!$K$6, "-", '4L'!$K$6, "-", '4L'!$F$5)</f>
        <v>Other enhancement-Meeting lead standards (total)-Total-Total-Expenditure in report year</v>
      </c>
      <c r="F1673" t="s">
        <v>7182</v>
      </c>
      <c r="G1673">
        <f>'4L'!$K$108</f>
        <v>2.903</v>
      </c>
    </row>
    <row r="1674" spans="1:7">
      <c r="A1674" t="s">
        <v>639</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7182</v>
      </c>
      <c r="G1674">
        <f>'4L'!$R$108</f>
        <v>6.5750000000000002</v>
      </c>
    </row>
    <row r="1675" spans="1:7">
      <c r="A1675" t="s">
        <v>639</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7182</v>
      </c>
      <c r="G1675">
        <f>'4L'!$S$108</f>
        <v>9.1029999999999998</v>
      </c>
    </row>
    <row r="1676" spans="1:7">
      <c r="A1676" t="s">
        <v>639</v>
      </c>
      <c r="C1676" t="str">
        <f>'4L'!$BJ$108</f>
        <v>B0396MLS_CUMMT</v>
      </c>
      <c r="D1676" t="str">
        <f>_xlfn.CONCAT('4L'!$B$78, "-", '4L'!$B$108, "-", '4L'!$T$7, "-", '4L'!$T$5, "-", '4L'!$T$5)</f>
        <v>Other enhancement-Meeting lead standards (total)-Total-Cumulative allowed expenditure on all schemes 2020-25-Cumulative allowed expenditure on all schemes 2020-25</v>
      </c>
      <c r="F1676" t="s">
        <v>7182</v>
      </c>
      <c r="G1676">
        <f>'4L'!$T$108</f>
        <v>11.857000000000001</v>
      </c>
    </row>
    <row r="1677" spans="1:7">
      <c r="A1677" t="s">
        <v>639</v>
      </c>
      <c r="C1677" t="str">
        <f>'4L'!$AV$109</f>
        <v>B0273SSC_WR</v>
      </c>
      <c r="D1677" t="str">
        <f>_xlfn.CONCAT('4L'!$B$78, "-", '4L'!$B$109, "-", '4L'!$F$6, "-", '4L'!$F$6, "-", '4L'!$F$5)</f>
        <v>Other enhancement-Security - SEMD-Water resources-Water resources-Expenditure in report year</v>
      </c>
      <c r="F1677" t="s">
        <v>7182</v>
      </c>
      <c r="G1677">
        <f>'4L'!$F$109</f>
        <v>3.0000000000000001E-3</v>
      </c>
    </row>
    <row r="1678" spans="1:7">
      <c r="A1678" t="s">
        <v>639</v>
      </c>
      <c r="C1678" t="str">
        <f>'4L'!$AW$109</f>
        <v>B0273SSC_RWT</v>
      </c>
      <c r="D1678" t="str">
        <f>_xlfn.CONCAT('4L'!$B$78, "-", '4L'!$B$109, "-", '4L'!$G$7, "-", '4L'!$G$6, "-", '4L'!$F$5)</f>
        <v>Other enhancement-Security - SEMD-Raw water transport-Water network+-Expenditure in report year</v>
      </c>
      <c r="F1678" t="s">
        <v>7182</v>
      </c>
      <c r="G1678">
        <f>'4L'!$G$109</f>
        <v>0</v>
      </c>
    </row>
    <row r="1679" spans="1:7">
      <c r="A1679" t="s">
        <v>639</v>
      </c>
      <c r="C1679" t="str">
        <f>'4L'!$AX$109</f>
        <v>B0273SSC_RWS</v>
      </c>
      <c r="D1679" t="str">
        <f>_xlfn.CONCAT('4L'!$B$78, "-", '4L'!$B$109, "-", '4L'!$H$7, "-", '4L'!$G$6, "-", '4L'!$F$5)</f>
        <v>Other enhancement-Security - SEMD-Raw water storage-Water network+-Expenditure in report year</v>
      </c>
      <c r="F1679" t="s">
        <v>7182</v>
      </c>
      <c r="G1679">
        <f>'4L'!$H$109</f>
        <v>0</v>
      </c>
    </row>
    <row r="1680" spans="1:7">
      <c r="A1680" t="s">
        <v>639</v>
      </c>
      <c r="C1680" t="str">
        <f>'4L'!$AY$109</f>
        <v>B0273SSC_WT</v>
      </c>
      <c r="D1680" t="str">
        <f>_xlfn.CONCAT('4L'!$B$78, "-", '4L'!$B$109, "-", '4L'!$I$7, "-", '4L'!$G$6, "-", '4L'!$F$5)</f>
        <v>Other enhancement-Security - SEMD-Water treatment-Water network+-Expenditure in report year</v>
      </c>
      <c r="F1680" t="s">
        <v>7182</v>
      </c>
      <c r="G1680">
        <f>'4L'!$I$109</f>
        <v>0.34200000000000003</v>
      </c>
    </row>
    <row r="1681" spans="1:7">
      <c r="A1681" t="s">
        <v>639</v>
      </c>
      <c r="C1681" t="str">
        <f>'4L'!$AZ$109</f>
        <v>B0273SSC_TWD</v>
      </c>
      <c r="D1681" t="str">
        <f>_xlfn.CONCAT('4L'!$B$78, "-", '4L'!$B$109, "-", '4L'!$J$7, "-", '4L'!$G$6, "-", '4L'!$F$5)</f>
        <v>Other enhancement-Security - SEMD-Treated water distribution-Water network+-Expenditure in report year</v>
      </c>
      <c r="F1681" t="s">
        <v>7182</v>
      </c>
      <c r="G1681">
        <f>'4L'!$J$109</f>
        <v>0.22500000000000001</v>
      </c>
    </row>
    <row r="1682" spans="1:7">
      <c r="A1682" t="s">
        <v>639</v>
      </c>
      <c r="C1682" t="str">
        <f>'4L'!$BA$109</f>
        <v>B0273SSC_TOT</v>
      </c>
      <c r="D1682" t="str">
        <f>_xlfn.CONCAT('4L'!$B$78, "-", '4L'!$B$109, "-", '4L'!$K$6, "-", '4L'!$K$6, "-", '4L'!$F$5)</f>
        <v>Other enhancement-Security - SEMD-Total-Total-Expenditure in report year</v>
      </c>
      <c r="F1682" t="s">
        <v>7182</v>
      </c>
      <c r="G1682">
        <f>'4L'!$K$109</f>
        <v>0.57000000000000006</v>
      </c>
    </row>
    <row r="1683" spans="1:7">
      <c r="A1683" t="s">
        <v>639</v>
      </c>
      <c r="C1683" t="str">
        <f>'4L'!$AV$110</f>
        <v>B0274SSO_WR</v>
      </c>
      <c r="D1683" t="str">
        <f>_xlfn.CONCAT('4L'!$B$78, "-", '4L'!$B$110, "-", '4L'!$F$6, "-", '4L'!$F$6, "-", '4L'!$F$5)</f>
        <v>Other enhancement-Security - SEMD-Water resources-Water resources-Expenditure in report year</v>
      </c>
      <c r="F1683" t="s">
        <v>7182</v>
      </c>
      <c r="G1683">
        <f>'4L'!$F$110</f>
        <v>0</v>
      </c>
    </row>
    <row r="1684" spans="1:7">
      <c r="A1684" t="s">
        <v>639</v>
      </c>
      <c r="C1684" t="str">
        <f>'4L'!$AW$110</f>
        <v>B0274SSO_RWT</v>
      </c>
      <c r="D1684" t="str">
        <f>_xlfn.CONCAT('4L'!$B$78, "-", '4L'!$B$110, "-", '4L'!$G$7, "-", '4L'!$G$6, "-", '4L'!$F$5)</f>
        <v>Other enhancement-Security - SEMD-Raw water transport-Water network+-Expenditure in report year</v>
      </c>
      <c r="F1684" t="s">
        <v>7182</v>
      </c>
      <c r="G1684">
        <f>'4L'!$G$110</f>
        <v>0</v>
      </c>
    </row>
    <row r="1685" spans="1:7">
      <c r="A1685" t="s">
        <v>639</v>
      </c>
      <c r="C1685" t="str">
        <f>'4L'!$AX$110</f>
        <v>B0274SSO_RWS</v>
      </c>
      <c r="D1685" t="str">
        <f>_xlfn.CONCAT('4L'!$B$78, "-", '4L'!$B$110, "-", '4L'!$H$7, "-", '4L'!$G$6, "-", '4L'!$F$5)</f>
        <v>Other enhancement-Security - SEMD-Raw water storage-Water network+-Expenditure in report year</v>
      </c>
      <c r="F1685" t="s">
        <v>7182</v>
      </c>
      <c r="G1685">
        <f>'4L'!$H$110</f>
        <v>0</v>
      </c>
    </row>
    <row r="1686" spans="1:7">
      <c r="A1686" t="s">
        <v>639</v>
      </c>
      <c r="C1686" t="str">
        <f>'4L'!$AY$110</f>
        <v>B0274SSO_WT</v>
      </c>
      <c r="D1686" t="str">
        <f>_xlfn.CONCAT('4L'!$B$78, "-", '4L'!$B$110, "-", '4L'!$I$7, "-", '4L'!$G$6, "-", '4L'!$F$5)</f>
        <v>Other enhancement-Security - SEMD-Water treatment-Water network+-Expenditure in report year</v>
      </c>
      <c r="F1686" t="s">
        <v>7182</v>
      </c>
      <c r="G1686">
        <f>'4L'!$I$110</f>
        <v>0</v>
      </c>
    </row>
    <row r="1687" spans="1:7">
      <c r="A1687" t="s">
        <v>639</v>
      </c>
      <c r="C1687" t="str">
        <f>'4L'!$AZ$110</f>
        <v>B0274SSO_TWD</v>
      </c>
      <c r="D1687" t="str">
        <f>_xlfn.CONCAT('4L'!$B$78, "-", '4L'!$B$110, "-", '4L'!$J$7, "-", '4L'!$G$6, "-", '4L'!$F$5)</f>
        <v>Other enhancement-Security - SEMD-Treated water distribution-Water network+-Expenditure in report year</v>
      </c>
      <c r="F1687" t="s">
        <v>7182</v>
      </c>
      <c r="G1687">
        <f>'4L'!$J$110</f>
        <v>0</v>
      </c>
    </row>
    <row r="1688" spans="1:7">
      <c r="A1688" t="s">
        <v>639</v>
      </c>
      <c r="C1688" t="str">
        <f>'4L'!$BA$110</f>
        <v>B0274SSO_TOT</v>
      </c>
      <c r="D1688" t="str">
        <f>_xlfn.CONCAT('4L'!$B$78, "-", '4L'!$B$110, "-", '4L'!$K$6, "-", '4L'!$K$6, "-", '4L'!$F$5)</f>
        <v>Other enhancement-Security - SEMD-Total-Total-Expenditure in report year</v>
      </c>
      <c r="F1688" t="s">
        <v>7182</v>
      </c>
      <c r="G1688">
        <f>'4L'!$K$110</f>
        <v>0</v>
      </c>
    </row>
    <row r="1689" spans="1:7">
      <c r="A1689" t="s">
        <v>639</v>
      </c>
      <c r="C1689" t="str">
        <f>'4L'!$AV$111</f>
        <v>B0275SST_WR</v>
      </c>
      <c r="D1689" t="str">
        <f>_xlfn.CONCAT('4L'!$B$78, "-", '4L'!$B$111, "-", '4L'!$F$6, "-", '4L'!$F$6, "-", '4L'!$F$5)</f>
        <v>Other enhancement-Security - SEMD-Water resources-Water resources-Expenditure in report year</v>
      </c>
      <c r="F1689" t="s">
        <v>7182</v>
      </c>
      <c r="G1689">
        <f>'4L'!$F$111</f>
        <v>3.0000000000000001E-3</v>
      </c>
    </row>
    <row r="1690" spans="1:7">
      <c r="A1690" t="s">
        <v>639</v>
      </c>
      <c r="C1690" t="str">
        <f>'4L'!$AW$111</f>
        <v>B0275SST_RWT</v>
      </c>
      <c r="D1690" t="str">
        <f>_xlfn.CONCAT('4L'!$B$78, "-", '4L'!$B$111, "-", '4L'!$G$7, "-", '4L'!$G$6, "-", '4L'!$F$5)</f>
        <v>Other enhancement-Security - SEMD-Raw water transport-Water network+-Expenditure in report year</v>
      </c>
      <c r="F1690" t="s">
        <v>7182</v>
      </c>
      <c r="G1690">
        <f>'4L'!$G$111</f>
        <v>0</v>
      </c>
    </row>
    <row r="1691" spans="1:7">
      <c r="A1691" t="s">
        <v>639</v>
      </c>
      <c r="C1691" t="str">
        <f>'4L'!$AX$111</f>
        <v>B0275SST_RWS</v>
      </c>
      <c r="D1691" t="str">
        <f>_xlfn.CONCAT('4L'!$B$78, "-", '4L'!$B$111, "-", '4L'!$H$7, "-", '4L'!$G$6, "-", '4L'!$F$5)</f>
        <v>Other enhancement-Security - SEMD-Raw water storage-Water network+-Expenditure in report year</v>
      </c>
      <c r="F1691" t="s">
        <v>7182</v>
      </c>
      <c r="G1691">
        <f>'4L'!$H$111</f>
        <v>0</v>
      </c>
    </row>
    <row r="1692" spans="1:7">
      <c r="A1692" t="s">
        <v>639</v>
      </c>
      <c r="C1692" t="str">
        <f>'4L'!$AY$111</f>
        <v>B0275SST_WT</v>
      </c>
      <c r="D1692" t="str">
        <f>_xlfn.CONCAT('4L'!$B$78, "-", '4L'!$B$111, "-", '4L'!$I$7, "-", '4L'!$G$6, "-", '4L'!$F$5)</f>
        <v>Other enhancement-Security - SEMD-Water treatment-Water network+-Expenditure in report year</v>
      </c>
      <c r="F1692" t="s">
        <v>7182</v>
      </c>
      <c r="G1692">
        <f>'4L'!$I$111</f>
        <v>0.34200000000000003</v>
      </c>
    </row>
    <row r="1693" spans="1:7">
      <c r="A1693" t="s">
        <v>639</v>
      </c>
      <c r="C1693" t="str">
        <f>'4L'!$AZ$111</f>
        <v>B0275SST_TWD</v>
      </c>
      <c r="D1693" t="str">
        <f>_xlfn.CONCAT('4L'!$B$78, "-", '4L'!$B$111, "-", '4L'!$J$7, "-", '4L'!$G$6, "-", '4L'!$F$5)</f>
        <v>Other enhancement-Security - SEMD-Treated water distribution-Water network+-Expenditure in report year</v>
      </c>
      <c r="F1693" t="s">
        <v>7182</v>
      </c>
      <c r="G1693">
        <f>'4L'!$J$111</f>
        <v>0.22500000000000001</v>
      </c>
    </row>
    <row r="1694" spans="1:7">
      <c r="A1694" t="s">
        <v>639</v>
      </c>
      <c r="C1694" t="str">
        <f>'4L'!$BA$111</f>
        <v>B0275SST_TOT</v>
      </c>
      <c r="D1694" t="str">
        <f>_xlfn.CONCAT('4L'!$B$78, "-", '4L'!$B$111, "-", '4L'!$K$6, "-", '4L'!$K$6, "-", '4L'!$F$5)</f>
        <v>Other enhancement-Security - SEMD-Total-Total-Expenditure in report year</v>
      </c>
      <c r="F1694" t="s">
        <v>7182</v>
      </c>
      <c r="G1694">
        <f>'4L'!$K$111</f>
        <v>0.57000000000000006</v>
      </c>
    </row>
    <row r="1695" spans="1:7">
      <c r="A1695" t="s">
        <v>639</v>
      </c>
      <c r="C1695" t="str">
        <f>'4L'!$BH$111</f>
        <v>B0400SEMD_CUMME</v>
      </c>
      <c r="D1695" t="str">
        <f>_xlfn.CONCAT('4L'!$B$78, "-", '4L'!$B$111, "-", '4L'!$R$7, "-", '4L'!$R$5, "-", '4L'!$R$5)</f>
        <v>Other enhancement-Security - SEMD-Total-Cumulative expenditure on all schemes to reporting year end-Cumulative expenditure on all schemes to reporting year end</v>
      </c>
      <c r="F1695" t="s">
        <v>7182</v>
      </c>
      <c r="G1695">
        <f>'4L'!$R$111</f>
        <v>16.8</v>
      </c>
    </row>
    <row r="1696" spans="1:7">
      <c r="A1696" t="s">
        <v>639</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7182</v>
      </c>
      <c r="G1696">
        <f>'4L'!$S$111</f>
        <v>8.2189999999999994</v>
      </c>
    </row>
    <row r="1697" spans="1:7">
      <c r="A1697" t="s">
        <v>639</v>
      </c>
      <c r="C1697" t="str">
        <f>'4L'!$BJ$111</f>
        <v>B0400SEMD_CUMMT</v>
      </c>
      <c r="D1697" t="str">
        <f>_xlfn.CONCAT('4L'!$B$78, "-", '4L'!$B$111, "-", '4L'!$T$7, "-", '4L'!$T$5, "-", '4L'!$T$5)</f>
        <v>Other enhancement-Security - SEMD-Total-Cumulative allowed expenditure on all schemes 2020-25-Cumulative allowed expenditure on all schemes 2020-25</v>
      </c>
      <c r="F1697" t="s">
        <v>7182</v>
      </c>
      <c r="G1697">
        <f>'4L'!$T$111</f>
        <v>10.704000000000001</v>
      </c>
    </row>
    <row r="1698" spans="1:7">
      <c r="A1698" t="s">
        <v>639</v>
      </c>
      <c r="C1698" t="str">
        <f>'4L'!$AV$112</f>
        <v>B0276SNC_WR</v>
      </c>
      <c r="D1698" t="str">
        <f>_xlfn.CONCAT('4L'!$B$78, "-", '4L'!$B$112, "-", '4L'!$F$6, "-", '4L'!$F$6, "-", '4L'!$F$5)</f>
        <v>Other enhancement-Security - Non-SEMD-Water resources-Water resources-Expenditure in report year</v>
      </c>
      <c r="F1698" t="s">
        <v>7182</v>
      </c>
      <c r="G1698">
        <f>'4L'!$F$112</f>
        <v>0</v>
      </c>
    </row>
    <row r="1699" spans="1:7">
      <c r="A1699" t="s">
        <v>639</v>
      </c>
      <c r="C1699" t="str">
        <f>'4L'!$AW$112</f>
        <v>B0276SNC_RWT</v>
      </c>
      <c r="D1699" t="str">
        <f>_xlfn.CONCAT('4L'!$B$78, "-", '4L'!$B$112, "-", '4L'!$G$7, "-", '4L'!$G$6, "-", '4L'!$F$5)</f>
        <v>Other enhancement-Security - Non-SEMD-Raw water transport-Water network+-Expenditure in report year</v>
      </c>
      <c r="F1699" t="s">
        <v>7182</v>
      </c>
      <c r="G1699">
        <f>'4L'!$G$112</f>
        <v>0</v>
      </c>
    </row>
    <row r="1700" spans="1:7">
      <c r="A1700" t="s">
        <v>639</v>
      </c>
      <c r="C1700" t="str">
        <f>'4L'!$AX$112</f>
        <v>B0276SNC_RWS</v>
      </c>
      <c r="D1700" t="str">
        <f>_xlfn.CONCAT('4L'!$B$78, "-", '4L'!$B$112, "-", '4L'!$H$7, "-", '4L'!$G$6, "-", '4L'!$F$5)</f>
        <v>Other enhancement-Security - Non-SEMD-Raw water storage-Water network+-Expenditure in report year</v>
      </c>
      <c r="F1700" t="s">
        <v>7182</v>
      </c>
      <c r="G1700">
        <f>'4L'!$H$112</f>
        <v>0</v>
      </c>
    </row>
    <row r="1701" spans="1:7">
      <c r="A1701" t="s">
        <v>639</v>
      </c>
      <c r="C1701" t="str">
        <f>'4L'!$AY$112</f>
        <v>B0276SNC_WT</v>
      </c>
      <c r="D1701" t="str">
        <f>_xlfn.CONCAT('4L'!$B$78, "-", '4L'!$B$112, "-", '4L'!$I$7, "-", '4L'!$G$6, "-", '4L'!$F$5)</f>
        <v>Other enhancement-Security - Non-SEMD-Water treatment-Water network+-Expenditure in report year</v>
      </c>
      <c r="F1701" t="s">
        <v>7182</v>
      </c>
      <c r="G1701">
        <f>'4L'!$I$112</f>
        <v>0</v>
      </c>
    </row>
    <row r="1702" spans="1:7">
      <c r="A1702" t="s">
        <v>639</v>
      </c>
      <c r="C1702" t="str">
        <f>'4L'!$AZ$112</f>
        <v>B0276SNC_TWD</v>
      </c>
      <c r="D1702" t="str">
        <f>_xlfn.CONCAT('4L'!$B$78, "-", '4L'!$B$112, "-", '4L'!$J$7, "-", '4L'!$G$6, "-", '4L'!$F$5)</f>
        <v>Other enhancement-Security - Non-SEMD-Treated water distribution-Water network+-Expenditure in report year</v>
      </c>
      <c r="F1702" t="s">
        <v>7182</v>
      </c>
      <c r="G1702">
        <f>'4L'!$J$112</f>
        <v>0.16900000000000001</v>
      </c>
    </row>
    <row r="1703" spans="1:7">
      <c r="A1703" t="s">
        <v>639</v>
      </c>
      <c r="C1703" t="str">
        <f>'4L'!$BA$112</f>
        <v>B0276SNC_TOT</v>
      </c>
      <c r="D1703" t="str">
        <f>_xlfn.CONCAT('4L'!$B$78, "-", '4L'!$B$112, "-", '4L'!$K$6, "-", '4L'!$K$6, "-", '4L'!$F$5)</f>
        <v>Other enhancement-Security - Non-SEMD-Total-Total-Expenditure in report year</v>
      </c>
      <c r="F1703" t="s">
        <v>7182</v>
      </c>
      <c r="G1703">
        <f>'4L'!$K$112</f>
        <v>0.16900000000000001</v>
      </c>
    </row>
    <row r="1704" spans="1:7">
      <c r="A1704" t="s">
        <v>639</v>
      </c>
      <c r="C1704" t="str">
        <f>'4L'!$AV$113</f>
        <v>B0277SNO_WR</v>
      </c>
      <c r="D1704" t="str">
        <f>_xlfn.CONCAT('4L'!$B$78, "-", '4L'!$B$113, "-", '4L'!$F$6, "-", '4L'!$F$6, "-", '4L'!$F$5)</f>
        <v>Other enhancement-Security - Non-SEMD-Water resources-Water resources-Expenditure in report year</v>
      </c>
      <c r="F1704" t="s">
        <v>7182</v>
      </c>
      <c r="G1704">
        <f>'4L'!$F$113</f>
        <v>8.0000000000000002E-3</v>
      </c>
    </row>
    <row r="1705" spans="1:7">
      <c r="A1705" t="s">
        <v>639</v>
      </c>
      <c r="C1705" t="str">
        <f>'4L'!$AW$113</f>
        <v>B0277SNO_RWT</v>
      </c>
      <c r="D1705" t="str">
        <f>_xlfn.CONCAT('4L'!$B$78, "-", '4L'!$B$113, "-", '4L'!$G$7, "-", '4L'!$G$6, "-", '4L'!$F$5)</f>
        <v>Other enhancement-Security - Non-SEMD-Raw water transport-Water network+-Expenditure in report year</v>
      </c>
      <c r="F1705" t="s">
        <v>7182</v>
      </c>
      <c r="G1705">
        <f>'4L'!$G$113</f>
        <v>1E-3</v>
      </c>
    </row>
    <row r="1706" spans="1:7">
      <c r="A1706" t="s">
        <v>639</v>
      </c>
      <c r="C1706" t="str">
        <f>'4L'!$AX$113</f>
        <v>B0277SNO_RWS</v>
      </c>
      <c r="D1706" t="str">
        <f>_xlfn.CONCAT('4L'!$B$78, "-", '4L'!$B$113, "-", '4L'!$H$7, "-", '4L'!$G$6, "-", '4L'!$F$5)</f>
        <v>Other enhancement-Security - Non-SEMD-Raw water storage-Water network+-Expenditure in report year</v>
      </c>
      <c r="F1706" t="s">
        <v>7182</v>
      </c>
      <c r="G1706">
        <f>'4L'!$H$113</f>
        <v>0</v>
      </c>
    </row>
    <row r="1707" spans="1:7">
      <c r="A1707" t="s">
        <v>639</v>
      </c>
      <c r="C1707" t="str">
        <f>'4L'!$AY$113</f>
        <v>B0277SNO_WT</v>
      </c>
      <c r="D1707" t="str">
        <f>_xlfn.CONCAT('4L'!$B$78, "-", '4L'!$B$113, "-", '4L'!$I$7, "-", '4L'!$G$6, "-", '4L'!$F$5)</f>
        <v>Other enhancement-Security - Non-SEMD-Water treatment-Water network+-Expenditure in report year</v>
      </c>
      <c r="F1707" t="s">
        <v>7182</v>
      </c>
      <c r="G1707">
        <f>'4L'!$I$113</f>
        <v>4.3999999999999997E-2</v>
      </c>
    </row>
    <row r="1708" spans="1:7">
      <c r="A1708" t="s">
        <v>639</v>
      </c>
      <c r="C1708" t="str">
        <f>'4L'!$AZ$113</f>
        <v>B0277SNO_TWD</v>
      </c>
      <c r="D1708" t="str">
        <f>_xlfn.CONCAT('4L'!$B$78, "-", '4L'!$B$113, "-", '4L'!$J$7, "-", '4L'!$G$6, "-", '4L'!$F$5)</f>
        <v>Other enhancement-Security - Non-SEMD-Treated water distribution-Water network+-Expenditure in report year</v>
      </c>
      <c r="F1708" t="s">
        <v>7182</v>
      </c>
      <c r="G1708">
        <f>'4L'!$J$113</f>
        <v>0.11899999999999999</v>
      </c>
    </row>
    <row r="1709" spans="1:7">
      <c r="A1709" t="s">
        <v>639</v>
      </c>
      <c r="C1709" t="str">
        <f>'4L'!$BA$113</f>
        <v>B0277SNO_TOT</v>
      </c>
      <c r="D1709" t="str">
        <f>_xlfn.CONCAT('4L'!$B$78, "-", '4L'!$B$113, "-", '4L'!$K$6, "-", '4L'!$K$6, "-", '4L'!$F$5)</f>
        <v>Other enhancement-Security - Non-SEMD-Total-Total-Expenditure in report year</v>
      </c>
      <c r="F1709" t="s">
        <v>7182</v>
      </c>
      <c r="G1709">
        <f>'4L'!$K$113</f>
        <v>0.17199999999999999</v>
      </c>
    </row>
    <row r="1710" spans="1:7">
      <c r="A1710" t="s">
        <v>639</v>
      </c>
      <c r="C1710" t="str">
        <f>'4L'!$AV$114</f>
        <v>B0278SNT_WR</v>
      </c>
      <c r="D1710" t="str">
        <f>_xlfn.CONCAT('4L'!$B$78, "-", '4L'!$B$114, "-", '4L'!$F$6, "-", '4L'!$F$6, "-", '4L'!$F$5)</f>
        <v>Other enhancement-Security - Non-SEMD-Water resources-Water resources-Expenditure in report year</v>
      </c>
      <c r="F1710" t="s">
        <v>7182</v>
      </c>
      <c r="G1710">
        <f>'4L'!$F$114</f>
        <v>8.0000000000000002E-3</v>
      </c>
    </row>
    <row r="1711" spans="1:7">
      <c r="A1711" t="s">
        <v>639</v>
      </c>
      <c r="C1711" t="str">
        <f>'4L'!$AW$114</f>
        <v>B0278SNT_RWT</v>
      </c>
      <c r="D1711" t="str">
        <f>_xlfn.CONCAT('4L'!$B$78, "-", '4L'!$B$114, "-", '4L'!$G$7, "-", '4L'!$G$6, "-", '4L'!$F$5)</f>
        <v>Other enhancement-Security - Non-SEMD-Raw water transport-Water network+-Expenditure in report year</v>
      </c>
      <c r="F1711" t="s">
        <v>7182</v>
      </c>
      <c r="G1711">
        <f>'4L'!$G$114</f>
        <v>1E-3</v>
      </c>
    </row>
    <row r="1712" spans="1:7">
      <c r="A1712" t="s">
        <v>639</v>
      </c>
      <c r="C1712" t="str">
        <f>'4L'!$AX$114</f>
        <v>B0278SNT_RWS</v>
      </c>
      <c r="D1712" t="str">
        <f>_xlfn.CONCAT('4L'!$B$78, "-", '4L'!$B$114, "-", '4L'!$H$7, "-", '4L'!$G$6, "-", '4L'!$F$5)</f>
        <v>Other enhancement-Security - Non-SEMD-Raw water storage-Water network+-Expenditure in report year</v>
      </c>
      <c r="F1712" t="s">
        <v>7182</v>
      </c>
      <c r="G1712">
        <f>'4L'!$H$114</f>
        <v>0</v>
      </c>
    </row>
    <row r="1713" spans="1:7">
      <c r="A1713" t="s">
        <v>639</v>
      </c>
      <c r="C1713" t="str">
        <f>'4L'!$AY$114</f>
        <v>B0278SNT_WT</v>
      </c>
      <c r="D1713" t="str">
        <f>_xlfn.CONCAT('4L'!$B$78, "-", '4L'!$B$114, "-", '4L'!$I$7, "-", '4L'!$G$6, "-", '4L'!$F$5)</f>
        <v>Other enhancement-Security - Non-SEMD-Water treatment-Water network+-Expenditure in report year</v>
      </c>
      <c r="F1713" t="s">
        <v>7182</v>
      </c>
      <c r="G1713">
        <f>'4L'!$I$114</f>
        <v>4.3999999999999997E-2</v>
      </c>
    </row>
    <row r="1714" spans="1:7">
      <c r="A1714" t="s">
        <v>639</v>
      </c>
      <c r="C1714" t="str">
        <f>'4L'!$AZ$114</f>
        <v>B0278SNT_TWD</v>
      </c>
      <c r="D1714" t="str">
        <f>_xlfn.CONCAT('4L'!$B$78, "-", '4L'!$B$114, "-", '4L'!$J$7, "-", '4L'!$G$6, "-", '4L'!$F$5)</f>
        <v>Other enhancement-Security - Non-SEMD-Treated water distribution-Water network+-Expenditure in report year</v>
      </c>
      <c r="F1714" t="s">
        <v>7182</v>
      </c>
      <c r="G1714">
        <f>'4L'!$J$114</f>
        <v>0.28800000000000003</v>
      </c>
    </row>
    <row r="1715" spans="1:7">
      <c r="A1715" t="s">
        <v>639</v>
      </c>
      <c r="C1715" t="str">
        <f>'4L'!$BA$114</f>
        <v>B0278SNT_TOT</v>
      </c>
      <c r="D1715" t="str">
        <f>_xlfn.CONCAT('4L'!$B$78, "-", '4L'!$B$114, "-", '4L'!$K$6, "-", '4L'!$K$6, "-", '4L'!$F$5)</f>
        <v>Other enhancement-Security - Non-SEMD-Total-Total-Expenditure in report year</v>
      </c>
      <c r="F1715" t="s">
        <v>7182</v>
      </c>
      <c r="G1715">
        <f>'4L'!$K$114</f>
        <v>0.34100000000000003</v>
      </c>
    </row>
    <row r="1716" spans="1:7">
      <c r="A1716" t="s">
        <v>639</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7182</v>
      </c>
      <c r="G1716">
        <f>'4L'!$R$114</f>
        <v>1.7549999999999999</v>
      </c>
    </row>
    <row r="1717" spans="1:7">
      <c r="A1717" t="s">
        <v>639</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7182</v>
      </c>
      <c r="G1717">
        <f>'4L'!$S$114</f>
        <v>0</v>
      </c>
    </row>
    <row r="1718" spans="1:7">
      <c r="A1718" t="s">
        <v>639</v>
      </c>
      <c r="C1718" t="str">
        <f>'4L'!$BJ$114</f>
        <v>B0401NSEMD_CUMMT</v>
      </c>
      <c r="D1718" t="str">
        <f>_xlfn.CONCAT('4L'!$B$78, "-", '4L'!$B$114, "-", '4L'!$T$7, "-", '4L'!$T$5, "-", '4L'!$T$5)</f>
        <v>Other enhancement-Security - Non-SEMD-Total-Cumulative allowed expenditure on all schemes 2020-25-Cumulative allowed expenditure on all schemes 2020-25</v>
      </c>
      <c r="F1718" t="s">
        <v>7182</v>
      </c>
      <c r="G1718">
        <f>'4L'!$T$114</f>
        <v>0</v>
      </c>
    </row>
    <row r="1719" spans="1:7">
      <c r="A1719" t="s">
        <v>639</v>
      </c>
      <c r="C1719" t="str">
        <f>'4L'!$AV$115</f>
        <v>B0279ALC_WR</v>
      </c>
      <c r="D1719" t="str">
        <f>_xlfn.CONCAT('4L'!$B$78, "-", '4L'!$B$115, "-", '4L'!$F$6, "-", '4L'!$F$6, "-", '4L'!$F$5)</f>
        <v>Other enhancement-Additional line 1-Water resources-Water resources-Expenditure in report year</v>
      </c>
      <c r="F1719" t="s">
        <v>7182</v>
      </c>
      <c r="G1719">
        <f>'4L'!$F$115</f>
        <v>0</v>
      </c>
    </row>
    <row r="1720" spans="1:7">
      <c r="A1720" t="s">
        <v>639</v>
      </c>
      <c r="C1720" t="str">
        <f>'4L'!$AW$115</f>
        <v>B0279ALC_RWT</v>
      </c>
      <c r="D1720" t="str">
        <f>_xlfn.CONCAT('4L'!$B$78, "-", '4L'!$B$115, "-", '4L'!$G$7, "-", '4L'!$G$6, "-", '4L'!$F$5)</f>
        <v>Other enhancement-Additional line 1-Raw water transport-Water network+-Expenditure in report year</v>
      </c>
      <c r="F1720" t="s">
        <v>7182</v>
      </c>
      <c r="G1720">
        <f>'4L'!$G$115</f>
        <v>0</v>
      </c>
    </row>
    <row r="1721" spans="1:7">
      <c r="A1721" t="s">
        <v>639</v>
      </c>
      <c r="C1721" t="str">
        <f>'4L'!$AX$115</f>
        <v>B0279ALC_RWS</v>
      </c>
      <c r="D1721" t="str">
        <f>_xlfn.CONCAT('4L'!$B$78, "-", '4L'!$B$115, "-", '4L'!$H$7, "-", '4L'!$G$6, "-", '4L'!$F$5)</f>
        <v>Other enhancement-Additional line 1-Raw water storage-Water network+-Expenditure in report year</v>
      </c>
      <c r="F1721" t="s">
        <v>7182</v>
      </c>
      <c r="G1721">
        <f>'4L'!$H$115</f>
        <v>0</v>
      </c>
    </row>
    <row r="1722" spans="1:7">
      <c r="A1722" t="s">
        <v>639</v>
      </c>
      <c r="C1722" t="str">
        <f>'4L'!$AY$115</f>
        <v>B0279ALC_WT</v>
      </c>
      <c r="D1722" t="str">
        <f>_xlfn.CONCAT('4L'!$B$78, "-", '4L'!$B$115, "-", '4L'!$I$7, "-", '4L'!$G$6, "-", '4L'!$F$5)</f>
        <v>Other enhancement-Additional line 1-Water treatment-Water network+-Expenditure in report year</v>
      </c>
      <c r="F1722" t="s">
        <v>7182</v>
      </c>
      <c r="G1722">
        <f>'4L'!$I$115</f>
        <v>0</v>
      </c>
    </row>
    <row r="1723" spans="1:7">
      <c r="A1723" t="s">
        <v>639</v>
      </c>
      <c r="C1723" t="str">
        <f>'4L'!$AZ$115</f>
        <v>B0279ALC_TWD</v>
      </c>
      <c r="D1723" t="str">
        <f>_xlfn.CONCAT('4L'!$B$78, "-", '4L'!$B$115, "-", '4L'!$J$7, "-", '4L'!$G$6, "-", '4L'!$F$5)</f>
        <v>Other enhancement-Additional line 1-Treated water distribution-Water network+-Expenditure in report year</v>
      </c>
      <c r="F1723" t="s">
        <v>7182</v>
      </c>
      <c r="G1723">
        <f>'4L'!$J$115</f>
        <v>0</v>
      </c>
    </row>
    <row r="1724" spans="1:7">
      <c r="A1724" t="s">
        <v>639</v>
      </c>
      <c r="C1724" t="str">
        <f>'4L'!$BA$115</f>
        <v>B0279ALC_TOT</v>
      </c>
      <c r="D1724" t="str">
        <f>_xlfn.CONCAT('4L'!$B$78, "-", '4L'!$B$115, "-", '4L'!$K$6, "-", '4L'!$K$6, "-", '4L'!$F$5)</f>
        <v>Other enhancement-Additional line 1-Total-Total-Expenditure in report year</v>
      </c>
      <c r="F1724" t="s">
        <v>7182</v>
      </c>
      <c r="G1724">
        <f>'4L'!$K$115</f>
        <v>0</v>
      </c>
    </row>
    <row r="1725" spans="1:7">
      <c r="A1725" t="s">
        <v>639</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7182</v>
      </c>
      <c r="G1725">
        <f>'4L'!$R$115</f>
        <v>0</v>
      </c>
    </row>
    <row r="1726" spans="1:7">
      <c r="A1726" t="s">
        <v>639</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7182</v>
      </c>
      <c r="G1726">
        <f>'4L'!$S$115</f>
        <v>0</v>
      </c>
    </row>
    <row r="1727" spans="1:7">
      <c r="A1727" t="s">
        <v>639</v>
      </c>
      <c r="C1727" t="str">
        <f>'4L'!$BJ$115</f>
        <v>B0402AL1C_CUMMT</v>
      </c>
      <c r="D1727" t="str">
        <f>_xlfn.CONCAT('4L'!$B$78, "-", '4L'!$B$115, "-", '4L'!$T$7, "-", '4L'!$T$5, "-", '4L'!$T$5)</f>
        <v>Other enhancement-Additional line 1-Total-Cumulative allowed expenditure on all schemes 2020-25-Cumulative allowed expenditure on all schemes 2020-25</v>
      </c>
      <c r="F1727" t="s">
        <v>7182</v>
      </c>
      <c r="G1727">
        <f>'4L'!$T$115</f>
        <v>0</v>
      </c>
    </row>
    <row r="1728" spans="1:7">
      <c r="A1728" t="s">
        <v>639</v>
      </c>
      <c r="C1728" t="str">
        <f>'4L'!$AV$116</f>
        <v>B0280ALO_WR</v>
      </c>
      <c r="D1728" t="str">
        <f>_xlfn.CONCAT('4L'!$B$78, "-", '4L'!$B$116, "-", '4L'!$F$6, "-", '4L'!$F$6, "-", '4L'!$F$5)</f>
        <v>Other enhancement-Additional line 1-Water resources-Water resources-Expenditure in report year</v>
      </c>
      <c r="F1728" t="s">
        <v>7182</v>
      </c>
      <c r="G1728">
        <f>'4L'!$F$116</f>
        <v>0</v>
      </c>
    </row>
    <row r="1729" spans="1:7">
      <c r="A1729" t="s">
        <v>639</v>
      </c>
      <c r="C1729" t="str">
        <f>'4L'!$AW$116</f>
        <v>B0280ALO_RWT</v>
      </c>
      <c r="D1729" t="str">
        <f>_xlfn.CONCAT('4L'!$B$78, "-", '4L'!$B$116, "-", '4L'!$G$7, "-", '4L'!$G$6, "-", '4L'!$F$5)</f>
        <v>Other enhancement-Additional line 1-Raw water transport-Water network+-Expenditure in report year</v>
      </c>
      <c r="F1729" t="s">
        <v>7182</v>
      </c>
      <c r="G1729">
        <f>'4L'!$G$116</f>
        <v>0</v>
      </c>
    </row>
    <row r="1730" spans="1:7">
      <c r="A1730" t="s">
        <v>639</v>
      </c>
      <c r="C1730" t="str">
        <f>'4L'!$AX$116</f>
        <v>B0280ALO_RWS</v>
      </c>
      <c r="D1730" t="str">
        <f>_xlfn.CONCAT('4L'!$B$78, "-", '4L'!$B$116, "-", '4L'!$H$7, "-", '4L'!$G$6, "-", '4L'!$F$5)</f>
        <v>Other enhancement-Additional line 1-Raw water storage-Water network+-Expenditure in report year</v>
      </c>
      <c r="F1730" t="s">
        <v>7182</v>
      </c>
      <c r="G1730">
        <f>'4L'!$H$116</f>
        <v>0</v>
      </c>
    </row>
    <row r="1731" spans="1:7">
      <c r="A1731" t="s">
        <v>639</v>
      </c>
      <c r="C1731" t="str">
        <f>'4L'!$AY$116</f>
        <v>B0280ALO_WT</v>
      </c>
      <c r="D1731" t="str">
        <f>_xlfn.CONCAT('4L'!$B$78, "-", '4L'!$B$116, "-", '4L'!$I$7, "-", '4L'!$G$6, "-", '4L'!$F$5)</f>
        <v>Other enhancement-Additional line 1-Water treatment-Water network+-Expenditure in report year</v>
      </c>
      <c r="F1731" t="s">
        <v>7182</v>
      </c>
      <c r="G1731">
        <f>'4L'!$I$116</f>
        <v>0</v>
      </c>
    </row>
    <row r="1732" spans="1:7">
      <c r="A1732" t="s">
        <v>639</v>
      </c>
      <c r="C1732" t="str">
        <f>'4L'!$AZ$116</f>
        <v>B0280ALO_TWD</v>
      </c>
      <c r="D1732" t="str">
        <f>_xlfn.CONCAT('4L'!$B$78, "-", '4L'!$B$116, "-", '4L'!$J$7, "-", '4L'!$G$6, "-", '4L'!$F$5)</f>
        <v>Other enhancement-Additional line 1-Treated water distribution-Water network+-Expenditure in report year</v>
      </c>
      <c r="F1732" t="s">
        <v>7182</v>
      </c>
      <c r="G1732">
        <f>'4L'!$J$116</f>
        <v>0</v>
      </c>
    </row>
    <row r="1733" spans="1:7">
      <c r="A1733" t="s">
        <v>639</v>
      </c>
      <c r="C1733" t="str">
        <f>'4L'!$BA$116</f>
        <v>B0280ALO_TOT</v>
      </c>
      <c r="D1733" t="str">
        <f>_xlfn.CONCAT('4L'!$B$78, "-", '4L'!$B$116, "-", '4L'!$K$6, "-", '4L'!$K$6, "-", '4L'!$F$5)</f>
        <v>Other enhancement-Additional line 1-Total-Total-Expenditure in report year</v>
      </c>
      <c r="F1733" t="s">
        <v>7182</v>
      </c>
      <c r="G1733">
        <f>'4L'!$K$116</f>
        <v>0</v>
      </c>
    </row>
    <row r="1734" spans="1:7">
      <c r="A1734" t="s">
        <v>639</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7182</v>
      </c>
      <c r="G1734">
        <f>'4L'!$R$116</f>
        <v>0</v>
      </c>
    </row>
    <row r="1735" spans="1:7">
      <c r="A1735" t="s">
        <v>639</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7182</v>
      </c>
      <c r="G1735">
        <f>'4L'!$S$116</f>
        <v>0</v>
      </c>
    </row>
    <row r="1736" spans="1:7">
      <c r="A1736" t="s">
        <v>639</v>
      </c>
      <c r="C1736" t="str">
        <f>'4L'!$BJ$116</f>
        <v>B0403AL1O_CUMMT</v>
      </c>
      <c r="D1736" t="str">
        <f>_xlfn.CONCAT('4L'!$B$78, "-", '4L'!$B$116, "-", '4L'!$T$7, "-", '4L'!$T$5, "-", '4L'!$T$5)</f>
        <v>Other enhancement-Additional line 1-Total-Cumulative allowed expenditure on all schemes 2020-25-Cumulative allowed expenditure on all schemes 2020-25</v>
      </c>
      <c r="F1736" t="s">
        <v>7182</v>
      </c>
      <c r="G1736">
        <f>'4L'!$T$116</f>
        <v>0</v>
      </c>
    </row>
    <row r="1737" spans="1:7">
      <c r="A1737" t="s">
        <v>639</v>
      </c>
      <c r="C1737" t="str">
        <f>'4L'!$AV$117</f>
        <v>B0281ALC_WR</v>
      </c>
      <c r="D1737" t="str">
        <f>_xlfn.CONCAT('4L'!$B$78, "-", '4L'!$B$117, "-", '4L'!$F$6, "-", '4L'!$F$6, "-", '4L'!$F$5)</f>
        <v>Other enhancement-Additional line 2-Water resources-Water resources-Expenditure in report year</v>
      </c>
      <c r="F1737" t="s">
        <v>7182</v>
      </c>
      <c r="G1737">
        <f>'4L'!$F$117</f>
        <v>0</v>
      </c>
    </row>
    <row r="1738" spans="1:7">
      <c r="A1738" t="s">
        <v>639</v>
      </c>
      <c r="C1738" t="str">
        <f>'4L'!$AW$117</f>
        <v>B0281ALC_RWT</v>
      </c>
      <c r="D1738" t="str">
        <f>_xlfn.CONCAT('4L'!$B$78, "-", '4L'!$B$117, "-", '4L'!$G$7, "-", '4L'!$G$6, "-", '4L'!$F$5)</f>
        <v>Other enhancement-Additional line 2-Raw water transport-Water network+-Expenditure in report year</v>
      </c>
      <c r="F1738" t="s">
        <v>7182</v>
      </c>
      <c r="G1738">
        <f>'4L'!$G$117</f>
        <v>0</v>
      </c>
    </row>
    <row r="1739" spans="1:7">
      <c r="A1739" t="s">
        <v>639</v>
      </c>
      <c r="C1739" t="str">
        <f>'4L'!$AX$117</f>
        <v>B0281ALC_RWS</v>
      </c>
      <c r="D1739" t="str">
        <f>_xlfn.CONCAT('4L'!$B$78, "-", '4L'!$B$117, "-", '4L'!$H$7, "-", '4L'!$G$6, "-", '4L'!$F$5)</f>
        <v>Other enhancement-Additional line 2-Raw water storage-Water network+-Expenditure in report year</v>
      </c>
      <c r="F1739" t="s">
        <v>7182</v>
      </c>
      <c r="G1739">
        <f>'4L'!$H$117</f>
        <v>0</v>
      </c>
    </row>
    <row r="1740" spans="1:7">
      <c r="A1740" t="s">
        <v>639</v>
      </c>
      <c r="C1740" t="str">
        <f>'4L'!$AY$117</f>
        <v>B0281ALC_WT</v>
      </c>
      <c r="D1740" t="str">
        <f>_xlfn.CONCAT('4L'!$B$78, "-", '4L'!$B$117, "-", '4L'!$I$7, "-", '4L'!$G$6, "-", '4L'!$F$5)</f>
        <v>Other enhancement-Additional line 2-Water treatment-Water network+-Expenditure in report year</v>
      </c>
      <c r="F1740" t="s">
        <v>7182</v>
      </c>
      <c r="G1740">
        <f>'4L'!$I$117</f>
        <v>0</v>
      </c>
    </row>
    <row r="1741" spans="1:7">
      <c r="A1741" t="s">
        <v>639</v>
      </c>
      <c r="C1741" t="str">
        <f>'4L'!$AZ$117</f>
        <v>B0281ALC_TWD</v>
      </c>
      <c r="D1741" t="str">
        <f>_xlfn.CONCAT('4L'!$B$78, "-", '4L'!$B$117, "-", '4L'!$J$7, "-", '4L'!$G$6, "-", '4L'!$F$5)</f>
        <v>Other enhancement-Additional line 2-Treated water distribution-Water network+-Expenditure in report year</v>
      </c>
      <c r="F1741" t="s">
        <v>7182</v>
      </c>
      <c r="G1741">
        <f>'4L'!$J$117</f>
        <v>0</v>
      </c>
    </row>
    <row r="1742" spans="1:7">
      <c r="A1742" t="s">
        <v>639</v>
      </c>
      <c r="C1742" t="str">
        <f>'4L'!$BA$117</f>
        <v>B0281ALC_TOT</v>
      </c>
      <c r="D1742" t="str">
        <f>_xlfn.CONCAT('4L'!$B$78, "-", '4L'!$B$117, "-", '4L'!$K$6, "-", '4L'!$K$6, "-", '4L'!$F$5)</f>
        <v>Other enhancement-Additional line 2-Total-Total-Expenditure in report year</v>
      </c>
      <c r="F1742" t="s">
        <v>7182</v>
      </c>
      <c r="G1742">
        <f>'4L'!$K$117</f>
        <v>0</v>
      </c>
    </row>
    <row r="1743" spans="1:7">
      <c r="A1743" t="s">
        <v>639</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7182</v>
      </c>
      <c r="G1743">
        <f>'4L'!$R$117</f>
        <v>0</v>
      </c>
    </row>
    <row r="1744" spans="1:7">
      <c r="A1744" t="s">
        <v>639</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7182</v>
      </c>
      <c r="G1744">
        <f>'4L'!$S$117</f>
        <v>0</v>
      </c>
    </row>
    <row r="1745" spans="1:7">
      <c r="A1745" t="s">
        <v>639</v>
      </c>
      <c r="C1745" t="str">
        <f>'4L'!$BJ$117</f>
        <v>B0403AL2C_CUMMT</v>
      </c>
      <c r="D1745" t="str">
        <f>_xlfn.CONCAT('4L'!$B$78, "-", '4L'!$B$117, "-", '4L'!$T$7, "-", '4L'!$T$5, "-", '4L'!$T$5)</f>
        <v>Other enhancement-Additional line 2-Total-Cumulative allowed expenditure on all schemes 2020-25-Cumulative allowed expenditure on all schemes 2020-25</v>
      </c>
      <c r="F1745" t="s">
        <v>7182</v>
      </c>
      <c r="G1745">
        <f>'4L'!$T$117</f>
        <v>0</v>
      </c>
    </row>
    <row r="1746" spans="1:7">
      <c r="A1746" t="s">
        <v>639</v>
      </c>
      <c r="C1746" t="str">
        <f>'4L'!$AV$118</f>
        <v>B0282ALO_WR</v>
      </c>
      <c r="D1746" t="str">
        <f>_xlfn.CONCAT('4L'!$B$78, "-", '4L'!$B$118, "-", '4L'!$F$6, "-", '4L'!$F$6, "-", '4L'!$F$5)</f>
        <v>Other enhancement-Additional line 2-Water resources-Water resources-Expenditure in report year</v>
      </c>
      <c r="F1746" t="s">
        <v>7182</v>
      </c>
      <c r="G1746">
        <f>'4L'!$F$118</f>
        <v>0</v>
      </c>
    </row>
    <row r="1747" spans="1:7">
      <c r="A1747" t="s">
        <v>639</v>
      </c>
      <c r="C1747" t="str">
        <f>'4L'!$AW$118</f>
        <v>B0282ALO_RWT</v>
      </c>
      <c r="D1747" t="str">
        <f>_xlfn.CONCAT('4L'!$B$78, "-", '4L'!$B$118, "-", '4L'!$G$7, "-", '4L'!$G$6, "-", '4L'!$F$5)</f>
        <v>Other enhancement-Additional line 2-Raw water transport-Water network+-Expenditure in report year</v>
      </c>
      <c r="F1747" t="s">
        <v>7182</v>
      </c>
      <c r="G1747">
        <f>'4L'!$G$118</f>
        <v>0</v>
      </c>
    </row>
    <row r="1748" spans="1:7">
      <c r="A1748" t="s">
        <v>639</v>
      </c>
      <c r="C1748" t="str">
        <f>'4L'!$AX$118</f>
        <v>B0282ALO_RWS</v>
      </c>
      <c r="D1748" t="str">
        <f>_xlfn.CONCAT('4L'!$B$78, "-", '4L'!$B$118, "-", '4L'!$H$7, "-", '4L'!$G$6, "-", '4L'!$F$5)</f>
        <v>Other enhancement-Additional line 2-Raw water storage-Water network+-Expenditure in report year</v>
      </c>
      <c r="F1748" t="s">
        <v>7182</v>
      </c>
      <c r="G1748">
        <f>'4L'!$H$118</f>
        <v>0</v>
      </c>
    </row>
    <row r="1749" spans="1:7">
      <c r="A1749" t="s">
        <v>639</v>
      </c>
      <c r="C1749" t="str">
        <f>'4L'!$AY$118</f>
        <v>B0282ALO_WT</v>
      </c>
      <c r="D1749" t="str">
        <f>_xlfn.CONCAT('4L'!$B$78, "-", '4L'!$B$118, "-", '4L'!$I$7, "-", '4L'!$G$6, "-", '4L'!$F$5)</f>
        <v>Other enhancement-Additional line 2-Water treatment-Water network+-Expenditure in report year</v>
      </c>
      <c r="F1749" t="s">
        <v>7182</v>
      </c>
      <c r="G1749">
        <f>'4L'!$I$118</f>
        <v>0</v>
      </c>
    </row>
    <row r="1750" spans="1:7">
      <c r="A1750" t="s">
        <v>639</v>
      </c>
      <c r="C1750" t="str">
        <f>'4L'!$AZ$118</f>
        <v>B0282ALO_TWD</v>
      </c>
      <c r="D1750" t="str">
        <f>_xlfn.CONCAT('4L'!$B$78, "-", '4L'!$B$118, "-", '4L'!$J$7, "-", '4L'!$G$6, "-", '4L'!$F$5)</f>
        <v>Other enhancement-Additional line 2-Treated water distribution-Water network+-Expenditure in report year</v>
      </c>
      <c r="F1750" t="s">
        <v>7182</v>
      </c>
      <c r="G1750">
        <f>'4L'!$J$118</f>
        <v>0</v>
      </c>
    </row>
    <row r="1751" spans="1:7">
      <c r="A1751" t="s">
        <v>639</v>
      </c>
      <c r="C1751" t="str">
        <f>'4L'!$BA$118</f>
        <v>B0282ALO_TOT</v>
      </c>
      <c r="D1751" t="str">
        <f>_xlfn.CONCAT('4L'!$B$78, "-", '4L'!$B$118, "-", '4L'!$K$6, "-", '4L'!$K$6, "-", '4L'!$F$5)</f>
        <v>Other enhancement-Additional line 2-Total-Total-Expenditure in report year</v>
      </c>
      <c r="F1751" t="s">
        <v>7182</v>
      </c>
      <c r="G1751">
        <f>'4L'!$K$118</f>
        <v>0</v>
      </c>
    </row>
    <row r="1752" spans="1:7">
      <c r="A1752" t="s">
        <v>639</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7182</v>
      </c>
      <c r="G1752">
        <f>'4L'!$R$118</f>
        <v>0</v>
      </c>
    </row>
    <row r="1753" spans="1:7">
      <c r="A1753" t="s">
        <v>639</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7182</v>
      </c>
      <c r="G1753">
        <f>'4L'!$S$118</f>
        <v>0</v>
      </c>
    </row>
    <row r="1754" spans="1:7">
      <c r="A1754" t="s">
        <v>639</v>
      </c>
      <c r="C1754" t="str">
        <f>'4L'!$BJ$118</f>
        <v>B0404AL2O_CUMMT</v>
      </c>
      <c r="D1754" t="str">
        <f>_xlfn.CONCAT('4L'!$B$78, "-", '4L'!$B$118, "-", '4L'!$T$7, "-", '4L'!$T$5, "-", '4L'!$T$5)</f>
        <v>Other enhancement-Additional line 2-Total-Cumulative allowed expenditure on all schemes 2020-25-Cumulative allowed expenditure on all schemes 2020-25</v>
      </c>
      <c r="F1754" t="s">
        <v>7182</v>
      </c>
      <c r="G1754">
        <f>'4L'!$T$118</f>
        <v>0</v>
      </c>
    </row>
    <row r="1755" spans="1:7">
      <c r="A1755" t="s">
        <v>639</v>
      </c>
      <c r="C1755" t="str">
        <f>'4L'!$AV$119</f>
        <v>B0283ALC_WR</v>
      </c>
      <c r="D1755" t="str">
        <f>_xlfn.CONCAT('4L'!$B$78, "-", '4L'!$B$119, "-", '4L'!$F$6, "-", '4L'!$F$6, "-", '4L'!$F$5)</f>
        <v>Other enhancement-Additional line 3-Water resources-Water resources-Expenditure in report year</v>
      </c>
      <c r="F1755" t="s">
        <v>7182</v>
      </c>
      <c r="G1755">
        <f>'4L'!$F$119</f>
        <v>0</v>
      </c>
    </row>
    <row r="1756" spans="1:7">
      <c r="A1756" t="s">
        <v>639</v>
      </c>
      <c r="C1756" t="str">
        <f>'4L'!$AW$119</f>
        <v>B0283ALC_RWT</v>
      </c>
      <c r="D1756" t="str">
        <f>_xlfn.CONCAT('4L'!$B$78, "-", '4L'!$B$119, "-", '4L'!$G$7, "-", '4L'!$G$6, "-", '4L'!$F$5)</f>
        <v>Other enhancement-Additional line 3-Raw water transport-Water network+-Expenditure in report year</v>
      </c>
      <c r="F1756" t="s">
        <v>7182</v>
      </c>
      <c r="G1756">
        <f>'4L'!$G$119</f>
        <v>0</v>
      </c>
    </row>
    <row r="1757" spans="1:7">
      <c r="A1757" t="s">
        <v>639</v>
      </c>
      <c r="C1757" t="str">
        <f>'4L'!$AX$119</f>
        <v>B0283ALC_RWS</v>
      </c>
      <c r="D1757" t="str">
        <f>_xlfn.CONCAT('4L'!$B$78, "-", '4L'!$B$119, "-", '4L'!$H$7, "-", '4L'!$G$6, "-", '4L'!$F$5)</f>
        <v>Other enhancement-Additional line 3-Raw water storage-Water network+-Expenditure in report year</v>
      </c>
      <c r="F1757" t="s">
        <v>7182</v>
      </c>
      <c r="G1757">
        <f>'4L'!$H$119</f>
        <v>0</v>
      </c>
    </row>
    <row r="1758" spans="1:7">
      <c r="A1758" t="s">
        <v>639</v>
      </c>
      <c r="C1758" t="str">
        <f>'4L'!$AY$119</f>
        <v>B0283ALC_WT</v>
      </c>
      <c r="D1758" t="str">
        <f>_xlfn.CONCAT('4L'!$B$78, "-", '4L'!$B$119, "-", '4L'!$I$7, "-", '4L'!$G$6, "-", '4L'!$F$5)</f>
        <v>Other enhancement-Additional line 3-Water treatment-Water network+-Expenditure in report year</v>
      </c>
      <c r="F1758" t="s">
        <v>7182</v>
      </c>
      <c r="G1758">
        <f>'4L'!$I$119</f>
        <v>0</v>
      </c>
    </row>
    <row r="1759" spans="1:7">
      <c r="A1759" t="s">
        <v>639</v>
      </c>
      <c r="C1759" t="str">
        <f>'4L'!$AZ$119</f>
        <v>B0283ALC_TWD</v>
      </c>
      <c r="D1759" t="str">
        <f>_xlfn.CONCAT('4L'!$B$78, "-", '4L'!$B$119, "-", '4L'!$J$7, "-", '4L'!$G$6, "-", '4L'!$F$5)</f>
        <v>Other enhancement-Additional line 3-Treated water distribution-Water network+-Expenditure in report year</v>
      </c>
      <c r="F1759" t="s">
        <v>7182</v>
      </c>
      <c r="G1759">
        <f>'4L'!$J$119</f>
        <v>0</v>
      </c>
    </row>
    <row r="1760" spans="1:7">
      <c r="A1760" t="s">
        <v>639</v>
      </c>
      <c r="C1760" t="str">
        <f>'4L'!$BA$119</f>
        <v>B0283ALC_TOT</v>
      </c>
      <c r="D1760" t="str">
        <f>_xlfn.CONCAT('4L'!$B$78, "-", '4L'!$B$119, "-", '4L'!$K$6, "-", '4L'!$K$6, "-", '4L'!$F$5)</f>
        <v>Other enhancement-Additional line 3-Total-Total-Expenditure in report year</v>
      </c>
      <c r="F1760" t="s">
        <v>7182</v>
      </c>
      <c r="G1760">
        <f>'4L'!$K$119</f>
        <v>0</v>
      </c>
    </row>
    <row r="1761" spans="1:7">
      <c r="A1761" t="s">
        <v>639</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7182</v>
      </c>
      <c r="G1761">
        <f>'4L'!$R$119</f>
        <v>0</v>
      </c>
    </row>
    <row r="1762" spans="1:7">
      <c r="A1762" t="s">
        <v>639</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7182</v>
      </c>
      <c r="G1762">
        <f>'4L'!$S$119</f>
        <v>0</v>
      </c>
    </row>
    <row r="1763" spans="1:7">
      <c r="A1763" t="s">
        <v>639</v>
      </c>
      <c r="C1763" t="str">
        <f>'4L'!$BJ$119</f>
        <v>B0405AL3C_CUMMT</v>
      </c>
      <c r="D1763" t="str">
        <f>_xlfn.CONCAT('4L'!$B$78, "-", '4L'!$B$119, "-", '4L'!$T$7, "-", '4L'!$T$5, "-", '4L'!$T$5)</f>
        <v>Other enhancement-Additional line 3-Total-Cumulative allowed expenditure on all schemes 2020-25-Cumulative allowed expenditure on all schemes 2020-25</v>
      </c>
      <c r="F1763" t="s">
        <v>7182</v>
      </c>
      <c r="G1763">
        <f>'4L'!$T$119</f>
        <v>0</v>
      </c>
    </row>
    <row r="1764" spans="1:7">
      <c r="A1764" t="s">
        <v>639</v>
      </c>
      <c r="C1764" t="str">
        <f>'4L'!$AV$120</f>
        <v>B0284ALO_WR</v>
      </c>
      <c r="D1764" t="str">
        <f>_xlfn.CONCAT('4L'!$B$78, "-", '4L'!$B$120, "-", '4L'!$F$6, "-", '4L'!$F$6, "-", '4L'!$F$5)</f>
        <v>Other enhancement-Additional line 3-Water resources-Water resources-Expenditure in report year</v>
      </c>
      <c r="F1764" t="s">
        <v>7182</v>
      </c>
      <c r="G1764">
        <f>'4L'!$F$120</f>
        <v>0</v>
      </c>
    </row>
    <row r="1765" spans="1:7">
      <c r="A1765" t="s">
        <v>639</v>
      </c>
      <c r="C1765" t="str">
        <f>'4L'!$AW$120</f>
        <v>B0284ALO_RWT</v>
      </c>
      <c r="D1765" t="str">
        <f>_xlfn.CONCAT('4L'!$B$78, "-", '4L'!$B$120, "-", '4L'!$G$7, "-", '4L'!$G$6, "-", '4L'!$F$5)</f>
        <v>Other enhancement-Additional line 3-Raw water transport-Water network+-Expenditure in report year</v>
      </c>
      <c r="F1765" t="s">
        <v>7182</v>
      </c>
      <c r="G1765">
        <f>'4L'!$G$120</f>
        <v>0</v>
      </c>
    </row>
    <row r="1766" spans="1:7">
      <c r="A1766" t="s">
        <v>639</v>
      </c>
      <c r="C1766" t="str">
        <f>'4L'!$AX$120</f>
        <v>B0284ALO_RWS</v>
      </c>
      <c r="D1766" t="str">
        <f>_xlfn.CONCAT('4L'!$B$78, "-", '4L'!$B$120, "-", '4L'!$H$7, "-", '4L'!$G$6, "-", '4L'!$F$5)</f>
        <v>Other enhancement-Additional line 3-Raw water storage-Water network+-Expenditure in report year</v>
      </c>
      <c r="F1766" t="s">
        <v>7182</v>
      </c>
      <c r="G1766">
        <f>'4L'!$H$120</f>
        <v>0</v>
      </c>
    </row>
    <row r="1767" spans="1:7">
      <c r="A1767" t="s">
        <v>639</v>
      </c>
      <c r="C1767" t="str">
        <f>'4L'!$AY$120</f>
        <v>B0284ALO_WT</v>
      </c>
      <c r="D1767" t="str">
        <f>_xlfn.CONCAT('4L'!$B$78, "-", '4L'!$B$120, "-", '4L'!$I$7, "-", '4L'!$G$6, "-", '4L'!$F$5)</f>
        <v>Other enhancement-Additional line 3-Water treatment-Water network+-Expenditure in report year</v>
      </c>
      <c r="F1767" t="s">
        <v>7182</v>
      </c>
      <c r="G1767">
        <f>'4L'!$I$120</f>
        <v>0</v>
      </c>
    </row>
    <row r="1768" spans="1:7">
      <c r="A1768" t="s">
        <v>639</v>
      </c>
      <c r="C1768" t="str">
        <f>'4L'!$AZ$120</f>
        <v>B0284ALO_TWD</v>
      </c>
      <c r="D1768" t="str">
        <f>_xlfn.CONCAT('4L'!$B$78, "-", '4L'!$B$120, "-", '4L'!$J$7, "-", '4L'!$G$6, "-", '4L'!$F$5)</f>
        <v>Other enhancement-Additional line 3-Treated water distribution-Water network+-Expenditure in report year</v>
      </c>
      <c r="F1768" t="s">
        <v>7182</v>
      </c>
      <c r="G1768">
        <f>'4L'!$J$120</f>
        <v>0</v>
      </c>
    </row>
    <row r="1769" spans="1:7">
      <c r="A1769" t="s">
        <v>639</v>
      </c>
      <c r="C1769" t="str">
        <f>'4L'!$BA$120</f>
        <v>B0284ALO_TOT</v>
      </c>
      <c r="D1769" t="str">
        <f>_xlfn.CONCAT('4L'!$B$78, "-", '4L'!$B$120, "-", '4L'!$K$6, "-", '4L'!$K$6, "-", '4L'!$F$5)</f>
        <v>Other enhancement-Additional line 3-Total-Total-Expenditure in report year</v>
      </c>
      <c r="F1769" t="s">
        <v>7182</v>
      </c>
      <c r="G1769">
        <f>'4L'!$K$120</f>
        <v>0</v>
      </c>
    </row>
    <row r="1770" spans="1:7">
      <c r="A1770" t="s">
        <v>639</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7182</v>
      </c>
      <c r="G1770">
        <f>'4L'!$R$120</f>
        <v>0</v>
      </c>
    </row>
    <row r="1771" spans="1:7">
      <c r="A1771" t="s">
        <v>639</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7182</v>
      </c>
      <c r="G1771">
        <f>'4L'!$S$120</f>
        <v>0</v>
      </c>
    </row>
    <row r="1772" spans="1:7">
      <c r="A1772" t="s">
        <v>639</v>
      </c>
      <c r="C1772" t="str">
        <f>'4L'!$BJ$120</f>
        <v>B0406AL3O_CUMMT</v>
      </c>
      <c r="D1772" t="str">
        <f>_xlfn.CONCAT('4L'!$B$78, "-", '4L'!$B$120, "-", '4L'!$T$7, "-", '4L'!$T$5, "-", '4L'!$T$5)</f>
        <v>Other enhancement-Additional line 3-Total-Cumulative allowed expenditure on all schemes 2020-25-Cumulative allowed expenditure on all schemes 2020-25</v>
      </c>
      <c r="F1772" t="s">
        <v>7182</v>
      </c>
      <c r="G1772">
        <f>'4L'!$T$120</f>
        <v>0</v>
      </c>
    </row>
    <row r="1773" spans="1:7">
      <c r="A1773" t="s">
        <v>639</v>
      </c>
      <c r="C1773" t="str">
        <f>'4L'!$AV$121</f>
        <v>B0285ALC_WR</v>
      </c>
      <c r="D1773" t="str">
        <f>_xlfn.CONCAT('4L'!$B$78, "-", '4L'!$B$121, "-", '4L'!$F$6, "-", '4L'!$F$6, "-", '4L'!$F$5)</f>
        <v>Other enhancement-Additional line 4-Water resources-Water resources-Expenditure in report year</v>
      </c>
      <c r="F1773" t="s">
        <v>7182</v>
      </c>
      <c r="G1773">
        <f>'4L'!$F$121</f>
        <v>0</v>
      </c>
    </row>
    <row r="1774" spans="1:7">
      <c r="A1774" t="s">
        <v>639</v>
      </c>
      <c r="C1774" t="str">
        <f>'4L'!$AW$121</f>
        <v>B0285ALC_RWT</v>
      </c>
      <c r="D1774" t="str">
        <f>_xlfn.CONCAT('4L'!$B$78, "-", '4L'!$B$121, "-", '4L'!$G$7, "-", '4L'!$G$6, "-", '4L'!$F$5)</f>
        <v>Other enhancement-Additional line 4-Raw water transport-Water network+-Expenditure in report year</v>
      </c>
      <c r="F1774" t="s">
        <v>7182</v>
      </c>
      <c r="G1774">
        <f>'4L'!$G$121</f>
        <v>0</v>
      </c>
    </row>
    <row r="1775" spans="1:7">
      <c r="A1775" t="s">
        <v>639</v>
      </c>
      <c r="C1775" t="str">
        <f>'4L'!$AX$121</f>
        <v>B0285ALC_RWS</v>
      </c>
      <c r="D1775" t="str">
        <f>_xlfn.CONCAT('4L'!$B$78, "-", '4L'!$B$121, "-", '4L'!$H$7, "-", '4L'!$G$6, "-", '4L'!$F$5)</f>
        <v>Other enhancement-Additional line 4-Raw water storage-Water network+-Expenditure in report year</v>
      </c>
      <c r="F1775" t="s">
        <v>7182</v>
      </c>
      <c r="G1775">
        <f>'4L'!$H$121</f>
        <v>0</v>
      </c>
    </row>
    <row r="1776" spans="1:7">
      <c r="A1776" t="s">
        <v>639</v>
      </c>
      <c r="C1776" t="str">
        <f>'4L'!$AY$121</f>
        <v>B0285ALC_WT</v>
      </c>
      <c r="D1776" t="str">
        <f>_xlfn.CONCAT('4L'!$B$78, "-", '4L'!$B$121, "-", '4L'!$I$7, "-", '4L'!$G$6, "-", '4L'!$F$5)</f>
        <v>Other enhancement-Additional line 4-Water treatment-Water network+-Expenditure in report year</v>
      </c>
      <c r="F1776" t="s">
        <v>7182</v>
      </c>
      <c r="G1776">
        <f>'4L'!$I$121</f>
        <v>0</v>
      </c>
    </row>
    <row r="1777" spans="1:7">
      <c r="A1777" t="s">
        <v>639</v>
      </c>
      <c r="C1777" t="str">
        <f>'4L'!$AZ$121</f>
        <v>B0285ALC_TWD</v>
      </c>
      <c r="D1777" t="str">
        <f>_xlfn.CONCAT('4L'!$B$78, "-", '4L'!$B$121, "-", '4L'!$J$7, "-", '4L'!$G$6, "-", '4L'!$F$5)</f>
        <v>Other enhancement-Additional line 4-Treated water distribution-Water network+-Expenditure in report year</v>
      </c>
      <c r="F1777" t="s">
        <v>7182</v>
      </c>
      <c r="G1777">
        <f>'4L'!$J$121</f>
        <v>0</v>
      </c>
    </row>
    <row r="1778" spans="1:7">
      <c r="A1778" t="s">
        <v>639</v>
      </c>
      <c r="C1778" t="str">
        <f>'4L'!$BA$121</f>
        <v>B0285ALC_TOT</v>
      </c>
      <c r="D1778" t="str">
        <f>_xlfn.CONCAT('4L'!$B$78, "-", '4L'!$B$121, "-", '4L'!$K$6, "-", '4L'!$K$6, "-", '4L'!$F$5)</f>
        <v>Other enhancement-Additional line 4-Total-Total-Expenditure in report year</v>
      </c>
      <c r="F1778" t="s">
        <v>7182</v>
      </c>
      <c r="G1778">
        <f>'4L'!$K$121</f>
        <v>0</v>
      </c>
    </row>
    <row r="1779" spans="1:7">
      <c r="A1779" t="s">
        <v>639</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7182</v>
      </c>
      <c r="G1779">
        <f>'4L'!$R$121</f>
        <v>0</v>
      </c>
    </row>
    <row r="1780" spans="1:7">
      <c r="A1780" t="s">
        <v>639</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7182</v>
      </c>
      <c r="G1780">
        <f>'4L'!$S$121</f>
        <v>0</v>
      </c>
    </row>
    <row r="1781" spans="1:7">
      <c r="A1781" t="s">
        <v>639</v>
      </c>
      <c r="C1781" t="str">
        <f>'4L'!$BJ$121</f>
        <v>B0407AL4C_CUMMT</v>
      </c>
      <c r="D1781" t="str">
        <f>_xlfn.CONCAT('4L'!$B$78, "-", '4L'!$B$121, "-", '4L'!$T$7, "-", '4L'!$T$5, "-", '4L'!$T$5)</f>
        <v>Other enhancement-Additional line 4-Total-Cumulative allowed expenditure on all schemes 2020-25-Cumulative allowed expenditure on all schemes 2020-25</v>
      </c>
      <c r="F1781" t="s">
        <v>7182</v>
      </c>
      <c r="G1781">
        <f>'4L'!$T$121</f>
        <v>0</v>
      </c>
    </row>
    <row r="1782" spans="1:7">
      <c r="A1782" t="s">
        <v>639</v>
      </c>
      <c r="C1782" t="str">
        <f>'4L'!$AV$122</f>
        <v>B0286ALO_WR</v>
      </c>
      <c r="D1782" t="str">
        <f>_xlfn.CONCAT('4L'!$B$78, "-", '4L'!$B$122, "-", '4L'!$F$6, "-", '4L'!$F$6, "-", '4L'!$F$5)</f>
        <v>Other enhancement-Additional line 4-Water resources-Water resources-Expenditure in report year</v>
      </c>
      <c r="F1782" t="s">
        <v>7182</v>
      </c>
      <c r="G1782">
        <f>'4L'!$F$122</f>
        <v>0</v>
      </c>
    </row>
    <row r="1783" spans="1:7">
      <c r="A1783" t="s">
        <v>639</v>
      </c>
      <c r="C1783" t="str">
        <f>'4L'!$AW$122</f>
        <v>B0286ALO_RWT</v>
      </c>
      <c r="D1783" t="str">
        <f>_xlfn.CONCAT('4L'!$B$78, "-", '4L'!$B$122, "-", '4L'!$G$7, "-", '4L'!$G$6, "-", '4L'!$F$5)</f>
        <v>Other enhancement-Additional line 4-Raw water transport-Water network+-Expenditure in report year</v>
      </c>
      <c r="F1783" t="s">
        <v>7182</v>
      </c>
      <c r="G1783">
        <f>'4L'!$G$122</f>
        <v>0</v>
      </c>
    </row>
    <row r="1784" spans="1:7">
      <c r="A1784" t="s">
        <v>639</v>
      </c>
      <c r="C1784" t="str">
        <f>'4L'!$AX$122</f>
        <v>B0286ALO_RWS</v>
      </c>
      <c r="D1784" t="str">
        <f>_xlfn.CONCAT('4L'!$B$78, "-", '4L'!$B$122, "-", '4L'!$H$7, "-", '4L'!$G$6, "-", '4L'!$F$5)</f>
        <v>Other enhancement-Additional line 4-Raw water storage-Water network+-Expenditure in report year</v>
      </c>
      <c r="F1784" t="s">
        <v>7182</v>
      </c>
      <c r="G1784">
        <f>'4L'!$H$122</f>
        <v>0</v>
      </c>
    </row>
    <row r="1785" spans="1:7">
      <c r="A1785" t="s">
        <v>639</v>
      </c>
      <c r="C1785" t="str">
        <f>'4L'!$AY$122</f>
        <v>B0286ALO_WT</v>
      </c>
      <c r="D1785" t="str">
        <f>_xlfn.CONCAT('4L'!$B$78, "-", '4L'!$B$122, "-", '4L'!$I$7, "-", '4L'!$G$6, "-", '4L'!$F$5)</f>
        <v>Other enhancement-Additional line 4-Water treatment-Water network+-Expenditure in report year</v>
      </c>
      <c r="F1785" t="s">
        <v>7182</v>
      </c>
      <c r="G1785">
        <f>'4L'!$I$122</f>
        <v>0</v>
      </c>
    </row>
    <row r="1786" spans="1:7">
      <c r="A1786" t="s">
        <v>639</v>
      </c>
      <c r="C1786" t="str">
        <f>'4L'!$AZ$122</f>
        <v>B0286ALO_TWD</v>
      </c>
      <c r="D1786" t="str">
        <f>_xlfn.CONCAT('4L'!$B$78, "-", '4L'!$B$122, "-", '4L'!$J$7, "-", '4L'!$G$6, "-", '4L'!$F$5)</f>
        <v>Other enhancement-Additional line 4-Treated water distribution-Water network+-Expenditure in report year</v>
      </c>
      <c r="F1786" t="s">
        <v>7182</v>
      </c>
      <c r="G1786">
        <f>'4L'!$J$122</f>
        <v>0</v>
      </c>
    </row>
    <row r="1787" spans="1:7">
      <c r="A1787" t="s">
        <v>639</v>
      </c>
      <c r="C1787" t="str">
        <f>'4L'!$BA$122</f>
        <v>B0286ALO_TOT</v>
      </c>
      <c r="D1787" t="str">
        <f>_xlfn.CONCAT('4L'!$B$78, "-", '4L'!$B$122, "-", '4L'!$K$6, "-", '4L'!$K$6, "-", '4L'!$F$5)</f>
        <v>Other enhancement-Additional line 4-Total-Total-Expenditure in report year</v>
      </c>
      <c r="F1787" t="s">
        <v>7182</v>
      </c>
      <c r="G1787">
        <f>'4L'!$K$122</f>
        <v>0</v>
      </c>
    </row>
    <row r="1788" spans="1:7">
      <c r="A1788" t="s">
        <v>639</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7182</v>
      </c>
      <c r="G1788">
        <f>'4L'!$R$122</f>
        <v>0</v>
      </c>
    </row>
    <row r="1789" spans="1:7">
      <c r="A1789" t="s">
        <v>639</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7182</v>
      </c>
      <c r="G1789">
        <f>'4L'!$S$122</f>
        <v>0</v>
      </c>
    </row>
    <row r="1790" spans="1:7">
      <c r="A1790" t="s">
        <v>639</v>
      </c>
      <c r="C1790" t="str">
        <f>'4L'!$BJ$122</f>
        <v>B0408AL4O_CUMMT</v>
      </c>
      <c r="D1790" t="str">
        <f>_xlfn.CONCAT('4L'!$B$78, "-", '4L'!$B$122, "-", '4L'!$T$7, "-", '4L'!$T$5, "-", '4L'!$T$5)</f>
        <v>Other enhancement-Additional line 4-Total-Cumulative allowed expenditure on all schemes 2020-25-Cumulative allowed expenditure on all schemes 2020-25</v>
      </c>
      <c r="F1790" t="s">
        <v>7182</v>
      </c>
      <c r="G1790">
        <f>'4L'!$T$122</f>
        <v>0</v>
      </c>
    </row>
    <row r="1791" spans="1:7">
      <c r="A1791" t="s">
        <v>639</v>
      </c>
      <c r="C1791" t="str">
        <f>'4L'!$AV$123</f>
        <v>B0287ALC_WR</v>
      </c>
      <c r="D1791" t="str">
        <f>_xlfn.CONCAT('4L'!$B$78, "-", '4L'!$B$123, "-", '4L'!$F$6, "-", '4L'!$F$6, "-", '4L'!$F$5)</f>
        <v>Other enhancement-Additional line 5-Water resources-Water resources-Expenditure in report year</v>
      </c>
      <c r="F1791" t="s">
        <v>7182</v>
      </c>
      <c r="G1791">
        <f>'4L'!$F$123</f>
        <v>0</v>
      </c>
    </row>
    <row r="1792" spans="1:7">
      <c r="A1792" t="s">
        <v>639</v>
      </c>
      <c r="C1792" t="str">
        <f>'4L'!$AW$123</f>
        <v>B0287ALC_RWT</v>
      </c>
      <c r="D1792" t="str">
        <f>_xlfn.CONCAT('4L'!$B$78, "-", '4L'!$B$123, "-", '4L'!$G$7, "-", '4L'!$G$6, "-", '4L'!$F$5)</f>
        <v>Other enhancement-Additional line 5-Raw water transport-Water network+-Expenditure in report year</v>
      </c>
      <c r="F1792" t="s">
        <v>7182</v>
      </c>
      <c r="G1792">
        <f>'4L'!$G$123</f>
        <v>0</v>
      </c>
    </row>
    <row r="1793" spans="1:7">
      <c r="A1793" t="s">
        <v>639</v>
      </c>
      <c r="C1793" t="str">
        <f>'4L'!$AX$123</f>
        <v>B0287ALC_RWS</v>
      </c>
      <c r="D1793" t="str">
        <f>_xlfn.CONCAT('4L'!$B$78, "-", '4L'!$B$123, "-", '4L'!$H$7, "-", '4L'!$G$6, "-", '4L'!$F$5)</f>
        <v>Other enhancement-Additional line 5-Raw water storage-Water network+-Expenditure in report year</v>
      </c>
      <c r="F1793" t="s">
        <v>7182</v>
      </c>
      <c r="G1793">
        <f>'4L'!$H$123</f>
        <v>0</v>
      </c>
    </row>
    <row r="1794" spans="1:7">
      <c r="A1794" t="s">
        <v>639</v>
      </c>
      <c r="C1794" t="str">
        <f>'4L'!$AY$123</f>
        <v>B0287ALC_WT</v>
      </c>
      <c r="D1794" t="str">
        <f>_xlfn.CONCAT('4L'!$B$78, "-", '4L'!$B$123, "-", '4L'!$I$7, "-", '4L'!$G$6, "-", '4L'!$F$5)</f>
        <v>Other enhancement-Additional line 5-Water treatment-Water network+-Expenditure in report year</v>
      </c>
      <c r="F1794" t="s">
        <v>7182</v>
      </c>
      <c r="G1794">
        <f>'4L'!$I$123</f>
        <v>0</v>
      </c>
    </row>
    <row r="1795" spans="1:7">
      <c r="A1795" t="s">
        <v>639</v>
      </c>
      <c r="C1795" t="str">
        <f>'4L'!$AZ$123</f>
        <v>B0287ALC_TWD</v>
      </c>
      <c r="D1795" t="str">
        <f>_xlfn.CONCAT('4L'!$B$78, "-", '4L'!$B$123, "-", '4L'!$J$7, "-", '4L'!$G$6, "-", '4L'!$F$5)</f>
        <v>Other enhancement-Additional line 5-Treated water distribution-Water network+-Expenditure in report year</v>
      </c>
      <c r="F1795" t="s">
        <v>7182</v>
      </c>
      <c r="G1795">
        <f>'4L'!$J$123</f>
        <v>0</v>
      </c>
    </row>
    <row r="1796" spans="1:7">
      <c r="A1796" t="s">
        <v>639</v>
      </c>
      <c r="C1796" t="str">
        <f>'4L'!$BA$123</f>
        <v>B0287ALC_TOT</v>
      </c>
      <c r="D1796" t="str">
        <f>_xlfn.CONCAT('4L'!$B$78, "-", '4L'!$B$123, "-", '4L'!$K$6, "-", '4L'!$K$6, "-", '4L'!$F$5)</f>
        <v>Other enhancement-Additional line 5-Total-Total-Expenditure in report year</v>
      </c>
      <c r="F1796" t="s">
        <v>7182</v>
      </c>
      <c r="G1796">
        <f>'4L'!$K$123</f>
        <v>0</v>
      </c>
    </row>
    <row r="1797" spans="1:7">
      <c r="A1797" t="s">
        <v>639</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7182</v>
      </c>
      <c r="G1797">
        <f>'4L'!$R$123</f>
        <v>0</v>
      </c>
    </row>
    <row r="1798" spans="1:7">
      <c r="A1798" t="s">
        <v>639</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7182</v>
      </c>
      <c r="G1798">
        <f>'4L'!$S$123</f>
        <v>0</v>
      </c>
    </row>
    <row r="1799" spans="1:7">
      <c r="A1799" t="s">
        <v>639</v>
      </c>
      <c r="C1799" t="str">
        <f>'4L'!$BJ$123</f>
        <v>B0409AL5C_CUMMT</v>
      </c>
      <c r="D1799" t="str">
        <f>_xlfn.CONCAT('4L'!$B$78, "-", '4L'!$B$123, "-", '4L'!$T$7, "-", '4L'!$T$5, "-", '4L'!$T$5)</f>
        <v>Other enhancement-Additional line 5-Total-Cumulative allowed expenditure on all schemes 2020-25-Cumulative allowed expenditure on all schemes 2020-25</v>
      </c>
      <c r="F1799" t="s">
        <v>7182</v>
      </c>
      <c r="G1799">
        <f>'4L'!$T$123</f>
        <v>0</v>
      </c>
    </row>
    <row r="1800" spans="1:7">
      <c r="A1800" t="s">
        <v>639</v>
      </c>
      <c r="C1800" t="str">
        <f>'4L'!$AV$124</f>
        <v>B0288ALO_WR</v>
      </c>
      <c r="D1800" t="str">
        <f>_xlfn.CONCAT('4L'!$B$78, "-", '4L'!$B$124, "-", '4L'!$F$6, "-", '4L'!$F$6, "-", '4L'!$F$5)</f>
        <v>Other enhancement-Additional line 5-Water resources-Water resources-Expenditure in report year</v>
      </c>
      <c r="F1800" t="s">
        <v>7182</v>
      </c>
      <c r="G1800">
        <f>'4L'!$F$124</f>
        <v>0</v>
      </c>
    </row>
    <row r="1801" spans="1:7">
      <c r="A1801" t="s">
        <v>639</v>
      </c>
      <c r="C1801" t="str">
        <f>'4L'!$AW$124</f>
        <v>B0288ALO_RWT</v>
      </c>
      <c r="D1801" t="str">
        <f>_xlfn.CONCAT('4L'!$B$78, "-", '4L'!$B$124, "-", '4L'!$G$7, "-", '4L'!$G$6, "-", '4L'!$F$5)</f>
        <v>Other enhancement-Additional line 5-Raw water transport-Water network+-Expenditure in report year</v>
      </c>
      <c r="F1801" t="s">
        <v>7182</v>
      </c>
      <c r="G1801">
        <f>'4L'!$G$124</f>
        <v>0</v>
      </c>
    </row>
    <row r="1802" spans="1:7">
      <c r="A1802" t="s">
        <v>639</v>
      </c>
      <c r="C1802" t="str">
        <f>'4L'!$AX$124</f>
        <v>B0288ALO_RWS</v>
      </c>
      <c r="D1802" t="str">
        <f>_xlfn.CONCAT('4L'!$B$78, "-", '4L'!$B$124, "-", '4L'!$H$7, "-", '4L'!$G$6, "-", '4L'!$F$5)</f>
        <v>Other enhancement-Additional line 5-Raw water storage-Water network+-Expenditure in report year</v>
      </c>
      <c r="F1802" t="s">
        <v>7182</v>
      </c>
      <c r="G1802">
        <f>'4L'!$H$124</f>
        <v>0</v>
      </c>
    </row>
    <row r="1803" spans="1:7">
      <c r="A1803" t="s">
        <v>639</v>
      </c>
      <c r="C1803" t="str">
        <f>'4L'!$AY$124</f>
        <v>B0288ALO_WT</v>
      </c>
      <c r="D1803" t="str">
        <f>_xlfn.CONCAT('4L'!$B$78, "-", '4L'!$B$124, "-", '4L'!$I$7, "-", '4L'!$G$6, "-", '4L'!$F$5)</f>
        <v>Other enhancement-Additional line 5-Water treatment-Water network+-Expenditure in report year</v>
      </c>
      <c r="F1803" t="s">
        <v>7182</v>
      </c>
      <c r="G1803">
        <f>'4L'!$I$124</f>
        <v>0</v>
      </c>
    </row>
    <row r="1804" spans="1:7">
      <c r="A1804" t="s">
        <v>639</v>
      </c>
      <c r="C1804" t="str">
        <f>'4L'!$AZ$124</f>
        <v>B0288ALO_TWD</v>
      </c>
      <c r="D1804" t="str">
        <f>_xlfn.CONCAT('4L'!$B$78, "-", '4L'!$B$124, "-", '4L'!$J$7, "-", '4L'!$G$6, "-", '4L'!$F$5)</f>
        <v>Other enhancement-Additional line 5-Treated water distribution-Water network+-Expenditure in report year</v>
      </c>
      <c r="F1804" t="s">
        <v>7182</v>
      </c>
      <c r="G1804">
        <f>'4L'!$J$124</f>
        <v>0</v>
      </c>
    </row>
    <row r="1805" spans="1:7">
      <c r="A1805" t="s">
        <v>639</v>
      </c>
      <c r="C1805" t="str">
        <f>'4L'!$BA$124</f>
        <v>B0288ALO_TOT</v>
      </c>
      <c r="D1805" t="str">
        <f>_xlfn.CONCAT('4L'!$B$78, "-", '4L'!$B$124, "-", '4L'!$K$6, "-", '4L'!$K$6, "-", '4L'!$F$5)</f>
        <v>Other enhancement-Additional line 5-Total-Total-Expenditure in report year</v>
      </c>
      <c r="F1805" t="s">
        <v>7182</v>
      </c>
      <c r="G1805">
        <f>'4L'!$K$124</f>
        <v>0</v>
      </c>
    </row>
    <row r="1806" spans="1:7">
      <c r="A1806" t="s">
        <v>639</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7182</v>
      </c>
      <c r="G1806">
        <f>'4L'!$R$124</f>
        <v>0</v>
      </c>
    </row>
    <row r="1807" spans="1:7">
      <c r="A1807" t="s">
        <v>639</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7182</v>
      </c>
      <c r="G1807">
        <f>'4L'!$S$124</f>
        <v>0</v>
      </c>
    </row>
    <row r="1808" spans="1:7">
      <c r="A1808" t="s">
        <v>639</v>
      </c>
      <c r="C1808" t="str">
        <f>'4L'!$BJ$124</f>
        <v>B0410AL5O_CUMMT</v>
      </c>
      <c r="D1808" t="str">
        <f>_xlfn.CONCAT('4L'!$B$78, "-", '4L'!$B$124, "-", '4L'!$T$7, "-", '4L'!$T$5, "-", '4L'!$T$5)</f>
        <v>Other enhancement-Additional line 5-Total-Cumulative allowed expenditure on all schemes 2020-25-Cumulative allowed expenditure on all schemes 2020-25</v>
      </c>
      <c r="F1808" t="s">
        <v>7182</v>
      </c>
      <c r="G1808">
        <f>'4L'!$T$124</f>
        <v>0</v>
      </c>
    </row>
    <row r="1809" spans="1:7">
      <c r="A1809" t="s">
        <v>639</v>
      </c>
      <c r="C1809" t="str">
        <f>'4L'!$AV$125</f>
        <v>B0289TET_WR</v>
      </c>
      <c r="D1809" t="str">
        <f>_xlfn.CONCAT('4L'!$B$78, "-", '4L'!$B$125, "-", '4L'!$F$6, "-", '4L'!$F$6, "-", '4L'!$F$5)</f>
        <v>Other enhancement-Total other enhancement expenditure-Water resources-Water resources-Expenditure in report year</v>
      </c>
      <c r="F1809" t="s">
        <v>7182</v>
      </c>
      <c r="G1809">
        <f>'4L'!$F$125</f>
        <v>1.7429999999999999</v>
      </c>
    </row>
    <row r="1810" spans="1:7">
      <c r="A1810" t="s">
        <v>639</v>
      </c>
      <c r="C1810" t="str">
        <f>'4L'!$AW$125</f>
        <v>B0289TET_RWT</v>
      </c>
      <c r="D1810" t="str">
        <f>_xlfn.CONCAT('4L'!$B$78, "-", '4L'!$B$125, "-", '4L'!$G$7, "-", '4L'!$G$6, "-", '4L'!$F$5)</f>
        <v>Other enhancement-Total other enhancement expenditure-Raw water transport-Water network+-Expenditure in report year</v>
      </c>
      <c r="F1810" t="s">
        <v>7182</v>
      </c>
      <c r="G1810">
        <f>'4L'!$G$125</f>
        <v>1.1759999999999999</v>
      </c>
    </row>
    <row r="1811" spans="1:7">
      <c r="A1811" t="s">
        <v>639</v>
      </c>
      <c r="C1811" t="str">
        <f>'4L'!$AX$125</f>
        <v>B0289TET_RWS</v>
      </c>
      <c r="D1811" t="str">
        <f>_xlfn.CONCAT('4L'!$B$78, "-", '4L'!$B$125, "-", '4L'!$H$7, "-", '4L'!$G$6, "-", '4L'!$F$5)</f>
        <v>Other enhancement-Total other enhancement expenditure-Raw water storage-Water network+-Expenditure in report year</v>
      </c>
      <c r="F1811" t="s">
        <v>7182</v>
      </c>
      <c r="G1811">
        <f>'4L'!$H$125</f>
        <v>0</v>
      </c>
    </row>
    <row r="1812" spans="1:7">
      <c r="A1812" t="s">
        <v>639</v>
      </c>
      <c r="C1812" t="str">
        <f>'4L'!$AY$125</f>
        <v>B0289TET_WT</v>
      </c>
      <c r="D1812" t="str">
        <f>_xlfn.CONCAT('4L'!$B$78, "-", '4L'!$B$125, "-", '4L'!$I$7, "-", '4L'!$G$6, "-", '4L'!$F$5)</f>
        <v>Other enhancement-Total other enhancement expenditure-Water treatment-Water network+-Expenditure in report year</v>
      </c>
      <c r="F1812" t="s">
        <v>7182</v>
      </c>
      <c r="G1812">
        <f>'4L'!$I$125</f>
        <v>3.4540000000000002</v>
      </c>
    </row>
    <row r="1813" spans="1:7">
      <c r="A1813" t="s">
        <v>639</v>
      </c>
      <c r="C1813" t="str">
        <f>'4L'!$AZ$125</f>
        <v>B0289TET_TWD</v>
      </c>
      <c r="D1813" t="str">
        <f>_xlfn.CONCAT('4L'!$B$78, "-", '4L'!$B$125, "-", '4L'!$J$7, "-", '4L'!$G$6, "-", '4L'!$F$5)</f>
        <v>Other enhancement-Total other enhancement expenditure-Treated water distribution-Water network+-Expenditure in report year</v>
      </c>
      <c r="F1813" t="s">
        <v>7182</v>
      </c>
      <c r="G1813">
        <f>'4L'!$J$125</f>
        <v>8.6769999999999996</v>
      </c>
    </row>
    <row r="1814" spans="1:7">
      <c r="A1814" t="s">
        <v>639</v>
      </c>
      <c r="C1814" t="str">
        <f>'4L'!$BA$125</f>
        <v>B0289TET_TOT</v>
      </c>
      <c r="D1814" t="str">
        <f>_xlfn.CONCAT('4L'!$B$78, "-", '4L'!$B$125, "-", '4L'!$K$6, "-", '4L'!$K$6, "-", '4L'!$F$5)</f>
        <v>Other enhancement-Total other enhancement expenditure-Total-Total-Expenditure in report year</v>
      </c>
      <c r="F1814" t="s">
        <v>7182</v>
      </c>
      <c r="G1814">
        <f>'4L'!$K$125</f>
        <v>15.049999999999999</v>
      </c>
    </row>
    <row r="1815" spans="1:7">
      <c r="A1815" t="s">
        <v>639</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7182</v>
      </c>
      <c r="G1815">
        <f>'4L'!$R$125</f>
        <v>45.018000000000008</v>
      </c>
    </row>
    <row r="1816" spans="1:7">
      <c r="A1816" t="s">
        <v>639</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7182</v>
      </c>
      <c r="G1816">
        <f>'4L'!$S$125</f>
        <v>111.27599999999998</v>
      </c>
    </row>
    <row r="1817" spans="1:7">
      <c r="A1817" t="s">
        <v>639</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7182</v>
      </c>
      <c r="G1817">
        <f>'4L'!$T$125</f>
        <v>144.929</v>
      </c>
    </row>
    <row r="1818" spans="1:7">
      <c r="A1818" t="s">
        <v>639</v>
      </c>
      <c r="C1818" t="str">
        <f>'4L'!$AV$128</f>
        <v>B0290TEC_WR</v>
      </c>
      <c r="D1818" t="str">
        <f>_xlfn.CONCAT('4L'!$B$127, "-", '4L'!$B$128, "-", '4L'!$F$6, "-", '4L'!$F$6, "-", '4L'!$F$5)</f>
        <v>Total enhancement-Total enhancement expenditure -Water resources-Water resources-Expenditure in report year</v>
      </c>
      <c r="F1818" t="s">
        <v>7182</v>
      </c>
      <c r="G1818">
        <f>'4L'!$F$128</f>
        <v>2.3970000000000002</v>
      </c>
    </row>
    <row r="1819" spans="1:7">
      <c r="A1819" t="s">
        <v>639</v>
      </c>
      <c r="C1819" t="str">
        <f>'4L'!$AW$128</f>
        <v>B0290TEC_RWT</v>
      </c>
      <c r="D1819" t="str">
        <f>_xlfn.CONCAT('4L'!$B$127, "-", '4L'!$B$128, "-", '4L'!$G$7, "-", '4L'!$G$6, "-", '4L'!$F$5)</f>
        <v>Total enhancement-Total enhancement expenditure -Raw water transport-Water network+-Expenditure in report year</v>
      </c>
      <c r="F1819" t="s">
        <v>7182</v>
      </c>
      <c r="G1819">
        <f>'4L'!$G$128</f>
        <v>1.175</v>
      </c>
    </row>
    <row r="1820" spans="1:7">
      <c r="A1820" t="s">
        <v>639</v>
      </c>
      <c r="C1820" t="str">
        <f>'4L'!$AX$128</f>
        <v>B0290TEC_RWS</v>
      </c>
      <c r="D1820" t="str">
        <f>_xlfn.CONCAT('4L'!$B$127, "-", '4L'!$B$128, "-", '4L'!$H$7, "-", '4L'!$G$6, "-", '4L'!$F$5)</f>
        <v>Total enhancement-Total enhancement expenditure -Raw water storage-Water network+-Expenditure in report year</v>
      </c>
      <c r="F1820" t="s">
        <v>7182</v>
      </c>
      <c r="G1820">
        <f>'4L'!$H$128</f>
        <v>0</v>
      </c>
    </row>
    <row r="1821" spans="1:7">
      <c r="A1821" t="s">
        <v>639</v>
      </c>
      <c r="C1821" t="str">
        <f>'4L'!$AY$128</f>
        <v>B0290TEC_WT</v>
      </c>
      <c r="D1821" t="str">
        <f>_xlfn.CONCAT('4L'!$B$127, "-", '4L'!$B$128, "-", '4L'!$I$7, "-", '4L'!$G$6, "-", '4L'!$F$5)</f>
        <v>Total enhancement-Total enhancement expenditure -Water treatment-Water network+-Expenditure in report year</v>
      </c>
      <c r="F1821" t="s">
        <v>7182</v>
      </c>
      <c r="G1821">
        <f>'4L'!$I$128</f>
        <v>3.4260000000000002</v>
      </c>
    </row>
    <row r="1822" spans="1:7">
      <c r="A1822" t="s">
        <v>639</v>
      </c>
      <c r="C1822" t="str">
        <f>'4L'!$AZ$128</f>
        <v>B0290TEC_TWD</v>
      </c>
      <c r="D1822" t="str">
        <f>_xlfn.CONCAT('4L'!$B$127, "-", '4L'!$B$128, "-", '4L'!$J$7, "-", '4L'!$G$6, "-", '4L'!$F$5)</f>
        <v>Total enhancement-Total enhancement expenditure -Treated water distribution-Water network+-Expenditure in report year</v>
      </c>
      <c r="F1822" t="s">
        <v>7182</v>
      </c>
      <c r="G1822">
        <f>'4L'!$J$128</f>
        <v>17.448999999999998</v>
      </c>
    </row>
    <row r="1823" spans="1:7">
      <c r="A1823" t="s">
        <v>639</v>
      </c>
      <c r="C1823" t="str">
        <f>'4L'!$BA$128</f>
        <v>B0290TEC_TOT</v>
      </c>
      <c r="D1823" t="str">
        <f>_xlfn.CONCAT('4L'!$B$127, "-", '4L'!$B$128, "-", '4L'!$K$6, "-", '4L'!$K$6, "-", '4L'!$F$5)</f>
        <v>Total enhancement-Total enhancement expenditure -Total-Total-Expenditure in report year</v>
      </c>
      <c r="F1823" t="s">
        <v>7182</v>
      </c>
      <c r="G1823">
        <f>'4L'!$K$128</f>
        <v>24.446999999999999</v>
      </c>
    </row>
    <row r="1824" spans="1:7">
      <c r="A1824" t="s">
        <v>639</v>
      </c>
      <c r="C1824" t="str">
        <f>'4L'!$AV$129</f>
        <v>B0291TEO_WR</v>
      </c>
      <c r="D1824" t="str">
        <f>_xlfn.CONCAT('4L'!$B$127, "-", '4L'!$B$129, "-", '4L'!$F$6, "-", '4L'!$F$6, "-", '4L'!$F$5)</f>
        <v>Total enhancement-Total enhancement expenditure -Water resources-Water resources-Expenditure in report year</v>
      </c>
      <c r="F1824" t="s">
        <v>7182</v>
      </c>
      <c r="G1824">
        <f>'4L'!$F$129</f>
        <v>1.1579999999999999</v>
      </c>
    </row>
    <row r="1825" spans="1:7">
      <c r="A1825" t="s">
        <v>639</v>
      </c>
      <c r="C1825" t="str">
        <f>'4L'!$AW$129</f>
        <v>B0291TEO_RWT</v>
      </c>
      <c r="D1825" t="str">
        <f>_xlfn.CONCAT('4L'!$B$127, "-", '4L'!$B$129, "-", '4L'!$G$7, "-", '4L'!$G$6, "-", '4L'!$F$5)</f>
        <v>Total enhancement-Total enhancement expenditure -Raw water transport-Water network+-Expenditure in report year</v>
      </c>
      <c r="F1825" t="s">
        <v>7182</v>
      </c>
      <c r="G1825">
        <f>'4L'!$G$129</f>
        <v>1E-3</v>
      </c>
    </row>
    <row r="1826" spans="1:7">
      <c r="A1826" t="s">
        <v>639</v>
      </c>
      <c r="C1826" t="str">
        <f>'4L'!$AX$129</f>
        <v>B0291TEO_RWS</v>
      </c>
      <c r="D1826" t="str">
        <f>_xlfn.CONCAT('4L'!$B$127, "-", '4L'!$B$129, "-", '4L'!$H$7, "-", '4L'!$G$6, "-", '4L'!$F$5)</f>
        <v>Total enhancement-Total enhancement expenditure -Raw water storage-Water network+-Expenditure in report year</v>
      </c>
      <c r="F1826" t="s">
        <v>7182</v>
      </c>
      <c r="G1826">
        <f>'4L'!$H$129</f>
        <v>0</v>
      </c>
    </row>
    <row r="1827" spans="1:7">
      <c r="A1827" t="s">
        <v>639</v>
      </c>
      <c r="C1827" t="str">
        <f>'4L'!$AY$129</f>
        <v>B0291TEO_WT</v>
      </c>
      <c r="D1827" t="str">
        <f>_xlfn.CONCAT('4L'!$B$127, "-", '4L'!$B$129, "-", '4L'!$I$7, "-", '4L'!$G$6, "-", '4L'!$F$5)</f>
        <v>Total enhancement-Total enhancement expenditure -Water treatment-Water network+-Expenditure in report year</v>
      </c>
      <c r="F1827" t="s">
        <v>7182</v>
      </c>
      <c r="G1827">
        <f>'4L'!$I$129</f>
        <v>0.41699999999999998</v>
      </c>
    </row>
    <row r="1828" spans="1:7">
      <c r="A1828" t="s">
        <v>639</v>
      </c>
      <c r="C1828" t="str">
        <f>'4L'!$AZ$129</f>
        <v>B0291TEO_TWD</v>
      </c>
      <c r="D1828" t="str">
        <f>_xlfn.CONCAT('4L'!$B$127, "-", '4L'!$B$129, "-", '4L'!$J$7, "-", '4L'!$G$6, "-", '4L'!$F$5)</f>
        <v>Total enhancement-Total enhancement expenditure -Treated water distribution-Water network+-Expenditure in report year</v>
      </c>
      <c r="F1828" t="s">
        <v>7182</v>
      </c>
      <c r="G1828">
        <f>'4L'!$J$129</f>
        <v>0.51</v>
      </c>
    </row>
    <row r="1829" spans="1:7">
      <c r="A1829" t="s">
        <v>639</v>
      </c>
      <c r="C1829" t="str">
        <f>'4L'!$BA$129</f>
        <v>B0291TEO_TOT</v>
      </c>
      <c r="D1829" t="str">
        <f>_xlfn.CONCAT('4L'!$B$127, "-", '4L'!$B$129, "-", '4L'!$K$6, "-", '4L'!$K$6, "-", '4L'!$F$5)</f>
        <v>Total enhancement-Total enhancement expenditure -Total-Total-Expenditure in report year</v>
      </c>
      <c r="F1829" t="s">
        <v>7182</v>
      </c>
      <c r="G1829">
        <f>'4L'!$K$129</f>
        <v>2.0859999999999999</v>
      </c>
    </row>
    <row r="1830" spans="1:7">
      <c r="A1830" t="s">
        <v>639</v>
      </c>
      <c r="C1830" t="str">
        <f>'4L'!$AV$130</f>
        <v>B0292TET_WR</v>
      </c>
      <c r="D1830" t="str">
        <f>_xlfn.CONCAT('4L'!$B$127, "-", '4L'!$B$130, "-", '4L'!$F$6, "-", '4L'!$F$6, "-", '4L'!$F$5)</f>
        <v>Total enhancement-Total enhancement expenditure -Water resources-Water resources-Expenditure in report year</v>
      </c>
      <c r="F1830" t="s">
        <v>7182</v>
      </c>
      <c r="G1830">
        <f>'4L'!$F$130</f>
        <v>3.5550000000000002</v>
      </c>
    </row>
    <row r="1831" spans="1:7">
      <c r="A1831" t="s">
        <v>639</v>
      </c>
      <c r="C1831" t="str">
        <f>'4L'!$AW$130</f>
        <v>B0292TET_RWT</v>
      </c>
      <c r="D1831" t="str">
        <f>_xlfn.CONCAT('4L'!$B$127, "-", '4L'!$B$130, "-", '4L'!$G$7, "-", '4L'!$G$6, "-", '4L'!$F$5)</f>
        <v>Total enhancement-Total enhancement expenditure -Raw water transport-Water network+-Expenditure in report year</v>
      </c>
      <c r="F1831" t="s">
        <v>7182</v>
      </c>
      <c r="G1831">
        <f>'4L'!$G$130</f>
        <v>1.1759999999999999</v>
      </c>
    </row>
    <row r="1832" spans="1:7">
      <c r="A1832" t="s">
        <v>639</v>
      </c>
      <c r="C1832" t="str">
        <f>'4L'!$AX$130</f>
        <v>B0292TET_RWS</v>
      </c>
      <c r="D1832" t="str">
        <f>_xlfn.CONCAT('4L'!$B$127, "-", '4L'!$B$130, "-", '4L'!$H$7, "-", '4L'!$G$6, "-", '4L'!$F$5)</f>
        <v>Total enhancement-Total enhancement expenditure -Raw water storage-Water network+-Expenditure in report year</v>
      </c>
      <c r="F1832" t="s">
        <v>7182</v>
      </c>
      <c r="G1832">
        <f>'4L'!$H$130</f>
        <v>0</v>
      </c>
    </row>
    <row r="1833" spans="1:7">
      <c r="A1833" t="s">
        <v>639</v>
      </c>
      <c r="C1833" t="str">
        <f>'4L'!$AY$130</f>
        <v>B0292TET_WT</v>
      </c>
      <c r="D1833" t="str">
        <f>_xlfn.CONCAT('4L'!$B$127, "-", '4L'!$B$130, "-", '4L'!$I$7, "-", '4L'!$G$6, "-", '4L'!$F$5)</f>
        <v>Total enhancement-Total enhancement expenditure -Water treatment-Water network+-Expenditure in report year</v>
      </c>
      <c r="F1833" t="s">
        <v>7182</v>
      </c>
      <c r="G1833">
        <f>'4L'!$I$130</f>
        <v>3.843</v>
      </c>
    </row>
    <row r="1834" spans="1:7">
      <c r="A1834" t="s">
        <v>639</v>
      </c>
      <c r="C1834" t="str">
        <f>'4L'!$AZ$130</f>
        <v>B0292TET_TWD</v>
      </c>
      <c r="D1834" t="str">
        <f>_xlfn.CONCAT('4L'!$B$127, "-", '4L'!$B$130, "-", '4L'!$J$7, "-", '4L'!$G$6, "-", '4L'!$F$5)</f>
        <v>Total enhancement-Total enhancement expenditure -Treated water distribution-Water network+-Expenditure in report year</v>
      </c>
      <c r="F1834" t="s">
        <v>7182</v>
      </c>
      <c r="G1834">
        <f>'4L'!$J$130</f>
        <v>17.959</v>
      </c>
    </row>
    <row r="1835" spans="1:7">
      <c r="A1835" t="s">
        <v>639</v>
      </c>
      <c r="C1835" t="str">
        <f>'4L'!$BA$130</f>
        <v>B0292TET_TOT</v>
      </c>
      <c r="D1835" t="str">
        <f>_xlfn.CONCAT('4L'!$B$127, "-", '4L'!$B$130, "-", '4L'!$K$6, "-", '4L'!$K$6, "-", '4L'!$F$5)</f>
        <v>Total enhancement-Total enhancement expenditure -Total-Total-Expenditure in report year</v>
      </c>
      <c r="F1835" t="s">
        <v>7182</v>
      </c>
      <c r="G1835">
        <f>'4L'!$K$130</f>
        <v>26.533000000000001</v>
      </c>
    </row>
    <row r="1836" spans="1:7">
      <c r="A1836" t="s">
        <v>639</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7182</v>
      </c>
      <c r="G1836">
        <f>'4L'!$R$130</f>
        <v>79.177000000000007</v>
      </c>
    </row>
    <row r="1837" spans="1:7">
      <c r="A1837" t="s">
        <v>639</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7182</v>
      </c>
      <c r="G1837">
        <f>'4L'!$S$130</f>
        <v>162.98599999999999</v>
      </c>
    </row>
    <row r="1838" spans="1:7">
      <c r="A1838" t="s">
        <v>639</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7182</v>
      </c>
      <c r="G1838">
        <f>'4L'!$T$130</f>
        <v>211.39099999999999</v>
      </c>
    </row>
    <row r="1839" spans="1:7">
      <c r="A1839" t="s">
        <v>643</v>
      </c>
      <c r="C1839" t="str">
        <f>'4M'!$BH$10</f>
        <v>B0293CDC_F</v>
      </c>
      <c r="D1839" t="str">
        <f>_xlfn.CONCAT('4M'!$B$9, "-", '4M'!$B$10, "-", '4M'!$F$7, "-", '4M'!$F$6, "-", '4M'!$F$5)</f>
        <v>EA/NRW environmental programme (WINEP/NEP)-Conservation drivers-Foul-Wastewater network+ -Expenditure in report year</v>
      </c>
      <c r="F1839" t="s">
        <v>7182</v>
      </c>
      <c r="G1839">
        <f>'4M'!$F$10</f>
        <v>0</v>
      </c>
    </row>
    <row r="1840" spans="1:7">
      <c r="A1840" t="s">
        <v>643</v>
      </c>
      <c r="C1840" t="str">
        <f>'4M'!$BI$10</f>
        <v>B0293CDC_SWD</v>
      </c>
      <c r="D1840" t="str">
        <f>_xlfn.CONCAT('4M'!$B$9, "-", '4M'!$B$10, "-", '4M'!$G$7, "-", '4M'!$F$6, "-", '4M'!$F$5)</f>
        <v>EA/NRW environmental programme (WINEP/NEP)-Conservation drivers-Surface water drainage-Wastewater network+ -Expenditure in report year</v>
      </c>
      <c r="F1840" t="s">
        <v>7182</v>
      </c>
      <c r="G1840">
        <f>'4M'!$G$10</f>
        <v>0</v>
      </c>
    </row>
    <row r="1841" spans="1:7">
      <c r="A1841" t="s">
        <v>643</v>
      </c>
      <c r="C1841" t="str">
        <f>'4M'!$BJ$10</f>
        <v>B0293CDC_HD</v>
      </c>
      <c r="D1841" t="str">
        <f>_xlfn.CONCAT('4M'!$B$9, "-", '4M'!$B$10, "-", '4M'!$H$7, "-", '4M'!$F$6, "-", '4M'!$F$5)</f>
        <v>EA/NRW environmental programme (WINEP/NEP)-Conservation drivers-Highway drainage-Wastewater network+ -Expenditure in report year</v>
      </c>
      <c r="F1841" t="s">
        <v>7182</v>
      </c>
      <c r="G1841">
        <f>'4M'!$H$10</f>
        <v>0</v>
      </c>
    </row>
    <row r="1842" spans="1:7">
      <c r="A1842" t="s">
        <v>643</v>
      </c>
      <c r="C1842" t="str">
        <f>'4M'!$BK$10</f>
        <v>B0293CDC_STD</v>
      </c>
      <c r="D1842" t="str">
        <f>_xlfn.CONCAT('4M'!$B$9, "-", '4M'!$B$10, "-", '4M'!$I$7, "-", '4M'!$F$6, "-", '4M'!$F$5)</f>
        <v>EA/NRW environmental programme (WINEP/NEP)-Conservation drivers-Sewage treatment and disposal-Wastewater network+ -Expenditure in report year</v>
      </c>
      <c r="F1842" t="s">
        <v>7182</v>
      </c>
      <c r="G1842">
        <f>'4M'!$I$10</f>
        <v>0</v>
      </c>
    </row>
    <row r="1843" spans="1:7">
      <c r="A1843" t="s">
        <v>643</v>
      </c>
      <c r="C1843" t="str">
        <f>'4M'!$BL$10</f>
        <v>B0293CDC_SLT</v>
      </c>
      <c r="D1843" t="str">
        <f>_xlfn.CONCAT('4M'!$B$9, "-", '4M'!$B$10, "-", '4M'!$J$7, "-", '4M'!$F$6, "-", '4M'!$F$5)</f>
        <v>EA/NRW environmental programme (WINEP/NEP)-Conservation drivers-Sludge liquor treatment-Wastewater network+ -Expenditure in report year</v>
      </c>
      <c r="F1843" t="s">
        <v>7182</v>
      </c>
      <c r="G1843">
        <f>'4M'!$J$10</f>
        <v>0</v>
      </c>
    </row>
    <row r="1844" spans="1:7">
      <c r="A1844" t="s">
        <v>643</v>
      </c>
      <c r="C1844" t="str">
        <f>'4M'!$BM$10</f>
        <v>B0293CDC_STP</v>
      </c>
      <c r="D1844" t="str">
        <f>_xlfn.CONCAT('4M'!$B$9, "-", '4M'!$B$10, "-", '4M'!$K$7, "-", '4M'!$K$6, "-", '4M'!$F$5)</f>
        <v>EA/NRW environmental programme (WINEP/NEP)-Conservation drivers-Sludge transport-Bioresources-Expenditure in report year</v>
      </c>
      <c r="F1844" t="s">
        <v>7182</v>
      </c>
      <c r="G1844">
        <f>'4M'!$K$10</f>
        <v>0</v>
      </c>
    </row>
    <row r="1845" spans="1:7">
      <c r="A1845" t="s">
        <v>643</v>
      </c>
      <c r="C1845" t="str">
        <f>'4M'!$BN$10</f>
        <v>B0293CDC_SDT</v>
      </c>
      <c r="D1845" t="str">
        <f>_xlfn.CONCAT('4M'!$B$9, "-", '4M'!$B$10, "-", '4M'!$L$7, "-", '4M'!$K$6, "-", '4M'!$F$5)</f>
        <v>EA/NRW environmental programme (WINEP/NEP)-Conservation drivers-Sludge treatment-Bioresources-Expenditure in report year</v>
      </c>
      <c r="F1845" t="s">
        <v>7182</v>
      </c>
      <c r="G1845">
        <f>'4M'!$L$10</f>
        <v>0</v>
      </c>
    </row>
    <row r="1846" spans="1:7">
      <c r="A1846" t="s">
        <v>643</v>
      </c>
      <c r="C1846" t="str">
        <f>'4M'!$BO$10</f>
        <v>B0293CDC_SD</v>
      </c>
      <c r="D1846" t="str">
        <f>_xlfn.CONCAT('4M'!$B$9, "-", '4M'!$B$10, "-", '4M'!$M$7, "-", '4M'!$K$6, "-", '4M'!$F$5)</f>
        <v>EA/NRW environmental programme (WINEP/NEP)-Conservation drivers-Sludge disposal-Bioresources-Expenditure in report year</v>
      </c>
      <c r="F1846" t="s">
        <v>7182</v>
      </c>
      <c r="G1846">
        <f>'4M'!$M$10</f>
        <v>0</v>
      </c>
    </row>
    <row r="1847" spans="1:7">
      <c r="A1847" t="s">
        <v>643</v>
      </c>
      <c r="C1847" t="str">
        <f>'4M'!$BP$10</f>
        <v>B0293CDC_TOT</v>
      </c>
      <c r="D1847" t="str">
        <f>_xlfn.CONCAT('4M'!$B$9, "-", '4M'!$B$10, "-", '4M'!$N$6, "-", '4M'!$N$6, "-", '4M'!$F$5)</f>
        <v>EA/NRW environmental programme (WINEP/NEP)-Conservation drivers-Total-Total-Expenditure in report year</v>
      </c>
      <c r="F1847" t="s">
        <v>7182</v>
      </c>
      <c r="G1847">
        <f>'4M'!$N$10</f>
        <v>0</v>
      </c>
    </row>
    <row r="1848" spans="1:7">
      <c r="A1848" t="s">
        <v>643</v>
      </c>
      <c r="C1848" t="str">
        <f>'4M'!$BH$11</f>
        <v>B0294CDO_F</v>
      </c>
      <c r="D1848" t="str">
        <f>_xlfn.CONCAT('4M'!$B$9, "-", '4M'!$B$11, "-", '4M'!$F$7, "-", '4M'!$F$6, "-", '4M'!$F$5)</f>
        <v>EA/NRW environmental programme (WINEP/NEP)-Conservation drivers-Foul-Wastewater network+ -Expenditure in report year</v>
      </c>
      <c r="F1848" t="s">
        <v>7182</v>
      </c>
      <c r="G1848">
        <f>'4M'!$F$11</f>
        <v>0</v>
      </c>
    </row>
    <row r="1849" spans="1:7">
      <c r="A1849" t="s">
        <v>643</v>
      </c>
      <c r="C1849" t="str">
        <f>'4M'!$BI$11</f>
        <v>B0294CDO_SWD</v>
      </c>
      <c r="D1849" t="str">
        <f>_xlfn.CONCAT('4M'!$B$9, "-", '4M'!$B$11, "-", '4M'!$G$7, "-", '4M'!$F$6, "-", '4M'!$F$5)</f>
        <v>EA/NRW environmental programme (WINEP/NEP)-Conservation drivers-Surface water drainage-Wastewater network+ -Expenditure in report year</v>
      </c>
      <c r="F1849" t="s">
        <v>7182</v>
      </c>
      <c r="G1849">
        <f>'4M'!$G$11</f>
        <v>0</v>
      </c>
    </row>
    <row r="1850" spans="1:7">
      <c r="A1850" t="s">
        <v>643</v>
      </c>
      <c r="C1850" t="str">
        <f>'4M'!$BJ$11</f>
        <v>B0294CDO_HD</v>
      </c>
      <c r="D1850" t="str">
        <f>_xlfn.CONCAT('4M'!$B$9, "-", '4M'!$B$11, "-", '4M'!$H$7, "-", '4M'!$F$6, "-", '4M'!$F$5)</f>
        <v>EA/NRW environmental programme (WINEP/NEP)-Conservation drivers-Highway drainage-Wastewater network+ -Expenditure in report year</v>
      </c>
      <c r="F1850" t="s">
        <v>7182</v>
      </c>
      <c r="G1850">
        <f>'4M'!$H$11</f>
        <v>0</v>
      </c>
    </row>
    <row r="1851" spans="1:7">
      <c r="A1851" t="s">
        <v>643</v>
      </c>
      <c r="C1851" t="str">
        <f>'4M'!$BK$11</f>
        <v>B0294CDO_STD</v>
      </c>
      <c r="D1851" t="str">
        <f>_xlfn.CONCAT('4M'!$B$9, "-", '4M'!$B$11, "-", '4M'!$I$7, "-", '4M'!$F$6, "-", '4M'!$F$5)</f>
        <v>EA/NRW environmental programme (WINEP/NEP)-Conservation drivers-Sewage treatment and disposal-Wastewater network+ -Expenditure in report year</v>
      </c>
      <c r="F1851" t="s">
        <v>7182</v>
      </c>
      <c r="G1851">
        <f>'4M'!$I$11</f>
        <v>0</v>
      </c>
    </row>
    <row r="1852" spans="1:7">
      <c r="A1852" t="s">
        <v>643</v>
      </c>
      <c r="C1852" t="str">
        <f>'4M'!$BL$11</f>
        <v>B0294CDO_SLT</v>
      </c>
      <c r="D1852" t="str">
        <f>_xlfn.CONCAT('4M'!$B$9, "-", '4M'!$B$11, "-", '4M'!$J$7, "-", '4M'!$F$6, "-", '4M'!$F$5)</f>
        <v>EA/NRW environmental programme (WINEP/NEP)-Conservation drivers-Sludge liquor treatment-Wastewater network+ -Expenditure in report year</v>
      </c>
      <c r="F1852" t="s">
        <v>7182</v>
      </c>
      <c r="G1852">
        <f>'4M'!$J$11</f>
        <v>0</v>
      </c>
    </row>
    <row r="1853" spans="1:7">
      <c r="A1853" t="s">
        <v>643</v>
      </c>
      <c r="C1853" t="str">
        <f>'4M'!$BM$11</f>
        <v>B0294CDO_STP</v>
      </c>
      <c r="D1853" t="str">
        <f>_xlfn.CONCAT('4M'!$B$9, "-", '4M'!$B$11, "-", '4M'!$K$7, "-", '4M'!$K$6, "-", '4M'!$F$5)</f>
        <v>EA/NRW environmental programme (WINEP/NEP)-Conservation drivers-Sludge transport-Bioresources-Expenditure in report year</v>
      </c>
      <c r="F1853" t="s">
        <v>7182</v>
      </c>
      <c r="G1853">
        <f>'4M'!$K$11</f>
        <v>0</v>
      </c>
    </row>
    <row r="1854" spans="1:7">
      <c r="A1854" t="s">
        <v>643</v>
      </c>
      <c r="C1854" t="str">
        <f>'4M'!$BN$11</f>
        <v>B0294CDO_SDT</v>
      </c>
      <c r="D1854" t="str">
        <f>_xlfn.CONCAT('4M'!$B$9, "-", '4M'!$B$11, "-", '4M'!$L$7, "-", '4M'!$K$6, "-", '4M'!$F$5)</f>
        <v>EA/NRW environmental programme (WINEP/NEP)-Conservation drivers-Sludge treatment-Bioresources-Expenditure in report year</v>
      </c>
      <c r="F1854" t="s">
        <v>7182</v>
      </c>
      <c r="G1854">
        <f>'4M'!$L$11</f>
        <v>0</v>
      </c>
    </row>
    <row r="1855" spans="1:7">
      <c r="A1855" t="s">
        <v>643</v>
      </c>
      <c r="C1855" t="str">
        <f>'4M'!$BO$11</f>
        <v>B0294CDO_SD</v>
      </c>
      <c r="D1855" t="str">
        <f>_xlfn.CONCAT('4M'!$B$9, "-", '4M'!$B$11, "-", '4M'!$M$7, "-", '4M'!$K$6, "-", '4M'!$F$5)</f>
        <v>EA/NRW environmental programme (WINEP/NEP)-Conservation drivers-Sludge disposal-Bioresources-Expenditure in report year</v>
      </c>
      <c r="F1855" t="s">
        <v>7182</v>
      </c>
      <c r="G1855">
        <f>'4M'!$M$11</f>
        <v>0</v>
      </c>
    </row>
    <row r="1856" spans="1:7">
      <c r="A1856" t="s">
        <v>643</v>
      </c>
      <c r="C1856" t="str">
        <f>'4M'!$BP$11</f>
        <v>B0294CDO_TOT</v>
      </c>
      <c r="D1856" t="str">
        <f>_xlfn.CONCAT('4M'!$B$9, "-", '4M'!$B$11, "-", '4M'!$N$6, "-", '4M'!$N$6, "-", '4M'!$F$5)</f>
        <v>EA/NRW environmental programme (WINEP/NEP)-Conservation drivers-Total-Total-Expenditure in report year</v>
      </c>
      <c r="F1856" t="s">
        <v>7182</v>
      </c>
      <c r="G1856">
        <f>'4M'!$N$11</f>
        <v>0</v>
      </c>
    </row>
    <row r="1857" spans="1:7">
      <c r="A1857" t="s">
        <v>643</v>
      </c>
      <c r="C1857" t="str">
        <f>'4M'!$BH$12</f>
        <v>B0295CDT_F</v>
      </c>
      <c r="D1857" t="str">
        <f>_xlfn.CONCAT('4M'!$B$9, "-", '4M'!$B$12, "-", '4M'!$F$7, "-", '4M'!$F$6, "-", '4M'!$F$5)</f>
        <v>EA/NRW environmental programme (WINEP/NEP)-Conservation drivers-Foul-Wastewater network+ -Expenditure in report year</v>
      </c>
      <c r="F1857" t="s">
        <v>7182</v>
      </c>
      <c r="G1857">
        <f>'4M'!$F$12</f>
        <v>0</v>
      </c>
    </row>
    <row r="1858" spans="1:7">
      <c r="A1858" t="s">
        <v>643</v>
      </c>
      <c r="C1858" t="str">
        <f>'4M'!$BI$12</f>
        <v>B0295CDT_SWD</v>
      </c>
      <c r="D1858" t="str">
        <f>_xlfn.CONCAT('4M'!$B$9, "-", '4M'!$B$12, "-", '4M'!$G$7, "-", '4M'!$F$6, "-", '4M'!$F$5)</f>
        <v>EA/NRW environmental programme (WINEP/NEP)-Conservation drivers-Surface water drainage-Wastewater network+ -Expenditure in report year</v>
      </c>
      <c r="F1858" t="s">
        <v>7182</v>
      </c>
      <c r="G1858">
        <f>'4M'!$G$12</f>
        <v>0</v>
      </c>
    </row>
    <row r="1859" spans="1:7">
      <c r="A1859" t="s">
        <v>643</v>
      </c>
      <c r="C1859" t="str">
        <f>'4M'!$BJ$12</f>
        <v>B0295CDT_HD</v>
      </c>
      <c r="D1859" t="str">
        <f>_xlfn.CONCAT('4M'!$B$9, "-", '4M'!$B$12, "-", '4M'!$H$7, "-", '4M'!$F$6, "-", '4M'!$F$5)</f>
        <v>EA/NRW environmental programme (WINEP/NEP)-Conservation drivers-Highway drainage-Wastewater network+ -Expenditure in report year</v>
      </c>
      <c r="F1859" t="s">
        <v>7182</v>
      </c>
      <c r="G1859">
        <f>'4M'!$H$12</f>
        <v>0</v>
      </c>
    </row>
    <row r="1860" spans="1:7">
      <c r="A1860" t="s">
        <v>643</v>
      </c>
      <c r="C1860" t="str">
        <f>'4M'!$BK$12</f>
        <v>B0295CDT_STD</v>
      </c>
      <c r="D1860" t="str">
        <f>_xlfn.CONCAT('4M'!$B$9, "-", '4M'!$B$12, "-", '4M'!$I$7, "-", '4M'!$F$6, "-", '4M'!$F$5)</f>
        <v>EA/NRW environmental programme (WINEP/NEP)-Conservation drivers-Sewage treatment and disposal-Wastewater network+ -Expenditure in report year</v>
      </c>
      <c r="F1860" t="s">
        <v>7182</v>
      </c>
      <c r="G1860">
        <f>'4M'!$I$12</f>
        <v>0</v>
      </c>
    </row>
    <row r="1861" spans="1:7">
      <c r="A1861" t="s">
        <v>643</v>
      </c>
      <c r="C1861" t="str">
        <f>'4M'!$BL$12</f>
        <v>B0295CDT_SLT</v>
      </c>
      <c r="D1861" t="str">
        <f>_xlfn.CONCAT('4M'!$B$9, "-", '4M'!$B$12, "-", '4M'!$J$7, "-", '4M'!$F$6, "-", '4M'!$F$5)</f>
        <v>EA/NRW environmental programme (WINEP/NEP)-Conservation drivers-Sludge liquor treatment-Wastewater network+ -Expenditure in report year</v>
      </c>
      <c r="F1861" t="s">
        <v>7182</v>
      </c>
      <c r="G1861">
        <f>'4M'!$J$12</f>
        <v>0</v>
      </c>
    </row>
    <row r="1862" spans="1:7">
      <c r="A1862" t="s">
        <v>643</v>
      </c>
      <c r="C1862" t="str">
        <f>'4M'!$BM$12</f>
        <v>B0295CDT_STP</v>
      </c>
      <c r="D1862" t="str">
        <f>_xlfn.CONCAT('4M'!$B$9, "-", '4M'!$B$12, "-", '4M'!$K$7, "-", '4M'!$K$6, "-", '4M'!$F$5)</f>
        <v>EA/NRW environmental programme (WINEP/NEP)-Conservation drivers-Sludge transport-Bioresources-Expenditure in report year</v>
      </c>
      <c r="F1862" t="s">
        <v>7182</v>
      </c>
      <c r="G1862">
        <f>'4M'!$K$12</f>
        <v>0</v>
      </c>
    </row>
    <row r="1863" spans="1:7">
      <c r="A1863" t="s">
        <v>643</v>
      </c>
      <c r="C1863" t="str">
        <f>'4M'!$BN$12</f>
        <v>B0295CDT_SDT</v>
      </c>
      <c r="D1863" t="str">
        <f>_xlfn.CONCAT('4M'!$B$9, "-", '4M'!$B$12, "-", '4M'!$L$7, "-", '4M'!$K$6, "-", '4M'!$F$5)</f>
        <v>EA/NRW environmental programme (WINEP/NEP)-Conservation drivers-Sludge treatment-Bioresources-Expenditure in report year</v>
      </c>
      <c r="F1863" t="s">
        <v>7182</v>
      </c>
      <c r="G1863">
        <f>'4M'!$L$12</f>
        <v>0</v>
      </c>
    </row>
    <row r="1864" spans="1:7">
      <c r="A1864" t="s">
        <v>643</v>
      </c>
      <c r="C1864" t="str">
        <f>'4M'!$BO$12</f>
        <v>B0295CDT_SD</v>
      </c>
      <c r="D1864" t="str">
        <f>_xlfn.CONCAT('4M'!$B$9, "-", '4M'!$B$12, "-", '4M'!$M$7, "-", '4M'!$K$6, "-", '4M'!$F$5)</f>
        <v>EA/NRW environmental programme (WINEP/NEP)-Conservation drivers-Sludge disposal-Bioresources-Expenditure in report year</v>
      </c>
      <c r="F1864" t="s">
        <v>7182</v>
      </c>
      <c r="G1864">
        <f>'4M'!$M$12</f>
        <v>0</v>
      </c>
    </row>
    <row r="1865" spans="1:7">
      <c r="A1865" t="s">
        <v>643</v>
      </c>
      <c r="C1865" t="str">
        <f>'4M'!$BP$12</f>
        <v>B0295CDT_TOT</v>
      </c>
      <c r="D1865" t="str">
        <f>_xlfn.CONCAT('4M'!$B$9, "-", '4M'!$B$12, "-", '4M'!$N$6, "-", '4M'!$N$6, "-", '4M'!$F$5)</f>
        <v>EA/NRW environmental programme (WINEP/NEP)-Conservation drivers-Total-Total-Expenditure in report year</v>
      </c>
      <c r="F1865" t="s">
        <v>7182</v>
      </c>
      <c r="G1865">
        <f>'4M'!$N$12</f>
        <v>0</v>
      </c>
    </row>
    <row r="1866" spans="1:7">
      <c r="A1866" t="s">
        <v>643</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7182</v>
      </c>
      <c r="G1866">
        <f>'4M'!$X$12</f>
        <v>0</v>
      </c>
    </row>
    <row r="1867" spans="1:7">
      <c r="A1867" t="s">
        <v>643</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7182</v>
      </c>
      <c r="G1867">
        <f>'4M'!$Y$12</f>
        <v>0</v>
      </c>
    </row>
    <row r="1868" spans="1:7">
      <c r="A1868" t="s">
        <v>643</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7182</v>
      </c>
      <c r="G1868">
        <f>'4M'!$Z$12</f>
        <v>0</v>
      </c>
    </row>
    <row r="1869" spans="1:7">
      <c r="A1869" t="s">
        <v>643</v>
      </c>
      <c r="C1869" t="str">
        <f>'4M'!$BH$13</f>
        <v>B0296EDC_F</v>
      </c>
      <c r="D1869" t="str">
        <f>_xlfn.CONCAT('4M'!$B$9, "-", '4M'!$B$13, "-", '4M'!$F$7, "-", '4M'!$F$6, "-", '4M'!$F$5)</f>
        <v>EA/NRW environmental programme (WINEP/NEP)-Event Duration Monitoring at intermittent discharges-Foul-Wastewater network+ -Expenditure in report year</v>
      </c>
      <c r="F1869" t="s">
        <v>7182</v>
      </c>
      <c r="G1869">
        <f>'4M'!$F$13</f>
        <v>0</v>
      </c>
    </row>
    <row r="1870" spans="1:7">
      <c r="A1870" t="s">
        <v>643</v>
      </c>
      <c r="C1870" t="str">
        <f>'4M'!$BI$13</f>
        <v>B0296EDC_SWD</v>
      </c>
      <c r="D1870" t="str">
        <f>_xlfn.CONCAT('4M'!$B$9, "-", '4M'!$B$13, "-", '4M'!$G$7, "-", '4M'!$F$6, "-", '4M'!$F$5)</f>
        <v>EA/NRW environmental programme (WINEP/NEP)-Event Duration Monitoring at intermittent discharges-Surface water drainage-Wastewater network+ -Expenditure in report year</v>
      </c>
      <c r="F1870" t="s">
        <v>7182</v>
      </c>
      <c r="G1870">
        <f>'4M'!$G$13</f>
        <v>0</v>
      </c>
    </row>
    <row r="1871" spans="1:7">
      <c r="A1871" t="s">
        <v>643</v>
      </c>
      <c r="C1871" t="str">
        <f>'4M'!$BJ$13</f>
        <v>B0296EDC_HD</v>
      </c>
      <c r="D1871" t="str">
        <f>_xlfn.CONCAT('4M'!$B$9, "-", '4M'!$B$13, "-", '4M'!$H$7, "-", '4M'!$F$6, "-", '4M'!$F$5)</f>
        <v>EA/NRW environmental programme (WINEP/NEP)-Event Duration Monitoring at intermittent discharges-Highway drainage-Wastewater network+ -Expenditure in report year</v>
      </c>
      <c r="F1871" t="s">
        <v>7182</v>
      </c>
      <c r="G1871">
        <f>'4M'!$H$13</f>
        <v>0</v>
      </c>
    </row>
    <row r="1872" spans="1:7">
      <c r="A1872" t="s">
        <v>643</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7182</v>
      </c>
      <c r="G1872">
        <f>'4M'!$I$13</f>
        <v>0.42099999999999999</v>
      </c>
    </row>
    <row r="1873" spans="1:7">
      <c r="A1873" t="s">
        <v>643</v>
      </c>
      <c r="C1873" t="str">
        <f>'4M'!$BL$13</f>
        <v>B0296EDC_SLT</v>
      </c>
      <c r="D1873" t="str">
        <f>_xlfn.CONCAT('4M'!$B$9, "-", '4M'!$B$13, "-", '4M'!$J$7, "-", '4M'!$F$6, "-", '4M'!$F$5)</f>
        <v>EA/NRW environmental programme (WINEP/NEP)-Event Duration Monitoring at intermittent discharges-Sludge liquor treatment-Wastewater network+ -Expenditure in report year</v>
      </c>
      <c r="F1873" t="s">
        <v>7182</v>
      </c>
      <c r="G1873">
        <f>'4M'!$J$13</f>
        <v>0</v>
      </c>
    </row>
    <row r="1874" spans="1:7">
      <c r="A1874" t="s">
        <v>643</v>
      </c>
      <c r="C1874" t="str">
        <f>'4M'!$BM$13</f>
        <v>B0296EDC_STP</v>
      </c>
      <c r="D1874" t="str">
        <f>_xlfn.CONCAT('4M'!$B$9, "-", '4M'!$B$13, "-", '4M'!$K$7, "-", '4M'!$K$6, "-", '4M'!$F$5)</f>
        <v>EA/NRW environmental programme (WINEP/NEP)-Event Duration Monitoring at intermittent discharges-Sludge transport-Bioresources-Expenditure in report year</v>
      </c>
      <c r="F1874" t="s">
        <v>7182</v>
      </c>
      <c r="G1874">
        <f>'4M'!$K$13</f>
        <v>0</v>
      </c>
    </row>
    <row r="1875" spans="1:7">
      <c r="A1875" t="s">
        <v>643</v>
      </c>
      <c r="C1875" t="str">
        <f>'4M'!$BN$13</f>
        <v>B0296EDC_SDT</v>
      </c>
      <c r="D1875" t="str">
        <f>_xlfn.CONCAT('4M'!$B$9, "-", '4M'!$B$13, "-", '4M'!$L$7, "-", '4M'!$K$6, "-", '4M'!$F$5)</f>
        <v>EA/NRW environmental programme (WINEP/NEP)-Event Duration Monitoring at intermittent discharges-Sludge treatment-Bioresources-Expenditure in report year</v>
      </c>
      <c r="F1875" t="s">
        <v>7182</v>
      </c>
      <c r="G1875">
        <f>'4M'!$L$13</f>
        <v>0</v>
      </c>
    </row>
    <row r="1876" spans="1:7">
      <c r="A1876" t="s">
        <v>643</v>
      </c>
      <c r="C1876" t="str">
        <f>'4M'!$BO$13</f>
        <v>B0296EDC_SD</v>
      </c>
      <c r="D1876" t="str">
        <f>_xlfn.CONCAT('4M'!$B$9, "-", '4M'!$B$13, "-", '4M'!$M$7, "-", '4M'!$K$6, "-", '4M'!$F$5)</f>
        <v>EA/NRW environmental programme (WINEP/NEP)-Event Duration Monitoring at intermittent discharges-Sludge disposal-Bioresources-Expenditure in report year</v>
      </c>
      <c r="F1876" t="s">
        <v>7182</v>
      </c>
      <c r="G1876">
        <f>'4M'!$M$13</f>
        <v>0</v>
      </c>
    </row>
    <row r="1877" spans="1:7">
      <c r="A1877" t="s">
        <v>643</v>
      </c>
      <c r="C1877" t="str">
        <f>'4M'!$BP$13</f>
        <v>B0296EDC_TOT</v>
      </c>
      <c r="D1877" t="str">
        <f>_xlfn.CONCAT('4M'!$B$9, "-", '4M'!$B$13, "-", '4M'!$N$6, "-", '4M'!$N$6, "-", '4M'!$F$5)</f>
        <v>EA/NRW environmental programme (WINEP/NEP)-Event Duration Monitoring at intermittent discharges-Total-Total-Expenditure in report year</v>
      </c>
      <c r="F1877" t="s">
        <v>7182</v>
      </c>
      <c r="G1877">
        <f>'4M'!$N$13</f>
        <v>0.42099999999999999</v>
      </c>
    </row>
    <row r="1878" spans="1:7">
      <c r="A1878" t="s">
        <v>643</v>
      </c>
      <c r="C1878" t="str">
        <f>'4M'!$BH$14</f>
        <v>B0297EDO_F</v>
      </c>
      <c r="D1878" t="str">
        <f>_xlfn.CONCAT('4M'!$B$9, "-", '4M'!$B$14, "-", '4M'!$F$7, "-", '4M'!$F$6, "-", '4M'!$F$5)</f>
        <v>EA/NRW environmental programme (WINEP/NEP)-Event Duration Monitoring at intermittent discharges-Foul-Wastewater network+ -Expenditure in report year</v>
      </c>
      <c r="F1878" t="s">
        <v>7182</v>
      </c>
      <c r="G1878">
        <f>'4M'!$F$14</f>
        <v>8.0000000000000002E-3</v>
      </c>
    </row>
    <row r="1879" spans="1:7">
      <c r="A1879" t="s">
        <v>643</v>
      </c>
      <c r="C1879" t="str">
        <f>'4M'!$BI$14</f>
        <v>B0297EDO_SWD</v>
      </c>
      <c r="D1879" t="str">
        <f>_xlfn.CONCAT('4M'!$B$9, "-", '4M'!$B$14, "-", '4M'!$G$7, "-", '4M'!$F$6, "-", '4M'!$F$5)</f>
        <v>EA/NRW environmental programme (WINEP/NEP)-Event Duration Monitoring at intermittent discharges-Surface water drainage-Wastewater network+ -Expenditure in report year</v>
      </c>
      <c r="F1879" t="s">
        <v>7182</v>
      </c>
      <c r="G1879">
        <f>'4M'!$G$14</f>
        <v>1.2E-2</v>
      </c>
    </row>
    <row r="1880" spans="1:7">
      <c r="A1880" t="s">
        <v>643</v>
      </c>
      <c r="C1880" t="str">
        <f>'4M'!$BJ$14</f>
        <v>B0297EDO_HD</v>
      </c>
      <c r="D1880" t="str">
        <f>_xlfn.CONCAT('4M'!$B$9, "-", '4M'!$B$14, "-", '4M'!$H$7, "-", '4M'!$F$6, "-", '4M'!$F$5)</f>
        <v>EA/NRW environmental programme (WINEP/NEP)-Event Duration Monitoring at intermittent discharges-Highway drainage-Wastewater network+ -Expenditure in report year</v>
      </c>
      <c r="F1880" t="s">
        <v>7182</v>
      </c>
      <c r="G1880">
        <f>'4M'!$H$14</f>
        <v>7.0000000000000001E-3</v>
      </c>
    </row>
    <row r="1881" spans="1:7">
      <c r="A1881" t="s">
        <v>643</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7182</v>
      </c>
      <c r="G1881">
        <f>'4M'!$I$14</f>
        <v>2.5999999999999999E-2</v>
      </c>
    </row>
    <row r="1882" spans="1:7">
      <c r="A1882" t="s">
        <v>643</v>
      </c>
      <c r="C1882" t="str">
        <f>'4M'!$BL$14</f>
        <v>B0297EDO_SLT</v>
      </c>
      <c r="D1882" t="str">
        <f>_xlfn.CONCAT('4M'!$B$9, "-", '4M'!$B$14, "-", '4M'!$J$7, "-", '4M'!$F$6, "-", '4M'!$F$5)</f>
        <v>EA/NRW environmental programme (WINEP/NEP)-Event Duration Monitoring at intermittent discharges-Sludge liquor treatment-Wastewater network+ -Expenditure in report year</v>
      </c>
      <c r="F1882" t="s">
        <v>7182</v>
      </c>
      <c r="G1882">
        <f>'4M'!$J$14</f>
        <v>0</v>
      </c>
    </row>
    <row r="1883" spans="1:7">
      <c r="A1883" t="s">
        <v>643</v>
      </c>
      <c r="C1883" t="str">
        <f>'4M'!$BM$14</f>
        <v>B0297EDO_STP</v>
      </c>
      <c r="D1883" t="str">
        <f>_xlfn.CONCAT('4M'!$B$9, "-", '4M'!$B$14, "-", '4M'!$K$7, "-", '4M'!$K$6, "-", '4M'!$F$5)</f>
        <v>EA/NRW environmental programme (WINEP/NEP)-Event Duration Monitoring at intermittent discharges-Sludge transport-Bioresources-Expenditure in report year</v>
      </c>
      <c r="F1883" t="s">
        <v>7182</v>
      </c>
      <c r="G1883">
        <f>'4M'!$K$14</f>
        <v>0</v>
      </c>
    </row>
    <row r="1884" spans="1:7">
      <c r="A1884" t="s">
        <v>643</v>
      </c>
      <c r="C1884" t="str">
        <f>'4M'!$BN$14</f>
        <v>B0297EDO_SDT</v>
      </c>
      <c r="D1884" t="str">
        <f>_xlfn.CONCAT('4M'!$B$9, "-", '4M'!$B$14, "-", '4M'!$L$7, "-", '4M'!$K$6, "-", '4M'!$F$5)</f>
        <v>EA/NRW environmental programme (WINEP/NEP)-Event Duration Monitoring at intermittent discharges-Sludge treatment-Bioresources-Expenditure in report year</v>
      </c>
      <c r="F1884" t="s">
        <v>7182</v>
      </c>
      <c r="G1884">
        <f>'4M'!$L$14</f>
        <v>0</v>
      </c>
    </row>
    <row r="1885" spans="1:7">
      <c r="A1885" t="s">
        <v>643</v>
      </c>
      <c r="C1885" t="str">
        <f>'4M'!$BO$14</f>
        <v>B0297EDO_SD</v>
      </c>
      <c r="D1885" t="str">
        <f>_xlfn.CONCAT('4M'!$B$9, "-", '4M'!$B$14, "-", '4M'!$M$7, "-", '4M'!$K$6, "-", '4M'!$F$5)</f>
        <v>EA/NRW environmental programme (WINEP/NEP)-Event Duration Monitoring at intermittent discharges-Sludge disposal-Bioresources-Expenditure in report year</v>
      </c>
      <c r="F1885" t="s">
        <v>7182</v>
      </c>
      <c r="G1885">
        <f>'4M'!$M$14</f>
        <v>0</v>
      </c>
    </row>
    <row r="1886" spans="1:7">
      <c r="A1886" t="s">
        <v>643</v>
      </c>
      <c r="C1886" t="str">
        <f>'4M'!$BP$14</f>
        <v>B0297EDO_TOT</v>
      </c>
      <c r="D1886" t="str">
        <f>_xlfn.CONCAT('4M'!$B$9, "-", '4M'!$B$14, "-", '4M'!$N$6, "-", '4M'!$N$6, "-", '4M'!$F$5)</f>
        <v>EA/NRW environmental programme (WINEP/NEP)-Event Duration Monitoring at intermittent discharges-Total-Total-Expenditure in report year</v>
      </c>
      <c r="F1886" t="s">
        <v>7182</v>
      </c>
      <c r="G1886">
        <f>'4M'!$N$14</f>
        <v>5.2999999999999999E-2</v>
      </c>
    </row>
    <row r="1887" spans="1:7">
      <c r="A1887" t="s">
        <v>643</v>
      </c>
      <c r="C1887" t="str">
        <f>'4M'!$BH$15</f>
        <v>B0298EDT_F</v>
      </c>
      <c r="D1887" t="str">
        <f>_xlfn.CONCAT('4M'!$B$9, "-", '4M'!$B$15, "-", '4M'!$F$7, "-", '4M'!$F$6, "-", '4M'!$F$5)</f>
        <v>EA/NRW environmental programme (WINEP/NEP)-Event Duration Monitoring at intermittent discharges-Foul-Wastewater network+ -Expenditure in report year</v>
      </c>
      <c r="F1887" t="s">
        <v>7182</v>
      </c>
      <c r="G1887">
        <f>'4M'!$F$15</f>
        <v>8.0000000000000002E-3</v>
      </c>
    </row>
    <row r="1888" spans="1:7">
      <c r="A1888" t="s">
        <v>643</v>
      </c>
      <c r="C1888" t="str">
        <f>'4M'!$BI$15</f>
        <v>B0298EDT_SWD</v>
      </c>
      <c r="D1888" t="str">
        <f>_xlfn.CONCAT('4M'!$B$9, "-", '4M'!$B$15, "-", '4M'!$G$7, "-", '4M'!$F$6, "-", '4M'!$F$5)</f>
        <v>EA/NRW environmental programme (WINEP/NEP)-Event Duration Monitoring at intermittent discharges-Surface water drainage-Wastewater network+ -Expenditure in report year</v>
      </c>
      <c r="F1888" t="s">
        <v>7182</v>
      </c>
      <c r="G1888">
        <f>'4M'!$G$15</f>
        <v>1.2E-2</v>
      </c>
    </row>
    <row r="1889" spans="1:7">
      <c r="A1889" t="s">
        <v>643</v>
      </c>
      <c r="C1889" t="str">
        <f>'4M'!$BJ$15</f>
        <v>B0298EDT_HD</v>
      </c>
      <c r="D1889" t="str">
        <f>_xlfn.CONCAT('4M'!$B$9, "-", '4M'!$B$15, "-", '4M'!$H$7, "-", '4M'!$F$6, "-", '4M'!$F$5)</f>
        <v>EA/NRW environmental programme (WINEP/NEP)-Event Duration Monitoring at intermittent discharges-Highway drainage-Wastewater network+ -Expenditure in report year</v>
      </c>
      <c r="F1889" t="s">
        <v>7182</v>
      </c>
      <c r="G1889">
        <f>'4M'!$H$15</f>
        <v>7.0000000000000001E-3</v>
      </c>
    </row>
    <row r="1890" spans="1:7">
      <c r="A1890" t="s">
        <v>643</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7182</v>
      </c>
      <c r="G1890">
        <f>'4M'!$I$15</f>
        <v>0.44700000000000001</v>
      </c>
    </row>
    <row r="1891" spans="1:7">
      <c r="A1891" t="s">
        <v>643</v>
      </c>
      <c r="C1891" t="str">
        <f>'4M'!$BL$15</f>
        <v>B0298EDT_SLT</v>
      </c>
      <c r="D1891" t="str">
        <f>_xlfn.CONCAT('4M'!$B$9, "-", '4M'!$B$15, "-", '4M'!$J$7, "-", '4M'!$F$6, "-", '4M'!$F$5)</f>
        <v>EA/NRW environmental programme (WINEP/NEP)-Event Duration Monitoring at intermittent discharges-Sludge liquor treatment-Wastewater network+ -Expenditure in report year</v>
      </c>
      <c r="F1891" t="s">
        <v>7182</v>
      </c>
      <c r="G1891">
        <f>'4M'!$J$15</f>
        <v>0</v>
      </c>
    </row>
    <row r="1892" spans="1:7">
      <c r="A1892" t="s">
        <v>643</v>
      </c>
      <c r="C1892" t="str">
        <f>'4M'!$BM$15</f>
        <v>B0298EDT_STP</v>
      </c>
      <c r="D1892" t="str">
        <f>_xlfn.CONCAT('4M'!$B$9, "-", '4M'!$B$15, "-", '4M'!$K$7, "-", '4M'!$K$6, "-", '4M'!$F$5)</f>
        <v>EA/NRW environmental programme (WINEP/NEP)-Event Duration Monitoring at intermittent discharges-Sludge transport-Bioresources-Expenditure in report year</v>
      </c>
      <c r="F1892" t="s">
        <v>7182</v>
      </c>
      <c r="G1892">
        <f>'4M'!$K$15</f>
        <v>0</v>
      </c>
    </row>
    <row r="1893" spans="1:7">
      <c r="A1893" t="s">
        <v>643</v>
      </c>
      <c r="C1893" t="str">
        <f>'4M'!$BN$15</f>
        <v>B0298EDT_SDT</v>
      </c>
      <c r="D1893" t="str">
        <f>_xlfn.CONCAT('4M'!$B$9, "-", '4M'!$B$15, "-", '4M'!$L$7, "-", '4M'!$K$6, "-", '4M'!$F$5)</f>
        <v>EA/NRW environmental programme (WINEP/NEP)-Event Duration Monitoring at intermittent discharges-Sludge treatment-Bioresources-Expenditure in report year</v>
      </c>
      <c r="F1893" t="s">
        <v>7182</v>
      </c>
      <c r="G1893">
        <f>'4M'!$L$15</f>
        <v>0</v>
      </c>
    </row>
    <row r="1894" spans="1:7">
      <c r="A1894" t="s">
        <v>643</v>
      </c>
      <c r="C1894" t="str">
        <f>'4M'!$BO$15</f>
        <v>B0298EDT_SD</v>
      </c>
      <c r="D1894" t="str">
        <f>_xlfn.CONCAT('4M'!$B$9, "-", '4M'!$B$15, "-", '4M'!$M$7, "-", '4M'!$K$6, "-", '4M'!$F$5)</f>
        <v>EA/NRW environmental programme (WINEP/NEP)-Event Duration Monitoring at intermittent discharges-Sludge disposal-Bioresources-Expenditure in report year</v>
      </c>
      <c r="F1894" t="s">
        <v>7182</v>
      </c>
      <c r="G1894">
        <f>'4M'!$M$15</f>
        <v>0</v>
      </c>
    </row>
    <row r="1895" spans="1:7">
      <c r="A1895" t="s">
        <v>643</v>
      </c>
      <c r="C1895" t="str">
        <f>'4M'!$BP$15</f>
        <v>B0298EDT_TOT</v>
      </c>
      <c r="D1895" t="str">
        <f>_xlfn.CONCAT('4M'!$B$9, "-", '4M'!$B$15, "-", '4M'!$N$6, "-", '4M'!$N$6, "-", '4M'!$F$5)</f>
        <v>EA/NRW environmental programme (WINEP/NEP)-Event Duration Monitoring at intermittent discharges-Total-Total-Expenditure in report year</v>
      </c>
      <c r="F1895" t="s">
        <v>7182</v>
      </c>
      <c r="G1895">
        <f>'4M'!$N$15</f>
        <v>0.47400000000000003</v>
      </c>
    </row>
    <row r="1896" spans="1:7">
      <c r="A1896" t="s">
        <v>643</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7182</v>
      </c>
      <c r="G1896">
        <f>'4M'!$X$15</f>
        <v>3.68</v>
      </c>
    </row>
    <row r="1897" spans="1:7">
      <c r="A1897" t="s">
        <v>643</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7182</v>
      </c>
      <c r="G1897">
        <f>'4M'!$Y$15</f>
        <v>0.92900000000000005</v>
      </c>
    </row>
    <row r="1898" spans="1:7">
      <c r="A1898" t="s">
        <v>643</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7182</v>
      </c>
      <c r="G1898">
        <f>'4M'!$Z$15</f>
        <v>2.2200000000000002</v>
      </c>
    </row>
    <row r="1899" spans="1:7">
      <c r="A1899" t="s">
        <v>643</v>
      </c>
      <c r="C1899" t="str">
        <f>'4M'!$BH$16</f>
        <v>B0299FMC_F</v>
      </c>
      <c r="D1899" t="str">
        <f>_xlfn.CONCAT('4M'!$B$9, "-", '4M'!$B$16, "-", '4M'!$F$7, "-", '4M'!$F$6, "-", '4M'!$F$5)</f>
        <v>EA/NRW environmental programme (WINEP/NEP)-Flow monitoring at sewage treatment works-Foul-Wastewater network+ -Expenditure in report year</v>
      </c>
      <c r="F1899" t="s">
        <v>7182</v>
      </c>
      <c r="G1899">
        <f>'4M'!$F$16</f>
        <v>0</v>
      </c>
    </row>
    <row r="1900" spans="1:7">
      <c r="A1900" t="s">
        <v>643</v>
      </c>
      <c r="C1900" t="str">
        <f>'4M'!$BI$16</f>
        <v>B0299FMC_SWD</v>
      </c>
      <c r="D1900" t="str">
        <f>_xlfn.CONCAT('4M'!$B$9, "-", '4M'!$B$16, "-", '4M'!$G$7, "-", '4M'!$F$6, "-", '4M'!$F$5)</f>
        <v>EA/NRW environmental programme (WINEP/NEP)-Flow monitoring at sewage treatment works-Surface water drainage-Wastewater network+ -Expenditure in report year</v>
      </c>
      <c r="F1900" t="s">
        <v>7182</v>
      </c>
      <c r="G1900">
        <f>'4M'!$G$16</f>
        <v>0</v>
      </c>
    </row>
    <row r="1901" spans="1:7">
      <c r="A1901" t="s">
        <v>643</v>
      </c>
      <c r="C1901" t="str">
        <f>'4M'!$BJ$16</f>
        <v>B0299FMC_HD</v>
      </c>
      <c r="D1901" t="str">
        <f>_xlfn.CONCAT('4M'!$B$9, "-", '4M'!$B$16, "-", '4M'!$H$7, "-", '4M'!$F$6, "-", '4M'!$F$5)</f>
        <v>EA/NRW environmental programme (WINEP/NEP)-Flow monitoring at sewage treatment works-Highway drainage-Wastewater network+ -Expenditure in report year</v>
      </c>
      <c r="F1901" t="s">
        <v>7182</v>
      </c>
      <c r="G1901">
        <f>'4M'!$H$16</f>
        <v>0</v>
      </c>
    </row>
    <row r="1902" spans="1:7">
      <c r="A1902" t="s">
        <v>643</v>
      </c>
      <c r="C1902" t="str">
        <f>'4M'!$BK$16</f>
        <v>B0299FMC_STD</v>
      </c>
      <c r="D1902" t="str">
        <f>_xlfn.CONCAT('4M'!$B$9, "-", '4M'!$B$16, "-", '4M'!$I$7, "-", '4M'!$F$6, "-", '4M'!$F$5)</f>
        <v>EA/NRW environmental programme (WINEP/NEP)-Flow monitoring at sewage treatment works-Sewage treatment and disposal-Wastewater network+ -Expenditure in report year</v>
      </c>
      <c r="F1902" t="s">
        <v>7182</v>
      </c>
      <c r="G1902">
        <f>'4M'!$I$16</f>
        <v>1.554</v>
      </c>
    </row>
    <row r="1903" spans="1:7">
      <c r="A1903" t="s">
        <v>643</v>
      </c>
      <c r="C1903" t="str">
        <f>'4M'!$BL$16</f>
        <v>B0299FMC_SLT</v>
      </c>
      <c r="D1903" t="str">
        <f>_xlfn.CONCAT('4M'!$B$9, "-", '4M'!$B$16, "-", '4M'!$J$7, "-", '4M'!$F$6, "-", '4M'!$F$5)</f>
        <v>EA/NRW environmental programme (WINEP/NEP)-Flow monitoring at sewage treatment works-Sludge liquor treatment-Wastewater network+ -Expenditure in report year</v>
      </c>
      <c r="F1903" t="s">
        <v>7182</v>
      </c>
      <c r="G1903">
        <f>'4M'!$J$16</f>
        <v>0</v>
      </c>
    </row>
    <row r="1904" spans="1:7">
      <c r="A1904" t="s">
        <v>643</v>
      </c>
      <c r="C1904" t="str">
        <f>'4M'!$BM$16</f>
        <v>B0299FMC_STP</v>
      </c>
      <c r="D1904" t="str">
        <f>_xlfn.CONCAT('4M'!$B$9, "-", '4M'!$B$16, "-", '4M'!$K$7, "-", '4M'!$K$6, "-", '4M'!$F$5)</f>
        <v>EA/NRW environmental programme (WINEP/NEP)-Flow monitoring at sewage treatment works-Sludge transport-Bioresources-Expenditure in report year</v>
      </c>
      <c r="F1904" t="s">
        <v>7182</v>
      </c>
      <c r="G1904">
        <f>'4M'!$K$16</f>
        <v>0</v>
      </c>
    </row>
    <row r="1905" spans="1:7">
      <c r="A1905" t="s">
        <v>643</v>
      </c>
      <c r="C1905" t="str">
        <f>'4M'!$BN$16</f>
        <v>B0299FMC_SDT</v>
      </c>
      <c r="D1905" t="str">
        <f>_xlfn.CONCAT('4M'!$B$9, "-", '4M'!$B$16, "-", '4M'!$L$7, "-", '4M'!$K$6, "-", '4M'!$F$5)</f>
        <v>EA/NRW environmental programme (WINEP/NEP)-Flow monitoring at sewage treatment works-Sludge treatment-Bioresources-Expenditure in report year</v>
      </c>
      <c r="F1905" t="s">
        <v>7182</v>
      </c>
      <c r="G1905">
        <f>'4M'!$L$16</f>
        <v>0</v>
      </c>
    </row>
    <row r="1906" spans="1:7">
      <c r="A1906" t="s">
        <v>643</v>
      </c>
      <c r="C1906" t="str">
        <f>'4M'!$BO$16</f>
        <v>B0299FMC_SD</v>
      </c>
      <c r="D1906" t="str">
        <f>_xlfn.CONCAT('4M'!$B$9, "-", '4M'!$B$16, "-", '4M'!$M$7, "-", '4M'!$K$6, "-", '4M'!$F$5)</f>
        <v>EA/NRW environmental programme (WINEP/NEP)-Flow monitoring at sewage treatment works-Sludge disposal-Bioresources-Expenditure in report year</v>
      </c>
      <c r="F1906" t="s">
        <v>7182</v>
      </c>
      <c r="G1906">
        <f>'4M'!$M$16</f>
        <v>0</v>
      </c>
    </row>
    <row r="1907" spans="1:7">
      <c r="A1907" t="s">
        <v>643</v>
      </c>
      <c r="C1907" t="str">
        <f>'4M'!$BP$16</f>
        <v>B0299FMC_TOT</v>
      </c>
      <c r="D1907" t="str">
        <f>_xlfn.CONCAT('4M'!$B$9, "-", '4M'!$B$16, "-", '4M'!$N$6, "-", '4M'!$N$6, "-", '4M'!$F$5)</f>
        <v>EA/NRW environmental programme (WINEP/NEP)-Flow monitoring at sewage treatment works-Total-Total-Expenditure in report year</v>
      </c>
      <c r="F1907" t="s">
        <v>7182</v>
      </c>
      <c r="G1907">
        <f>'4M'!$N$16</f>
        <v>1.554</v>
      </c>
    </row>
    <row r="1908" spans="1:7">
      <c r="A1908" t="s">
        <v>643</v>
      </c>
      <c r="C1908" t="str">
        <f>'4M'!$BH$17</f>
        <v>B0300FMO_F</v>
      </c>
      <c r="D1908" t="str">
        <f>_xlfn.CONCAT('4M'!$B$9, "-", '4M'!$B$17, "-", '4M'!$F$7, "-", '4M'!$F$6, "-", '4M'!$F$5)</f>
        <v>EA/NRW environmental programme (WINEP/NEP)-Flow monitoring at sewage treatment works-Foul-Wastewater network+ -Expenditure in report year</v>
      </c>
      <c r="F1908" t="s">
        <v>7182</v>
      </c>
      <c r="G1908">
        <f>'4M'!$F$17</f>
        <v>0</v>
      </c>
    </row>
    <row r="1909" spans="1:7">
      <c r="A1909" t="s">
        <v>643</v>
      </c>
      <c r="C1909" t="str">
        <f>'4M'!$BI$17</f>
        <v>B0300FMO_SWD</v>
      </c>
      <c r="D1909" t="str">
        <f>_xlfn.CONCAT('4M'!$B$9, "-", '4M'!$B$17, "-", '4M'!$G$7, "-", '4M'!$F$6, "-", '4M'!$F$5)</f>
        <v>EA/NRW environmental programme (WINEP/NEP)-Flow monitoring at sewage treatment works-Surface water drainage-Wastewater network+ -Expenditure in report year</v>
      </c>
      <c r="F1909" t="s">
        <v>7182</v>
      </c>
      <c r="G1909">
        <f>'4M'!$G$17</f>
        <v>0</v>
      </c>
    </row>
    <row r="1910" spans="1:7">
      <c r="A1910" t="s">
        <v>643</v>
      </c>
      <c r="C1910" t="str">
        <f>'4M'!$BJ$17</f>
        <v>B0300FMO_HD</v>
      </c>
      <c r="D1910" t="str">
        <f>_xlfn.CONCAT('4M'!$B$9, "-", '4M'!$B$17, "-", '4M'!$H$7, "-", '4M'!$F$6, "-", '4M'!$F$5)</f>
        <v>EA/NRW environmental programme (WINEP/NEP)-Flow monitoring at sewage treatment works-Highway drainage-Wastewater network+ -Expenditure in report year</v>
      </c>
      <c r="F1910" t="s">
        <v>7182</v>
      </c>
      <c r="G1910">
        <f>'4M'!$H$17</f>
        <v>0</v>
      </c>
    </row>
    <row r="1911" spans="1:7">
      <c r="A1911" t="s">
        <v>643</v>
      </c>
      <c r="C1911" t="str">
        <f>'4M'!$BK$17</f>
        <v>B0300FMO_STD</v>
      </c>
      <c r="D1911" t="str">
        <f>_xlfn.CONCAT('4M'!$B$9, "-", '4M'!$B$17, "-", '4M'!$I$7, "-", '4M'!$F$6, "-", '4M'!$F$5)</f>
        <v>EA/NRW environmental programme (WINEP/NEP)-Flow monitoring at sewage treatment works-Sewage treatment and disposal-Wastewater network+ -Expenditure in report year</v>
      </c>
      <c r="F1911" t="s">
        <v>7182</v>
      </c>
      <c r="G1911">
        <f>'4M'!$I$17</f>
        <v>0</v>
      </c>
    </row>
    <row r="1912" spans="1:7">
      <c r="A1912" t="s">
        <v>643</v>
      </c>
      <c r="C1912" t="str">
        <f>'4M'!$BL$17</f>
        <v>B0300FMO_SLT</v>
      </c>
      <c r="D1912" t="str">
        <f>_xlfn.CONCAT('4M'!$B$9, "-", '4M'!$B$17, "-", '4M'!$J$7, "-", '4M'!$F$6, "-", '4M'!$F$5)</f>
        <v>EA/NRW environmental programme (WINEP/NEP)-Flow monitoring at sewage treatment works-Sludge liquor treatment-Wastewater network+ -Expenditure in report year</v>
      </c>
      <c r="F1912" t="s">
        <v>7182</v>
      </c>
      <c r="G1912">
        <f>'4M'!$J$17</f>
        <v>0</v>
      </c>
    </row>
    <row r="1913" spans="1:7">
      <c r="A1913" t="s">
        <v>643</v>
      </c>
      <c r="C1913" t="str">
        <f>'4M'!$BM$17</f>
        <v>B0300FMO_STP</v>
      </c>
      <c r="D1913" t="str">
        <f>_xlfn.CONCAT('4M'!$B$9, "-", '4M'!$B$17, "-", '4M'!$K$7, "-", '4M'!$K$6, "-", '4M'!$F$5)</f>
        <v>EA/NRW environmental programme (WINEP/NEP)-Flow monitoring at sewage treatment works-Sludge transport-Bioresources-Expenditure in report year</v>
      </c>
      <c r="F1913" t="s">
        <v>7182</v>
      </c>
      <c r="G1913">
        <f>'4M'!$K$17</f>
        <v>0</v>
      </c>
    </row>
    <row r="1914" spans="1:7">
      <c r="A1914" t="s">
        <v>643</v>
      </c>
      <c r="C1914" t="str">
        <f>'4M'!$BN$17</f>
        <v>B0300FMO_SDT</v>
      </c>
      <c r="D1914" t="str">
        <f>_xlfn.CONCAT('4M'!$B$9, "-", '4M'!$B$17, "-", '4M'!$L$7, "-", '4M'!$K$6, "-", '4M'!$F$5)</f>
        <v>EA/NRW environmental programme (WINEP/NEP)-Flow monitoring at sewage treatment works-Sludge treatment-Bioresources-Expenditure in report year</v>
      </c>
      <c r="F1914" t="s">
        <v>7182</v>
      </c>
      <c r="G1914">
        <f>'4M'!$L$17</f>
        <v>0</v>
      </c>
    </row>
    <row r="1915" spans="1:7">
      <c r="A1915" t="s">
        <v>643</v>
      </c>
      <c r="C1915" t="str">
        <f>'4M'!$BO$17</f>
        <v>B0300FMO_SD</v>
      </c>
      <c r="D1915" t="str">
        <f>_xlfn.CONCAT('4M'!$B$9, "-", '4M'!$B$17, "-", '4M'!$M$7, "-", '4M'!$K$6, "-", '4M'!$F$5)</f>
        <v>EA/NRW environmental programme (WINEP/NEP)-Flow monitoring at sewage treatment works-Sludge disposal-Bioresources-Expenditure in report year</v>
      </c>
      <c r="F1915" t="s">
        <v>7182</v>
      </c>
      <c r="G1915">
        <f>'4M'!$M$17</f>
        <v>0</v>
      </c>
    </row>
    <row r="1916" spans="1:7">
      <c r="A1916" t="s">
        <v>643</v>
      </c>
      <c r="C1916" t="str">
        <f>'4M'!$BP$17</f>
        <v>B0300FMO_TOT</v>
      </c>
      <c r="D1916" t="str">
        <f>_xlfn.CONCAT('4M'!$B$9, "-", '4M'!$B$17, "-", '4M'!$N$6, "-", '4M'!$N$6, "-", '4M'!$F$5)</f>
        <v>EA/NRW environmental programme (WINEP/NEP)-Flow monitoring at sewage treatment works-Total-Total-Expenditure in report year</v>
      </c>
      <c r="F1916" t="s">
        <v>7182</v>
      </c>
      <c r="G1916">
        <f>'4M'!$N$17</f>
        <v>0</v>
      </c>
    </row>
    <row r="1917" spans="1:7">
      <c r="A1917" t="s">
        <v>643</v>
      </c>
      <c r="C1917" t="str">
        <f>'4M'!$BH$18</f>
        <v>B0301FMT_F</v>
      </c>
      <c r="D1917" t="str">
        <f>_xlfn.CONCAT('4M'!$B$9, "-", '4M'!$B$18, "-", '4M'!$F$7, "-", '4M'!$F$6, "-", '4M'!$F$5)</f>
        <v>EA/NRW environmental programme (WINEP/NEP)-Flow monitoring at sewage treatment works-Foul-Wastewater network+ -Expenditure in report year</v>
      </c>
      <c r="F1917" t="s">
        <v>7182</v>
      </c>
      <c r="G1917">
        <f>'4M'!$F$18</f>
        <v>0</v>
      </c>
    </row>
    <row r="1918" spans="1:7">
      <c r="A1918" t="s">
        <v>643</v>
      </c>
      <c r="C1918" t="str">
        <f>'4M'!$BI$18</f>
        <v>B0301FMT_SWD</v>
      </c>
      <c r="D1918" t="str">
        <f>_xlfn.CONCAT('4M'!$B$9, "-", '4M'!$B$18, "-", '4M'!$G$7, "-", '4M'!$F$6, "-", '4M'!$F$5)</f>
        <v>EA/NRW environmental programme (WINEP/NEP)-Flow monitoring at sewage treatment works-Surface water drainage-Wastewater network+ -Expenditure in report year</v>
      </c>
      <c r="F1918" t="s">
        <v>7182</v>
      </c>
      <c r="G1918">
        <f>'4M'!$G$18</f>
        <v>0</v>
      </c>
    </row>
    <row r="1919" spans="1:7">
      <c r="A1919" t="s">
        <v>643</v>
      </c>
      <c r="C1919" t="str">
        <f>'4M'!$BJ$18</f>
        <v>B0301FMT_HD</v>
      </c>
      <c r="D1919" t="str">
        <f>_xlfn.CONCAT('4M'!$B$9, "-", '4M'!$B$18, "-", '4M'!$H$7, "-", '4M'!$F$6, "-", '4M'!$F$5)</f>
        <v>EA/NRW environmental programme (WINEP/NEP)-Flow monitoring at sewage treatment works-Highway drainage-Wastewater network+ -Expenditure in report year</v>
      </c>
      <c r="F1919" t="s">
        <v>7182</v>
      </c>
      <c r="G1919">
        <f>'4M'!$H$18</f>
        <v>0</v>
      </c>
    </row>
    <row r="1920" spans="1:7">
      <c r="A1920" t="s">
        <v>643</v>
      </c>
      <c r="C1920" t="str">
        <f>'4M'!$BK$18</f>
        <v>B0301FMT_STD</v>
      </c>
      <c r="D1920" t="str">
        <f>_xlfn.CONCAT('4M'!$B$9, "-", '4M'!$B$18, "-", '4M'!$I$7, "-", '4M'!$F$6, "-", '4M'!$F$5)</f>
        <v>EA/NRW environmental programme (WINEP/NEP)-Flow monitoring at sewage treatment works-Sewage treatment and disposal-Wastewater network+ -Expenditure in report year</v>
      </c>
      <c r="F1920" t="s">
        <v>7182</v>
      </c>
      <c r="G1920">
        <f>'4M'!$I$18</f>
        <v>1.554</v>
      </c>
    </row>
    <row r="1921" spans="1:7">
      <c r="A1921" t="s">
        <v>643</v>
      </c>
      <c r="C1921" t="str">
        <f>'4M'!$BL$18</f>
        <v>B0301FMT_SLT</v>
      </c>
      <c r="D1921" t="str">
        <f>_xlfn.CONCAT('4M'!$B$9, "-", '4M'!$B$18, "-", '4M'!$J$7, "-", '4M'!$F$6, "-", '4M'!$F$5)</f>
        <v>EA/NRW environmental programme (WINEP/NEP)-Flow monitoring at sewage treatment works-Sludge liquor treatment-Wastewater network+ -Expenditure in report year</v>
      </c>
      <c r="F1921" t="s">
        <v>7182</v>
      </c>
      <c r="G1921">
        <f>'4M'!$J$18</f>
        <v>0</v>
      </c>
    </row>
    <row r="1922" spans="1:7">
      <c r="A1922" t="s">
        <v>643</v>
      </c>
      <c r="C1922" t="str">
        <f>'4M'!$BM$18</f>
        <v>B0301FMT_STP</v>
      </c>
      <c r="D1922" t="str">
        <f>_xlfn.CONCAT('4M'!$B$9, "-", '4M'!$B$18, "-", '4M'!$K$7, "-", '4M'!$K$6, "-", '4M'!$F$5)</f>
        <v>EA/NRW environmental programme (WINEP/NEP)-Flow monitoring at sewage treatment works-Sludge transport-Bioresources-Expenditure in report year</v>
      </c>
      <c r="F1922" t="s">
        <v>7182</v>
      </c>
      <c r="G1922">
        <f>'4M'!$K$18</f>
        <v>0</v>
      </c>
    </row>
    <row r="1923" spans="1:7">
      <c r="A1923" t="s">
        <v>643</v>
      </c>
      <c r="C1923" t="str">
        <f>'4M'!$BN$18</f>
        <v>B0301FMT_SDT</v>
      </c>
      <c r="D1923" t="str">
        <f>_xlfn.CONCAT('4M'!$B$9, "-", '4M'!$B$18, "-", '4M'!$L$7, "-", '4M'!$K$6, "-", '4M'!$F$5)</f>
        <v>EA/NRW environmental programme (WINEP/NEP)-Flow monitoring at sewage treatment works-Sludge treatment-Bioresources-Expenditure in report year</v>
      </c>
      <c r="F1923" t="s">
        <v>7182</v>
      </c>
      <c r="G1923">
        <f>'4M'!$L$18</f>
        <v>0</v>
      </c>
    </row>
    <row r="1924" spans="1:7">
      <c r="A1924" t="s">
        <v>643</v>
      </c>
      <c r="C1924" t="str">
        <f>'4M'!$BO$18</f>
        <v>B0301FMT_SD</v>
      </c>
      <c r="D1924" t="str">
        <f>_xlfn.CONCAT('4M'!$B$9, "-", '4M'!$B$18, "-", '4M'!$M$7, "-", '4M'!$K$6, "-", '4M'!$F$5)</f>
        <v>EA/NRW environmental programme (WINEP/NEP)-Flow monitoring at sewage treatment works-Sludge disposal-Bioresources-Expenditure in report year</v>
      </c>
      <c r="F1924" t="s">
        <v>7182</v>
      </c>
      <c r="G1924">
        <f>'4M'!$M$18</f>
        <v>0</v>
      </c>
    </row>
    <row r="1925" spans="1:7">
      <c r="A1925" t="s">
        <v>643</v>
      </c>
      <c r="C1925" t="str">
        <f>'4M'!$BP$18</f>
        <v>B0301FMT_TOT</v>
      </c>
      <c r="D1925" t="str">
        <f>_xlfn.CONCAT('4M'!$B$9, "-", '4M'!$B$18, "-", '4M'!$N$6, "-", '4M'!$N$6, "-", '4M'!$F$5)</f>
        <v>EA/NRW environmental programme (WINEP/NEP)-Flow monitoring at sewage treatment works-Total-Total-Expenditure in report year</v>
      </c>
      <c r="F1925" t="s">
        <v>7182</v>
      </c>
      <c r="G1925">
        <f>'4M'!$N$18</f>
        <v>1.554</v>
      </c>
    </row>
    <row r="1926" spans="1:7">
      <c r="A1926" t="s">
        <v>643</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7182</v>
      </c>
      <c r="G1926">
        <f>'4M'!$X$18</f>
        <v>2.5940000000000003</v>
      </c>
    </row>
    <row r="1927" spans="1:7">
      <c r="A1927" t="s">
        <v>643</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7182</v>
      </c>
      <c r="G1927">
        <f>'4M'!$Y$18</f>
        <v>1.89</v>
      </c>
    </row>
    <row r="1928" spans="1:7">
      <c r="A1928" t="s">
        <v>643</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7182</v>
      </c>
      <c r="G1928">
        <f>'4M'!$Z$18</f>
        <v>4.5209999999999999</v>
      </c>
    </row>
    <row r="1929" spans="1:7">
      <c r="A1929" t="s">
        <v>643</v>
      </c>
      <c r="C1929" t="str">
        <f>'4M'!$BH$19</f>
        <v>B0302SIC_F</v>
      </c>
      <c r="D1929" t="str">
        <f>_xlfn.CONCAT('4M'!$B$9, "-", '4M'!$B$19, "-", '4M'!$F$7, "-", '4M'!$F$6, "-", '4M'!$F$5)</f>
        <v>EA/NRW environmental programme (WINEP/NEP)-Schemes to increase flow to full treatment-Foul-Wastewater network+ -Expenditure in report year</v>
      </c>
      <c r="F1929" t="s">
        <v>7182</v>
      </c>
      <c r="G1929">
        <f>'4M'!$F$19</f>
        <v>0</v>
      </c>
    </row>
    <row r="1930" spans="1:7">
      <c r="A1930" t="s">
        <v>643</v>
      </c>
      <c r="C1930" t="str">
        <f>'4M'!$BI$19</f>
        <v>B0302SIC_SWD</v>
      </c>
      <c r="D1930" t="str">
        <f>_xlfn.CONCAT('4M'!$B$9, "-", '4M'!$B$19, "-", '4M'!$G$7, "-", '4M'!$F$6, "-", '4M'!$F$5)</f>
        <v>EA/NRW environmental programme (WINEP/NEP)-Schemes to increase flow to full treatment-Surface water drainage-Wastewater network+ -Expenditure in report year</v>
      </c>
      <c r="F1930" t="s">
        <v>7182</v>
      </c>
      <c r="G1930">
        <f>'4M'!$G$19</f>
        <v>0</v>
      </c>
    </row>
    <row r="1931" spans="1:7">
      <c r="A1931" t="s">
        <v>643</v>
      </c>
      <c r="C1931" t="str">
        <f>'4M'!$BJ$19</f>
        <v>B0302SIC_HD</v>
      </c>
      <c r="D1931" t="str">
        <f>_xlfn.CONCAT('4M'!$B$9, "-", '4M'!$B$19, "-", '4M'!$H$7, "-", '4M'!$F$6, "-", '4M'!$F$5)</f>
        <v>EA/NRW environmental programme (WINEP/NEP)-Schemes to increase flow to full treatment-Highway drainage-Wastewater network+ -Expenditure in report year</v>
      </c>
      <c r="F1931" t="s">
        <v>7182</v>
      </c>
      <c r="G1931">
        <f>'4M'!$H$19</f>
        <v>0</v>
      </c>
    </row>
    <row r="1932" spans="1:7">
      <c r="A1932" t="s">
        <v>643</v>
      </c>
      <c r="C1932" t="str">
        <f>'4M'!$BK$19</f>
        <v>B0302SIC_STD</v>
      </c>
      <c r="D1932" t="str">
        <f>_xlfn.CONCAT('4M'!$B$9, "-", '4M'!$B$19, "-", '4M'!$I$7, "-", '4M'!$F$6, "-", '4M'!$F$5)</f>
        <v>EA/NRW environmental programme (WINEP/NEP)-Schemes to increase flow to full treatment-Sewage treatment and disposal-Wastewater network+ -Expenditure in report year</v>
      </c>
      <c r="F1932" t="s">
        <v>7182</v>
      </c>
      <c r="G1932">
        <f>'4M'!$I$19</f>
        <v>3.1389999999999998</v>
      </c>
    </row>
    <row r="1933" spans="1:7">
      <c r="A1933" t="s">
        <v>643</v>
      </c>
      <c r="C1933" t="str">
        <f>'4M'!$BL$19</f>
        <v>B0302SIC_SLT</v>
      </c>
      <c r="D1933" t="str">
        <f>_xlfn.CONCAT('4M'!$B$9, "-", '4M'!$B$19, "-", '4M'!$J$7, "-", '4M'!$F$6, "-", '4M'!$F$5)</f>
        <v>EA/NRW environmental programme (WINEP/NEP)-Schemes to increase flow to full treatment-Sludge liquor treatment-Wastewater network+ -Expenditure in report year</v>
      </c>
      <c r="F1933" t="s">
        <v>7182</v>
      </c>
      <c r="G1933">
        <f>'4M'!$J$19</f>
        <v>0</v>
      </c>
    </row>
    <row r="1934" spans="1:7">
      <c r="A1934" t="s">
        <v>643</v>
      </c>
      <c r="C1934" t="str">
        <f>'4M'!$BM$19</f>
        <v>B0302SIC_STP</v>
      </c>
      <c r="D1934" t="str">
        <f>_xlfn.CONCAT('4M'!$B$9, "-", '4M'!$B$19, "-", '4M'!$K$7, "-", '4M'!$K$6, "-", '4M'!$F$5)</f>
        <v>EA/NRW environmental programme (WINEP/NEP)-Schemes to increase flow to full treatment-Sludge transport-Bioresources-Expenditure in report year</v>
      </c>
      <c r="F1934" t="s">
        <v>7182</v>
      </c>
      <c r="G1934">
        <f>'4M'!$K$19</f>
        <v>0</v>
      </c>
    </row>
    <row r="1935" spans="1:7">
      <c r="A1935" t="s">
        <v>643</v>
      </c>
      <c r="C1935" t="str">
        <f>'4M'!$BN$19</f>
        <v>B0302SIC_SDT</v>
      </c>
      <c r="D1935" t="str">
        <f>_xlfn.CONCAT('4M'!$B$9, "-", '4M'!$B$19, "-", '4M'!$L$7, "-", '4M'!$K$6, "-", '4M'!$F$5)</f>
        <v>EA/NRW environmental programme (WINEP/NEP)-Schemes to increase flow to full treatment-Sludge treatment-Bioresources-Expenditure in report year</v>
      </c>
      <c r="F1935" t="s">
        <v>7182</v>
      </c>
      <c r="G1935">
        <f>'4M'!$L$19</f>
        <v>0</v>
      </c>
    </row>
    <row r="1936" spans="1:7">
      <c r="A1936" t="s">
        <v>643</v>
      </c>
      <c r="C1936" t="str">
        <f>'4M'!$BO$19</f>
        <v>B0302SIC_SD</v>
      </c>
      <c r="D1936" t="str">
        <f>_xlfn.CONCAT('4M'!$B$9, "-", '4M'!$B$19, "-", '4M'!$M$7, "-", '4M'!$K$6, "-", '4M'!$F$5)</f>
        <v>EA/NRW environmental programme (WINEP/NEP)-Schemes to increase flow to full treatment-Sludge disposal-Bioresources-Expenditure in report year</v>
      </c>
      <c r="F1936" t="s">
        <v>7182</v>
      </c>
      <c r="G1936">
        <f>'4M'!$M$19</f>
        <v>0</v>
      </c>
    </row>
    <row r="1937" spans="1:7">
      <c r="A1937" t="s">
        <v>643</v>
      </c>
      <c r="C1937" t="str">
        <f>'4M'!$BP$19</f>
        <v>B0302SIC_TOT</v>
      </c>
      <c r="D1937" t="str">
        <f>_xlfn.CONCAT('4M'!$B$9, "-", '4M'!$B$19, "-", '4M'!$N$6, "-", '4M'!$N$6, "-", '4M'!$F$5)</f>
        <v>EA/NRW environmental programme (WINEP/NEP)-Schemes to increase flow to full treatment-Total-Total-Expenditure in report year</v>
      </c>
      <c r="F1937" t="s">
        <v>7182</v>
      </c>
      <c r="G1937">
        <f>'4M'!$N$19</f>
        <v>3.1389999999999998</v>
      </c>
    </row>
    <row r="1938" spans="1:7">
      <c r="A1938" t="s">
        <v>643</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7182</v>
      </c>
      <c r="G1938">
        <f>'4M'!$O$19</f>
        <v>0</v>
      </c>
    </row>
    <row r="1939" spans="1:7">
      <c r="A1939" t="s">
        <v>643</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7182</v>
      </c>
      <c r="G1939">
        <f>'4M'!$P$19</f>
        <v>0</v>
      </c>
    </row>
    <row r="1940" spans="1:7">
      <c r="A1940" t="s">
        <v>643</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7182</v>
      </c>
      <c r="G1940">
        <f>'4M'!$Q$19</f>
        <v>0</v>
      </c>
    </row>
    <row r="1941" spans="1:7">
      <c r="A1941" t="s">
        <v>643</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7182</v>
      </c>
      <c r="G1941">
        <f>'4M'!$R$19</f>
        <v>2.6970000000000001</v>
      </c>
    </row>
    <row r="1942" spans="1:7">
      <c r="A1942" t="s">
        <v>643</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7182</v>
      </c>
      <c r="G1942">
        <f>'4M'!$S$19</f>
        <v>0</v>
      </c>
    </row>
    <row r="1943" spans="1:7">
      <c r="A1943" t="s">
        <v>643</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7182</v>
      </c>
      <c r="G1943">
        <f>'4M'!$T$19</f>
        <v>0</v>
      </c>
    </row>
    <row r="1944" spans="1:7">
      <c r="A1944" t="s">
        <v>643</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7182</v>
      </c>
      <c r="G1944">
        <f>'4M'!$U$19</f>
        <v>0</v>
      </c>
    </row>
    <row r="1945" spans="1:7">
      <c r="A1945" t="s">
        <v>643</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7182</v>
      </c>
      <c r="G1945">
        <f>'4M'!$V$19</f>
        <v>0</v>
      </c>
    </row>
    <row r="1946" spans="1:7">
      <c r="A1946" t="s">
        <v>643</v>
      </c>
      <c r="C1946" t="str">
        <f>'4M'!$BY$19</f>
        <v>B0302SIC_C_TOT</v>
      </c>
      <c r="D1946" t="str">
        <f>_xlfn.CONCAT('4M'!$B$9, "-", '4M'!$B$19, "-", '4M'!$W$6, "-", '4M'!$W$6, "-", '4M'!$O$5)</f>
        <v>EA/NRW environmental programme (WINEP/NEP)-Schemes to increase flow to full treatment-Total-Total-Cumulative expenditure on schemes completed in the report year</v>
      </c>
      <c r="F1946" t="s">
        <v>7182</v>
      </c>
      <c r="G1946">
        <f>'4M'!$W$19</f>
        <v>2.6970000000000001</v>
      </c>
    </row>
    <row r="1947" spans="1:7">
      <c r="A1947" t="s">
        <v>643</v>
      </c>
      <c r="C1947" t="str">
        <f>'4M'!$BH$20</f>
        <v>B0303SIO_F</v>
      </c>
      <c r="D1947" t="str">
        <f>_xlfn.CONCAT('4M'!$B$9, "-", '4M'!$B$20, "-", '4M'!$F$7, "-", '4M'!$F$6, "-", '4M'!$F$5)</f>
        <v>EA/NRW environmental programme (WINEP/NEP)-Schemes to increase flow to full treatment-Foul-Wastewater network+ -Expenditure in report year</v>
      </c>
      <c r="F1947" t="s">
        <v>7182</v>
      </c>
      <c r="G1947">
        <f>'4M'!$F$20</f>
        <v>0</v>
      </c>
    </row>
    <row r="1948" spans="1:7">
      <c r="A1948" t="s">
        <v>643</v>
      </c>
      <c r="C1948" t="str">
        <f>'4M'!$BI$20</f>
        <v>B0303SIO_SWD</v>
      </c>
      <c r="D1948" t="str">
        <f>_xlfn.CONCAT('4M'!$B$9, "-", '4M'!$B$20, "-", '4M'!$G$7, "-", '4M'!$F$6, "-", '4M'!$F$5)</f>
        <v>EA/NRW environmental programme (WINEP/NEP)-Schemes to increase flow to full treatment-Surface water drainage-Wastewater network+ -Expenditure in report year</v>
      </c>
      <c r="F1948" t="s">
        <v>7182</v>
      </c>
      <c r="G1948">
        <f>'4M'!$G$20</f>
        <v>0</v>
      </c>
    </row>
    <row r="1949" spans="1:7">
      <c r="A1949" t="s">
        <v>643</v>
      </c>
      <c r="C1949" t="str">
        <f>'4M'!$BJ$20</f>
        <v>B0303SIO_HD</v>
      </c>
      <c r="D1949" t="str">
        <f>_xlfn.CONCAT('4M'!$B$9, "-", '4M'!$B$20, "-", '4M'!$H$7, "-", '4M'!$F$6, "-", '4M'!$F$5)</f>
        <v>EA/NRW environmental programme (WINEP/NEP)-Schemes to increase flow to full treatment-Highway drainage-Wastewater network+ -Expenditure in report year</v>
      </c>
      <c r="F1949" t="s">
        <v>7182</v>
      </c>
      <c r="G1949">
        <f>'4M'!$H$20</f>
        <v>0</v>
      </c>
    </row>
    <row r="1950" spans="1:7">
      <c r="A1950" t="s">
        <v>643</v>
      </c>
      <c r="C1950" t="str">
        <f>'4M'!$BK$20</f>
        <v>B0303SIO_STD</v>
      </c>
      <c r="D1950" t="str">
        <f>_xlfn.CONCAT('4M'!$B$9, "-", '4M'!$B$20, "-", '4M'!$I$7, "-", '4M'!$F$6, "-", '4M'!$F$5)</f>
        <v>EA/NRW environmental programme (WINEP/NEP)-Schemes to increase flow to full treatment-Sewage treatment and disposal-Wastewater network+ -Expenditure in report year</v>
      </c>
      <c r="F1950" t="s">
        <v>7182</v>
      </c>
      <c r="G1950">
        <f>'4M'!$I$20</f>
        <v>8.9999999999999993E-3</v>
      </c>
    </row>
    <row r="1951" spans="1:7">
      <c r="A1951" t="s">
        <v>643</v>
      </c>
      <c r="C1951" t="str">
        <f>'4M'!$BL$20</f>
        <v>B0303SIO_SLT</v>
      </c>
      <c r="D1951" t="str">
        <f>_xlfn.CONCAT('4M'!$B$9, "-", '4M'!$B$20, "-", '4M'!$J$7, "-", '4M'!$F$6, "-", '4M'!$F$5)</f>
        <v>EA/NRW environmental programme (WINEP/NEP)-Schemes to increase flow to full treatment-Sludge liquor treatment-Wastewater network+ -Expenditure in report year</v>
      </c>
      <c r="F1951" t="s">
        <v>7182</v>
      </c>
      <c r="G1951">
        <f>'4M'!$J$20</f>
        <v>0</v>
      </c>
    </row>
    <row r="1952" spans="1:7">
      <c r="A1952" t="s">
        <v>643</v>
      </c>
      <c r="C1952" t="str">
        <f>'4M'!$BM$20</f>
        <v>B0303SIO_STP</v>
      </c>
      <c r="D1952" t="str">
        <f>_xlfn.CONCAT('4M'!$B$9, "-", '4M'!$B$20, "-", '4M'!$K$7, "-", '4M'!$K$6, "-", '4M'!$F$5)</f>
        <v>EA/NRW environmental programme (WINEP/NEP)-Schemes to increase flow to full treatment-Sludge transport-Bioresources-Expenditure in report year</v>
      </c>
      <c r="F1952" t="s">
        <v>7182</v>
      </c>
      <c r="G1952">
        <f>'4M'!$K$20</f>
        <v>0</v>
      </c>
    </row>
    <row r="1953" spans="1:7">
      <c r="A1953" t="s">
        <v>643</v>
      </c>
      <c r="C1953" t="str">
        <f>'4M'!$BN$20</f>
        <v>B0303SIO_SDT</v>
      </c>
      <c r="D1953" t="str">
        <f>_xlfn.CONCAT('4M'!$B$9, "-", '4M'!$B$20, "-", '4M'!$L$7, "-", '4M'!$K$6, "-", '4M'!$F$5)</f>
        <v>EA/NRW environmental programme (WINEP/NEP)-Schemes to increase flow to full treatment-Sludge treatment-Bioresources-Expenditure in report year</v>
      </c>
      <c r="F1953" t="s">
        <v>7182</v>
      </c>
      <c r="G1953">
        <f>'4M'!$L$20</f>
        <v>0</v>
      </c>
    </row>
    <row r="1954" spans="1:7">
      <c r="A1954" t="s">
        <v>643</v>
      </c>
      <c r="C1954" t="str">
        <f>'4M'!$BO$20</f>
        <v>B0303SIO_SD</v>
      </c>
      <c r="D1954" t="str">
        <f>_xlfn.CONCAT('4M'!$B$9, "-", '4M'!$B$20, "-", '4M'!$M$7, "-", '4M'!$K$6, "-", '4M'!$F$5)</f>
        <v>EA/NRW environmental programme (WINEP/NEP)-Schemes to increase flow to full treatment-Sludge disposal-Bioresources-Expenditure in report year</v>
      </c>
      <c r="F1954" t="s">
        <v>7182</v>
      </c>
      <c r="G1954">
        <f>'4M'!$M$20</f>
        <v>0</v>
      </c>
    </row>
    <row r="1955" spans="1:7">
      <c r="A1955" t="s">
        <v>643</v>
      </c>
      <c r="C1955" t="str">
        <f>'4M'!$BP$20</f>
        <v>B0303SIO_TOT</v>
      </c>
      <c r="D1955" t="str">
        <f>_xlfn.CONCAT('4M'!$B$9, "-", '4M'!$B$20, "-", '4M'!$N$6, "-", '4M'!$N$6, "-", '4M'!$F$5)</f>
        <v>EA/NRW environmental programme (WINEP/NEP)-Schemes to increase flow to full treatment-Total-Total-Expenditure in report year</v>
      </c>
      <c r="F1955" t="s">
        <v>7182</v>
      </c>
      <c r="G1955">
        <f>'4M'!$N$20</f>
        <v>8.9999999999999993E-3</v>
      </c>
    </row>
    <row r="1956" spans="1:7">
      <c r="A1956" t="s">
        <v>643</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7182</v>
      </c>
      <c r="G1956">
        <f>'4M'!$O$20</f>
        <v>0</v>
      </c>
    </row>
    <row r="1957" spans="1:7">
      <c r="A1957" t="s">
        <v>643</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7182</v>
      </c>
      <c r="G1957">
        <f>'4M'!$P$20</f>
        <v>0</v>
      </c>
    </row>
    <row r="1958" spans="1:7">
      <c r="A1958" t="s">
        <v>643</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7182</v>
      </c>
      <c r="G1958">
        <f>'4M'!$Q$20</f>
        <v>0</v>
      </c>
    </row>
    <row r="1959" spans="1:7">
      <c r="A1959" t="s">
        <v>643</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7182</v>
      </c>
      <c r="G1959">
        <f>'4M'!$R$20</f>
        <v>8.9999999999999993E-3</v>
      </c>
    </row>
    <row r="1960" spans="1:7">
      <c r="A1960" t="s">
        <v>643</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7182</v>
      </c>
      <c r="G1960">
        <f>'4M'!$S$20</f>
        <v>0</v>
      </c>
    </row>
    <row r="1961" spans="1:7">
      <c r="A1961" t="s">
        <v>643</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7182</v>
      </c>
      <c r="G1961">
        <f>'4M'!$T$20</f>
        <v>0</v>
      </c>
    </row>
    <row r="1962" spans="1:7">
      <c r="A1962" t="s">
        <v>643</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7182</v>
      </c>
      <c r="G1962">
        <f>'4M'!$U$20</f>
        <v>0</v>
      </c>
    </row>
    <row r="1963" spans="1:7">
      <c r="A1963" t="s">
        <v>643</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7182</v>
      </c>
      <c r="G1963">
        <f>'4M'!$V$20</f>
        <v>0</v>
      </c>
    </row>
    <row r="1964" spans="1:7">
      <c r="A1964" t="s">
        <v>643</v>
      </c>
      <c r="C1964" t="str">
        <f>'4M'!$BY$20</f>
        <v>B0303SIO_C_TOT</v>
      </c>
      <c r="D1964" t="str">
        <f>_xlfn.CONCAT('4M'!$B$9, "-", '4M'!$B$20, "-", '4M'!$W$6, "-", '4M'!$W$6, "-", '4M'!$O$5)</f>
        <v>EA/NRW environmental programme (WINEP/NEP)-Schemes to increase flow to full treatment-Total-Total-Cumulative expenditure on schemes completed in the report year</v>
      </c>
      <c r="F1964" t="s">
        <v>7182</v>
      </c>
      <c r="G1964">
        <f>'4M'!$W$20</f>
        <v>8.9999999999999993E-3</v>
      </c>
    </row>
    <row r="1965" spans="1:7">
      <c r="A1965" t="s">
        <v>643</v>
      </c>
      <c r="C1965" t="str">
        <f>'4M'!$BH$21</f>
        <v>B0304SIT_F</v>
      </c>
      <c r="D1965" t="str">
        <f>_xlfn.CONCAT('4M'!$B$9, "-", '4M'!$B$21, "-", '4M'!$F$7, "-", '4M'!$F$6, "-", '4M'!$F$5)</f>
        <v>EA/NRW environmental programme (WINEP/NEP)-Schemes to increase flow to full treatment-Foul-Wastewater network+ -Expenditure in report year</v>
      </c>
      <c r="F1965" t="s">
        <v>7182</v>
      </c>
      <c r="G1965">
        <f>'4M'!$F$21</f>
        <v>0</v>
      </c>
    </row>
    <row r="1966" spans="1:7">
      <c r="A1966" t="s">
        <v>643</v>
      </c>
      <c r="C1966" t="str">
        <f>'4M'!$BI$21</f>
        <v>B0304SIT_SWD</v>
      </c>
      <c r="D1966" t="str">
        <f>_xlfn.CONCAT('4M'!$B$9, "-", '4M'!$B$21, "-", '4M'!$G$7, "-", '4M'!$F$6, "-", '4M'!$F$5)</f>
        <v>EA/NRW environmental programme (WINEP/NEP)-Schemes to increase flow to full treatment-Surface water drainage-Wastewater network+ -Expenditure in report year</v>
      </c>
      <c r="F1966" t="s">
        <v>7182</v>
      </c>
      <c r="G1966">
        <f>'4M'!$G$21</f>
        <v>0</v>
      </c>
    </row>
    <row r="1967" spans="1:7">
      <c r="A1967" t="s">
        <v>643</v>
      </c>
      <c r="C1967" t="str">
        <f>'4M'!$BJ$21</f>
        <v>B0304SIT_HD</v>
      </c>
      <c r="D1967" t="str">
        <f>_xlfn.CONCAT('4M'!$B$9, "-", '4M'!$B$21, "-", '4M'!$H$7, "-", '4M'!$F$6, "-", '4M'!$F$5)</f>
        <v>EA/NRW environmental programme (WINEP/NEP)-Schemes to increase flow to full treatment-Highway drainage-Wastewater network+ -Expenditure in report year</v>
      </c>
      <c r="F1967" t="s">
        <v>7182</v>
      </c>
      <c r="G1967">
        <f>'4M'!$H$21</f>
        <v>0</v>
      </c>
    </row>
    <row r="1968" spans="1:7">
      <c r="A1968" t="s">
        <v>643</v>
      </c>
      <c r="C1968" t="str">
        <f>'4M'!$BK$21</f>
        <v>B0304SIT_STD</v>
      </c>
      <c r="D1968" t="str">
        <f>_xlfn.CONCAT('4M'!$B$9, "-", '4M'!$B$21, "-", '4M'!$I$7, "-", '4M'!$F$6, "-", '4M'!$F$5)</f>
        <v>EA/NRW environmental programme (WINEP/NEP)-Schemes to increase flow to full treatment-Sewage treatment and disposal-Wastewater network+ -Expenditure in report year</v>
      </c>
      <c r="F1968" t="s">
        <v>7182</v>
      </c>
      <c r="G1968">
        <f>'4M'!$I$21</f>
        <v>3.1479999999999997</v>
      </c>
    </row>
    <row r="1969" spans="1:7">
      <c r="A1969" t="s">
        <v>643</v>
      </c>
      <c r="C1969" t="str">
        <f>'4M'!$BL$21</f>
        <v>B0304SIT_SLT</v>
      </c>
      <c r="D1969" t="str">
        <f>_xlfn.CONCAT('4M'!$B$9, "-", '4M'!$B$21, "-", '4M'!$J$7, "-", '4M'!$F$6, "-", '4M'!$F$5)</f>
        <v>EA/NRW environmental programme (WINEP/NEP)-Schemes to increase flow to full treatment-Sludge liquor treatment-Wastewater network+ -Expenditure in report year</v>
      </c>
      <c r="F1969" t="s">
        <v>7182</v>
      </c>
      <c r="G1969">
        <f>'4M'!$J$21</f>
        <v>0</v>
      </c>
    </row>
    <row r="1970" spans="1:7">
      <c r="A1970" t="s">
        <v>643</v>
      </c>
      <c r="C1970" t="str">
        <f>'4M'!$BM$21</f>
        <v>B0304SIT_STP</v>
      </c>
      <c r="D1970" t="str">
        <f>_xlfn.CONCAT('4M'!$B$9, "-", '4M'!$B$21, "-", '4M'!$K$7, "-", '4M'!$K$6, "-", '4M'!$F$5)</f>
        <v>EA/NRW environmental programme (WINEP/NEP)-Schemes to increase flow to full treatment-Sludge transport-Bioresources-Expenditure in report year</v>
      </c>
      <c r="F1970" t="s">
        <v>7182</v>
      </c>
      <c r="G1970">
        <f>'4M'!$K$21</f>
        <v>0</v>
      </c>
    </row>
    <row r="1971" spans="1:7">
      <c r="A1971" t="s">
        <v>643</v>
      </c>
      <c r="C1971" t="str">
        <f>'4M'!$BN$21</f>
        <v>B0304SIT_SDT</v>
      </c>
      <c r="D1971" t="str">
        <f>_xlfn.CONCAT('4M'!$B$9, "-", '4M'!$B$21, "-", '4M'!$L$7, "-", '4M'!$K$6, "-", '4M'!$F$5)</f>
        <v>EA/NRW environmental programme (WINEP/NEP)-Schemes to increase flow to full treatment-Sludge treatment-Bioresources-Expenditure in report year</v>
      </c>
      <c r="F1971" t="s">
        <v>7182</v>
      </c>
      <c r="G1971">
        <f>'4M'!$L$21</f>
        <v>0</v>
      </c>
    </row>
    <row r="1972" spans="1:7">
      <c r="A1972" t="s">
        <v>643</v>
      </c>
      <c r="C1972" t="str">
        <f>'4M'!$BO$21</f>
        <v>B0304SIT_SD</v>
      </c>
      <c r="D1972" t="str">
        <f>_xlfn.CONCAT('4M'!$B$9, "-", '4M'!$B$21, "-", '4M'!$M$7, "-", '4M'!$K$6, "-", '4M'!$F$5)</f>
        <v>EA/NRW environmental programme (WINEP/NEP)-Schemes to increase flow to full treatment-Sludge disposal-Bioresources-Expenditure in report year</v>
      </c>
      <c r="F1972" t="s">
        <v>7182</v>
      </c>
      <c r="G1972">
        <f>'4M'!$M$21</f>
        <v>0</v>
      </c>
    </row>
    <row r="1973" spans="1:7">
      <c r="A1973" t="s">
        <v>643</v>
      </c>
      <c r="C1973" t="str">
        <f>'4M'!$BP$21</f>
        <v>B0304SIT_TOT</v>
      </c>
      <c r="D1973" t="str">
        <f>_xlfn.CONCAT('4M'!$B$9, "-", '4M'!$B$21, "-", '4M'!$N$6, "-", '4M'!$N$6, "-", '4M'!$F$5)</f>
        <v>EA/NRW environmental programme (WINEP/NEP)-Schemes to increase flow to full treatment-Total-Total-Expenditure in report year</v>
      </c>
      <c r="F1973" t="s">
        <v>7182</v>
      </c>
      <c r="G1973">
        <f>'4M'!$N$21</f>
        <v>3.1479999999999997</v>
      </c>
    </row>
    <row r="1974" spans="1:7">
      <c r="A1974" t="s">
        <v>643</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7182</v>
      </c>
      <c r="G1974">
        <f>'4M'!$O$21</f>
        <v>0</v>
      </c>
    </row>
    <row r="1975" spans="1:7">
      <c r="A1975" t="s">
        <v>643</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7182</v>
      </c>
      <c r="G1975">
        <f>'4M'!$P$21</f>
        <v>0</v>
      </c>
    </row>
    <row r="1976" spans="1:7">
      <c r="A1976" t="s">
        <v>643</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7182</v>
      </c>
      <c r="G1976">
        <f>'4M'!$Q$21</f>
        <v>0</v>
      </c>
    </row>
    <row r="1977" spans="1:7">
      <c r="A1977" t="s">
        <v>643</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7182</v>
      </c>
      <c r="G1977">
        <f>'4M'!$R$21</f>
        <v>2.706</v>
      </c>
    </row>
    <row r="1978" spans="1:7">
      <c r="A1978" t="s">
        <v>643</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7182</v>
      </c>
      <c r="G1978">
        <f>'4M'!$S$21</f>
        <v>0</v>
      </c>
    </row>
    <row r="1979" spans="1:7">
      <c r="A1979" t="s">
        <v>643</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7182</v>
      </c>
      <c r="G1979">
        <f>'4M'!$T$21</f>
        <v>0</v>
      </c>
    </row>
    <row r="1980" spans="1:7">
      <c r="A1980" t="s">
        <v>643</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7182</v>
      </c>
      <c r="G1980">
        <f>'4M'!$U$21</f>
        <v>0</v>
      </c>
    </row>
    <row r="1981" spans="1:7">
      <c r="A1981" t="s">
        <v>643</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7182</v>
      </c>
      <c r="G1981">
        <f>'4M'!$V$21</f>
        <v>0</v>
      </c>
    </row>
    <row r="1982" spans="1:7">
      <c r="A1982" t="s">
        <v>643</v>
      </c>
      <c r="C1982" t="str">
        <f>'4M'!$BY$21</f>
        <v>B0304SIT_C_TOT</v>
      </c>
      <c r="D1982" t="str">
        <f>_xlfn.CONCAT('4M'!$B$9, "-", '4M'!$B$21, "-", '4M'!$W$6, "-", '4M'!$W$6, "-", '4M'!$O$5)</f>
        <v>EA/NRW environmental programme (WINEP/NEP)-Schemes to increase flow to full treatment-Total-Total-Cumulative expenditure on schemes completed in the report year</v>
      </c>
      <c r="F1982" t="s">
        <v>7182</v>
      </c>
      <c r="G1982">
        <f>'4M'!$W$21</f>
        <v>2.706</v>
      </c>
    </row>
    <row r="1983" spans="1:7">
      <c r="A1983" t="s">
        <v>643</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7182</v>
      </c>
      <c r="G1983">
        <f>'4M'!$X$21</f>
        <v>7.7399999999999993</v>
      </c>
    </row>
    <row r="1984" spans="1:7">
      <c r="A1984" t="s">
        <v>643</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7182</v>
      </c>
      <c r="G1984">
        <f>'4M'!$Y$21</f>
        <v>16.428000000000001</v>
      </c>
    </row>
    <row r="1985" spans="1:7">
      <c r="A1985" t="s">
        <v>643</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7182</v>
      </c>
      <c r="G1985">
        <f>'4M'!$Z$21</f>
        <v>39.286999999999999</v>
      </c>
    </row>
    <row r="1986" spans="1:7">
      <c r="A1986" t="s">
        <v>643</v>
      </c>
      <c r="C1986" t="str">
        <f>'4M'!$BH$22</f>
        <v>B0305SIC_F</v>
      </c>
      <c r="D1986" t="str">
        <f>_xlfn.CONCAT('4M'!$B$9, "-", '4M'!$B$22, "-", '4M'!$F$7, "-", '4M'!$F$6, "-", '4M'!$F$5)</f>
        <v>EA/NRW environmental programme (WINEP/NEP)-Schemes to increase storm tank capacity-Foul-Wastewater network+ -Expenditure in report year</v>
      </c>
      <c r="F1986" t="s">
        <v>7182</v>
      </c>
      <c r="G1986">
        <f>'4M'!$F$22</f>
        <v>0</v>
      </c>
    </row>
    <row r="1987" spans="1:7">
      <c r="A1987" t="s">
        <v>643</v>
      </c>
      <c r="C1987" t="str">
        <f>'4M'!$BI$22</f>
        <v>B0305SIC_SWD</v>
      </c>
      <c r="D1987" t="str">
        <f>_xlfn.CONCAT('4M'!$B$9, "-", '4M'!$B$22, "-", '4M'!$G$7, "-", '4M'!$F$6, "-", '4M'!$F$5)</f>
        <v>EA/NRW environmental programme (WINEP/NEP)-Schemes to increase storm tank capacity-Surface water drainage-Wastewater network+ -Expenditure in report year</v>
      </c>
      <c r="F1987" t="s">
        <v>7182</v>
      </c>
      <c r="G1987">
        <f>'4M'!$G$22</f>
        <v>0</v>
      </c>
    </row>
    <row r="1988" spans="1:7">
      <c r="A1988" t="s">
        <v>643</v>
      </c>
      <c r="C1988" t="str">
        <f>'4M'!$BJ$22</f>
        <v>B0305SIC_HD</v>
      </c>
      <c r="D1988" t="str">
        <f>_xlfn.CONCAT('4M'!$B$9, "-", '4M'!$B$22, "-", '4M'!$H$7, "-", '4M'!$F$6, "-", '4M'!$F$5)</f>
        <v>EA/NRW environmental programme (WINEP/NEP)-Schemes to increase storm tank capacity-Highway drainage-Wastewater network+ -Expenditure in report year</v>
      </c>
      <c r="F1988" t="s">
        <v>7182</v>
      </c>
      <c r="G1988">
        <f>'4M'!$H$22</f>
        <v>0</v>
      </c>
    </row>
    <row r="1989" spans="1:7">
      <c r="A1989" t="s">
        <v>643</v>
      </c>
      <c r="C1989" t="str">
        <f>'4M'!$BK$22</f>
        <v>B0305SIC_STD</v>
      </c>
      <c r="D1989" t="str">
        <f>_xlfn.CONCAT('4M'!$B$9, "-", '4M'!$B$22, "-", '4M'!$I$7, "-", '4M'!$F$6, "-", '4M'!$F$5)</f>
        <v>EA/NRW environmental programme (WINEP/NEP)-Schemes to increase storm tank capacity-Sewage treatment and disposal-Wastewater network+ -Expenditure in report year</v>
      </c>
      <c r="F1989" t="s">
        <v>7182</v>
      </c>
      <c r="G1989">
        <f>'4M'!$I$22</f>
        <v>0.55600000000000005</v>
      </c>
    </row>
    <row r="1990" spans="1:7">
      <c r="A1990" t="s">
        <v>643</v>
      </c>
      <c r="C1990" t="str">
        <f>'4M'!$BL$22</f>
        <v>B0305SIC_SLT</v>
      </c>
      <c r="D1990" t="str">
        <f>_xlfn.CONCAT('4M'!$B$9, "-", '4M'!$B$22, "-", '4M'!$J$7, "-", '4M'!$F$6, "-", '4M'!$F$5)</f>
        <v>EA/NRW environmental programme (WINEP/NEP)-Schemes to increase storm tank capacity-Sludge liquor treatment-Wastewater network+ -Expenditure in report year</v>
      </c>
      <c r="F1990" t="s">
        <v>7182</v>
      </c>
      <c r="G1990">
        <f>'4M'!$J$22</f>
        <v>0</v>
      </c>
    </row>
    <row r="1991" spans="1:7">
      <c r="A1991" t="s">
        <v>643</v>
      </c>
      <c r="C1991" t="str">
        <f>'4M'!$BM$22</f>
        <v>B0305SIC_STP</v>
      </c>
      <c r="D1991" t="str">
        <f>_xlfn.CONCAT('4M'!$B$9, "-", '4M'!$B$22, "-", '4M'!$K$7, "-", '4M'!$K$6, "-", '4M'!$F$5)</f>
        <v>EA/NRW environmental programme (WINEP/NEP)-Schemes to increase storm tank capacity-Sludge transport-Bioresources-Expenditure in report year</v>
      </c>
      <c r="F1991" t="s">
        <v>7182</v>
      </c>
      <c r="G1991">
        <f>'4M'!$K$22</f>
        <v>0</v>
      </c>
    </row>
    <row r="1992" spans="1:7">
      <c r="A1992" t="s">
        <v>643</v>
      </c>
      <c r="C1992" t="str">
        <f>'4M'!$BN$22</f>
        <v>B0305SIC_SDT</v>
      </c>
      <c r="D1992" t="str">
        <f>_xlfn.CONCAT('4M'!$B$9, "-", '4M'!$B$22, "-", '4M'!$L$7, "-", '4M'!$K$6, "-", '4M'!$F$5)</f>
        <v>EA/NRW environmental programme (WINEP/NEP)-Schemes to increase storm tank capacity-Sludge treatment-Bioresources-Expenditure in report year</v>
      </c>
      <c r="F1992" t="s">
        <v>7182</v>
      </c>
      <c r="G1992">
        <f>'4M'!$L$22</f>
        <v>0</v>
      </c>
    </row>
    <row r="1993" spans="1:7">
      <c r="A1993" t="s">
        <v>643</v>
      </c>
      <c r="C1993" t="str">
        <f>'4M'!$BO$22</f>
        <v>B0305SIC_SD</v>
      </c>
      <c r="D1993" t="str">
        <f>_xlfn.CONCAT('4M'!$B$9, "-", '4M'!$B$22, "-", '4M'!$M$7, "-", '4M'!$K$6, "-", '4M'!$F$5)</f>
        <v>EA/NRW environmental programme (WINEP/NEP)-Schemes to increase storm tank capacity-Sludge disposal-Bioresources-Expenditure in report year</v>
      </c>
      <c r="F1993" t="s">
        <v>7182</v>
      </c>
      <c r="G1993">
        <f>'4M'!$M$22</f>
        <v>0</v>
      </c>
    </row>
    <row r="1994" spans="1:7">
      <c r="A1994" t="s">
        <v>643</v>
      </c>
      <c r="C1994" t="str">
        <f>'4M'!$BP$22</f>
        <v>B0305SIC_TOT</v>
      </c>
      <c r="D1994" t="str">
        <f>_xlfn.CONCAT('4M'!$B$9, "-", '4M'!$B$22, "-", '4M'!$N$6, "-", '4M'!$N$6, "-", '4M'!$F$5)</f>
        <v>EA/NRW environmental programme (WINEP/NEP)-Schemes to increase storm tank capacity-Total-Total-Expenditure in report year</v>
      </c>
      <c r="F1994" t="s">
        <v>7182</v>
      </c>
      <c r="G1994">
        <f>'4M'!$N$22</f>
        <v>0.55600000000000005</v>
      </c>
    </row>
    <row r="1995" spans="1:7">
      <c r="A1995" t="s">
        <v>643</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7182</v>
      </c>
      <c r="G1995">
        <f>'4M'!$O$22</f>
        <v>0</v>
      </c>
    </row>
    <row r="1996" spans="1:7">
      <c r="A1996" t="s">
        <v>643</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7182</v>
      </c>
      <c r="G1996">
        <f>'4M'!$P$22</f>
        <v>0</v>
      </c>
    </row>
    <row r="1997" spans="1:7">
      <c r="A1997" t="s">
        <v>643</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7182</v>
      </c>
      <c r="G1997">
        <f>'4M'!$Q$22</f>
        <v>0</v>
      </c>
    </row>
    <row r="1998" spans="1:7">
      <c r="A1998" t="s">
        <v>643</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7182</v>
      </c>
      <c r="G1998">
        <f>'4M'!$R$22</f>
        <v>0.496</v>
      </c>
    </row>
    <row r="1999" spans="1:7">
      <c r="A1999" t="s">
        <v>643</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7182</v>
      </c>
      <c r="G1999">
        <f>'4M'!$S$22</f>
        <v>0</v>
      </c>
    </row>
    <row r="2000" spans="1:7">
      <c r="A2000" t="s">
        <v>643</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7182</v>
      </c>
      <c r="G2000">
        <f>'4M'!$T$22</f>
        <v>0</v>
      </c>
    </row>
    <row r="2001" spans="1:7">
      <c r="A2001" t="s">
        <v>643</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7182</v>
      </c>
      <c r="G2001">
        <f>'4M'!$U$22</f>
        <v>0</v>
      </c>
    </row>
    <row r="2002" spans="1:7">
      <c r="A2002" t="s">
        <v>643</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7182</v>
      </c>
      <c r="G2002">
        <f>'4M'!$V$22</f>
        <v>0</v>
      </c>
    </row>
    <row r="2003" spans="1:7">
      <c r="A2003" t="s">
        <v>643</v>
      </c>
      <c r="C2003" t="str">
        <f>'4M'!$BY$22</f>
        <v>B0305SIC_C_TOT</v>
      </c>
      <c r="D2003" t="str">
        <f>_xlfn.CONCAT('4M'!$B$9, "-", '4M'!$B$22, "-", '4M'!$W$6, "-", '4M'!$W$6, "-", '4M'!$O$5)</f>
        <v>EA/NRW environmental programme (WINEP/NEP)-Schemes to increase storm tank capacity-Total-Total-Cumulative expenditure on schemes completed in the report year</v>
      </c>
      <c r="F2003" t="s">
        <v>7182</v>
      </c>
      <c r="G2003">
        <f>'4M'!$W$22</f>
        <v>0.496</v>
      </c>
    </row>
    <row r="2004" spans="1:7">
      <c r="A2004" t="s">
        <v>643</v>
      </c>
      <c r="C2004" t="str">
        <f>'4M'!$BH$23</f>
        <v>B0306SIO_F</v>
      </c>
      <c r="D2004" t="str">
        <f>_xlfn.CONCAT('4M'!$B$9, "-", '4M'!$B$23, "-", '4M'!$F$7, "-", '4M'!$F$6, "-", '4M'!$F$5)</f>
        <v>EA/NRW environmental programme (WINEP/NEP)-Schemes to increase storm tank capacity-Foul-Wastewater network+ -Expenditure in report year</v>
      </c>
      <c r="F2004" t="s">
        <v>7182</v>
      </c>
      <c r="G2004">
        <f>'4M'!$F$23</f>
        <v>0</v>
      </c>
    </row>
    <row r="2005" spans="1:7">
      <c r="A2005" t="s">
        <v>643</v>
      </c>
      <c r="C2005" t="str">
        <f>'4M'!$BI$23</f>
        <v>B0306SIO_SWD</v>
      </c>
      <c r="D2005" t="str">
        <f>_xlfn.CONCAT('4M'!$B$9, "-", '4M'!$B$23, "-", '4M'!$G$7, "-", '4M'!$F$6, "-", '4M'!$F$5)</f>
        <v>EA/NRW environmental programme (WINEP/NEP)-Schemes to increase storm tank capacity-Surface water drainage-Wastewater network+ -Expenditure in report year</v>
      </c>
      <c r="F2005" t="s">
        <v>7182</v>
      </c>
      <c r="G2005">
        <f>'4M'!$G$23</f>
        <v>0</v>
      </c>
    </row>
    <row r="2006" spans="1:7">
      <c r="A2006" t="s">
        <v>643</v>
      </c>
      <c r="C2006" t="str">
        <f>'4M'!$BJ$23</f>
        <v>B0306SIO_HD</v>
      </c>
      <c r="D2006" t="str">
        <f>_xlfn.CONCAT('4M'!$B$9, "-", '4M'!$B$23, "-", '4M'!$H$7, "-", '4M'!$F$6, "-", '4M'!$F$5)</f>
        <v>EA/NRW environmental programme (WINEP/NEP)-Schemes to increase storm tank capacity-Highway drainage-Wastewater network+ -Expenditure in report year</v>
      </c>
      <c r="F2006" t="s">
        <v>7182</v>
      </c>
      <c r="G2006">
        <f>'4M'!$H$23</f>
        <v>0</v>
      </c>
    </row>
    <row r="2007" spans="1:7">
      <c r="A2007" t="s">
        <v>643</v>
      </c>
      <c r="C2007" t="str">
        <f>'4M'!$BK$23</f>
        <v>B0306SIO_STD</v>
      </c>
      <c r="D2007" t="str">
        <f>_xlfn.CONCAT('4M'!$B$9, "-", '4M'!$B$23, "-", '4M'!$I$7, "-", '4M'!$F$6, "-", '4M'!$F$5)</f>
        <v>EA/NRW environmental programme (WINEP/NEP)-Schemes to increase storm tank capacity-Sewage treatment and disposal-Wastewater network+ -Expenditure in report year</v>
      </c>
      <c r="F2007" t="s">
        <v>7182</v>
      </c>
      <c r="G2007">
        <f>'4M'!$I$23</f>
        <v>0</v>
      </c>
    </row>
    <row r="2008" spans="1:7">
      <c r="A2008" t="s">
        <v>643</v>
      </c>
      <c r="C2008" t="str">
        <f>'4M'!$BL$23</f>
        <v>B0306SIO_SLT</v>
      </c>
      <c r="D2008" t="str">
        <f>_xlfn.CONCAT('4M'!$B$9, "-", '4M'!$B$23, "-", '4M'!$J$7, "-", '4M'!$F$6, "-", '4M'!$F$5)</f>
        <v>EA/NRW environmental programme (WINEP/NEP)-Schemes to increase storm tank capacity-Sludge liquor treatment-Wastewater network+ -Expenditure in report year</v>
      </c>
      <c r="F2008" t="s">
        <v>7182</v>
      </c>
      <c r="G2008">
        <f>'4M'!$J$23</f>
        <v>0</v>
      </c>
    </row>
    <row r="2009" spans="1:7">
      <c r="A2009" t="s">
        <v>643</v>
      </c>
      <c r="C2009" t="str">
        <f>'4M'!$BM$23</f>
        <v>B0306SIO_STP</v>
      </c>
      <c r="D2009" t="str">
        <f>_xlfn.CONCAT('4M'!$B$9, "-", '4M'!$B$23, "-", '4M'!$K$7, "-", '4M'!$K$6, "-", '4M'!$F$5)</f>
        <v>EA/NRW environmental programme (WINEP/NEP)-Schemes to increase storm tank capacity-Sludge transport-Bioresources-Expenditure in report year</v>
      </c>
      <c r="F2009" t="s">
        <v>7182</v>
      </c>
      <c r="G2009">
        <f>'4M'!$K$23</f>
        <v>0</v>
      </c>
    </row>
    <row r="2010" spans="1:7">
      <c r="A2010" t="s">
        <v>643</v>
      </c>
      <c r="C2010" t="str">
        <f>'4M'!$BN$23</f>
        <v>B0306SIO_SDT</v>
      </c>
      <c r="D2010" t="str">
        <f>_xlfn.CONCAT('4M'!$B$9, "-", '4M'!$B$23, "-", '4M'!$L$7, "-", '4M'!$K$6, "-", '4M'!$F$5)</f>
        <v>EA/NRW environmental programme (WINEP/NEP)-Schemes to increase storm tank capacity-Sludge treatment-Bioresources-Expenditure in report year</v>
      </c>
      <c r="F2010" t="s">
        <v>7182</v>
      </c>
      <c r="G2010">
        <f>'4M'!$L$23</f>
        <v>0</v>
      </c>
    </row>
    <row r="2011" spans="1:7">
      <c r="A2011" t="s">
        <v>643</v>
      </c>
      <c r="C2011" t="str">
        <f>'4M'!$BO$23</f>
        <v>B0306SIO_SD</v>
      </c>
      <c r="D2011" t="str">
        <f>_xlfn.CONCAT('4M'!$B$9, "-", '4M'!$B$23, "-", '4M'!$M$7, "-", '4M'!$K$6, "-", '4M'!$F$5)</f>
        <v>EA/NRW environmental programme (WINEP/NEP)-Schemes to increase storm tank capacity-Sludge disposal-Bioresources-Expenditure in report year</v>
      </c>
      <c r="F2011" t="s">
        <v>7182</v>
      </c>
      <c r="G2011">
        <f>'4M'!$M$23</f>
        <v>0</v>
      </c>
    </row>
    <row r="2012" spans="1:7">
      <c r="A2012" t="s">
        <v>643</v>
      </c>
      <c r="C2012" t="str">
        <f>'4M'!$BP$23</f>
        <v>B0306SIO_TOT</v>
      </c>
      <c r="D2012" t="str">
        <f>_xlfn.CONCAT('4M'!$B$9, "-", '4M'!$B$23, "-", '4M'!$N$6, "-", '4M'!$N$6, "-", '4M'!$F$5)</f>
        <v>EA/NRW environmental programme (WINEP/NEP)-Schemes to increase storm tank capacity-Total-Total-Expenditure in report year</v>
      </c>
      <c r="F2012" t="s">
        <v>7182</v>
      </c>
      <c r="G2012">
        <f>'4M'!$N$23</f>
        <v>0</v>
      </c>
    </row>
    <row r="2013" spans="1:7">
      <c r="A2013" t="s">
        <v>643</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7182</v>
      </c>
      <c r="G2013">
        <f>'4M'!$O$23</f>
        <v>0</v>
      </c>
    </row>
    <row r="2014" spans="1:7">
      <c r="A2014" t="s">
        <v>643</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7182</v>
      </c>
      <c r="G2014">
        <f>'4M'!$P$23</f>
        <v>0</v>
      </c>
    </row>
    <row r="2015" spans="1:7">
      <c r="A2015" t="s">
        <v>643</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7182</v>
      </c>
      <c r="G2015">
        <f>'4M'!$Q$23</f>
        <v>0</v>
      </c>
    </row>
    <row r="2016" spans="1:7">
      <c r="A2016" t="s">
        <v>643</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7182</v>
      </c>
      <c r="G2016">
        <f>'4M'!$R$23</f>
        <v>0</v>
      </c>
    </row>
    <row r="2017" spans="1:7">
      <c r="A2017" t="s">
        <v>643</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7182</v>
      </c>
      <c r="G2017">
        <f>'4M'!$S$23</f>
        <v>0</v>
      </c>
    </row>
    <row r="2018" spans="1:7">
      <c r="A2018" t="s">
        <v>643</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7182</v>
      </c>
      <c r="G2018">
        <f>'4M'!$T$23</f>
        <v>0</v>
      </c>
    </row>
    <row r="2019" spans="1:7">
      <c r="A2019" t="s">
        <v>643</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7182</v>
      </c>
      <c r="G2019">
        <f>'4M'!$U$23</f>
        <v>0</v>
      </c>
    </row>
    <row r="2020" spans="1:7">
      <c r="A2020" t="s">
        <v>643</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7182</v>
      </c>
      <c r="G2020">
        <f>'4M'!$V$23</f>
        <v>0</v>
      </c>
    </row>
    <row r="2021" spans="1:7">
      <c r="A2021" t="s">
        <v>643</v>
      </c>
      <c r="C2021" t="str">
        <f>'4M'!$BY$23</f>
        <v>B0306SIO_C_TOT</v>
      </c>
      <c r="D2021" t="str">
        <f>_xlfn.CONCAT('4M'!$B$9, "-", '4M'!$B$23, "-", '4M'!$W$6, "-", '4M'!$W$6, "-", '4M'!$O$5)</f>
        <v>EA/NRW environmental programme (WINEP/NEP)-Schemes to increase storm tank capacity-Total-Total-Cumulative expenditure on schemes completed in the report year</v>
      </c>
      <c r="F2021" t="s">
        <v>7182</v>
      </c>
      <c r="G2021">
        <f>'4M'!$W$23</f>
        <v>0</v>
      </c>
    </row>
    <row r="2022" spans="1:7">
      <c r="A2022" t="s">
        <v>643</v>
      </c>
      <c r="C2022" t="str">
        <f>'4M'!$BH$24</f>
        <v>B0307SIT_F</v>
      </c>
      <c r="D2022" t="str">
        <f>_xlfn.CONCAT('4M'!$B$9, "-", '4M'!$B$24, "-", '4M'!$F$7, "-", '4M'!$F$6, "-", '4M'!$F$5)</f>
        <v>EA/NRW environmental programme (WINEP/NEP)-Schemes to increase storm tank capacity-Foul-Wastewater network+ -Expenditure in report year</v>
      </c>
      <c r="F2022" t="s">
        <v>7182</v>
      </c>
      <c r="G2022">
        <f>'4M'!$F$24</f>
        <v>0</v>
      </c>
    </row>
    <row r="2023" spans="1:7">
      <c r="A2023" t="s">
        <v>643</v>
      </c>
      <c r="C2023" t="str">
        <f>'4M'!$BI$24</f>
        <v>B0307SIT_SWD</v>
      </c>
      <c r="D2023" t="str">
        <f>_xlfn.CONCAT('4M'!$B$9, "-", '4M'!$B$24, "-", '4M'!$G$7, "-", '4M'!$F$6, "-", '4M'!$F$5)</f>
        <v>EA/NRW environmental programme (WINEP/NEP)-Schemes to increase storm tank capacity-Surface water drainage-Wastewater network+ -Expenditure in report year</v>
      </c>
      <c r="F2023" t="s">
        <v>7182</v>
      </c>
      <c r="G2023">
        <f>'4M'!$G$24</f>
        <v>0</v>
      </c>
    </row>
    <row r="2024" spans="1:7">
      <c r="A2024" t="s">
        <v>643</v>
      </c>
      <c r="C2024" t="str">
        <f>'4M'!$BJ$24</f>
        <v>B0307SIT_HD</v>
      </c>
      <c r="D2024" t="str">
        <f>_xlfn.CONCAT('4M'!$B$9, "-", '4M'!$B$24, "-", '4M'!$H$7, "-", '4M'!$F$6, "-", '4M'!$F$5)</f>
        <v>EA/NRW environmental programme (WINEP/NEP)-Schemes to increase storm tank capacity-Highway drainage-Wastewater network+ -Expenditure in report year</v>
      </c>
      <c r="F2024" t="s">
        <v>7182</v>
      </c>
      <c r="G2024">
        <f>'4M'!$H$24</f>
        <v>0</v>
      </c>
    </row>
    <row r="2025" spans="1:7">
      <c r="A2025" t="s">
        <v>643</v>
      </c>
      <c r="C2025" t="str">
        <f>'4M'!$BK$24</f>
        <v>B0307SIT_STD</v>
      </c>
      <c r="D2025" t="str">
        <f>_xlfn.CONCAT('4M'!$B$9, "-", '4M'!$B$24, "-", '4M'!$I$7, "-", '4M'!$F$6, "-", '4M'!$F$5)</f>
        <v>EA/NRW environmental programme (WINEP/NEP)-Schemes to increase storm tank capacity-Sewage treatment and disposal-Wastewater network+ -Expenditure in report year</v>
      </c>
      <c r="F2025" t="s">
        <v>7182</v>
      </c>
      <c r="G2025">
        <f>'4M'!$I$24</f>
        <v>0.55600000000000005</v>
      </c>
    </row>
    <row r="2026" spans="1:7">
      <c r="A2026" t="s">
        <v>643</v>
      </c>
      <c r="C2026" t="str">
        <f>'4M'!$BL$24</f>
        <v>B0307SIT_SLT</v>
      </c>
      <c r="D2026" t="str">
        <f>_xlfn.CONCAT('4M'!$B$9, "-", '4M'!$B$24, "-", '4M'!$J$7, "-", '4M'!$F$6, "-", '4M'!$F$5)</f>
        <v>EA/NRW environmental programme (WINEP/NEP)-Schemes to increase storm tank capacity-Sludge liquor treatment-Wastewater network+ -Expenditure in report year</v>
      </c>
      <c r="F2026" t="s">
        <v>7182</v>
      </c>
      <c r="G2026">
        <f>'4M'!$J$24</f>
        <v>0</v>
      </c>
    </row>
    <row r="2027" spans="1:7">
      <c r="A2027" t="s">
        <v>643</v>
      </c>
      <c r="C2027" t="str">
        <f>'4M'!$BM$24</f>
        <v>B0307SIT_STP</v>
      </c>
      <c r="D2027" t="str">
        <f>_xlfn.CONCAT('4M'!$B$9, "-", '4M'!$B$24, "-", '4M'!$K$7, "-", '4M'!$K$6, "-", '4M'!$F$5)</f>
        <v>EA/NRW environmental programme (WINEP/NEP)-Schemes to increase storm tank capacity-Sludge transport-Bioresources-Expenditure in report year</v>
      </c>
      <c r="F2027" t="s">
        <v>7182</v>
      </c>
      <c r="G2027">
        <f>'4M'!$K$24</f>
        <v>0</v>
      </c>
    </row>
    <row r="2028" spans="1:7">
      <c r="A2028" t="s">
        <v>643</v>
      </c>
      <c r="C2028" t="str">
        <f>'4M'!$BN$24</f>
        <v>B0307SIT_SDT</v>
      </c>
      <c r="D2028" t="str">
        <f>_xlfn.CONCAT('4M'!$B$9, "-", '4M'!$B$24, "-", '4M'!$L$7, "-", '4M'!$K$6, "-", '4M'!$F$5)</f>
        <v>EA/NRW environmental programme (WINEP/NEP)-Schemes to increase storm tank capacity-Sludge treatment-Bioresources-Expenditure in report year</v>
      </c>
      <c r="F2028" t="s">
        <v>7182</v>
      </c>
      <c r="G2028">
        <f>'4M'!$L$24</f>
        <v>0</v>
      </c>
    </row>
    <row r="2029" spans="1:7">
      <c r="A2029" t="s">
        <v>643</v>
      </c>
      <c r="C2029" t="str">
        <f>'4M'!$BO$24</f>
        <v>B0307SIT_SD</v>
      </c>
      <c r="D2029" t="str">
        <f>_xlfn.CONCAT('4M'!$B$9, "-", '4M'!$B$24, "-", '4M'!$M$7, "-", '4M'!$K$6, "-", '4M'!$F$5)</f>
        <v>EA/NRW environmental programme (WINEP/NEP)-Schemes to increase storm tank capacity-Sludge disposal-Bioresources-Expenditure in report year</v>
      </c>
      <c r="F2029" t="s">
        <v>7182</v>
      </c>
      <c r="G2029">
        <f>'4M'!$M$24</f>
        <v>0</v>
      </c>
    </row>
    <row r="2030" spans="1:7">
      <c r="A2030" t="s">
        <v>643</v>
      </c>
      <c r="C2030" t="str">
        <f>'4M'!$BP$24</f>
        <v>B0307SIT_TOT</v>
      </c>
      <c r="D2030" t="str">
        <f>_xlfn.CONCAT('4M'!$B$9, "-", '4M'!$B$24, "-", '4M'!$N$6, "-", '4M'!$N$6, "-", '4M'!$F$5)</f>
        <v>EA/NRW environmental programme (WINEP/NEP)-Schemes to increase storm tank capacity-Total-Total-Expenditure in report year</v>
      </c>
      <c r="F2030" t="s">
        <v>7182</v>
      </c>
      <c r="G2030">
        <f>'4M'!$N$24</f>
        <v>0.55600000000000005</v>
      </c>
    </row>
    <row r="2031" spans="1:7">
      <c r="A2031" t="s">
        <v>643</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7182</v>
      </c>
      <c r="G2031">
        <f>'4M'!$O$24</f>
        <v>0</v>
      </c>
    </row>
    <row r="2032" spans="1:7">
      <c r="A2032" t="s">
        <v>643</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7182</v>
      </c>
      <c r="G2032">
        <f>'4M'!$P$24</f>
        <v>0</v>
      </c>
    </row>
    <row r="2033" spans="1:7">
      <c r="A2033" t="s">
        <v>643</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7182</v>
      </c>
      <c r="G2033">
        <f>'4M'!$Q$24</f>
        <v>0</v>
      </c>
    </row>
    <row r="2034" spans="1:7">
      <c r="A2034" t="s">
        <v>643</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7182</v>
      </c>
      <c r="G2034">
        <f>'4M'!$R$24</f>
        <v>0.496</v>
      </c>
    </row>
    <row r="2035" spans="1:7">
      <c r="A2035" t="s">
        <v>643</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7182</v>
      </c>
      <c r="G2035">
        <f>'4M'!$S$24</f>
        <v>0</v>
      </c>
    </row>
    <row r="2036" spans="1:7">
      <c r="A2036" t="s">
        <v>643</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7182</v>
      </c>
      <c r="G2036">
        <f>'4M'!$T$24</f>
        <v>0</v>
      </c>
    </row>
    <row r="2037" spans="1:7">
      <c r="A2037" t="s">
        <v>643</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7182</v>
      </c>
      <c r="G2037">
        <f>'4M'!$U$24</f>
        <v>0</v>
      </c>
    </row>
    <row r="2038" spans="1:7">
      <c r="A2038" t="s">
        <v>643</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7182</v>
      </c>
      <c r="G2038">
        <f>'4M'!$V$24</f>
        <v>0</v>
      </c>
    </row>
    <row r="2039" spans="1:7">
      <c r="A2039" t="s">
        <v>643</v>
      </c>
      <c r="C2039" t="str">
        <f>'4M'!$BY$24</f>
        <v>B0307SIT_C_TOT</v>
      </c>
      <c r="D2039" t="str">
        <f>_xlfn.CONCAT('4M'!$B$9, "-", '4M'!$B$24, "-", '4M'!$W$6, "-", '4M'!$W$6, "-", '4M'!$O$5)</f>
        <v>EA/NRW environmental programme (WINEP/NEP)-Schemes to increase storm tank capacity-Total-Total-Cumulative expenditure on schemes completed in the report year</v>
      </c>
      <c r="F2039" t="s">
        <v>7182</v>
      </c>
      <c r="G2039">
        <f>'4M'!$W$24</f>
        <v>0.496</v>
      </c>
    </row>
    <row r="2040" spans="1:7">
      <c r="A2040" t="s">
        <v>643</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7182</v>
      </c>
      <c r="G2040">
        <f>'4M'!$X$24</f>
        <v>0.55600000000000005</v>
      </c>
    </row>
    <row r="2041" spans="1:7">
      <c r="A2041" t="s">
        <v>643</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7182</v>
      </c>
      <c r="G2041">
        <f>'4M'!$Y$24</f>
        <v>0.36699999999999999</v>
      </c>
    </row>
    <row r="2042" spans="1:7">
      <c r="A2042" t="s">
        <v>643</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7182</v>
      </c>
      <c r="G2042">
        <f>'4M'!$Z$24</f>
        <v>0.879</v>
      </c>
    </row>
    <row r="2043" spans="1:7">
      <c r="A2043" t="s">
        <v>643</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7182</v>
      </c>
      <c r="G2043">
        <f>'4M'!$F$25</f>
        <v>0</v>
      </c>
    </row>
    <row r="2044" spans="1:7">
      <c r="A2044" t="s">
        <v>643</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7182</v>
      </c>
      <c r="G2044">
        <f>'4M'!$G$25</f>
        <v>0</v>
      </c>
    </row>
    <row r="2045" spans="1:7">
      <c r="A2045" t="s">
        <v>643</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7182</v>
      </c>
      <c r="G2045">
        <f>'4M'!$H$25</f>
        <v>0</v>
      </c>
    </row>
    <row r="2046" spans="1:7">
      <c r="A2046" t="s">
        <v>643</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7182</v>
      </c>
      <c r="G2046">
        <f>'4M'!$I$25</f>
        <v>0</v>
      </c>
    </row>
    <row r="2047" spans="1:7">
      <c r="A2047" t="s">
        <v>643</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7182</v>
      </c>
      <c r="G2047">
        <f>'4M'!$J$25</f>
        <v>0</v>
      </c>
    </row>
    <row r="2048" spans="1:7">
      <c r="A2048" t="s">
        <v>643</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7182</v>
      </c>
      <c r="G2048">
        <f>'4M'!$K$25</f>
        <v>0</v>
      </c>
    </row>
    <row r="2049" spans="1:7">
      <c r="A2049" t="s">
        <v>643</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7182</v>
      </c>
      <c r="G2049">
        <f>'4M'!$L$25</f>
        <v>0</v>
      </c>
    </row>
    <row r="2050" spans="1:7">
      <c r="A2050" t="s">
        <v>643</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7182</v>
      </c>
      <c r="G2050">
        <f>'4M'!$M$25</f>
        <v>0</v>
      </c>
    </row>
    <row r="2051" spans="1:7">
      <c r="A2051" t="s">
        <v>643</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7182</v>
      </c>
      <c r="G2051">
        <f>'4M'!$N$25</f>
        <v>0</v>
      </c>
    </row>
    <row r="2052" spans="1:7">
      <c r="A2052" t="s">
        <v>643</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7182</v>
      </c>
      <c r="G2052">
        <f>'4M'!$O$25</f>
        <v>0</v>
      </c>
    </row>
    <row r="2053" spans="1:7">
      <c r="A2053" t="s">
        <v>643</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7182</v>
      </c>
      <c r="G2053">
        <f>'4M'!$P$25</f>
        <v>0</v>
      </c>
    </row>
    <row r="2054" spans="1:7">
      <c r="A2054" t="s">
        <v>643</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7182</v>
      </c>
      <c r="G2054">
        <f>'4M'!$Q$25</f>
        <v>0</v>
      </c>
    </row>
    <row r="2055" spans="1:7">
      <c r="A2055" t="s">
        <v>643</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7182</v>
      </c>
      <c r="G2055">
        <f>'4M'!$R$25</f>
        <v>0</v>
      </c>
    </row>
    <row r="2056" spans="1:7">
      <c r="A2056" t="s">
        <v>643</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7182</v>
      </c>
      <c r="G2056">
        <f>'4M'!$S$25</f>
        <v>0</v>
      </c>
    </row>
    <row r="2057" spans="1:7">
      <c r="A2057" t="s">
        <v>643</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7182</v>
      </c>
      <c r="G2057">
        <f>'4M'!$T$25</f>
        <v>0</v>
      </c>
    </row>
    <row r="2058" spans="1:7">
      <c r="A2058" t="s">
        <v>643</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7182</v>
      </c>
      <c r="G2058">
        <f>'4M'!$U$25</f>
        <v>0</v>
      </c>
    </row>
    <row r="2059" spans="1:7">
      <c r="A2059" t="s">
        <v>643</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7182</v>
      </c>
      <c r="G2059">
        <f>'4M'!$V$25</f>
        <v>0</v>
      </c>
    </row>
    <row r="2060" spans="1:7">
      <c r="A2060" t="s">
        <v>643</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7182</v>
      </c>
      <c r="G2060">
        <f>'4M'!$W$25</f>
        <v>0</v>
      </c>
    </row>
    <row r="2061" spans="1:7">
      <c r="A2061" t="s">
        <v>643</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7182</v>
      </c>
      <c r="G2061">
        <f>'4M'!$F$26</f>
        <v>0</v>
      </c>
    </row>
    <row r="2062" spans="1:7">
      <c r="A2062" t="s">
        <v>643</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7182</v>
      </c>
      <c r="G2062">
        <f>'4M'!$G$26</f>
        <v>0</v>
      </c>
    </row>
    <row r="2063" spans="1:7">
      <c r="A2063" t="s">
        <v>643</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7182</v>
      </c>
      <c r="G2063">
        <f>'4M'!$H$26</f>
        <v>0</v>
      </c>
    </row>
    <row r="2064" spans="1:7">
      <c r="A2064" t="s">
        <v>643</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7182</v>
      </c>
      <c r="G2064">
        <f>'4M'!$I$26</f>
        <v>1E-3</v>
      </c>
    </row>
    <row r="2065" spans="1:7">
      <c r="A2065" t="s">
        <v>643</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7182</v>
      </c>
      <c r="G2065">
        <f>'4M'!$J$26</f>
        <v>0</v>
      </c>
    </row>
    <row r="2066" spans="1:7">
      <c r="A2066" t="s">
        <v>643</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7182</v>
      </c>
      <c r="G2066">
        <f>'4M'!$K$26</f>
        <v>0</v>
      </c>
    </row>
    <row r="2067" spans="1:7">
      <c r="A2067" t="s">
        <v>643</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7182</v>
      </c>
      <c r="G2067">
        <f>'4M'!$L$26</f>
        <v>0</v>
      </c>
    </row>
    <row r="2068" spans="1:7">
      <c r="A2068" t="s">
        <v>643</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7182</v>
      </c>
      <c r="G2068">
        <f>'4M'!$M$26</f>
        <v>0</v>
      </c>
    </row>
    <row r="2069" spans="1:7">
      <c r="A2069" t="s">
        <v>643</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7182</v>
      </c>
      <c r="G2069">
        <f>'4M'!$N$26</f>
        <v>1E-3</v>
      </c>
    </row>
    <row r="2070" spans="1:7">
      <c r="A2070" t="s">
        <v>643</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7182</v>
      </c>
      <c r="G2070">
        <f>'4M'!$O$26</f>
        <v>0</v>
      </c>
    </row>
    <row r="2071" spans="1:7">
      <c r="A2071" t="s">
        <v>643</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7182</v>
      </c>
      <c r="G2071">
        <f>'4M'!$P$26</f>
        <v>0</v>
      </c>
    </row>
    <row r="2072" spans="1:7">
      <c r="A2072" t="s">
        <v>643</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7182</v>
      </c>
      <c r="G2072">
        <f>'4M'!$Q$26</f>
        <v>0</v>
      </c>
    </row>
    <row r="2073" spans="1:7">
      <c r="A2073" t="s">
        <v>643</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7182</v>
      </c>
      <c r="G2073">
        <f>'4M'!$R$26</f>
        <v>0</v>
      </c>
    </row>
    <row r="2074" spans="1:7">
      <c r="A2074" t="s">
        <v>643</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7182</v>
      </c>
      <c r="G2074">
        <f>'4M'!$S$26</f>
        <v>0</v>
      </c>
    </row>
    <row r="2075" spans="1:7">
      <c r="A2075" t="s">
        <v>643</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7182</v>
      </c>
      <c r="G2075">
        <f>'4M'!$T$26</f>
        <v>0</v>
      </c>
    </row>
    <row r="2076" spans="1:7">
      <c r="A2076" t="s">
        <v>643</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7182</v>
      </c>
      <c r="G2076">
        <f>'4M'!$U$26</f>
        <v>0</v>
      </c>
    </row>
    <row r="2077" spans="1:7">
      <c r="A2077" t="s">
        <v>643</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7182</v>
      </c>
      <c r="G2077">
        <f>'4M'!$V$26</f>
        <v>0</v>
      </c>
    </row>
    <row r="2078" spans="1:7">
      <c r="A2078" t="s">
        <v>643</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7182</v>
      </c>
      <c r="G2078">
        <f>'4M'!$W$26</f>
        <v>0</v>
      </c>
    </row>
    <row r="2079" spans="1:7">
      <c r="A2079" t="s">
        <v>643</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7182</v>
      </c>
      <c r="G2079">
        <f>'4M'!$F$27</f>
        <v>0</v>
      </c>
    </row>
    <row r="2080" spans="1:7">
      <c r="A2080" t="s">
        <v>643</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7182</v>
      </c>
      <c r="G2080">
        <f>'4M'!$G$27</f>
        <v>0</v>
      </c>
    </row>
    <row r="2081" spans="1:7">
      <c r="A2081" t="s">
        <v>643</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7182</v>
      </c>
      <c r="G2081">
        <f>'4M'!$H$27</f>
        <v>0</v>
      </c>
    </row>
    <row r="2082" spans="1:7">
      <c r="A2082" t="s">
        <v>643</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7182</v>
      </c>
      <c r="G2082">
        <f>'4M'!$I$27</f>
        <v>1E-3</v>
      </c>
    </row>
    <row r="2083" spans="1:7">
      <c r="A2083" t="s">
        <v>643</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7182</v>
      </c>
      <c r="G2083">
        <f>'4M'!$J$27</f>
        <v>0</v>
      </c>
    </row>
    <row r="2084" spans="1:7">
      <c r="A2084" t="s">
        <v>643</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7182</v>
      </c>
      <c r="G2084">
        <f>'4M'!$K$27</f>
        <v>0</v>
      </c>
    </row>
    <row r="2085" spans="1:7">
      <c r="A2085" t="s">
        <v>643</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7182</v>
      </c>
      <c r="G2085">
        <f>'4M'!$L$27</f>
        <v>0</v>
      </c>
    </row>
    <row r="2086" spans="1:7">
      <c r="A2086" t="s">
        <v>643</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7182</v>
      </c>
      <c r="G2086">
        <f>'4M'!$M$27</f>
        <v>0</v>
      </c>
    </row>
    <row r="2087" spans="1:7">
      <c r="A2087" t="s">
        <v>643</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7182</v>
      </c>
      <c r="G2087">
        <f>'4M'!$N$27</f>
        <v>1E-3</v>
      </c>
    </row>
    <row r="2088" spans="1:7">
      <c r="A2088" t="s">
        <v>643</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7182</v>
      </c>
      <c r="G2088">
        <f>'4M'!$O$27</f>
        <v>0</v>
      </c>
    </row>
    <row r="2089" spans="1:7">
      <c r="A2089" t="s">
        <v>643</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7182</v>
      </c>
      <c r="G2089">
        <f>'4M'!$P$27</f>
        <v>0</v>
      </c>
    </row>
    <row r="2090" spans="1:7">
      <c r="A2090" t="s">
        <v>643</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7182</v>
      </c>
      <c r="G2090">
        <f>'4M'!$Q$27</f>
        <v>0</v>
      </c>
    </row>
    <row r="2091" spans="1:7">
      <c r="A2091" t="s">
        <v>643</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7182</v>
      </c>
      <c r="G2091">
        <f>'4M'!$R$27</f>
        <v>0</v>
      </c>
    </row>
    <row r="2092" spans="1:7">
      <c r="A2092" t="s">
        <v>643</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7182</v>
      </c>
      <c r="G2092">
        <f>'4M'!$S$27</f>
        <v>0</v>
      </c>
    </row>
    <row r="2093" spans="1:7">
      <c r="A2093" t="s">
        <v>643</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7182</v>
      </c>
      <c r="G2093">
        <f>'4M'!$T$27</f>
        <v>0</v>
      </c>
    </row>
    <row r="2094" spans="1:7">
      <c r="A2094" t="s">
        <v>643</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7182</v>
      </c>
      <c r="G2094">
        <f>'4M'!$U$27</f>
        <v>0</v>
      </c>
    </row>
    <row r="2095" spans="1:7">
      <c r="A2095" t="s">
        <v>643</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7182</v>
      </c>
      <c r="G2095">
        <f>'4M'!$V$27</f>
        <v>0</v>
      </c>
    </row>
    <row r="2096" spans="1:7">
      <c r="A2096" t="s">
        <v>643</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7182</v>
      </c>
      <c r="G2096">
        <f>'4M'!$W$27</f>
        <v>0</v>
      </c>
    </row>
    <row r="2097" spans="1:7">
      <c r="A2097" t="s">
        <v>643</v>
      </c>
      <c r="C2097" t="str">
        <f>'4M'!$BH$28</f>
        <v>BO_5248417</v>
      </c>
      <c r="D2097" t="str">
        <f>_xlfn.CONCAT('4M'!$B$9, "-", '4M'!$B$28, "-", '4M'!$F$7, "-", '4M'!$F$6, "-", '4M'!$F$5)</f>
        <v>EA/NRW environmental programme (WINEP/NEP)-Storage in the network to reduce spill frequency at CSOs etc (grey solutions)-Foul-Wastewater network+ -Expenditure in report year</v>
      </c>
      <c r="F2097" t="s">
        <v>7182</v>
      </c>
      <c r="G2097">
        <f>'4M'!$F$30</f>
        <v>0</v>
      </c>
    </row>
    <row r="2098" spans="1:7">
      <c r="A2098" t="s">
        <v>643</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7182</v>
      </c>
      <c r="G2098">
        <f>'4M'!$G$30</f>
        <v>0</v>
      </c>
    </row>
    <row r="2099" spans="1:7">
      <c r="A2099" t="s">
        <v>643</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7182</v>
      </c>
      <c r="G2099">
        <f>'4M'!$H$30</f>
        <v>0</v>
      </c>
    </row>
    <row r="2100" spans="1:7">
      <c r="A2100" t="s">
        <v>643</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7182</v>
      </c>
      <c r="G2100">
        <f>'4M'!$I$30</f>
        <v>0</v>
      </c>
    </row>
    <row r="2101" spans="1:7">
      <c r="A2101" t="s">
        <v>643</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7182</v>
      </c>
      <c r="G2101">
        <f>'4M'!$J$30</f>
        <v>0</v>
      </c>
    </row>
    <row r="2102" spans="1:7">
      <c r="A2102" t="s">
        <v>643</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7182</v>
      </c>
      <c r="G2102">
        <f>'4M'!$K$30</f>
        <v>0</v>
      </c>
    </row>
    <row r="2103" spans="1:7">
      <c r="A2103" t="s">
        <v>643</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7182</v>
      </c>
      <c r="G2103">
        <f>'4M'!$L$30</f>
        <v>0</v>
      </c>
    </row>
    <row r="2104" spans="1:7">
      <c r="A2104" t="s">
        <v>643</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7182</v>
      </c>
      <c r="G2104">
        <f>'4M'!$M$30</f>
        <v>0</v>
      </c>
    </row>
    <row r="2105" spans="1:7">
      <c r="A2105" t="s">
        <v>643</v>
      </c>
      <c r="C2105" t="str">
        <f>'4M'!$BP$28</f>
        <v>BO_5661275</v>
      </c>
      <c r="D2105" t="str">
        <f>_xlfn.CONCAT('4M'!$B$9, "-", '4M'!$B$28, "-", '4M'!$N$6, "-", '4M'!$N$6, "-", '4M'!$F$5)</f>
        <v>EA/NRW environmental programme (WINEP/NEP)-Storage in the network to reduce spill frequency at CSOs etc (grey solutions)-Total-Total-Expenditure in report year</v>
      </c>
      <c r="F2105" t="s">
        <v>7182</v>
      </c>
      <c r="G2105">
        <f>'4M'!$N$30</f>
        <v>0</v>
      </c>
    </row>
    <row r="2106" spans="1:7">
      <c r="A2106" t="s">
        <v>643</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7182</v>
      </c>
      <c r="G2106">
        <f>'4M'!$O$30</f>
        <v>0</v>
      </c>
    </row>
    <row r="2107" spans="1:7">
      <c r="A2107" t="s">
        <v>643</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7182</v>
      </c>
      <c r="G2107">
        <f>'4M'!$P$30</f>
        <v>0</v>
      </c>
    </row>
    <row r="2108" spans="1:7">
      <c r="A2108" t="s">
        <v>643</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7182</v>
      </c>
      <c r="G2108">
        <f>'4M'!$Q$30</f>
        <v>0</v>
      </c>
    </row>
    <row r="2109" spans="1:7">
      <c r="A2109" t="s">
        <v>643</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7182</v>
      </c>
      <c r="G2109">
        <f>'4M'!$R$30</f>
        <v>0</v>
      </c>
    </row>
    <row r="2110" spans="1:7">
      <c r="A2110" t="s">
        <v>643</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7182</v>
      </c>
      <c r="G2110">
        <f>'4M'!$S$30</f>
        <v>0</v>
      </c>
    </row>
    <row r="2111" spans="1:7">
      <c r="A2111" t="s">
        <v>643</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7182</v>
      </c>
      <c r="G2111">
        <f>'4M'!$T$30</f>
        <v>0</v>
      </c>
    </row>
    <row r="2112" spans="1:7">
      <c r="A2112" t="s">
        <v>643</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7182</v>
      </c>
      <c r="G2112">
        <f>'4M'!$U$30</f>
        <v>0</v>
      </c>
    </row>
    <row r="2113" spans="1:7">
      <c r="A2113" t="s">
        <v>643</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7182</v>
      </c>
      <c r="G2113">
        <f>'4M'!$V$30</f>
        <v>0</v>
      </c>
    </row>
    <row r="2114" spans="1:7">
      <c r="A2114" t="s">
        <v>643</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7182</v>
      </c>
      <c r="G2114">
        <f>'4M'!$W$30</f>
        <v>0</v>
      </c>
    </row>
    <row r="2115" spans="1:7">
      <c r="A2115" t="s">
        <v>643</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7182</v>
      </c>
      <c r="G2115">
        <f>'4M'!$F$33</f>
        <v>0</v>
      </c>
    </row>
    <row r="2116" spans="1:7">
      <c r="A2116" t="s">
        <v>643</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7182</v>
      </c>
      <c r="G2116">
        <f>'4M'!$G$33</f>
        <v>0</v>
      </c>
    </row>
    <row r="2117" spans="1:7">
      <c r="A2117" t="s">
        <v>643</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7182</v>
      </c>
      <c r="G2117">
        <f>'4M'!$H$33</f>
        <v>0</v>
      </c>
    </row>
    <row r="2118" spans="1:7">
      <c r="A2118" t="s">
        <v>643</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7182</v>
      </c>
      <c r="G2118">
        <f>'4M'!$I$33</f>
        <v>0</v>
      </c>
    </row>
    <row r="2119" spans="1:7">
      <c r="A2119" t="s">
        <v>643</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7182</v>
      </c>
      <c r="G2119">
        <f>'4M'!$J$33</f>
        <v>0</v>
      </c>
    </row>
    <row r="2120" spans="1:7">
      <c r="A2120" t="s">
        <v>643</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7182</v>
      </c>
      <c r="G2120">
        <f>'4M'!$K$33</f>
        <v>0</v>
      </c>
    </row>
    <row r="2121" spans="1:7">
      <c r="A2121" t="s">
        <v>643</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7182</v>
      </c>
      <c r="G2121">
        <f>'4M'!$L$33</f>
        <v>0</v>
      </c>
    </row>
    <row r="2122" spans="1:7">
      <c r="A2122" t="s">
        <v>643</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7182</v>
      </c>
      <c r="G2122">
        <f>'4M'!$M$33</f>
        <v>0</v>
      </c>
    </row>
    <row r="2123" spans="1:7">
      <c r="A2123" t="s">
        <v>643</v>
      </c>
      <c r="C2123" t="str">
        <f>'4M'!$BP$31</f>
        <v>BO_3565381</v>
      </c>
      <c r="D2123" t="str">
        <f>_xlfn.CONCAT('4M'!$B$9, "-", '4M'!$B$31, "-", '4M'!$N$6, "-", '4M'!$N$6, "-", '4M'!$F$5)</f>
        <v>EA/NRW environmental programme (WINEP/NEP)-Effective storage in the network to reduce spill frequency at CSOs etc (green solutions)-Total-Total-Expenditure in report year</v>
      </c>
      <c r="F2123" t="s">
        <v>7182</v>
      </c>
      <c r="G2123">
        <f>'4M'!$N$33</f>
        <v>0</v>
      </c>
    </row>
    <row r="2124" spans="1:7">
      <c r="A2124" t="s">
        <v>643</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7182</v>
      </c>
      <c r="G2124">
        <f>'4M'!$O$33</f>
        <v>0</v>
      </c>
    </row>
    <row r="2125" spans="1:7">
      <c r="A2125" t="s">
        <v>643</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7182</v>
      </c>
      <c r="G2125">
        <f>'4M'!$P$33</f>
        <v>0</v>
      </c>
    </row>
    <row r="2126" spans="1:7">
      <c r="A2126" t="s">
        <v>643</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7182</v>
      </c>
      <c r="G2126">
        <f>'4M'!$Q$33</f>
        <v>0</v>
      </c>
    </row>
    <row r="2127" spans="1:7">
      <c r="A2127" t="s">
        <v>643</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7182</v>
      </c>
      <c r="G2127">
        <f>'4M'!$R$33</f>
        <v>0</v>
      </c>
    </row>
    <row r="2128" spans="1:7">
      <c r="A2128" t="s">
        <v>643</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7182</v>
      </c>
      <c r="G2128">
        <f>'4M'!$S$33</f>
        <v>0</v>
      </c>
    </row>
    <row r="2129" spans="1:7">
      <c r="A2129" t="s">
        <v>643</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7182</v>
      </c>
      <c r="G2129">
        <f>'4M'!$T$33</f>
        <v>0</v>
      </c>
    </row>
    <row r="2130" spans="1:7">
      <c r="A2130" t="s">
        <v>643</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7182</v>
      </c>
      <c r="G2130">
        <f>'4M'!$U$33</f>
        <v>0</v>
      </c>
    </row>
    <row r="2131" spans="1:7">
      <c r="A2131" t="s">
        <v>643</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7182</v>
      </c>
      <c r="G2131">
        <f>'4M'!$V$33</f>
        <v>0</v>
      </c>
    </row>
    <row r="2132" spans="1:7">
      <c r="A2132" t="s">
        <v>643</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7182</v>
      </c>
      <c r="G2132">
        <f>'4M'!$W$33</f>
        <v>0</v>
      </c>
    </row>
    <row r="2133" spans="1:7">
      <c r="A2133" t="s">
        <v>643</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7182</v>
      </c>
      <c r="G2133">
        <f>'4M'!$F$34</f>
        <v>0</v>
      </c>
    </row>
    <row r="2134" spans="1:7">
      <c r="A2134" t="s">
        <v>643</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7182</v>
      </c>
      <c r="G2134">
        <f>'4M'!$G$34</f>
        <v>0</v>
      </c>
    </row>
    <row r="2135" spans="1:7">
      <c r="A2135" t="s">
        <v>643</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7182</v>
      </c>
      <c r="G2135">
        <f>'4M'!$H$34</f>
        <v>0</v>
      </c>
    </row>
    <row r="2136" spans="1:7">
      <c r="A2136" t="s">
        <v>643</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7182</v>
      </c>
      <c r="G2136">
        <f>'4M'!$I$34</f>
        <v>0</v>
      </c>
    </row>
    <row r="2137" spans="1:7">
      <c r="A2137" t="s">
        <v>643</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7182</v>
      </c>
      <c r="G2137">
        <f>'4M'!$J$34</f>
        <v>0</v>
      </c>
    </row>
    <row r="2138" spans="1:7">
      <c r="A2138" t="s">
        <v>643</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7182</v>
      </c>
      <c r="G2138">
        <f>'4M'!$K$34</f>
        <v>0</v>
      </c>
    </row>
    <row r="2139" spans="1:7">
      <c r="A2139" t="s">
        <v>643</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7182</v>
      </c>
      <c r="G2139">
        <f>'4M'!$L$34</f>
        <v>0</v>
      </c>
    </row>
    <row r="2140" spans="1:7">
      <c r="A2140" t="s">
        <v>643</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7182</v>
      </c>
      <c r="G2140">
        <f>'4M'!$M$34</f>
        <v>0</v>
      </c>
    </row>
    <row r="2141" spans="1:7">
      <c r="A2141" t="s">
        <v>643</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7182</v>
      </c>
      <c r="G2141">
        <f>'4M'!$N$34</f>
        <v>0</v>
      </c>
    </row>
    <row r="2142" spans="1:7">
      <c r="A2142" t="s">
        <v>643</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7182</v>
      </c>
      <c r="G2142">
        <f>'4M'!$O$34</f>
        <v>0</v>
      </c>
    </row>
    <row r="2143" spans="1:7">
      <c r="A2143" t="s">
        <v>643</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7182</v>
      </c>
      <c r="G2143">
        <f>'4M'!$P$34</f>
        <v>0</v>
      </c>
    </row>
    <row r="2144" spans="1:7">
      <c r="A2144" t="s">
        <v>643</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7182</v>
      </c>
      <c r="G2144">
        <f>'4M'!$Q$34</f>
        <v>0</v>
      </c>
    </row>
    <row r="2145" spans="1:7">
      <c r="A2145" t="s">
        <v>643</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7182</v>
      </c>
      <c r="G2145">
        <f>'4M'!$R$34</f>
        <v>0</v>
      </c>
    </row>
    <row r="2146" spans="1:7">
      <c r="A2146" t="s">
        <v>643</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7182</v>
      </c>
      <c r="G2146">
        <f>'4M'!$S$34</f>
        <v>0</v>
      </c>
    </row>
    <row r="2147" spans="1:7">
      <c r="A2147" t="s">
        <v>643</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7182</v>
      </c>
      <c r="G2147">
        <f>'4M'!$T$34</f>
        <v>0</v>
      </c>
    </row>
    <row r="2148" spans="1:7">
      <c r="A2148" t="s">
        <v>643</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7182</v>
      </c>
      <c r="G2148">
        <f>'4M'!$U$34</f>
        <v>0</v>
      </c>
    </row>
    <row r="2149" spans="1:7">
      <c r="A2149" t="s">
        <v>643</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7182</v>
      </c>
      <c r="G2149">
        <f>'4M'!$V$34</f>
        <v>0</v>
      </c>
    </row>
    <row r="2150" spans="1:7">
      <c r="A2150" t="s">
        <v>643</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7182</v>
      </c>
      <c r="G2150">
        <f>'4M'!$W$34</f>
        <v>0</v>
      </c>
    </row>
    <row r="2151" spans="1:7">
      <c r="A2151" t="s">
        <v>643</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7182</v>
      </c>
      <c r="G2151">
        <f>'4M'!$X$34</f>
        <v>1.3680000000000001</v>
      </c>
    </row>
    <row r="2152" spans="1:7">
      <c r="A2152" t="s">
        <v>643</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7182</v>
      </c>
      <c r="G2152">
        <f>'4M'!$Y$34</f>
        <v>7.3889999999999993</v>
      </c>
    </row>
    <row r="2153" spans="1:7">
      <c r="A2153" t="s">
        <v>643</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7182</v>
      </c>
      <c r="G2153">
        <f>'4M'!$Z$34</f>
        <v>17.670999999999999</v>
      </c>
    </row>
    <row r="2154" spans="1:7">
      <c r="A2154" t="s">
        <v>643</v>
      </c>
      <c r="C2154" t="str">
        <f>'4M'!$BH$35</f>
        <v>B0311CRC_F</v>
      </c>
      <c r="D2154" t="str">
        <f>_xlfn.CONCAT('4M'!$B$9, "-", '4M'!$B$35, "-", '4M'!$F$7, "-", '4M'!$F$6, "-", '4M'!$F$5)</f>
        <v>EA/NRW environmental programme (WINEP/NEP)-Chemical removals schemes-Foul-Wastewater network+ -Expenditure in report year</v>
      </c>
      <c r="F2154" t="s">
        <v>7182</v>
      </c>
      <c r="G2154">
        <f>'4M'!$F$35</f>
        <v>0</v>
      </c>
    </row>
    <row r="2155" spans="1:7">
      <c r="A2155" t="s">
        <v>643</v>
      </c>
      <c r="C2155" t="str">
        <f>'4M'!$BI$35</f>
        <v>B0311CRC_SWD</v>
      </c>
      <c r="D2155" t="str">
        <f>_xlfn.CONCAT('4M'!$B$9, "-", '4M'!$B$35, "-", '4M'!$G$7, "-", '4M'!$F$6, "-", '4M'!$F$5)</f>
        <v>EA/NRW environmental programme (WINEP/NEP)-Chemical removals schemes-Surface water drainage-Wastewater network+ -Expenditure in report year</v>
      </c>
      <c r="F2155" t="s">
        <v>7182</v>
      </c>
      <c r="G2155">
        <f>'4M'!$G$35</f>
        <v>0</v>
      </c>
    </row>
    <row r="2156" spans="1:7">
      <c r="A2156" t="s">
        <v>643</v>
      </c>
      <c r="C2156" t="str">
        <f>'4M'!$BJ$35</f>
        <v>B0311CRC_HD</v>
      </c>
      <c r="D2156" t="str">
        <f>_xlfn.CONCAT('4M'!$B$9, "-", '4M'!$B$35, "-", '4M'!$H$7, "-", '4M'!$F$6, "-", '4M'!$F$5)</f>
        <v>EA/NRW environmental programme (WINEP/NEP)-Chemical removals schemes-Highway drainage-Wastewater network+ -Expenditure in report year</v>
      </c>
      <c r="F2156" t="s">
        <v>7182</v>
      </c>
      <c r="G2156">
        <f>'4M'!$H$35</f>
        <v>0</v>
      </c>
    </row>
    <row r="2157" spans="1:7">
      <c r="A2157" t="s">
        <v>643</v>
      </c>
      <c r="C2157" t="str">
        <f>'4M'!$BK$35</f>
        <v>B0311CRC_STD</v>
      </c>
      <c r="D2157" t="str">
        <f>_xlfn.CONCAT('4M'!$B$9, "-", '4M'!$B$35, "-", '4M'!$I$7, "-", '4M'!$F$6, "-", '4M'!$F$5)</f>
        <v>EA/NRW environmental programme (WINEP/NEP)-Chemical removals schemes-Sewage treatment and disposal-Wastewater network+ -Expenditure in report year</v>
      </c>
      <c r="F2157" t="s">
        <v>7182</v>
      </c>
      <c r="G2157">
        <f>'4M'!$I$35</f>
        <v>0.126</v>
      </c>
    </row>
    <row r="2158" spans="1:7">
      <c r="A2158" t="s">
        <v>643</v>
      </c>
      <c r="C2158" t="str">
        <f>'4M'!$BL$35</f>
        <v>B0311CRC_SLT</v>
      </c>
      <c r="D2158" t="str">
        <f>_xlfn.CONCAT('4M'!$B$9, "-", '4M'!$B$35, "-", '4M'!$J$7, "-", '4M'!$F$6, "-", '4M'!$F$5)</f>
        <v>EA/NRW environmental programme (WINEP/NEP)-Chemical removals schemes-Sludge liquor treatment-Wastewater network+ -Expenditure in report year</v>
      </c>
      <c r="F2158" t="s">
        <v>7182</v>
      </c>
      <c r="G2158">
        <f>'4M'!$J$35</f>
        <v>0</v>
      </c>
    </row>
    <row r="2159" spans="1:7">
      <c r="A2159" t="s">
        <v>643</v>
      </c>
      <c r="C2159" t="str">
        <f>'4M'!$BM$35</f>
        <v>B0311CRC_STP</v>
      </c>
      <c r="D2159" t="str">
        <f>_xlfn.CONCAT('4M'!$B$9, "-", '4M'!$B$35, "-", '4M'!$K$7, "-", '4M'!$K$6, "-", '4M'!$F$5)</f>
        <v>EA/NRW environmental programme (WINEP/NEP)-Chemical removals schemes-Sludge transport-Bioresources-Expenditure in report year</v>
      </c>
      <c r="F2159" t="s">
        <v>7182</v>
      </c>
      <c r="G2159">
        <f>'4M'!$K$35</f>
        <v>0</v>
      </c>
    </row>
    <row r="2160" spans="1:7">
      <c r="A2160" t="s">
        <v>643</v>
      </c>
      <c r="C2160" t="str">
        <f>'4M'!$BN$35</f>
        <v>B0311CRC_SDT</v>
      </c>
      <c r="D2160" t="str">
        <f>_xlfn.CONCAT('4M'!$B$9, "-", '4M'!$B$35, "-", '4M'!$L$7, "-", '4M'!$K$6, "-", '4M'!$F$5)</f>
        <v>EA/NRW environmental programme (WINEP/NEP)-Chemical removals schemes-Sludge treatment-Bioresources-Expenditure in report year</v>
      </c>
      <c r="F2160" t="s">
        <v>7182</v>
      </c>
      <c r="G2160">
        <f>'4M'!$L$35</f>
        <v>0</v>
      </c>
    </row>
    <row r="2161" spans="1:7">
      <c r="A2161" t="s">
        <v>643</v>
      </c>
      <c r="C2161" t="str">
        <f>'4M'!$BO$35</f>
        <v>B0311CRC_SD</v>
      </c>
      <c r="D2161" t="str">
        <f>_xlfn.CONCAT('4M'!$B$9, "-", '4M'!$B$35, "-", '4M'!$M$7, "-", '4M'!$K$6, "-", '4M'!$F$5)</f>
        <v>EA/NRW environmental programme (WINEP/NEP)-Chemical removals schemes-Sludge disposal-Bioresources-Expenditure in report year</v>
      </c>
      <c r="F2161" t="s">
        <v>7182</v>
      </c>
      <c r="G2161">
        <f>'4M'!$M$35</f>
        <v>0</v>
      </c>
    </row>
    <row r="2162" spans="1:7">
      <c r="A2162" t="s">
        <v>643</v>
      </c>
      <c r="C2162" t="str">
        <f>'4M'!$BP$35</f>
        <v>B0311CRC_TOT</v>
      </c>
      <c r="D2162" t="str">
        <f>_xlfn.CONCAT('4M'!$B$9, "-", '4M'!$B$35, "-", '4M'!$N$6, "-", '4M'!$N$6, "-", '4M'!$F$5)</f>
        <v>EA/NRW environmental programme (WINEP/NEP)-Chemical removals schemes-Total-Total-Expenditure in report year</v>
      </c>
      <c r="F2162" t="s">
        <v>7182</v>
      </c>
      <c r="G2162">
        <f>'4M'!$N$35</f>
        <v>0.126</v>
      </c>
    </row>
    <row r="2163" spans="1:7">
      <c r="A2163" t="s">
        <v>643</v>
      </c>
      <c r="C2163" t="str">
        <f>'4M'!$BQ$35</f>
        <v>B0311CRC_C_F</v>
      </c>
      <c r="D2163" t="str">
        <f>_xlfn.CONCAT('4M'!$B$9, "-", '4M'!$B$35, "-", '4M'!$O$7, "-", '4M'!$O$6, "-", '4M'!$O$5)</f>
        <v>EA/NRW environmental programme (WINEP/NEP)-Chemical removals schemes-Foul-Wastewater network+ -Cumulative expenditure on schemes completed in the report year</v>
      </c>
      <c r="F2163" t="s">
        <v>7182</v>
      </c>
      <c r="G2163">
        <f>'4M'!$O$35</f>
        <v>0</v>
      </c>
    </row>
    <row r="2164" spans="1:7">
      <c r="A2164" t="s">
        <v>643</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7182</v>
      </c>
      <c r="G2164">
        <f>'4M'!$P$35</f>
        <v>0</v>
      </c>
    </row>
    <row r="2165" spans="1:7">
      <c r="A2165" t="s">
        <v>643</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7182</v>
      </c>
      <c r="G2165">
        <f>'4M'!$Q$35</f>
        <v>0</v>
      </c>
    </row>
    <row r="2166" spans="1:7">
      <c r="A2166" t="s">
        <v>643</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7182</v>
      </c>
      <c r="G2166">
        <f>'4M'!$R$35</f>
        <v>0</v>
      </c>
    </row>
    <row r="2167" spans="1:7">
      <c r="A2167" t="s">
        <v>643</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7182</v>
      </c>
      <c r="G2167">
        <f>'4M'!$S$35</f>
        <v>0</v>
      </c>
    </row>
    <row r="2168" spans="1:7">
      <c r="A2168" t="s">
        <v>643</v>
      </c>
      <c r="C2168" t="str">
        <f>'4M'!$BV$35</f>
        <v>B0311CRC_C_STP</v>
      </c>
      <c r="D2168" t="str">
        <f>_xlfn.CONCAT('4M'!$B$9, "-", '4M'!$B$35, "-", '4M'!$T$7, "-", '4M'!$T$6, "-", '4M'!$O$5)</f>
        <v>EA/NRW environmental programme (WINEP/NEP)-Chemical removals schemes-Sludge transport-Bioresources-Cumulative expenditure on schemes completed in the report year</v>
      </c>
      <c r="F2168" t="s">
        <v>7182</v>
      </c>
      <c r="G2168">
        <f>'4M'!$T$35</f>
        <v>0</v>
      </c>
    </row>
    <row r="2169" spans="1:7">
      <c r="A2169" t="s">
        <v>643</v>
      </c>
      <c r="C2169" t="str">
        <f>'4M'!$BW$35</f>
        <v>B0311CRC_C_SDT</v>
      </c>
      <c r="D2169" t="str">
        <f>_xlfn.CONCAT('4M'!$B$9, "-", '4M'!$B$35, "-", '4M'!$U$7, "-", '4M'!$T$6, "-", '4M'!$O$5)</f>
        <v>EA/NRW environmental programme (WINEP/NEP)-Chemical removals schemes-Sludge treatment-Bioresources-Cumulative expenditure on schemes completed in the report year</v>
      </c>
      <c r="F2169" t="s">
        <v>7182</v>
      </c>
      <c r="G2169">
        <f>'4M'!$U$35</f>
        <v>0</v>
      </c>
    </row>
    <row r="2170" spans="1:7">
      <c r="A2170" t="s">
        <v>643</v>
      </c>
      <c r="C2170" t="str">
        <f>'4M'!$BX$35</f>
        <v>B0311CRC_C_SD</v>
      </c>
      <c r="D2170" t="str">
        <f>_xlfn.CONCAT('4M'!$B$9, "-", '4M'!$B$35, "-", '4M'!$V$7, "-", '4M'!$T$6, "-", '4M'!$O$5)</f>
        <v>EA/NRW environmental programme (WINEP/NEP)-Chemical removals schemes-Sludge disposal-Bioresources-Cumulative expenditure on schemes completed in the report year</v>
      </c>
      <c r="F2170" t="s">
        <v>7182</v>
      </c>
      <c r="G2170">
        <f>'4M'!$V$35</f>
        <v>0</v>
      </c>
    </row>
    <row r="2171" spans="1:7">
      <c r="A2171" t="s">
        <v>643</v>
      </c>
      <c r="C2171" t="str">
        <f>'4M'!$BY$35</f>
        <v>B0311CRC_C_TOT</v>
      </c>
      <c r="D2171" t="str">
        <f>_xlfn.CONCAT('4M'!$B$9, "-", '4M'!$B$35, "-", '4M'!$W$6, "-", '4M'!$W$6, "-", '4M'!$O$5)</f>
        <v>EA/NRW environmental programme (WINEP/NEP)-Chemical removals schemes-Total-Total-Cumulative expenditure on schemes completed in the report year</v>
      </c>
      <c r="F2171" t="s">
        <v>7182</v>
      </c>
      <c r="G2171">
        <f>'4M'!$W$35</f>
        <v>0</v>
      </c>
    </row>
    <row r="2172" spans="1:7">
      <c r="A2172" t="s">
        <v>643</v>
      </c>
      <c r="C2172" t="str">
        <f>'4M'!$BH$36</f>
        <v>B0312CRO_F</v>
      </c>
      <c r="D2172" t="str">
        <f>_xlfn.CONCAT('4M'!$B$9, "-", '4M'!$B$36, "-", '4M'!$F$7, "-", '4M'!$F$6, "-", '4M'!$F$5)</f>
        <v>EA/NRW environmental programme (WINEP/NEP)-Chemical removals schemes-Foul-Wastewater network+ -Expenditure in report year</v>
      </c>
      <c r="F2172" t="s">
        <v>7182</v>
      </c>
      <c r="G2172">
        <f>'4M'!$F$36</f>
        <v>0</v>
      </c>
    </row>
    <row r="2173" spans="1:7">
      <c r="A2173" t="s">
        <v>643</v>
      </c>
      <c r="C2173" t="str">
        <f>'4M'!$BI$36</f>
        <v>B0312CRO_SWD</v>
      </c>
      <c r="D2173" t="str">
        <f>_xlfn.CONCAT('4M'!$B$9, "-", '4M'!$B$36, "-", '4M'!$G$7, "-", '4M'!$F$6, "-", '4M'!$F$5)</f>
        <v>EA/NRW environmental programme (WINEP/NEP)-Chemical removals schemes-Surface water drainage-Wastewater network+ -Expenditure in report year</v>
      </c>
      <c r="F2173" t="s">
        <v>7182</v>
      </c>
      <c r="G2173">
        <f>'4M'!$G$36</f>
        <v>0</v>
      </c>
    </row>
    <row r="2174" spans="1:7">
      <c r="A2174" t="s">
        <v>643</v>
      </c>
      <c r="C2174" t="str">
        <f>'4M'!$BJ$36</f>
        <v>B0312CRO_HD</v>
      </c>
      <c r="D2174" t="str">
        <f>_xlfn.CONCAT('4M'!$B$9, "-", '4M'!$B$36, "-", '4M'!$H$7, "-", '4M'!$F$6, "-", '4M'!$F$5)</f>
        <v>EA/NRW environmental programme (WINEP/NEP)-Chemical removals schemes-Highway drainage-Wastewater network+ -Expenditure in report year</v>
      </c>
      <c r="F2174" t="s">
        <v>7182</v>
      </c>
      <c r="G2174">
        <f>'4M'!$H$36</f>
        <v>0</v>
      </c>
    </row>
    <row r="2175" spans="1:7">
      <c r="A2175" t="s">
        <v>643</v>
      </c>
      <c r="C2175" t="str">
        <f>'4M'!$BK$36</f>
        <v>B0312CRO_STD</v>
      </c>
      <c r="D2175" t="str">
        <f>_xlfn.CONCAT('4M'!$B$9, "-", '4M'!$B$36, "-", '4M'!$I$7, "-", '4M'!$F$6, "-", '4M'!$F$5)</f>
        <v>EA/NRW environmental programme (WINEP/NEP)-Chemical removals schemes-Sewage treatment and disposal-Wastewater network+ -Expenditure in report year</v>
      </c>
      <c r="F2175" t="s">
        <v>7182</v>
      </c>
      <c r="G2175">
        <f>'4M'!$I$36</f>
        <v>0</v>
      </c>
    </row>
    <row r="2176" spans="1:7">
      <c r="A2176" t="s">
        <v>643</v>
      </c>
      <c r="C2176" t="str">
        <f>'4M'!$BL$36</f>
        <v>B0312CRO_SLT</v>
      </c>
      <c r="D2176" t="str">
        <f>_xlfn.CONCAT('4M'!$B$9, "-", '4M'!$B$36, "-", '4M'!$J$7, "-", '4M'!$F$6, "-", '4M'!$F$5)</f>
        <v>EA/NRW environmental programme (WINEP/NEP)-Chemical removals schemes-Sludge liquor treatment-Wastewater network+ -Expenditure in report year</v>
      </c>
      <c r="F2176" t="s">
        <v>7182</v>
      </c>
      <c r="G2176">
        <f>'4M'!$J$36</f>
        <v>0</v>
      </c>
    </row>
    <row r="2177" spans="1:7">
      <c r="A2177" t="s">
        <v>643</v>
      </c>
      <c r="C2177" t="str">
        <f>'4M'!$BM$36</f>
        <v>B0312CRO_STP</v>
      </c>
      <c r="D2177" t="str">
        <f>_xlfn.CONCAT('4M'!$B$9, "-", '4M'!$B$36, "-", '4M'!$K$7, "-", '4M'!$K$6, "-", '4M'!$F$5)</f>
        <v>EA/NRW environmental programme (WINEP/NEP)-Chemical removals schemes-Sludge transport-Bioresources-Expenditure in report year</v>
      </c>
      <c r="F2177" t="s">
        <v>7182</v>
      </c>
      <c r="G2177">
        <f>'4M'!$K$36</f>
        <v>0</v>
      </c>
    </row>
    <row r="2178" spans="1:7">
      <c r="A2178" t="s">
        <v>643</v>
      </c>
      <c r="C2178" t="str">
        <f>'4M'!$BN$36</f>
        <v>B0312CRO_SDT</v>
      </c>
      <c r="D2178" t="str">
        <f>_xlfn.CONCAT('4M'!$B$9, "-", '4M'!$B$36, "-", '4M'!$L$7, "-", '4M'!$K$6, "-", '4M'!$F$5)</f>
        <v>EA/NRW environmental programme (WINEP/NEP)-Chemical removals schemes-Sludge treatment-Bioresources-Expenditure in report year</v>
      </c>
      <c r="F2178" t="s">
        <v>7182</v>
      </c>
      <c r="G2178">
        <f>'4M'!$L$36</f>
        <v>0</v>
      </c>
    </row>
    <row r="2179" spans="1:7">
      <c r="A2179" t="s">
        <v>643</v>
      </c>
      <c r="C2179" t="str">
        <f>'4M'!$BO$36</f>
        <v>B0312CRO_SD</v>
      </c>
      <c r="D2179" t="str">
        <f>_xlfn.CONCAT('4M'!$B$9, "-", '4M'!$B$36, "-", '4M'!$M$7, "-", '4M'!$K$6, "-", '4M'!$F$5)</f>
        <v>EA/NRW environmental programme (WINEP/NEP)-Chemical removals schemes-Sludge disposal-Bioresources-Expenditure in report year</v>
      </c>
      <c r="F2179" t="s">
        <v>7182</v>
      </c>
      <c r="G2179">
        <f>'4M'!$M$36</f>
        <v>0</v>
      </c>
    </row>
    <row r="2180" spans="1:7">
      <c r="A2180" t="s">
        <v>643</v>
      </c>
      <c r="C2180" t="str">
        <f>'4M'!$BP$36</f>
        <v>B0312CRO_TOT</v>
      </c>
      <c r="D2180" t="str">
        <f>_xlfn.CONCAT('4M'!$B$9, "-", '4M'!$B$36, "-", '4M'!$N$6, "-", '4M'!$N$6, "-", '4M'!$F$5)</f>
        <v>EA/NRW environmental programme (WINEP/NEP)-Chemical removals schemes-Total-Total-Expenditure in report year</v>
      </c>
      <c r="F2180" t="s">
        <v>7182</v>
      </c>
      <c r="G2180">
        <f>'4M'!$N$36</f>
        <v>0</v>
      </c>
    </row>
    <row r="2181" spans="1:7">
      <c r="A2181" t="s">
        <v>643</v>
      </c>
      <c r="C2181" t="str">
        <f>'4M'!$BQ$36</f>
        <v>B0312CRO_C_F</v>
      </c>
      <c r="D2181" t="str">
        <f>_xlfn.CONCAT('4M'!$B$9, "-", '4M'!$B$36, "-", '4M'!$O$7, "-", '4M'!$O$6, "-", '4M'!$O$5)</f>
        <v>EA/NRW environmental programme (WINEP/NEP)-Chemical removals schemes-Foul-Wastewater network+ -Cumulative expenditure on schemes completed in the report year</v>
      </c>
      <c r="F2181" t="s">
        <v>7182</v>
      </c>
      <c r="G2181">
        <f>'4M'!$O$36</f>
        <v>0</v>
      </c>
    </row>
    <row r="2182" spans="1:7">
      <c r="A2182" t="s">
        <v>643</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7182</v>
      </c>
      <c r="G2182">
        <f>'4M'!$P$36</f>
        <v>0</v>
      </c>
    </row>
    <row r="2183" spans="1:7">
      <c r="A2183" t="s">
        <v>643</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7182</v>
      </c>
      <c r="G2183">
        <f>'4M'!$Q$36</f>
        <v>0</v>
      </c>
    </row>
    <row r="2184" spans="1:7">
      <c r="A2184" t="s">
        <v>643</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7182</v>
      </c>
      <c r="G2184">
        <f>'4M'!$R$36</f>
        <v>0</v>
      </c>
    </row>
    <row r="2185" spans="1:7">
      <c r="A2185" t="s">
        <v>643</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7182</v>
      </c>
      <c r="G2185">
        <f>'4M'!$S$36</f>
        <v>0</v>
      </c>
    </row>
    <row r="2186" spans="1:7">
      <c r="A2186" t="s">
        <v>643</v>
      </c>
      <c r="C2186" t="str">
        <f>'4M'!$BV$36</f>
        <v>B0312CRO_C_STP</v>
      </c>
      <c r="D2186" t="str">
        <f>_xlfn.CONCAT('4M'!$B$9, "-", '4M'!$B$36, "-", '4M'!$T$7, "-", '4M'!$T$6, "-", '4M'!$O$5)</f>
        <v>EA/NRW environmental programme (WINEP/NEP)-Chemical removals schemes-Sludge transport-Bioresources-Cumulative expenditure on schemes completed in the report year</v>
      </c>
      <c r="F2186" t="s">
        <v>7182</v>
      </c>
      <c r="G2186">
        <f>'4M'!$T$36</f>
        <v>0</v>
      </c>
    </row>
    <row r="2187" spans="1:7">
      <c r="A2187" t="s">
        <v>643</v>
      </c>
      <c r="C2187" t="str">
        <f>'4M'!$BW$36</f>
        <v>B0312CRO_C_SDT</v>
      </c>
      <c r="D2187" t="str">
        <f>_xlfn.CONCAT('4M'!$B$9, "-", '4M'!$B$36, "-", '4M'!$U$7, "-", '4M'!$T$6, "-", '4M'!$O$5)</f>
        <v>EA/NRW environmental programme (WINEP/NEP)-Chemical removals schemes-Sludge treatment-Bioresources-Cumulative expenditure on schemes completed in the report year</v>
      </c>
      <c r="F2187" t="s">
        <v>7182</v>
      </c>
      <c r="G2187">
        <f>'4M'!$U$36</f>
        <v>0</v>
      </c>
    </row>
    <row r="2188" spans="1:7">
      <c r="A2188" t="s">
        <v>643</v>
      </c>
      <c r="C2188" t="str">
        <f>'4M'!$BX$36</f>
        <v>B0312CRO_C_SD</v>
      </c>
      <c r="D2188" t="str">
        <f>_xlfn.CONCAT('4M'!$B$9, "-", '4M'!$B$36, "-", '4M'!$V$7, "-", '4M'!$T$6, "-", '4M'!$O$5)</f>
        <v>EA/NRW environmental programme (WINEP/NEP)-Chemical removals schemes-Sludge disposal-Bioresources-Cumulative expenditure on schemes completed in the report year</v>
      </c>
      <c r="F2188" t="s">
        <v>7182</v>
      </c>
      <c r="G2188">
        <f>'4M'!$V$36</f>
        <v>0</v>
      </c>
    </row>
    <row r="2189" spans="1:7">
      <c r="A2189" t="s">
        <v>643</v>
      </c>
      <c r="C2189" t="str">
        <f>'4M'!$BY$36</f>
        <v>B0312CRO_C_TOT</v>
      </c>
      <c r="D2189" t="str">
        <f>_xlfn.CONCAT('4M'!$B$9, "-", '4M'!$B$36, "-", '4M'!$W$6, "-", '4M'!$W$6, "-", '4M'!$O$5)</f>
        <v>EA/NRW environmental programme (WINEP/NEP)-Chemical removals schemes-Total-Total-Cumulative expenditure on schemes completed in the report year</v>
      </c>
      <c r="F2189" t="s">
        <v>7182</v>
      </c>
      <c r="G2189">
        <f>'4M'!$W$36</f>
        <v>0</v>
      </c>
    </row>
    <row r="2190" spans="1:7">
      <c r="A2190" t="s">
        <v>643</v>
      </c>
      <c r="C2190" t="str">
        <f>'4M'!$BH$37</f>
        <v>B0313CRT_F</v>
      </c>
      <c r="D2190" t="str">
        <f>_xlfn.CONCAT('4M'!$B$9, "-", '4M'!$B$37, "-", '4M'!$F$7, "-", '4M'!$F$6, "-", '4M'!$F$5)</f>
        <v>EA/NRW environmental programme (WINEP/NEP)-Chemical removals schemes-Foul-Wastewater network+ -Expenditure in report year</v>
      </c>
      <c r="F2190" t="s">
        <v>7182</v>
      </c>
      <c r="G2190">
        <f>'4M'!$F$37</f>
        <v>0</v>
      </c>
    </row>
    <row r="2191" spans="1:7">
      <c r="A2191" t="s">
        <v>643</v>
      </c>
      <c r="C2191" t="str">
        <f>'4M'!$BI$37</f>
        <v>B0313CRT_SWD</v>
      </c>
      <c r="D2191" t="str">
        <f>_xlfn.CONCAT('4M'!$B$9, "-", '4M'!$B$37, "-", '4M'!$G$7, "-", '4M'!$F$6, "-", '4M'!$F$5)</f>
        <v>EA/NRW environmental programme (WINEP/NEP)-Chemical removals schemes-Surface water drainage-Wastewater network+ -Expenditure in report year</v>
      </c>
      <c r="F2191" t="s">
        <v>7182</v>
      </c>
      <c r="G2191">
        <f>'4M'!$G$37</f>
        <v>0</v>
      </c>
    </row>
    <row r="2192" spans="1:7">
      <c r="A2192" t="s">
        <v>643</v>
      </c>
      <c r="C2192" t="str">
        <f>'4M'!$BJ$37</f>
        <v>B0313CRT_HD</v>
      </c>
      <c r="D2192" t="str">
        <f>_xlfn.CONCAT('4M'!$B$9, "-", '4M'!$B$37, "-", '4M'!$H$7, "-", '4M'!$F$6, "-", '4M'!$F$5)</f>
        <v>EA/NRW environmental programme (WINEP/NEP)-Chemical removals schemes-Highway drainage-Wastewater network+ -Expenditure in report year</v>
      </c>
      <c r="F2192" t="s">
        <v>7182</v>
      </c>
      <c r="G2192">
        <f>'4M'!$H$37</f>
        <v>0</v>
      </c>
    </row>
    <row r="2193" spans="1:7">
      <c r="A2193" t="s">
        <v>643</v>
      </c>
      <c r="C2193" t="str">
        <f>'4M'!$BK$37</f>
        <v>B0313CRT_STD</v>
      </c>
      <c r="D2193" t="str">
        <f>_xlfn.CONCAT('4M'!$B$9, "-", '4M'!$B$37, "-", '4M'!$I$7, "-", '4M'!$F$6, "-", '4M'!$F$5)</f>
        <v>EA/NRW environmental programme (WINEP/NEP)-Chemical removals schemes-Sewage treatment and disposal-Wastewater network+ -Expenditure in report year</v>
      </c>
      <c r="F2193" t="s">
        <v>7182</v>
      </c>
      <c r="G2193">
        <f>'4M'!$I$37</f>
        <v>0.126</v>
      </c>
    </row>
    <row r="2194" spans="1:7">
      <c r="A2194" t="s">
        <v>643</v>
      </c>
      <c r="C2194" t="str">
        <f>'4M'!$BL$37</f>
        <v>B0313CRT_SLT</v>
      </c>
      <c r="D2194" t="str">
        <f>_xlfn.CONCAT('4M'!$B$9, "-", '4M'!$B$37, "-", '4M'!$J$7, "-", '4M'!$F$6, "-", '4M'!$F$5)</f>
        <v>EA/NRW environmental programme (WINEP/NEP)-Chemical removals schemes-Sludge liquor treatment-Wastewater network+ -Expenditure in report year</v>
      </c>
      <c r="F2194" t="s">
        <v>7182</v>
      </c>
      <c r="G2194">
        <f>'4M'!$J$37</f>
        <v>0</v>
      </c>
    </row>
    <row r="2195" spans="1:7">
      <c r="A2195" t="s">
        <v>643</v>
      </c>
      <c r="C2195" t="str">
        <f>'4M'!$BM$37</f>
        <v>B0313CRT_STP</v>
      </c>
      <c r="D2195" t="str">
        <f>_xlfn.CONCAT('4M'!$B$9, "-", '4M'!$B$37, "-", '4M'!$K$7, "-", '4M'!$K$6, "-", '4M'!$F$5)</f>
        <v>EA/NRW environmental programme (WINEP/NEP)-Chemical removals schemes-Sludge transport-Bioresources-Expenditure in report year</v>
      </c>
      <c r="F2195" t="s">
        <v>7182</v>
      </c>
      <c r="G2195">
        <f>'4M'!$K$37</f>
        <v>0</v>
      </c>
    </row>
    <row r="2196" spans="1:7">
      <c r="A2196" t="s">
        <v>643</v>
      </c>
      <c r="C2196" t="str">
        <f>'4M'!$BN$37</f>
        <v>B0313CRT_SDT</v>
      </c>
      <c r="D2196" t="str">
        <f>_xlfn.CONCAT('4M'!$B$9, "-", '4M'!$B$37, "-", '4M'!$L$7, "-", '4M'!$K$6, "-", '4M'!$F$5)</f>
        <v>EA/NRW environmental programme (WINEP/NEP)-Chemical removals schemes-Sludge treatment-Bioresources-Expenditure in report year</v>
      </c>
      <c r="F2196" t="s">
        <v>7182</v>
      </c>
      <c r="G2196">
        <f>'4M'!$L$37</f>
        <v>0</v>
      </c>
    </row>
    <row r="2197" spans="1:7">
      <c r="A2197" t="s">
        <v>643</v>
      </c>
      <c r="C2197" t="str">
        <f>'4M'!$BO$37</f>
        <v>B0313CRT_SD</v>
      </c>
      <c r="D2197" t="str">
        <f>_xlfn.CONCAT('4M'!$B$9, "-", '4M'!$B$37, "-", '4M'!$M$7, "-", '4M'!$K$6, "-", '4M'!$F$5)</f>
        <v>EA/NRW environmental programme (WINEP/NEP)-Chemical removals schemes-Sludge disposal-Bioresources-Expenditure in report year</v>
      </c>
      <c r="F2197" t="s">
        <v>7182</v>
      </c>
      <c r="G2197">
        <f>'4M'!$M$37</f>
        <v>0</v>
      </c>
    </row>
    <row r="2198" spans="1:7">
      <c r="A2198" t="s">
        <v>643</v>
      </c>
      <c r="C2198" t="str">
        <f>'4M'!$BP$37</f>
        <v>B0313CRT_TOT</v>
      </c>
      <c r="D2198" t="str">
        <f>_xlfn.CONCAT('4M'!$B$9, "-", '4M'!$B$37, "-", '4M'!$N$6, "-", '4M'!$N$6, "-", '4M'!$F$5)</f>
        <v>EA/NRW environmental programme (WINEP/NEP)-Chemical removals schemes-Total-Total-Expenditure in report year</v>
      </c>
      <c r="F2198" t="s">
        <v>7182</v>
      </c>
      <c r="G2198">
        <f>'4M'!$N$37</f>
        <v>0.126</v>
      </c>
    </row>
    <row r="2199" spans="1:7">
      <c r="A2199" t="s">
        <v>643</v>
      </c>
      <c r="C2199" t="str">
        <f>'4M'!$BQ$37</f>
        <v>B0313CRT_C_F</v>
      </c>
      <c r="D2199" t="str">
        <f>_xlfn.CONCAT('4M'!$B$9, "-", '4M'!$B$37, "-", '4M'!$O$7, "-", '4M'!$O$6, "-", '4M'!$O$5)</f>
        <v>EA/NRW environmental programme (WINEP/NEP)-Chemical removals schemes-Foul-Wastewater network+ -Cumulative expenditure on schemes completed in the report year</v>
      </c>
      <c r="F2199" t="s">
        <v>7182</v>
      </c>
      <c r="G2199">
        <f>'4M'!$O$37</f>
        <v>0</v>
      </c>
    </row>
    <row r="2200" spans="1:7">
      <c r="A2200" t="s">
        <v>643</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7182</v>
      </c>
      <c r="G2200">
        <f>'4M'!$P$37</f>
        <v>0</v>
      </c>
    </row>
    <row r="2201" spans="1:7">
      <c r="A2201" t="s">
        <v>643</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7182</v>
      </c>
      <c r="G2201">
        <f>'4M'!$Q$37</f>
        <v>0</v>
      </c>
    </row>
    <row r="2202" spans="1:7">
      <c r="A2202" t="s">
        <v>643</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7182</v>
      </c>
      <c r="G2202">
        <f>'4M'!$R$37</f>
        <v>0</v>
      </c>
    </row>
    <row r="2203" spans="1:7">
      <c r="A2203" t="s">
        <v>643</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7182</v>
      </c>
      <c r="G2203">
        <f>'4M'!$S$37</f>
        <v>0</v>
      </c>
    </row>
    <row r="2204" spans="1:7">
      <c r="A2204" t="s">
        <v>643</v>
      </c>
      <c r="C2204" t="str">
        <f>'4M'!$BV$37</f>
        <v>B0313CRT_C_STP</v>
      </c>
      <c r="D2204" t="str">
        <f>_xlfn.CONCAT('4M'!$B$9, "-", '4M'!$B$37, "-", '4M'!$T$7, "-", '4M'!$T$6, "-", '4M'!$O$5)</f>
        <v>EA/NRW environmental programme (WINEP/NEP)-Chemical removals schemes-Sludge transport-Bioresources-Cumulative expenditure on schemes completed in the report year</v>
      </c>
      <c r="F2204" t="s">
        <v>7182</v>
      </c>
      <c r="G2204">
        <f>'4M'!$T$37</f>
        <v>0</v>
      </c>
    </row>
    <row r="2205" spans="1:7">
      <c r="A2205" t="s">
        <v>643</v>
      </c>
      <c r="C2205" t="str">
        <f>'4M'!$BW$37</f>
        <v>B0313CRT_C_SDT</v>
      </c>
      <c r="D2205" t="str">
        <f>_xlfn.CONCAT('4M'!$B$9, "-", '4M'!$B$37, "-", '4M'!$U$7, "-", '4M'!$T$6, "-", '4M'!$O$5)</f>
        <v>EA/NRW environmental programme (WINEP/NEP)-Chemical removals schemes-Sludge treatment-Bioresources-Cumulative expenditure on schemes completed in the report year</v>
      </c>
      <c r="F2205" t="s">
        <v>7182</v>
      </c>
      <c r="G2205">
        <f>'4M'!$U$37</f>
        <v>0</v>
      </c>
    </row>
    <row r="2206" spans="1:7">
      <c r="A2206" t="s">
        <v>643</v>
      </c>
      <c r="C2206" t="str">
        <f>'4M'!$BX$37</f>
        <v>B0313CRT_C_SD</v>
      </c>
      <c r="D2206" t="str">
        <f>_xlfn.CONCAT('4M'!$B$9, "-", '4M'!$B$37, "-", '4M'!$V$7, "-", '4M'!$T$6, "-", '4M'!$O$5)</f>
        <v>EA/NRW environmental programme (WINEP/NEP)-Chemical removals schemes-Sludge disposal-Bioresources-Cumulative expenditure on schemes completed in the report year</v>
      </c>
      <c r="F2206" t="s">
        <v>7182</v>
      </c>
      <c r="G2206">
        <f>'4M'!$V$37</f>
        <v>0</v>
      </c>
    </row>
    <row r="2207" spans="1:7">
      <c r="A2207" t="s">
        <v>643</v>
      </c>
      <c r="C2207" t="str">
        <f>'4M'!$BY$37</f>
        <v>B0313CRT_C_TOT</v>
      </c>
      <c r="D2207" t="str">
        <f>_xlfn.CONCAT('4M'!$B$9, "-", '4M'!$B$37, "-", '4M'!$W$6, "-", '4M'!$W$6, "-", '4M'!$O$5)</f>
        <v>EA/NRW environmental programme (WINEP/NEP)-Chemical removals schemes-Total-Total-Cumulative expenditure on schemes completed in the report year</v>
      </c>
      <c r="F2207" t="s">
        <v>7182</v>
      </c>
      <c r="G2207">
        <f>'4M'!$W$37</f>
        <v>0</v>
      </c>
    </row>
    <row r="2208" spans="1:7">
      <c r="A2208" t="s">
        <v>643</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7182</v>
      </c>
      <c r="G2208">
        <f>'4M'!$X$37</f>
        <v>0.14300000000000002</v>
      </c>
    </row>
    <row r="2209" spans="1:7">
      <c r="A2209" t="s">
        <v>643</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7182</v>
      </c>
      <c r="G2209">
        <f>'4M'!$Y$37</f>
        <v>3.2310000000000003</v>
      </c>
    </row>
    <row r="2210" spans="1:7">
      <c r="A2210" t="s">
        <v>643</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7182</v>
      </c>
      <c r="G2210">
        <f>'4M'!$Z$37</f>
        <v>7.7270000000000003</v>
      </c>
    </row>
    <row r="2211" spans="1:7">
      <c r="A2211" t="s">
        <v>643</v>
      </c>
      <c r="C2211" t="str">
        <f>'4M'!$BH$38</f>
        <v>B0314CMC_F</v>
      </c>
      <c r="D2211" t="str">
        <f>_xlfn.CONCAT('4M'!$B$9, "-", '4M'!$B$38, "-", '4M'!$F$7, "-", '4M'!$F$6, "-", '4M'!$F$5)</f>
        <v>EA/NRW environmental programme (WINEP/NEP)-Chemicals monitoring/ investigations/ options appraisals-Foul-Wastewater network+ -Expenditure in report year</v>
      </c>
      <c r="F2211" t="s">
        <v>7182</v>
      </c>
      <c r="G2211">
        <f>'4M'!$F$38</f>
        <v>0</v>
      </c>
    </row>
    <row r="2212" spans="1:7">
      <c r="A2212" t="s">
        <v>643</v>
      </c>
      <c r="C2212" t="str">
        <f>'4M'!$BI$38</f>
        <v>B0314CMC_SWD</v>
      </c>
      <c r="D2212" t="str">
        <f>_xlfn.CONCAT('4M'!$B$9, "-", '4M'!$B$38, "-", '4M'!$G$7, "-", '4M'!$F$6, "-", '4M'!$F$5)</f>
        <v>EA/NRW environmental programme (WINEP/NEP)-Chemicals monitoring/ investigations/ options appraisals-Surface water drainage-Wastewater network+ -Expenditure in report year</v>
      </c>
      <c r="F2212" t="s">
        <v>7182</v>
      </c>
      <c r="G2212">
        <f>'4M'!$G$38</f>
        <v>0</v>
      </c>
    </row>
    <row r="2213" spans="1:7">
      <c r="A2213" t="s">
        <v>643</v>
      </c>
      <c r="C2213" t="str">
        <f>'4M'!$BJ$38</f>
        <v>B0314CMC_HD</v>
      </c>
      <c r="D2213" t="str">
        <f>_xlfn.CONCAT('4M'!$B$9, "-", '4M'!$B$38, "-", '4M'!$H$7, "-", '4M'!$F$6, "-", '4M'!$F$5)</f>
        <v>EA/NRW environmental programme (WINEP/NEP)-Chemicals monitoring/ investigations/ options appraisals-Highway drainage-Wastewater network+ -Expenditure in report year</v>
      </c>
      <c r="F2213" t="s">
        <v>7182</v>
      </c>
      <c r="G2213">
        <f>'4M'!$H$38</f>
        <v>0</v>
      </c>
    </row>
    <row r="2214" spans="1:7">
      <c r="A2214" t="s">
        <v>643</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7182</v>
      </c>
      <c r="G2214">
        <f>'4M'!$I$38</f>
        <v>5.7000000000000002E-2</v>
      </c>
    </row>
    <row r="2215" spans="1:7">
      <c r="A2215" t="s">
        <v>643</v>
      </c>
      <c r="C2215" t="str">
        <f>'4M'!$BL$38</f>
        <v>B0314CMC_SLT</v>
      </c>
      <c r="D2215" t="str">
        <f>_xlfn.CONCAT('4M'!$B$9, "-", '4M'!$B$38, "-", '4M'!$J$7, "-", '4M'!$F$6, "-", '4M'!$F$5)</f>
        <v>EA/NRW environmental programme (WINEP/NEP)-Chemicals monitoring/ investigations/ options appraisals-Sludge liquor treatment-Wastewater network+ -Expenditure in report year</v>
      </c>
      <c r="F2215" t="s">
        <v>7182</v>
      </c>
      <c r="G2215">
        <f>'4M'!$J$38</f>
        <v>0</v>
      </c>
    </row>
    <row r="2216" spans="1:7">
      <c r="A2216" t="s">
        <v>643</v>
      </c>
      <c r="C2216" t="str">
        <f>'4M'!$BM$38</f>
        <v>B0314CMC_STP</v>
      </c>
      <c r="D2216" t="str">
        <f>_xlfn.CONCAT('4M'!$B$9, "-", '4M'!$B$38, "-", '4M'!$K$7, "-", '4M'!$K$6, "-", '4M'!$F$5)</f>
        <v>EA/NRW environmental programme (WINEP/NEP)-Chemicals monitoring/ investigations/ options appraisals-Sludge transport-Bioresources-Expenditure in report year</v>
      </c>
      <c r="F2216" t="s">
        <v>7182</v>
      </c>
      <c r="G2216">
        <f>'4M'!$K$38</f>
        <v>0</v>
      </c>
    </row>
    <row r="2217" spans="1:7">
      <c r="A2217" t="s">
        <v>643</v>
      </c>
      <c r="C2217" t="str">
        <f>'4M'!$BN$38</f>
        <v>B0314CMC_SDT</v>
      </c>
      <c r="D2217" t="str">
        <f>_xlfn.CONCAT('4M'!$B$9, "-", '4M'!$B$38, "-", '4M'!$L$7, "-", '4M'!$K$6, "-", '4M'!$F$5)</f>
        <v>EA/NRW environmental programme (WINEP/NEP)-Chemicals monitoring/ investigations/ options appraisals-Sludge treatment-Bioresources-Expenditure in report year</v>
      </c>
      <c r="F2217" t="s">
        <v>7182</v>
      </c>
      <c r="G2217">
        <f>'4M'!$L$38</f>
        <v>0</v>
      </c>
    </row>
    <row r="2218" spans="1:7">
      <c r="A2218" t="s">
        <v>643</v>
      </c>
      <c r="C2218" t="str">
        <f>'4M'!$BO$38</f>
        <v>B0314CMC_SD</v>
      </c>
      <c r="D2218" t="str">
        <f>_xlfn.CONCAT('4M'!$B$9, "-", '4M'!$B$38, "-", '4M'!$M$7, "-", '4M'!$K$6, "-", '4M'!$F$5)</f>
        <v>EA/NRW environmental programme (WINEP/NEP)-Chemicals monitoring/ investigations/ options appraisals-Sludge disposal-Bioresources-Expenditure in report year</v>
      </c>
      <c r="F2218" t="s">
        <v>7182</v>
      </c>
      <c r="G2218">
        <f>'4M'!$M$38</f>
        <v>0</v>
      </c>
    </row>
    <row r="2219" spans="1:7">
      <c r="A2219" t="s">
        <v>643</v>
      </c>
      <c r="C2219" t="str">
        <f>'4M'!$BP$38</f>
        <v>B0314CMC_TOT</v>
      </c>
      <c r="D2219" t="str">
        <f>_xlfn.CONCAT('4M'!$B$9, "-", '4M'!$B$38, "-", '4M'!$N$6, "-", '4M'!$N$6, "-", '4M'!$F$5)</f>
        <v>EA/NRW environmental programme (WINEP/NEP)-Chemicals monitoring/ investigations/ options appraisals-Total-Total-Expenditure in report year</v>
      </c>
      <c r="F2219" t="s">
        <v>7182</v>
      </c>
      <c r="G2219">
        <f>'4M'!$N$38</f>
        <v>5.7000000000000002E-2</v>
      </c>
    </row>
    <row r="2220" spans="1:7">
      <c r="A2220" t="s">
        <v>643</v>
      </c>
      <c r="C2220" t="str">
        <f>'4M'!$BH$39</f>
        <v>B0315CMO_F</v>
      </c>
      <c r="D2220" t="str">
        <f>_xlfn.CONCAT('4M'!$B$9, "-", '4M'!$B$39, "-", '4M'!$F$7, "-", '4M'!$F$6, "-", '4M'!$F$5)</f>
        <v>EA/NRW environmental programme (WINEP/NEP)-Chemicals monitoring/ investigations/ options appraisals-Foul-Wastewater network+ -Expenditure in report year</v>
      </c>
      <c r="F2220" t="s">
        <v>7182</v>
      </c>
      <c r="G2220">
        <f>'4M'!$F$39</f>
        <v>0</v>
      </c>
    </row>
    <row r="2221" spans="1:7">
      <c r="A2221" t="s">
        <v>643</v>
      </c>
      <c r="C2221" t="str">
        <f>'4M'!$BI$39</f>
        <v>B0315CMO_SWD</v>
      </c>
      <c r="D2221" t="str">
        <f>_xlfn.CONCAT('4M'!$B$9, "-", '4M'!$B$39, "-", '4M'!$G$7, "-", '4M'!$F$6, "-", '4M'!$F$5)</f>
        <v>EA/NRW environmental programme (WINEP/NEP)-Chemicals monitoring/ investigations/ options appraisals-Surface water drainage-Wastewater network+ -Expenditure in report year</v>
      </c>
      <c r="F2221" t="s">
        <v>7182</v>
      </c>
      <c r="G2221">
        <f>'4M'!$G$39</f>
        <v>0</v>
      </c>
    </row>
    <row r="2222" spans="1:7">
      <c r="A2222" t="s">
        <v>643</v>
      </c>
      <c r="C2222" t="str">
        <f>'4M'!$BJ$39</f>
        <v>B0315CMO_HD</v>
      </c>
      <c r="D2222" t="str">
        <f>_xlfn.CONCAT('4M'!$B$9, "-", '4M'!$B$39, "-", '4M'!$H$7, "-", '4M'!$F$6, "-", '4M'!$F$5)</f>
        <v>EA/NRW environmental programme (WINEP/NEP)-Chemicals monitoring/ investigations/ options appraisals-Highway drainage-Wastewater network+ -Expenditure in report year</v>
      </c>
      <c r="F2222" t="s">
        <v>7182</v>
      </c>
      <c r="G2222">
        <f>'4M'!$H$39</f>
        <v>0</v>
      </c>
    </row>
    <row r="2223" spans="1:7">
      <c r="A2223" t="s">
        <v>643</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7182</v>
      </c>
      <c r="G2223">
        <f>'4M'!$I$39</f>
        <v>0.107</v>
      </c>
    </row>
    <row r="2224" spans="1:7">
      <c r="A2224" t="s">
        <v>643</v>
      </c>
      <c r="C2224" t="str">
        <f>'4M'!$BL$39</f>
        <v>B0315CMO_SLT</v>
      </c>
      <c r="D2224" t="str">
        <f>_xlfn.CONCAT('4M'!$B$9, "-", '4M'!$B$39, "-", '4M'!$J$7, "-", '4M'!$F$6, "-", '4M'!$F$5)</f>
        <v>EA/NRW environmental programme (WINEP/NEP)-Chemicals monitoring/ investigations/ options appraisals-Sludge liquor treatment-Wastewater network+ -Expenditure in report year</v>
      </c>
      <c r="F2224" t="s">
        <v>7182</v>
      </c>
      <c r="G2224">
        <f>'4M'!$J$39</f>
        <v>0</v>
      </c>
    </row>
    <row r="2225" spans="1:7">
      <c r="A2225" t="s">
        <v>643</v>
      </c>
      <c r="C2225" t="str">
        <f>'4M'!$BM$39</f>
        <v>B0315CMO_STP</v>
      </c>
      <c r="D2225" t="str">
        <f>_xlfn.CONCAT('4M'!$B$9, "-", '4M'!$B$39, "-", '4M'!$K$7, "-", '4M'!$K$6, "-", '4M'!$F$5)</f>
        <v>EA/NRW environmental programme (WINEP/NEP)-Chemicals monitoring/ investigations/ options appraisals-Sludge transport-Bioresources-Expenditure in report year</v>
      </c>
      <c r="F2225" t="s">
        <v>7182</v>
      </c>
      <c r="G2225">
        <f>'4M'!$K$39</f>
        <v>0</v>
      </c>
    </row>
    <row r="2226" spans="1:7">
      <c r="A2226" t="s">
        <v>643</v>
      </c>
      <c r="C2226" t="str">
        <f>'4M'!$BN$39</f>
        <v>B0315CMO_SDT</v>
      </c>
      <c r="D2226" t="str">
        <f>_xlfn.CONCAT('4M'!$B$9, "-", '4M'!$B$39, "-", '4M'!$L$7, "-", '4M'!$K$6, "-", '4M'!$F$5)</f>
        <v>EA/NRW environmental programme (WINEP/NEP)-Chemicals monitoring/ investigations/ options appraisals-Sludge treatment-Bioresources-Expenditure in report year</v>
      </c>
      <c r="F2226" t="s">
        <v>7182</v>
      </c>
      <c r="G2226">
        <f>'4M'!$L$39</f>
        <v>0</v>
      </c>
    </row>
    <row r="2227" spans="1:7">
      <c r="A2227" t="s">
        <v>643</v>
      </c>
      <c r="C2227" t="str">
        <f>'4M'!$BO$39</f>
        <v>B0315CMO_SD</v>
      </c>
      <c r="D2227" t="str">
        <f>_xlfn.CONCAT('4M'!$B$9, "-", '4M'!$B$39, "-", '4M'!$M$7, "-", '4M'!$K$6, "-", '4M'!$F$5)</f>
        <v>EA/NRW environmental programme (WINEP/NEP)-Chemicals monitoring/ investigations/ options appraisals-Sludge disposal-Bioresources-Expenditure in report year</v>
      </c>
      <c r="F2227" t="s">
        <v>7182</v>
      </c>
      <c r="G2227">
        <f>'4M'!$M$39</f>
        <v>0</v>
      </c>
    </row>
    <row r="2228" spans="1:7">
      <c r="A2228" t="s">
        <v>643</v>
      </c>
      <c r="C2228" t="str">
        <f>'4M'!$BP$39</f>
        <v>B0315CMO_TOT</v>
      </c>
      <c r="D2228" t="str">
        <f>_xlfn.CONCAT('4M'!$B$9, "-", '4M'!$B$39, "-", '4M'!$N$6, "-", '4M'!$N$6, "-", '4M'!$F$5)</f>
        <v>EA/NRW environmental programme (WINEP/NEP)-Chemicals monitoring/ investigations/ options appraisals-Total-Total-Expenditure in report year</v>
      </c>
      <c r="F2228" t="s">
        <v>7182</v>
      </c>
      <c r="G2228">
        <f>'4M'!$N$39</f>
        <v>0.107</v>
      </c>
    </row>
    <row r="2229" spans="1:7">
      <c r="A2229" t="s">
        <v>643</v>
      </c>
      <c r="C2229" t="str">
        <f>'4M'!$BH$40</f>
        <v>B0316CMT_F</v>
      </c>
      <c r="D2229" t="str">
        <f>_xlfn.CONCAT('4M'!$B$9, "-", '4M'!$B$40, "-", '4M'!$F$7, "-", '4M'!$F$6, "-", '4M'!$F$5)</f>
        <v>EA/NRW environmental programme (WINEP/NEP)-Chemicals monitoring/ investigations/ options appraisals-Foul-Wastewater network+ -Expenditure in report year</v>
      </c>
      <c r="F2229" t="s">
        <v>7182</v>
      </c>
      <c r="G2229">
        <f>'4M'!$F$40</f>
        <v>0</v>
      </c>
    </row>
    <row r="2230" spans="1:7">
      <c r="A2230" t="s">
        <v>643</v>
      </c>
      <c r="C2230" t="str">
        <f>'4M'!$BI$40</f>
        <v>B0316CMT_SWD</v>
      </c>
      <c r="D2230" t="str">
        <f>_xlfn.CONCAT('4M'!$B$9, "-", '4M'!$B$40, "-", '4M'!$G$7, "-", '4M'!$F$6, "-", '4M'!$F$5)</f>
        <v>EA/NRW environmental programme (WINEP/NEP)-Chemicals monitoring/ investigations/ options appraisals-Surface water drainage-Wastewater network+ -Expenditure in report year</v>
      </c>
      <c r="F2230" t="s">
        <v>7182</v>
      </c>
      <c r="G2230">
        <f>'4M'!$G$40</f>
        <v>0</v>
      </c>
    </row>
    <row r="2231" spans="1:7">
      <c r="A2231" t="s">
        <v>643</v>
      </c>
      <c r="C2231" t="str">
        <f>'4M'!$BJ$40</f>
        <v>B0316CMT_HD</v>
      </c>
      <c r="D2231" t="str">
        <f>_xlfn.CONCAT('4M'!$B$9, "-", '4M'!$B$40, "-", '4M'!$H$7, "-", '4M'!$F$6, "-", '4M'!$F$5)</f>
        <v>EA/NRW environmental programme (WINEP/NEP)-Chemicals monitoring/ investigations/ options appraisals-Highway drainage-Wastewater network+ -Expenditure in report year</v>
      </c>
      <c r="F2231" t="s">
        <v>7182</v>
      </c>
      <c r="G2231">
        <f>'4M'!$H$40</f>
        <v>0</v>
      </c>
    </row>
    <row r="2232" spans="1:7">
      <c r="A2232" t="s">
        <v>643</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7182</v>
      </c>
      <c r="G2232">
        <f>'4M'!$I$40</f>
        <v>0.16400000000000001</v>
      </c>
    </row>
    <row r="2233" spans="1:7">
      <c r="A2233" t="s">
        <v>643</v>
      </c>
      <c r="C2233" t="str">
        <f>'4M'!$BL$40</f>
        <v>B0316CMT_SLT</v>
      </c>
      <c r="D2233" t="str">
        <f>_xlfn.CONCAT('4M'!$B$9, "-", '4M'!$B$40, "-", '4M'!$J$7, "-", '4M'!$F$6, "-", '4M'!$F$5)</f>
        <v>EA/NRW environmental programme (WINEP/NEP)-Chemicals monitoring/ investigations/ options appraisals-Sludge liquor treatment-Wastewater network+ -Expenditure in report year</v>
      </c>
      <c r="F2233" t="s">
        <v>7182</v>
      </c>
      <c r="G2233">
        <f>'4M'!$J$40</f>
        <v>0</v>
      </c>
    </row>
    <row r="2234" spans="1:7">
      <c r="A2234" t="s">
        <v>643</v>
      </c>
      <c r="C2234" t="str">
        <f>'4M'!$BM$40</f>
        <v>B0316CMT_STP</v>
      </c>
      <c r="D2234" t="str">
        <f>_xlfn.CONCAT('4M'!$B$9, "-", '4M'!$B$40, "-", '4M'!$K$7, "-", '4M'!$K$6, "-", '4M'!$F$5)</f>
        <v>EA/NRW environmental programme (WINEP/NEP)-Chemicals monitoring/ investigations/ options appraisals-Sludge transport-Bioresources-Expenditure in report year</v>
      </c>
      <c r="F2234" t="s">
        <v>7182</v>
      </c>
      <c r="G2234">
        <f>'4M'!$K$40</f>
        <v>0</v>
      </c>
    </row>
    <row r="2235" spans="1:7">
      <c r="A2235" t="s">
        <v>643</v>
      </c>
      <c r="C2235" t="str">
        <f>'4M'!$BN$40</f>
        <v>B0316CMT_SDT</v>
      </c>
      <c r="D2235" t="str">
        <f>_xlfn.CONCAT('4M'!$B$9, "-", '4M'!$B$40, "-", '4M'!$L$7, "-", '4M'!$K$6, "-", '4M'!$F$5)</f>
        <v>EA/NRW environmental programme (WINEP/NEP)-Chemicals monitoring/ investigations/ options appraisals-Sludge treatment-Bioresources-Expenditure in report year</v>
      </c>
      <c r="F2235" t="s">
        <v>7182</v>
      </c>
      <c r="G2235">
        <f>'4M'!$L$40</f>
        <v>0</v>
      </c>
    </row>
    <row r="2236" spans="1:7">
      <c r="A2236" t="s">
        <v>643</v>
      </c>
      <c r="C2236" t="str">
        <f>'4M'!$BO$40</f>
        <v>B0316CMT_SD</v>
      </c>
      <c r="D2236" t="str">
        <f>_xlfn.CONCAT('4M'!$B$9, "-", '4M'!$B$40, "-", '4M'!$M$7, "-", '4M'!$K$6, "-", '4M'!$F$5)</f>
        <v>EA/NRW environmental programme (WINEP/NEP)-Chemicals monitoring/ investigations/ options appraisals-Sludge disposal-Bioresources-Expenditure in report year</v>
      </c>
      <c r="F2236" t="s">
        <v>7182</v>
      </c>
      <c r="G2236">
        <f>'4M'!$M$40</f>
        <v>0</v>
      </c>
    </row>
    <row r="2237" spans="1:7">
      <c r="A2237" t="s">
        <v>643</v>
      </c>
      <c r="C2237" t="str">
        <f>'4M'!$BP$40</f>
        <v>B0316CMT_TOT</v>
      </c>
      <c r="D2237" t="str">
        <f>_xlfn.CONCAT('4M'!$B$9, "-", '4M'!$B$40, "-", '4M'!$N$6, "-", '4M'!$N$6, "-", '4M'!$F$5)</f>
        <v>EA/NRW environmental programme (WINEP/NEP)-Chemicals monitoring/ investigations/ options appraisals-Total-Total-Expenditure in report year</v>
      </c>
      <c r="F2237" t="s">
        <v>7182</v>
      </c>
      <c r="G2237">
        <f>'4M'!$N$40</f>
        <v>0.16400000000000001</v>
      </c>
    </row>
    <row r="2238" spans="1:7">
      <c r="A2238" t="s">
        <v>643</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7182</v>
      </c>
      <c r="G2238">
        <f>'4M'!$X$40</f>
        <v>0.66400000000000003</v>
      </c>
    </row>
    <row r="2239" spans="1:7">
      <c r="A2239" t="s">
        <v>643</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7182</v>
      </c>
      <c r="G2239">
        <f>'4M'!$Y$40</f>
        <v>0.85099999999999998</v>
      </c>
    </row>
    <row r="2240" spans="1:7">
      <c r="A2240" t="s">
        <v>643</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7182</v>
      </c>
      <c r="G2240">
        <f>'4M'!$Z$40</f>
        <v>2.036</v>
      </c>
    </row>
    <row r="2241" spans="1:7">
      <c r="A2241" t="s">
        <v>643</v>
      </c>
      <c r="C2241" t="str">
        <f>'4M'!$BH$41</f>
        <v>B0317NRC_F</v>
      </c>
      <c r="D2241" t="str">
        <f>_xlfn.CONCAT('4M'!$B$9, "-", '4M'!$B$41, "-", '4M'!$F$7, "-", '4M'!$F$6, "-", '4M'!$F$5)</f>
        <v>EA/NRW environmental programme (WINEP/NEP)-Nitrogen removal-Foul-Wastewater network+ -Expenditure in report year</v>
      </c>
      <c r="F2241" t="s">
        <v>7182</v>
      </c>
      <c r="G2241">
        <f>'4M'!$F$41</f>
        <v>0</v>
      </c>
    </row>
    <row r="2242" spans="1:7">
      <c r="A2242" t="s">
        <v>643</v>
      </c>
      <c r="C2242" t="str">
        <f>'4M'!$BI$41</f>
        <v>B0317NRC_SWD</v>
      </c>
      <c r="D2242" t="str">
        <f>_xlfn.CONCAT('4M'!$B$9, "-", '4M'!$B$41, "-", '4M'!$G$7, "-", '4M'!$F$6, "-", '4M'!$F$5)</f>
        <v>EA/NRW environmental programme (WINEP/NEP)-Nitrogen removal-Surface water drainage-Wastewater network+ -Expenditure in report year</v>
      </c>
      <c r="F2242" t="s">
        <v>7182</v>
      </c>
      <c r="G2242">
        <f>'4M'!$G$41</f>
        <v>0</v>
      </c>
    </row>
    <row r="2243" spans="1:7">
      <c r="A2243" t="s">
        <v>643</v>
      </c>
      <c r="C2243" t="str">
        <f>'4M'!$BJ$41</f>
        <v>B0317NRC_HD</v>
      </c>
      <c r="D2243" t="str">
        <f>_xlfn.CONCAT('4M'!$B$9, "-", '4M'!$B$41, "-", '4M'!$H$7, "-", '4M'!$F$6, "-", '4M'!$F$5)</f>
        <v>EA/NRW environmental programme (WINEP/NEP)-Nitrogen removal-Highway drainage-Wastewater network+ -Expenditure in report year</v>
      </c>
      <c r="F2243" t="s">
        <v>7182</v>
      </c>
      <c r="G2243">
        <f>'4M'!$H$41</f>
        <v>0</v>
      </c>
    </row>
    <row r="2244" spans="1:7">
      <c r="A2244" t="s">
        <v>643</v>
      </c>
      <c r="C2244" t="str">
        <f>'4M'!$BK$41</f>
        <v>B0317NRC_STD</v>
      </c>
      <c r="D2244" t="str">
        <f>_xlfn.CONCAT('4M'!$B$9, "-", '4M'!$B$41, "-", '4M'!$I$7, "-", '4M'!$F$6, "-", '4M'!$F$5)</f>
        <v>EA/NRW environmental programme (WINEP/NEP)-Nitrogen removal-Sewage treatment and disposal-Wastewater network+ -Expenditure in report year</v>
      </c>
      <c r="F2244" t="s">
        <v>7182</v>
      </c>
      <c r="G2244">
        <f>'4M'!$I$41</f>
        <v>0</v>
      </c>
    </row>
    <row r="2245" spans="1:7">
      <c r="A2245" t="s">
        <v>643</v>
      </c>
      <c r="C2245" t="str">
        <f>'4M'!$BL$41</f>
        <v>B0317NRC_SLT</v>
      </c>
      <c r="D2245" t="str">
        <f>_xlfn.CONCAT('4M'!$B$9, "-", '4M'!$B$41, "-", '4M'!$J$7, "-", '4M'!$F$6, "-", '4M'!$F$5)</f>
        <v>EA/NRW environmental programme (WINEP/NEP)-Nitrogen removal-Sludge liquor treatment-Wastewater network+ -Expenditure in report year</v>
      </c>
      <c r="F2245" t="s">
        <v>7182</v>
      </c>
      <c r="G2245">
        <f>'4M'!$J$41</f>
        <v>0</v>
      </c>
    </row>
    <row r="2246" spans="1:7">
      <c r="A2246" t="s">
        <v>643</v>
      </c>
      <c r="C2246" t="str">
        <f>'4M'!$BM$41</f>
        <v>B0317NRC_STP</v>
      </c>
      <c r="D2246" t="str">
        <f>_xlfn.CONCAT('4M'!$B$9, "-", '4M'!$B$41, "-", '4M'!$K$7, "-", '4M'!$K$6, "-", '4M'!$F$5)</f>
        <v>EA/NRW environmental programme (WINEP/NEP)-Nitrogen removal-Sludge transport-Bioresources-Expenditure in report year</v>
      </c>
      <c r="F2246" t="s">
        <v>7182</v>
      </c>
      <c r="G2246">
        <f>'4M'!$K$41</f>
        <v>0</v>
      </c>
    </row>
    <row r="2247" spans="1:7">
      <c r="A2247" t="s">
        <v>643</v>
      </c>
      <c r="C2247" t="str">
        <f>'4M'!$BN$41</f>
        <v>B0317NRC_SDT</v>
      </c>
      <c r="D2247" t="str">
        <f>_xlfn.CONCAT('4M'!$B$9, "-", '4M'!$B$41, "-", '4M'!$L$7, "-", '4M'!$K$6, "-", '4M'!$F$5)</f>
        <v>EA/NRW environmental programme (WINEP/NEP)-Nitrogen removal-Sludge treatment-Bioresources-Expenditure in report year</v>
      </c>
      <c r="F2247" t="s">
        <v>7182</v>
      </c>
      <c r="G2247">
        <f>'4M'!$L$41</f>
        <v>0</v>
      </c>
    </row>
    <row r="2248" spans="1:7">
      <c r="A2248" t="s">
        <v>643</v>
      </c>
      <c r="C2248" t="str">
        <f>'4M'!$BO$41</f>
        <v>B0317NRC_SD</v>
      </c>
      <c r="D2248" t="str">
        <f>_xlfn.CONCAT('4M'!$B$9, "-", '4M'!$B$41, "-", '4M'!$M$7, "-", '4M'!$K$6, "-", '4M'!$F$5)</f>
        <v>EA/NRW environmental programme (WINEP/NEP)-Nitrogen removal-Sludge disposal-Bioresources-Expenditure in report year</v>
      </c>
      <c r="F2248" t="s">
        <v>7182</v>
      </c>
      <c r="G2248">
        <f>'4M'!$M$41</f>
        <v>0</v>
      </c>
    </row>
    <row r="2249" spans="1:7">
      <c r="A2249" t="s">
        <v>643</v>
      </c>
      <c r="C2249" t="str">
        <f>'4M'!$BP$41</f>
        <v>B0317NRC_TOT</v>
      </c>
      <c r="D2249" t="str">
        <f>_xlfn.CONCAT('4M'!$B$9, "-", '4M'!$B$41, "-", '4M'!$N$6, "-", '4M'!$N$6, "-", '4M'!$F$5)</f>
        <v>EA/NRW environmental programme (WINEP/NEP)-Nitrogen removal-Total-Total-Expenditure in report year</v>
      </c>
      <c r="F2249" t="s">
        <v>7182</v>
      </c>
      <c r="G2249">
        <f>'4M'!$N$41</f>
        <v>0</v>
      </c>
    </row>
    <row r="2250" spans="1:7">
      <c r="A2250" t="s">
        <v>643</v>
      </c>
      <c r="C2250" t="str">
        <f>'4M'!$BH$42</f>
        <v>B0318NRO_F</v>
      </c>
      <c r="D2250" t="str">
        <f>_xlfn.CONCAT('4M'!$B$9, "-", '4M'!$B$42, "-", '4M'!$F$7, "-", '4M'!$F$6, "-", '4M'!$F$5)</f>
        <v>EA/NRW environmental programme (WINEP/NEP)-Nitrogen removal-Foul-Wastewater network+ -Expenditure in report year</v>
      </c>
      <c r="F2250" t="s">
        <v>7182</v>
      </c>
      <c r="G2250">
        <f>'4M'!$F$42</f>
        <v>0</v>
      </c>
    </row>
    <row r="2251" spans="1:7">
      <c r="A2251" t="s">
        <v>643</v>
      </c>
      <c r="C2251" t="str">
        <f>'4M'!$BI$42</f>
        <v>B0318NRO_SWD</v>
      </c>
      <c r="D2251" t="str">
        <f>_xlfn.CONCAT('4M'!$B$9, "-", '4M'!$B$42, "-", '4M'!$G$7, "-", '4M'!$F$6, "-", '4M'!$F$5)</f>
        <v>EA/NRW environmental programme (WINEP/NEP)-Nitrogen removal-Surface water drainage-Wastewater network+ -Expenditure in report year</v>
      </c>
      <c r="F2251" t="s">
        <v>7182</v>
      </c>
      <c r="G2251">
        <f>'4M'!$G$42</f>
        <v>0</v>
      </c>
    </row>
    <row r="2252" spans="1:7">
      <c r="A2252" t="s">
        <v>643</v>
      </c>
      <c r="C2252" t="str">
        <f>'4M'!$BJ$42</f>
        <v>B0318NRO_HD</v>
      </c>
      <c r="D2252" t="str">
        <f>_xlfn.CONCAT('4M'!$B$9, "-", '4M'!$B$42, "-", '4M'!$H$7, "-", '4M'!$F$6, "-", '4M'!$F$5)</f>
        <v>EA/NRW environmental programme (WINEP/NEP)-Nitrogen removal-Highway drainage-Wastewater network+ -Expenditure in report year</v>
      </c>
      <c r="F2252" t="s">
        <v>7182</v>
      </c>
      <c r="G2252">
        <f>'4M'!$H$42</f>
        <v>0</v>
      </c>
    </row>
    <row r="2253" spans="1:7">
      <c r="A2253" t="s">
        <v>643</v>
      </c>
      <c r="C2253" t="str">
        <f>'4M'!$BK$42</f>
        <v>B0318NRO_STD</v>
      </c>
      <c r="D2253" t="str">
        <f>_xlfn.CONCAT('4M'!$B$9, "-", '4M'!$B$42, "-", '4M'!$I$7, "-", '4M'!$F$6, "-", '4M'!$F$5)</f>
        <v>EA/NRW environmental programme (WINEP/NEP)-Nitrogen removal-Sewage treatment and disposal-Wastewater network+ -Expenditure in report year</v>
      </c>
      <c r="F2253" t="s">
        <v>7182</v>
      </c>
      <c r="G2253">
        <f>'4M'!$I$42</f>
        <v>0</v>
      </c>
    </row>
    <row r="2254" spans="1:7">
      <c r="A2254" t="s">
        <v>643</v>
      </c>
      <c r="C2254" t="str">
        <f>'4M'!$BL$42</f>
        <v>B0318NRO_SLT</v>
      </c>
      <c r="D2254" t="str">
        <f>_xlfn.CONCAT('4M'!$B$9, "-", '4M'!$B$42, "-", '4M'!$J$7, "-", '4M'!$F$6, "-", '4M'!$F$5)</f>
        <v>EA/NRW environmental programme (WINEP/NEP)-Nitrogen removal-Sludge liquor treatment-Wastewater network+ -Expenditure in report year</v>
      </c>
      <c r="F2254" t="s">
        <v>7182</v>
      </c>
      <c r="G2254">
        <f>'4M'!$J$42</f>
        <v>0</v>
      </c>
    </row>
    <row r="2255" spans="1:7">
      <c r="A2255" t="s">
        <v>643</v>
      </c>
      <c r="C2255" t="str">
        <f>'4M'!$BM$42</f>
        <v>B0318NRO_STP</v>
      </c>
      <c r="D2255" t="str">
        <f>_xlfn.CONCAT('4M'!$B$9, "-", '4M'!$B$42, "-", '4M'!$K$7, "-", '4M'!$K$6, "-", '4M'!$F$5)</f>
        <v>EA/NRW environmental programme (WINEP/NEP)-Nitrogen removal-Sludge transport-Bioresources-Expenditure in report year</v>
      </c>
      <c r="F2255" t="s">
        <v>7182</v>
      </c>
      <c r="G2255">
        <f>'4M'!$K$42</f>
        <v>0</v>
      </c>
    </row>
    <row r="2256" spans="1:7">
      <c r="A2256" t="s">
        <v>643</v>
      </c>
      <c r="C2256" t="str">
        <f>'4M'!$BN$42</f>
        <v>B0318NRO_SDT</v>
      </c>
      <c r="D2256" t="str">
        <f>_xlfn.CONCAT('4M'!$B$9, "-", '4M'!$B$42, "-", '4M'!$L$7, "-", '4M'!$K$6, "-", '4M'!$F$5)</f>
        <v>EA/NRW environmental programme (WINEP/NEP)-Nitrogen removal-Sludge treatment-Bioresources-Expenditure in report year</v>
      </c>
      <c r="F2256" t="s">
        <v>7182</v>
      </c>
      <c r="G2256">
        <f>'4M'!$L$42</f>
        <v>0</v>
      </c>
    </row>
    <row r="2257" spans="1:7">
      <c r="A2257" t="s">
        <v>643</v>
      </c>
      <c r="C2257" t="str">
        <f>'4M'!$BO$42</f>
        <v>B0318NRO_SD</v>
      </c>
      <c r="D2257" t="str">
        <f>_xlfn.CONCAT('4M'!$B$9, "-", '4M'!$B$42, "-", '4M'!$M$7, "-", '4M'!$K$6, "-", '4M'!$F$5)</f>
        <v>EA/NRW environmental programme (WINEP/NEP)-Nitrogen removal-Sludge disposal-Bioresources-Expenditure in report year</v>
      </c>
      <c r="F2257" t="s">
        <v>7182</v>
      </c>
      <c r="G2257">
        <f>'4M'!$M$42</f>
        <v>0</v>
      </c>
    </row>
    <row r="2258" spans="1:7">
      <c r="A2258" t="s">
        <v>643</v>
      </c>
      <c r="C2258" t="str">
        <f>'4M'!$BP$42</f>
        <v>B0318NRO_TOT</v>
      </c>
      <c r="D2258" t="str">
        <f>_xlfn.CONCAT('4M'!$B$9, "-", '4M'!$B$42, "-", '4M'!$N$6, "-", '4M'!$N$6, "-", '4M'!$F$5)</f>
        <v>EA/NRW environmental programme (WINEP/NEP)-Nitrogen removal-Total-Total-Expenditure in report year</v>
      </c>
      <c r="F2258" t="s">
        <v>7182</v>
      </c>
      <c r="G2258">
        <f>'4M'!$N$42</f>
        <v>0</v>
      </c>
    </row>
    <row r="2259" spans="1:7">
      <c r="A2259" t="s">
        <v>643</v>
      </c>
      <c r="C2259" t="str">
        <f>'4M'!$BH$43</f>
        <v>B0319NRT_F</v>
      </c>
      <c r="D2259" t="str">
        <f>_xlfn.CONCAT('4M'!$B$9, "-", '4M'!$B$43, "-", '4M'!$F$7, "-", '4M'!$F$6, "-", '4M'!$F$5)</f>
        <v>EA/NRW environmental programme (WINEP/NEP)-Nitrogen removal-Foul-Wastewater network+ -Expenditure in report year</v>
      </c>
      <c r="F2259" t="s">
        <v>7182</v>
      </c>
      <c r="G2259">
        <f>'4M'!$F$43</f>
        <v>0</v>
      </c>
    </row>
    <row r="2260" spans="1:7">
      <c r="A2260" t="s">
        <v>643</v>
      </c>
      <c r="C2260" t="str">
        <f>'4M'!$BI$43</f>
        <v>B0319NRT_SWD</v>
      </c>
      <c r="D2260" t="str">
        <f>_xlfn.CONCAT('4M'!$B$9, "-", '4M'!$B$43, "-", '4M'!$G$7, "-", '4M'!$F$6, "-", '4M'!$F$5)</f>
        <v>EA/NRW environmental programme (WINEP/NEP)-Nitrogen removal-Surface water drainage-Wastewater network+ -Expenditure in report year</v>
      </c>
      <c r="F2260" t="s">
        <v>7182</v>
      </c>
      <c r="G2260">
        <f>'4M'!$G$43</f>
        <v>0</v>
      </c>
    </row>
    <row r="2261" spans="1:7">
      <c r="A2261" t="s">
        <v>643</v>
      </c>
      <c r="C2261" t="str">
        <f>'4M'!$BJ$43</f>
        <v>B0319NRT_HD</v>
      </c>
      <c r="D2261" t="str">
        <f>_xlfn.CONCAT('4M'!$B$9, "-", '4M'!$B$43, "-", '4M'!$H$7, "-", '4M'!$F$6, "-", '4M'!$F$5)</f>
        <v>EA/NRW environmental programme (WINEP/NEP)-Nitrogen removal-Highway drainage-Wastewater network+ -Expenditure in report year</v>
      </c>
      <c r="F2261" t="s">
        <v>7182</v>
      </c>
      <c r="G2261">
        <f>'4M'!$H$43</f>
        <v>0</v>
      </c>
    </row>
    <row r="2262" spans="1:7">
      <c r="A2262" t="s">
        <v>643</v>
      </c>
      <c r="C2262" t="str">
        <f>'4M'!$BK$43</f>
        <v>B0319NRT_STD</v>
      </c>
      <c r="D2262" t="str">
        <f>_xlfn.CONCAT('4M'!$B$9, "-", '4M'!$B$43, "-", '4M'!$I$7, "-", '4M'!$F$6, "-", '4M'!$F$5)</f>
        <v>EA/NRW environmental programme (WINEP/NEP)-Nitrogen removal-Sewage treatment and disposal-Wastewater network+ -Expenditure in report year</v>
      </c>
      <c r="F2262" t="s">
        <v>7182</v>
      </c>
      <c r="G2262">
        <f>'4M'!$I$43</f>
        <v>0</v>
      </c>
    </row>
    <row r="2263" spans="1:7">
      <c r="A2263" t="s">
        <v>643</v>
      </c>
      <c r="C2263" t="str">
        <f>'4M'!$BL$43</f>
        <v>B0319NRT_SLT</v>
      </c>
      <c r="D2263" t="str">
        <f>_xlfn.CONCAT('4M'!$B$9, "-", '4M'!$B$43, "-", '4M'!$J$7, "-", '4M'!$F$6, "-", '4M'!$F$5)</f>
        <v>EA/NRW environmental programme (WINEP/NEP)-Nitrogen removal-Sludge liquor treatment-Wastewater network+ -Expenditure in report year</v>
      </c>
      <c r="F2263" t="s">
        <v>7182</v>
      </c>
      <c r="G2263">
        <f>'4M'!$J$43</f>
        <v>0</v>
      </c>
    </row>
    <row r="2264" spans="1:7">
      <c r="A2264" t="s">
        <v>643</v>
      </c>
      <c r="C2264" t="str">
        <f>'4M'!$BM$43</f>
        <v>B0319NRT_STP</v>
      </c>
      <c r="D2264" t="str">
        <f>_xlfn.CONCAT('4M'!$B$9, "-", '4M'!$B$43, "-", '4M'!$K$7, "-", '4M'!$K$6, "-", '4M'!$F$5)</f>
        <v>EA/NRW environmental programme (WINEP/NEP)-Nitrogen removal-Sludge transport-Bioresources-Expenditure in report year</v>
      </c>
      <c r="F2264" t="s">
        <v>7182</v>
      </c>
      <c r="G2264">
        <f>'4M'!$K$43</f>
        <v>0</v>
      </c>
    </row>
    <row r="2265" spans="1:7">
      <c r="A2265" t="s">
        <v>643</v>
      </c>
      <c r="C2265" t="str">
        <f>'4M'!$BN$43</f>
        <v>B0319NRT_SDT</v>
      </c>
      <c r="D2265" t="str">
        <f>_xlfn.CONCAT('4M'!$B$9, "-", '4M'!$B$43, "-", '4M'!$L$7, "-", '4M'!$K$6, "-", '4M'!$F$5)</f>
        <v>EA/NRW environmental programme (WINEP/NEP)-Nitrogen removal-Sludge treatment-Bioresources-Expenditure in report year</v>
      </c>
      <c r="F2265" t="s">
        <v>7182</v>
      </c>
      <c r="G2265">
        <f>'4M'!$L$43</f>
        <v>0</v>
      </c>
    </row>
    <row r="2266" spans="1:7">
      <c r="A2266" t="s">
        <v>643</v>
      </c>
      <c r="C2266" t="str">
        <f>'4M'!$BO$43</f>
        <v>B0319NRT_SD</v>
      </c>
      <c r="D2266" t="str">
        <f>_xlfn.CONCAT('4M'!$B$9, "-", '4M'!$B$43, "-", '4M'!$M$7, "-", '4M'!$K$6, "-", '4M'!$F$5)</f>
        <v>EA/NRW environmental programme (WINEP/NEP)-Nitrogen removal-Sludge disposal-Bioresources-Expenditure in report year</v>
      </c>
      <c r="F2266" t="s">
        <v>7182</v>
      </c>
      <c r="G2266">
        <f>'4M'!$M$43</f>
        <v>0</v>
      </c>
    </row>
    <row r="2267" spans="1:7">
      <c r="A2267" t="s">
        <v>643</v>
      </c>
      <c r="C2267" t="str">
        <f>'4M'!$BP$43</f>
        <v>B0319NRT_TOT</v>
      </c>
      <c r="D2267" t="str">
        <f>_xlfn.CONCAT('4M'!$B$9, "-", '4M'!$B$43, "-", '4M'!$N$6, "-", '4M'!$N$6, "-", '4M'!$F$5)</f>
        <v>EA/NRW environmental programme (WINEP/NEP)-Nitrogen removal-Total-Total-Expenditure in report year</v>
      </c>
      <c r="F2267" t="s">
        <v>7182</v>
      </c>
      <c r="G2267">
        <f>'4M'!$N$43</f>
        <v>0</v>
      </c>
    </row>
    <row r="2268" spans="1:7">
      <c r="A2268" t="s">
        <v>643</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7182</v>
      </c>
      <c r="G2268">
        <f>'4M'!$X$43</f>
        <v>0</v>
      </c>
    </row>
    <row r="2269" spans="1:7">
      <c r="A2269" t="s">
        <v>643</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7182</v>
      </c>
      <c r="G2269">
        <f>'4M'!$Y$43</f>
        <v>0</v>
      </c>
    </row>
    <row r="2270" spans="1:7">
      <c r="A2270" t="s">
        <v>643</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7182</v>
      </c>
      <c r="G2270">
        <f>'4M'!$Z$43</f>
        <v>0</v>
      </c>
    </row>
    <row r="2271" spans="1:7">
      <c r="A2271" t="s">
        <v>643</v>
      </c>
      <c r="C2271" t="str">
        <f>'4M'!$BH$44</f>
        <v>B0320PRC_F</v>
      </c>
      <c r="D2271" t="str">
        <f>_xlfn.CONCAT('4M'!$B$9, "-", '4M'!$B$44, "-", '4M'!$F$7, "-", '4M'!$F$6, "-", '4M'!$F$5)</f>
        <v>EA/NRW environmental programme (WINEP/NEP)-Phosphorus removal-Foul-Wastewater network+ -Expenditure in report year</v>
      </c>
      <c r="F2271" t="s">
        <v>7182</v>
      </c>
      <c r="G2271">
        <f>'4M'!$F$44</f>
        <v>0</v>
      </c>
    </row>
    <row r="2272" spans="1:7">
      <c r="A2272" t="s">
        <v>643</v>
      </c>
      <c r="C2272" t="str">
        <f>'4M'!$BI$44</f>
        <v>B0320PRC_SWD</v>
      </c>
      <c r="D2272" t="str">
        <f>_xlfn.CONCAT('4M'!$B$9, "-", '4M'!$B$44, "-", '4M'!$G$7, "-", '4M'!$F$6, "-", '4M'!$F$5)</f>
        <v>EA/NRW environmental programme (WINEP/NEP)-Phosphorus removal-Surface water drainage-Wastewater network+ -Expenditure in report year</v>
      </c>
      <c r="F2272" t="s">
        <v>7182</v>
      </c>
      <c r="G2272">
        <f>'4M'!$G$44</f>
        <v>0</v>
      </c>
    </row>
    <row r="2273" spans="1:7">
      <c r="A2273" t="s">
        <v>643</v>
      </c>
      <c r="C2273" t="str">
        <f>'4M'!$BJ$44</f>
        <v>B0320PRC_HD</v>
      </c>
      <c r="D2273" t="str">
        <f>_xlfn.CONCAT('4M'!$B$9, "-", '4M'!$B$44, "-", '4M'!$H$7, "-", '4M'!$F$6, "-", '4M'!$F$5)</f>
        <v>EA/NRW environmental programme (WINEP/NEP)-Phosphorus removal-Highway drainage-Wastewater network+ -Expenditure in report year</v>
      </c>
      <c r="F2273" t="s">
        <v>7182</v>
      </c>
      <c r="G2273">
        <f>'4M'!$H$44</f>
        <v>0</v>
      </c>
    </row>
    <row r="2274" spans="1:7">
      <c r="A2274" t="s">
        <v>643</v>
      </c>
      <c r="C2274" t="str">
        <f>'4M'!$BK$44</f>
        <v>B0320PRC_STD</v>
      </c>
      <c r="D2274" t="str">
        <f>_xlfn.CONCAT('4M'!$B$9, "-", '4M'!$B$44, "-", '4M'!$I$7, "-", '4M'!$F$6, "-", '4M'!$F$5)</f>
        <v>EA/NRW environmental programme (WINEP/NEP)-Phosphorus removal-Sewage treatment and disposal-Wastewater network+ -Expenditure in report year</v>
      </c>
      <c r="F2274" t="s">
        <v>7182</v>
      </c>
      <c r="G2274">
        <f>'4M'!$I$44</f>
        <v>16.664000000000001</v>
      </c>
    </row>
    <row r="2275" spans="1:7">
      <c r="A2275" t="s">
        <v>643</v>
      </c>
      <c r="C2275" t="str">
        <f>'4M'!$BL$44</f>
        <v>B0320PRC_SLT</v>
      </c>
      <c r="D2275" t="str">
        <f>_xlfn.CONCAT('4M'!$B$9, "-", '4M'!$B$44, "-", '4M'!$J$7, "-", '4M'!$F$6, "-", '4M'!$F$5)</f>
        <v>EA/NRW environmental programme (WINEP/NEP)-Phosphorus removal-Sludge liquor treatment-Wastewater network+ -Expenditure in report year</v>
      </c>
      <c r="F2275" t="s">
        <v>7182</v>
      </c>
      <c r="G2275">
        <f>'4M'!$J$44</f>
        <v>0</v>
      </c>
    </row>
    <row r="2276" spans="1:7">
      <c r="A2276" t="s">
        <v>643</v>
      </c>
      <c r="C2276" t="str">
        <f>'4M'!$BM$44</f>
        <v>B0320PRC_STP</v>
      </c>
      <c r="D2276" t="str">
        <f>_xlfn.CONCAT('4M'!$B$9, "-", '4M'!$B$44, "-", '4M'!$K$7, "-", '4M'!$K$6, "-", '4M'!$F$5)</f>
        <v>EA/NRW environmental programme (WINEP/NEP)-Phosphorus removal-Sludge transport-Bioresources-Expenditure in report year</v>
      </c>
      <c r="F2276" t="s">
        <v>7182</v>
      </c>
      <c r="G2276">
        <f>'4M'!$K$44</f>
        <v>0</v>
      </c>
    </row>
    <row r="2277" spans="1:7">
      <c r="A2277" t="s">
        <v>643</v>
      </c>
      <c r="C2277" t="str">
        <f>'4M'!$BN$44</f>
        <v>B0320PRC_SDT</v>
      </c>
      <c r="D2277" t="str">
        <f>_xlfn.CONCAT('4M'!$B$9, "-", '4M'!$B$44, "-", '4M'!$L$7, "-", '4M'!$K$6, "-", '4M'!$F$5)</f>
        <v>EA/NRW environmental programme (WINEP/NEP)-Phosphorus removal-Sludge treatment-Bioresources-Expenditure in report year</v>
      </c>
      <c r="F2277" t="s">
        <v>7182</v>
      </c>
      <c r="G2277">
        <f>'4M'!$L$44</f>
        <v>0</v>
      </c>
    </row>
    <row r="2278" spans="1:7">
      <c r="A2278" t="s">
        <v>643</v>
      </c>
      <c r="C2278" t="str">
        <f>'4M'!$BO$44</f>
        <v>B0320PRC_SD</v>
      </c>
      <c r="D2278" t="str">
        <f>_xlfn.CONCAT('4M'!$B$9, "-", '4M'!$B$44, "-", '4M'!$M$7, "-", '4M'!$K$6, "-", '4M'!$F$5)</f>
        <v>EA/NRW environmental programme (WINEP/NEP)-Phosphorus removal-Sludge disposal-Bioresources-Expenditure in report year</v>
      </c>
      <c r="F2278" t="s">
        <v>7182</v>
      </c>
      <c r="G2278">
        <f>'4M'!$M$44</f>
        <v>0</v>
      </c>
    </row>
    <row r="2279" spans="1:7">
      <c r="A2279" t="s">
        <v>643</v>
      </c>
      <c r="C2279" t="str">
        <f>'4M'!$BP$44</f>
        <v>B0320PRC_TOT</v>
      </c>
      <c r="D2279" t="str">
        <f>_xlfn.CONCAT('4M'!$B$9, "-", '4M'!$B$44, "-", '4M'!$N$6, "-", '4M'!$N$6, "-", '4M'!$F$5)</f>
        <v>EA/NRW environmental programme (WINEP/NEP)-Phosphorus removal-Total-Total-Expenditure in report year</v>
      </c>
      <c r="F2279" t="s">
        <v>7182</v>
      </c>
      <c r="G2279">
        <f>'4M'!$N$44</f>
        <v>16.664000000000001</v>
      </c>
    </row>
    <row r="2280" spans="1:7">
      <c r="A2280" t="s">
        <v>643</v>
      </c>
      <c r="C2280" t="str">
        <f>'4M'!$BQ$44</f>
        <v>B0320PRC_C_F</v>
      </c>
      <c r="D2280" t="str">
        <f>_xlfn.CONCAT('4M'!$B$9, "-", '4M'!$B$44, "-", '4M'!$O$7, "-", '4M'!$O$6, "-", '4M'!$O$5)</f>
        <v>EA/NRW environmental programme (WINEP/NEP)-Phosphorus removal-Foul-Wastewater network+ -Cumulative expenditure on schemes completed in the report year</v>
      </c>
      <c r="F2280" t="s">
        <v>7182</v>
      </c>
      <c r="G2280">
        <f>'4M'!$O$44</f>
        <v>0</v>
      </c>
    </row>
    <row r="2281" spans="1:7">
      <c r="A2281" t="s">
        <v>643</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7182</v>
      </c>
      <c r="G2281">
        <f>'4M'!$P$44</f>
        <v>0</v>
      </c>
    </row>
    <row r="2282" spans="1:7">
      <c r="A2282" t="s">
        <v>643</v>
      </c>
      <c r="C2282" t="str">
        <f>'4M'!$BS$44</f>
        <v>B0320PRC_C_HD</v>
      </c>
      <c r="D2282" t="str">
        <f>_xlfn.CONCAT('4M'!$B$9, "-", '4M'!$B$44, "-", '4M'!$Q$7, "-", '4M'!$O$6, "-", '4M'!$O$5)</f>
        <v>EA/NRW environmental programme (WINEP/NEP)-Phosphorus removal-Highway drainage-Wastewater network+ -Cumulative expenditure on schemes completed in the report year</v>
      </c>
      <c r="F2282" t="s">
        <v>7182</v>
      </c>
      <c r="G2282">
        <f>'4M'!$Q$44</f>
        <v>0</v>
      </c>
    </row>
    <row r="2283" spans="1:7">
      <c r="A2283" t="s">
        <v>643</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7182</v>
      </c>
      <c r="G2283">
        <f>'4M'!$R$44</f>
        <v>0</v>
      </c>
    </row>
    <row r="2284" spans="1:7">
      <c r="A2284" t="s">
        <v>643</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7182</v>
      </c>
      <c r="G2284">
        <f>'4M'!$S$44</f>
        <v>0</v>
      </c>
    </row>
    <row r="2285" spans="1:7">
      <c r="A2285" t="s">
        <v>643</v>
      </c>
      <c r="C2285" t="str">
        <f>'4M'!$BV$44</f>
        <v>B0320PRC_C_STP</v>
      </c>
      <c r="D2285" t="str">
        <f>_xlfn.CONCAT('4M'!$B$9, "-", '4M'!$B$44, "-", '4M'!$T$7, "-", '4M'!$T$6, "-", '4M'!$O$5)</f>
        <v>EA/NRW environmental programme (WINEP/NEP)-Phosphorus removal-Sludge transport-Bioresources-Cumulative expenditure on schemes completed in the report year</v>
      </c>
      <c r="F2285" t="s">
        <v>7182</v>
      </c>
      <c r="G2285">
        <f>'4M'!$T$44</f>
        <v>0</v>
      </c>
    </row>
    <row r="2286" spans="1:7">
      <c r="A2286" t="s">
        <v>643</v>
      </c>
      <c r="C2286" t="str">
        <f>'4M'!$BW$44</f>
        <v>B0320PRC_C_SDT</v>
      </c>
      <c r="D2286" t="str">
        <f>_xlfn.CONCAT('4M'!$B$9, "-", '4M'!$B$44, "-", '4M'!$U$7, "-", '4M'!$T$6, "-", '4M'!$O$5)</f>
        <v>EA/NRW environmental programme (WINEP/NEP)-Phosphorus removal-Sludge treatment-Bioresources-Cumulative expenditure on schemes completed in the report year</v>
      </c>
      <c r="F2286" t="s">
        <v>7182</v>
      </c>
      <c r="G2286">
        <f>'4M'!$U$44</f>
        <v>0</v>
      </c>
    </row>
    <row r="2287" spans="1:7">
      <c r="A2287" t="s">
        <v>643</v>
      </c>
      <c r="C2287" t="str">
        <f>'4M'!$BX$44</f>
        <v>B0320PRC_C_SD</v>
      </c>
      <c r="D2287" t="str">
        <f>_xlfn.CONCAT('4M'!$B$9, "-", '4M'!$B$44, "-", '4M'!$V$7, "-", '4M'!$T$6, "-", '4M'!$O$5)</f>
        <v>EA/NRW environmental programme (WINEP/NEP)-Phosphorus removal-Sludge disposal-Bioresources-Cumulative expenditure on schemes completed in the report year</v>
      </c>
      <c r="F2287" t="s">
        <v>7182</v>
      </c>
      <c r="G2287">
        <f>'4M'!$V$44</f>
        <v>0</v>
      </c>
    </row>
    <row r="2288" spans="1:7">
      <c r="A2288" t="s">
        <v>643</v>
      </c>
      <c r="C2288" t="str">
        <f>'4M'!$BY$44</f>
        <v>B0320PRC_C_TOT</v>
      </c>
      <c r="D2288" t="str">
        <f>_xlfn.CONCAT('4M'!$B$9, "-", '4M'!$B$44, "-", '4M'!$W$6, "-", '4M'!$W$6, "-", '4M'!$O$5)</f>
        <v>EA/NRW environmental programme (WINEP/NEP)-Phosphorus removal-Total-Total-Cumulative expenditure on schemes completed in the report year</v>
      </c>
      <c r="F2288" t="s">
        <v>7182</v>
      </c>
      <c r="G2288">
        <f>'4M'!$W$44</f>
        <v>0</v>
      </c>
    </row>
    <row r="2289" spans="1:7">
      <c r="A2289" t="s">
        <v>643</v>
      </c>
      <c r="C2289" t="str">
        <f>'4M'!$BH$45</f>
        <v>B0321PRO_F</v>
      </c>
      <c r="D2289" t="str">
        <f>_xlfn.CONCAT('4M'!$B$9, "-", '4M'!$B$45, "-", '4M'!$F$7, "-", '4M'!$F$6, "-", '4M'!$F$5)</f>
        <v>EA/NRW environmental programme (WINEP/NEP)-Phosphorus removal-Foul-Wastewater network+ -Expenditure in report year</v>
      </c>
      <c r="F2289" t="s">
        <v>7182</v>
      </c>
      <c r="G2289">
        <f>'4M'!$F$45</f>
        <v>0</v>
      </c>
    </row>
    <row r="2290" spans="1:7">
      <c r="A2290" t="s">
        <v>643</v>
      </c>
      <c r="C2290" t="str">
        <f>'4M'!$BI$45</f>
        <v>B0321PRO_SWD</v>
      </c>
      <c r="D2290" t="str">
        <f>_xlfn.CONCAT('4M'!$B$9, "-", '4M'!$B$45, "-", '4M'!$G$7, "-", '4M'!$F$6, "-", '4M'!$F$5)</f>
        <v>EA/NRW environmental programme (WINEP/NEP)-Phosphorus removal-Surface water drainage-Wastewater network+ -Expenditure in report year</v>
      </c>
      <c r="F2290" t="s">
        <v>7182</v>
      </c>
      <c r="G2290">
        <f>'4M'!$G$45</f>
        <v>0</v>
      </c>
    </row>
    <row r="2291" spans="1:7">
      <c r="A2291" t="s">
        <v>643</v>
      </c>
      <c r="C2291" t="str">
        <f>'4M'!$BJ$45</f>
        <v>B0321PRO_HD</v>
      </c>
      <c r="D2291" t="str">
        <f>_xlfn.CONCAT('4M'!$B$9, "-", '4M'!$B$45, "-", '4M'!$H$7, "-", '4M'!$F$6, "-", '4M'!$F$5)</f>
        <v>EA/NRW environmental programme (WINEP/NEP)-Phosphorus removal-Highway drainage-Wastewater network+ -Expenditure in report year</v>
      </c>
      <c r="F2291" t="s">
        <v>7182</v>
      </c>
      <c r="G2291">
        <f>'4M'!$H$45</f>
        <v>0</v>
      </c>
    </row>
    <row r="2292" spans="1:7">
      <c r="A2292" t="s">
        <v>643</v>
      </c>
      <c r="C2292" t="str">
        <f>'4M'!$BK$45</f>
        <v>B0321PRO_STD</v>
      </c>
      <c r="D2292" t="str">
        <f>_xlfn.CONCAT('4M'!$B$9, "-", '4M'!$B$45, "-", '4M'!$I$7, "-", '4M'!$F$6, "-", '4M'!$F$5)</f>
        <v>EA/NRW environmental programme (WINEP/NEP)-Phosphorus removal-Sewage treatment and disposal-Wastewater network+ -Expenditure in report year</v>
      </c>
      <c r="F2292" t="s">
        <v>7182</v>
      </c>
      <c r="G2292">
        <f>'4M'!$I$45</f>
        <v>0</v>
      </c>
    </row>
    <row r="2293" spans="1:7">
      <c r="A2293" t="s">
        <v>643</v>
      </c>
      <c r="C2293" t="str">
        <f>'4M'!$BL$45</f>
        <v>B0321PRO_SLT</v>
      </c>
      <c r="D2293" t="str">
        <f>_xlfn.CONCAT('4M'!$B$9, "-", '4M'!$B$45, "-", '4M'!$J$7, "-", '4M'!$F$6, "-", '4M'!$F$5)</f>
        <v>EA/NRW environmental programme (WINEP/NEP)-Phosphorus removal-Sludge liquor treatment-Wastewater network+ -Expenditure in report year</v>
      </c>
      <c r="F2293" t="s">
        <v>7182</v>
      </c>
      <c r="G2293">
        <f>'4M'!$J$45</f>
        <v>0</v>
      </c>
    </row>
    <row r="2294" spans="1:7">
      <c r="A2294" t="s">
        <v>643</v>
      </c>
      <c r="C2294" t="str">
        <f>'4M'!$BM$45</f>
        <v>B0321PRO_STP</v>
      </c>
      <c r="D2294" t="str">
        <f>_xlfn.CONCAT('4M'!$B$9, "-", '4M'!$B$45, "-", '4M'!$K$7, "-", '4M'!$K$6, "-", '4M'!$F$5)</f>
        <v>EA/NRW environmental programme (WINEP/NEP)-Phosphorus removal-Sludge transport-Bioresources-Expenditure in report year</v>
      </c>
      <c r="F2294" t="s">
        <v>7182</v>
      </c>
      <c r="G2294">
        <f>'4M'!$K$45</f>
        <v>0</v>
      </c>
    </row>
    <row r="2295" spans="1:7">
      <c r="A2295" t="s">
        <v>643</v>
      </c>
      <c r="C2295" t="str">
        <f>'4M'!$BN$45</f>
        <v>B0321PRO_SDT</v>
      </c>
      <c r="D2295" t="str">
        <f>_xlfn.CONCAT('4M'!$B$9, "-", '4M'!$B$45, "-", '4M'!$L$7, "-", '4M'!$K$6, "-", '4M'!$F$5)</f>
        <v>EA/NRW environmental programme (WINEP/NEP)-Phosphorus removal-Sludge treatment-Bioresources-Expenditure in report year</v>
      </c>
      <c r="F2295" t="s">
        <v>7182</v>
      </c>
      <c r="G2295">
        <f>'4M'!$L$45</f>
        <v>0</v>
      </c>
    </row>
    <row r="2296" spans="1:7">
      <c r="A2296" t="s">
        <v>643</v>
      </c>
      <c r="C2296" t="str">
        <f>'4M'!$BO$45</f>
        <v>B0321PRO_SD</v>
      </c>
      <c r="D2296" t="str">
        <f>_xlfn.CONCAT('4M'!$B$9, "-", '4M'!$B$45, "-", '4M'!$M$7, "-", '4M'!$K$6, "-", '4M'!$F$5)</f>
        <v>EA/NRW environmental programme (WINEP/NEP)-Phosphorus removal-Sludge disposal-Bioresources-Expenditure in report year</v>
      </c>
      <c r="F2296" t="s">
        <v>7182</v>
      </c>
      <c r="G2296">
        <f>'4M'!$M$45</f>
        <v>0</v>
      </c>
    </row>
    <row r="2297" spans="1:7">
      <c r="A2297" t="s">
        <v>643</v>
      </c>
      <c r="C2297" t="str">
        <f>'4M'!$BP$45</f>
        <v>B0321PRO_TOT</v>
      </c>
      <c r="D2297" t="str">
        <f>_xlfn.CONCAT('4M'!$B$9, "-", '4M'!$B$45, "-", '4M'!$N$6, "-", '4M'!$N$6, "-", '4M'!$F$5)</f>
        <v>EA/NRW environmental programme (WINEP/NEP)-Phosphorus removal-Total-Total-Expenditure in report year</v>
      </c>
      <c r="F2297" t="s">
        <v>7182</v>
      </c>
      <c r="G2297">
        <f>'4M'!$N$45</f>
        <v>0</v>
      </c>
    </row>
    <row r="2298" spans="1:7">
      <c r="A2298" t="s">
        <v>643</v>
      </c>
      <c r="C2298" t="str">
        <f>'4M'!$BQ$45</f>
        <v>B0321PRO_C_F</v>
      </c>
      <c r="D2298" t="str">
        <f>_xlfn.CONCAT('4M'!$B$9, "-", '4M'!$B$45, "-", '4M'!$O$7, "-", '4M'!$O$6, "-", '4M'!$O$5)</f>
        <v>EA/NRW environmental programme (WINEP/NEP)-Phosphorus removal-Foul-Wastewater network+ -Cumulative expenditure on schemes completed in the report year</v>
      </c>
      <c r="F2298" t="s">
        <v>7182</v>
      </c>
      <c r="G2298">
        <f>'4M'!$O$45</f>
        <v>0</v>
      </c>
    </row>
    <row r="2299" spans="1:7">
      <c r="A2299" t="s">
        <v>643</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7182</v>
      </c>
      <c r="G2299">
        <f>'4M'!$P$45</f>
        <v>0</v>
      </c>
    </row>
    <row r="2300" spans="1:7">
      <c r="A2300" t="s">
        <v>643</v>
      </c>
      <c r="C2300" t="str">
        <f>'4M'!$BS$45</f>
        <v>B0321PRO_C_HD</v>
      </c>
      <c r="D2300" t="str">
        <f>_xlfn.CONCAT('4M'!$B$9, "-", '4M'!$B$45, "-", '4M'!$Q$7, "-", '4M'!$O$6, "-", '4M'!$O$5)</f>
        <v>EA/NRW environmental programme (WINEP/NEP)-Phosphorus removal-Highway drainage-Wastewater network+ -Cumulative expenditure on schemes completed in the report year</v>
      </c>
      <c r="F2300" t="s">
        <v>7182</v>
      </c>
      <c r="G2300">
        <f>'4M'!$Q$45</f>
        <v>0</v>
      </c>
    </row>
    <row r="2301" spans="1:7">
      <c r="A2301" t="s">
        <v>643</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7182</v>
      </c>
      <c r="G2301">
        <f>'4M'!$R$45</f>
        <v>0</v>
      </c>
    </row>
    <row r="2302" spans="1:7">
      <c r="A2302" t="s">
        <v>643</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7182</v>
      </c>
      <c r="G2302">
        <f>'4M'!$S$45</f>
        <v>0</v>
      </c>
    </row>
    <row r="2303" spans="1:7">
      <c r="A2303" t="s">
        <v>643</v>
      </c>
      <c r="C2303" t="str">
        <f>'4M'!$BV$45</f>
        <v>B0321PRO_C_STP</v>
      </c>
      <c r="D2303" t="str">
        <f>_xlfn.CONCAT('4M'!$B$9, "-", '4M'!$B$45, "-", '4M'!$T$7, "-", '4M'!$T$6, "-", '4M'!$O$5)</f>
        <v>EA/NRW environmental programme (WINEP/NEP)-Phosphorus removal-Sludge transport-Bioresources-Cumulative expenditure on schemes completed in the report year</v>
      </c>
      <c r="F2303" t="s">
        <v>7182</v>
      </c>
      <c r="G2303">
        <f>'4M'!$T$45</f>
        <v>0</v>
      </c>
    </row>
    <row r="2304" spans="1:7">
      <c r="A2304" t="s">
        <v>643</v>
      </c>
      <c r="C2304" t="str">
        <f>'4M'!$BW$45</f>
        <v>B0321PRO_C_SDT</v>
      </c>
      <c r="D2304" t="str">
        <f>_xlfn.CONCAT('4M'!$B$9, "-", '4M'!$B$45, "-", '4M'!$U$7, "-", '4M'!$T$6, "-", '4M'!$O$5)</f>
        <v>EA/NRW environmental programme (WINEP/NEP)-Phosphorus removal-Sludge treatment-Bioresources-Cumulative expenditure on schemes completed in the report year</v>
      </c>
      <c r="F2304" t="s">
        <v>7182</v>
      </c>
      <c r="G2304">
        <f>'4M'!$U$45</f>
        <v>0</v>
      </c>
    </row>
    <row r="2305" spans="1:7">
      <c r="A2305" t="s">
        <v>643</v>
      </c>
      <c r="C2305" t="str">
        <f>'4M'!$BX$45</f>
        <v>B0321PRO_C_SD</v>
      </c>
      <c r="D2305" t="str">
        <f>_xlfn.CONCAT('4M'!$B$9, "-", '4M'!$B$45, "-", '4M'!$V$7, "-", '4M'!$T$6, "-", '4M'!$O$5)</f>
        <v>EA/NRW environmental programme (WINEP/NEP)-Phosphorus removal-Sludge disposal-Bioresources-Cumulative expenditure on schemes completed in the report year</v>
      </c>
      <c r="F2305" t="s">
        <v>7182</v>
      </c>
      <c r="G2305">
        <f>'4M'!$V$45</f>
        <v>0</v>
      </c>
    </row>
    <row r="2306" spans="1:7">
      <c r="A2306" t="s">
        <v>643</v>
      </c>
      <c r="C2306" t="str">
        <f>'4M'!$BY$45</f>
        <v>B0321PRO_C_TOT</v>
      </c>
      <c r="D2306" t="str">
        <f>_xlfn.CONCAT('4M'!$B$9, "-", '4M'!$B$45, "-", '4M'!$W$6, "-", '4M'!$W$6, "-", '4M'!$O$5)</f>
        <v>EA/NRW environmental programme (WINEP/NEP)-Phosphorus removal-Total-Total-Cumulative expenditure on schemes completed in the report year</v>
      </c>
      <c r="F2306" t="s">
        <v>7182</v>
      </c>
      <c r="G2306">
        <f>'4M'!$W$45</f>
        <v>0</v>
      </c>
    </row>
    <row r="2307" spans="1:7">
      <c r="A2307" t="s">
        <v>643</v>
      </c>
      <c r="C2307" t="str">
        <f>'4M'!$BH$46</f>
        <v>B0322PRT_F</v>
      </c>
      <c r="D2307" t="str">
        <f>_xlfn.CONCAT('4M'!$B$9, "-", '4M'!$B$46, "-", '4M'!$F$7, "-", '4M'!$F$6, "-", '4M'!$F$5)</f>
        <v>EA/NRW environmental programme (WINEP/NEP)-Phosphorus removal-Foul-Wastewater network+ -Expenditure in report year</v>
      </c>
      <c r="F2307" t="s">
        <v>7182</v>
      </c>
      <c r="G2307">
        <f>'4M'!$F$46</f>
        <v>0</v>
      </c>
    </row>
    <row r="2308" spans="1:7">
      <c r="A2308" t="s">
        <v>643</v>
      </c>
      <c r="C2308" t="str">
        <f>'4M'!$BI$46</f>
        <v>B0322PRT_SWD</v>
      </c>
      <c r="D2308" t="str">
        <f>_xlfn.CONCAT('4M'!$B$9, "-", '4M'!$B$46, "-", '4M'!$G$7, "-", '4M'!$F$6, "-", '4M'!$F$5)</f>
        <v>EA/NRW environmental programme (WINEP/NEP)-Phosphorus removal-Surface water drainage-Wastewater network+ -Expenditure in report year</v>
      </c>
      <c r="F2308" t="s">
        <v>7182</v>
      </c>
      <c r="G2308">
        <f>'4M'!$G$46</f>
        <v>0</v>
      </c>
    </row>
    <row r="2309" spans="1:7">
      <c r="A2309" t="s">
        <v>643</v>
      </c>
      <c r="C2309" t="str">
        <f>'4M'!$BJ$46</f>
        <v>B0322PRT_HD</v>
      </c>
      <c r="D2309" t="str">
        <f>_xlfn.CONCAT('4M'!$B$9, "-", '4M'!$B$46, "-", '4M'!$H$7, "-", '4M'!$F$6, "-", '4M'!$F$5)</f>
        <v>EA/NRW environmental programme (WINEP/NEP)-Phosphorus removal-Highway drainage-Wastewater network+ -Expenditure in report year</v>
      </c>
      <c r="F2309" t="s">
        <v>7182</v>
      </c>
      <c r="G2309">
        <f>'4M'!$H$46</f>
        <v>0</v>
      </c>
    </row>
    <row r="2310" spans="1:7">
      <c r="A2310" t="s">
        <v>643</v>
      </c>
      <c r="C2310" t="str">
        <f>'4M'!$BK$46</f>
        <v>B0322PRT_STD</v>
      </c>
      <c r="D2310" t="str">
        <f>_xlfn.CONCAT('4M'!$B$9, "-", '4M'!$B$46, "-", '4M'!$I$7, "-", '4M'!$F$6, "-", '4M'!$F$5)</f>
        <v>EA/NRW environmental programme (WINEP/NEP)-Phosphorus removal-Sewage treatment and disposal-Wastewater network+ -Expenditure in report year</v>
      </c>
      <c r="F2310" t="s">
        <v>7182</v>
      </c>
      <c r="G2310">
        <f>'4M'!$I$46</f>
        <v>16.664000000000001</v>
      </c>
    </row>
    <row r="2311" spans="1:7">
      <c r="A2311" t="s">
        <v>643</v>
      </c>
      <c r="C2311" t="str">
        <f>'4M'!$BL$46</f>
        <v>B0322PRT_SLT</v>
      </c>
      <c r="D2311" t="str">
        <f>_xlfn.CONCAT('4M'!$B$9, "-", '4M'!$B$46, "-", '4M'!$J$7, "-", '4M'!$F$6, "-", '4M'!$F$5)</f>
        <v>EA/NRW environmental programme (WINEP/NEP)-Phosphorus removal-Sludge liquor treatment-Wastewater network+ -Expenditure in report year</v>
      </c>
      <c r="F2311" t="s">
        <v>7182</v>
      </c>
      <c r="G2311">
        <f>'4M'!$J$46</f>
        <v>0</v>
      </c>
    </row>
    <row r="2312" spans="1:7">
      <c r="A2312" t="s">
        <v>643</v>
      </c>
      <c r="C2312" t="str">
        <f>'4M'!$BM$46</f>
        <v>B0322PRT_STP</v>
      </c>
      <c r="D2312" t="str">
        <f>_xlfn.CONCAT('4M'!$B$9, "-", '4M'!$B$46, "-", '4M'!$K$7, "-", '4M'!$K$6, "-", '4M'!$F$5)</f>
        <v>EA/NRW environmental programme (WINEP/NEP)-Phosphorus removal-Sludge transport-Bioresources-Expenditure in report year</v>
      </c>
      <c r="F2312" t="s">
        <v>7182</v>
      </c>
      <c r="G2312">
        <f>'4M'!$K$46</f>
        <v>0</v>
      </c>
    </row>
    <row r="2313" spans="1:7">
      <c r="A2313" t="s">
        <v>643</v>
      </c>
      <c r="C2313" t="str">
        <f>'4M'!$BN$46</f>
        <v>B0322PRT_SDT</v>
      </c>
      <c r="D2313" t="str">
        <f>_xlfn.CONCAT('4M'!$B$9, "-", '4M'!$B$46, "-", '4M'!$L$7, "-", '4M'!$K$6, "-", '4M'!$F$5)</f>
        <v>EA/NRW environmental programme (WINEP/NEP)-Phosphorus removal-Sludge treatment-Bioresources-Expenditure in report year</v>
      </c>
      <c r="F2313" t="s">
        <v>7182</v>
      </c>
      <c r="G2313">
        <f>'4M'!$L$46</f>
        <v>0</v>
      </c>
    </row>
    <row r="2314" spans="1:7">
      <c r="A2314" t="s">
        <v>643</v>
      </c>
      <c r="C2314" t="str">
        <f>'4M'!$BO$46</f>
        <v>B0322PRT_SD</v>
      </c>
      <c r="D2314" t="str">
        <f>_xlfn.CONCAT('4M'!$B$9, "-", '4M'!$B$46, "-", '4M'!$M$7, "-", '4M'!$K$6, "-", '4M'!$F$5)</f>
        <v>EA/NRW environmental programme (WINEP/NEP)-Phosphorus removal-Sludge disposal-Bioresources-Expenditure in report year</v>
      </c>
      <c r="F2314" t="s">
        <v>7182</v>
      </c>
      <c r="G2314">
        <f>'4M'!$M$46</f>
        <v>0</v>
      </c>
    </row>
    <row r="2315" spans="1:7">
      <c r="A2315" t="s">
        <v>643</v>
      </c>
      <c r="C2315" t="str">
        <f>'4M'!$BP$46</f>
        <v>B0322PRT_TOT</v>
      </c>
      <c r="D2315" t="str">
        <f>_xlfn.CONCAT('4M'!$B$9, "-", '4M'!$B$46, "-", '4M'!$N$6, "-", '4M'!$N$6, "-", '4M'!$F$5)</f>
        <v>EA/NRW environmental programme (WINEP/NEP)-Phosphorus removal-Total-Total-Expenditure in report year</v>
      </c>
      <c r="F2315" t="s">
        <v>7182</v>
      </c>
      <c r="G2315">
        <f>'4M'!$N$46</f>
        <v>16.664000000000001</v>
      </c>
    </row>
    <row r="2316" spans="1:7">
      <c r="A2316" t="s">
        <v>643</v>
      </c>
      <c r="C2316" t="str">
        <f>'4M'!$BQ$46</f>
        <v>B0322PRT_C_F</v>
      </c>
      <c r="D2316" t="str">
        <f>_xlfn.CONCAT('4M'!$B$9, "-", '4M'!$B$46, "-", '4M'!$O$7, "-", '4M'!$O$6, "-", '4M'!$O$5)</f>
        <v>EA/NRW environmental programme (WINEP/NEP)-Phosphorus removal-Foul-Wastewater network+ -Cumulative expenditure on schemes completed in the report year</v>
      </c>
      <c r="F2316" t="s">
        <v>7182</v>
      </c>
      <c r="G2316">
        <f>'4M'!$O$46</f>
        <v>0</v>
      </c>
    </row>
    <row r="2317" spans="1:7">
      <c r="A2317" t="s">
        <v>643</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7182</v>
      </c>
      <c r="G2317">
        <f>'4M'!$P$46</f>
        <v>0</v>
      </c>
    </row>
    <row r="2318" spans="1:7">
      <c r="A2318" t="s">
        <v>643</v>
      </c>
      <c r="C2318" t="str">
        <f>'4M'!$BS$46</f>
        <v>B0322PRT_C_HD</v>
      </c>
      <c r="D2318" t="str">
        <f>_xlfn.CONCAT('4M'!$B$9, "-", '4M'!$B$46, "-", '4M'!$Q$7, "-", '4M'!$O$6, "-", '4M'!$O$5)</f>
        <v>EA/NRW environmental programme (WINEP/NEP)-Phosphorus removal-Highway drainage-Wastewater network+ -Cumulative expenditure on schemes completed in the report year</v>
      </c>
      <c r="F2318" t="s">
        <v>7182</v>
      </c>
      <c r="G2318">
        <f>'4M'!$Q$46</f>
        <v>0</v>
      </c>
    </row>
    <row r="2319" spans="1:7">
      <c r="A2319" t="s">
        <v>643</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7182</v>
      </c>
      <c r="G2319">
        <f>'4M'!$R$46</f>
        <v>0</v>
      </c>
    </row>
    <row r="2320" spans="1:7">
      <c r="A2320" t="s">
        <v>643</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7182</v>
      </c>
      <c r="G2320">
        <f>'4M'!$S$46</f>
        <v>0</v>
      </c>
    </row>
    <row r="2321" spans="1:7">
      <c r="A2321" t="s">
        <v>643</v>
      </c>
      <c r="C2321" t="str">
        <f>'4M'!$BV$46</f>
        <v>B0322PRT_C_STP</v>
      </c>
      <c r="D2321" t="str">
        <f>_xlfn.CONCAT('4M'!$B$9, "-", '4M'!$B$46, "-", '4M'!$T$7, "-", '4M'!$T$6, "-", '4M'!$O$5)</f>
        <v>EA/NRW environmental programme (WINEP/NEP)-Phosphorus removal-Sludge transport-Bioresources-Cumulative expenditure on schemes completed in the report year</v>
      </c>
      <c r="F2321" t="s">
        <v>7182</v>
      </c>
      <c r="G2321">
        <f>'4M'!$T$46</f>
        <v>0</v>
      </c>
    </row>
    <row r="2322" spans="1:7">
      <c r="A2322" t="s">
        <v>643</v>
      </c>
      <c r="C2322" t="str">
        <f>'4M'!$BW$46</f>
        <v>B0322PRT_C_SDT</v>
      </c>
      <c r="D2322" t="str">
        <f>_xlfn.CONCAT('4M'!$B$9, "-", '4M'!$B$46, "-", '4M'!$U$7, "-", '4M'!$T$6, "-", '4M'!$O$5)</f>
        <v>EA/NRW environmental programme (WINEP/NEP)-Phosphorus removal-Sludge treatment-Bioresources-Cumulative expenditure on schemes completed in the report year</v>
      </c>
      <c r="F2322" t="s">
        <v>7182</v>
      </c>
      <c r="G2322">
        <f>'4M'!$U$46</f>
        <v>0</v>
      </c>
    </row>
    <row r="2323" spans="1:7">
      <c r="A2323" t="s">
        <v>643</v>
      </c>
      <c r="C2323" t="str">
        <f>'4M'!$BX$46</f>
        <v>B0322PRT_C_SD</v>
      </c>
      <c r="D2323" t="str">
        <f>_xlfn.CONCAT('4M'!$B$9, "-", '4M'!$B$46, "-", '4M'!$V$7, "-", '4M'!$T$6, "-", '4M'!$O$5)</f>
        <v>EA/NRW environmental programme (WINEP/NEP)-Phosphorus removal-Sludge disposal-Bioresources-Cumulative expenditure on schemes completed in the report year</v>
      </c>
      <c r="F2323" t="s">
        <v>7182</v>
      </c>
      <c r="G2323">
        <f>'4M'!$V$46</f>
        <v>0</v>
      </c>
    </row>
    <row r="2324" spans="1:7">
      <c r="A2324" t="s">
        <v>643</v>
      </c>
      <c r="C2324" t="str">
        <f>'4M'!$BY$46</f>
        <v>B0322PRT_C_TOT</v>
      </c>
      <c r="D2324" t="str">
        <f>_xlfn.CONCAT('4M'!$B$9, "-", '4M'!$B$46, "-", '4M'!$W$6, "-", '4M'!$W$6, "-", '4M'!$O$5)</f>
        <v>EA/NRW environmental programme (WINEP/NEP)-Phosphorus removal-Total-Total-Cumulative expenditure on schemes completed in the report year</v>
      </c>
      <c r="F2324" t="s">
        <v>7182</v>
      </c>
      <c r="G2324">
        <f>'4M'!$W$46</f>
        <v>0</v>
      </c>
    </row>
    <row r="2325" spans="1:7">
      <c r="A2325" t="s">
        <v>643</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7182</v>
      </c>
      <c r="G2325">
        <f>'4M'!$X$46</f>
        <v>25.779000000000003</v>
      </c>
    </row>
    <row r="2326" spans="1:7">
      <c r="A2326" t="s">
        <v>643</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7182</v>
      </c>
      <c r="G2326">
        <f>'4M'!$Y$46</f>
        <v>32.164999999999999</v>
      </c>
    </row>
    <row r="2327" spans="1:7">
      <c r="A2327" t="s">
        <v>643</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7182</v>
      </c>
      <c r="G2327">
        <f>'4M'!$Z$46</f>
        <v>76.924000000000007</v>
      </c>
    </row>
    <row r="2328" spans="1:7">
      <c r="A2328" t="s">
        <v>643</v>
      </c>
      <c r="C2328" t="str">
        <f>'4M'!$BH$47</f>
        <v>B0323RSC_F</v>
      </c>
      <c r="D2328" t="str">
        <f>_xlfn.CONCAT('4M'!$B$9, "-", '4M'!$B$47, "-", '4M'!$F$7, "-", '4M'!$F$6, "-", '4M'!$F$5)</f>
        <v>EA/NRW environmental programme (WINEP/NEP)-Reduction of sanitary parameters-Foul-Wastewater network+ -Expenditure in report year</v>
      </c>
      <c r="F2328" t="s">
        <v>7182</v>
      </c>
      <c r="G2328">
        <f>'4M'!$F$47</f>
        <v>0</v>
      </c>
    </row>
    <row r="2329" spans="1:7">
      <c r="A2329" t="s">
        <v>643</v>
      </c>
      <c r="C2329" t="str">
        <f>'4M'!$BI$47</f>
        <v>B0323RSC_SWD</v>
      </c>
      <c r="D2329" t="str">
        <f>_xlfn.CONCAT('4M'!$B$9, "-", '4M'!$B$47, "-", '4M'!$G$7, "-", '4M'!$F$6, "-", '4M'!$F$5)</f>
        <v>EA/NRW environmental programme (WINEP/NEP)-Reduction of sanitary parameters-Surface water drainage-Wastewater network+ -Expenditure in report year</v>
      </c>
      <c r="F2329" t="s">
        <v>7182</v>
      </c>
      <c r="G2329">
        <f>'4M'!$G$47</f>
        <v>0</v>
      </c>
    </row>
    <row r="2330" spans="1:7">
      <c r="A2330" t="s">
        <v>643</v>
      </c>
      <c r="C2330" t="str">
        <f>'4M'!$BJ$47</f>
        <v>B0323RSC_HD</v>
      </c>
      <c r="D2330" t="str">
        <f>_xlfn.CONCAT('4M'!$B$9, "-", '4M'!$B$47, "-", '4M'!$H$7, "-", '4M'!$F$6, "-", '4M'!$F$5)</f>
        <v>EA/NRW environmental programme (WINEP/NEP)-Reduction of sanitary parameters-Highway drainage-Wastewater network+ -Expenditure in report year</v>
      </c>
      <c r="F2330" t="s">
        <v>7182</v>
      </c>
      <c r="G2330">
        <f>'4M'!$H$47</f>
        <v>0</v>
      </c>
    </row>
    <row r="2331" spans="1:7">
      <c r="A2331" t="s">
        <v>643</v>
      </c>
      <c r="C2331" t="str">
        <f>'4M'!$BK$47</f>
        <v>B0323RSC_STD</v>
      </c>
      <c r="D2331" t="str">
        <f>_xlfn.CONCAT('4M'!$B$9, "-", '4M'!$B$47, "-", '4M'!$I$7, "-", '4M'!$F$6, "-", '4M'!$F$5)</f>
        <v>EA/NRW environmental programme (WINEP/NEP)-Reduction of sanitary parameters-Sewage treatment and disposal-Wastewater network+ -Expenditure in report year</v>
      </c>
      <c r="F2331" t="s">
        <v>7182</v>
      </c>
      <c r="G2331">
        <f>'4M'!$I$47</f>
        <v>0</v>
      </c>
    </row>
    <row r="2332" spans="1:7">
      <c r="A2332" t="s">
        <v>643</v>
      </c>
      <c r="C2332" t="str">
        <f>'4M'!$BL$47</f>
        <v>B0323RSC_SLT</v>
      </c>
      <c r="D2332" t="str">
        <f>_xlfn.CONCAT('4M'!$B$9, "-", '4M'!$B$47, "-", '4M'!$J$7, "-", '4M'!$F$6, "-", '4M'!$F$5)</f>
        <v>EA/NRW environmental programme (WINEP/NEP)-Reduction of sanitary parameters-Sludge liquor treatment-Wastewater network+ -Expenditure in report year</v>
      </c>
      <c r="F2332" t="s">
        <v>7182</v>
      </c>
      <c r="G2332">
        <f>'4M'!$J$47</f>
        <v>0</v>
      </c>
    </row>
    <row r="2333" spans="1:7">
      <c r="A2333" t="s">
        <v>643</v>
      </c>
      <c r="C2333" t="str">
        <f>'4M'!$BM$47</f>
        <v>B0323RSC_STP</v>
      </c>
      <c r="D2333" t="str">
        <f>_xlfn.CONCAT('4M'!$B$9, "-", '4M'!$B$47, "-", '4M'!$K$7, "-", '4M'!$K$6, "-", '4M'!$F$5)</f>
        <v>EA/NRW environmental programme (WINEP/NEP)-Reduction of sanitary parameters-Sludge transport-Bioresources-Expenditure in report year</v>
      </c>
      <c r="F2333" t="s">
        <v>7182</v>
      </c>
      <c r="G2333">
        <f>'4M'!$K$47</f>
        <v>0</v>
      </c>
    </row>
    <row r="2334" spans="1:7">
      <c r="A2334" t="s">
        <v>643</v>
      </c>
      <c r="C2334" t="str">
        <f>'4M'!$BN$47</f>
        <v>B0323RSC_SDT</v>
      </c>
      <c r="D2334" t="str">
        <f>_xlfn.CONCAT('4M'!$B$9, "-", '4M'!$B$47, "-", '4M'!$L$7, "-", '4M'!$K$6, "-", '4M'!$F$5)</f>
        <v>EA/NRW environmental programme (WINEP/NEP)-Reduction of sanitary parameters-Sludge treatment-Bioresources-Expenditure in report year</v>
      </c>
      <c r="F2334" t="s">
        <v>7182</v>
      </c>
      <c r="G2334">
        <f>'4M'!$L$47</f>
        <v>0</v>
      </c>
    </row>
    <row r="2335" spans="1:7">
      <c r="A2335" t="s">
        <v>643</v>
      </c>
      <c r="C2335" t="str">
        <f>'4M'!$BO$47</f>
        <v>B0323RSC_SD</v>
      </c>
      <c r="D2335" t="str">
        <f>_xlfn.CONCAT('4M'!$B$9, "-", '4M'!$B$47, "-", '4M'!$M$7, "-", '4M'!$K$6, "-", '4M'!$F$5)</f>
        <v>EA/NRW environmental programme (WINEP/NEP)-Reduction of sanitary parameters-Sludge disposal-Bioresources-Expenditure in report year</v>
      </c>
      <c r="F2335" t="s">
        <v>7182</v>
      </c>
      <c r="G2335">
        <f>'4M'!$M$47</f>
        <v>0</v>
      </c>
    </row>
    <row r="2336" spans="1:7">
      <c r="A2336" t="s">
        <v>643</v>
      </c>
      <c r="C2336" t="str">
        <f>'4M'!$BP$47</f>
        <v>B0323RSC_TOT</v>
      </c>
      <c r="D2336" t="str">
        <f>_xlfn.CONCAT('4M'!$B$9, "-", '4M'!$B$47, "-", '4M'!$N$6, "-", '4M'!$N$6, "-", '4M'!$F$5)</f>
        <v>EA/NRW environmental programme (WINEP/NEP)-Reduction of sanitary parameters-Total-Total-Expenditure in report year</v>
      </c>
      <c r="F2336" t="s">
        <v>7182</v>
      </c>
      <c r="G2336">
        <f>'4M'!$N$47</f>
        <v>0</v>
      </c>
    </row>
    <row r="2337" spans="1:7">
      <c r="A2337" t="s">
        <v>643</v>
      </c>
      <c r="C2337" t="str">
        <f>'4M'!$BQ$47</f>
        <v>B0323RSC_C_F</v>
      </c>
      <c r="D2337" t="str">
        <f>_xlfn.CONCAT('4M'!$B$9, "-", '4M'!$B$47, "-", '4M'!$O$7, "-", '4M'!$O$6, "-", '4M'!$O$5)</f>
        <v>EA/NRW environmental programme (WINEP/NEP)-Reduction of sanitary parameters-Foul-Wastewater network+ -Cumulative expenditure on schemes completed in the report year</v>
      </c>
      <c r="F2337" t="s">
        <v>7182</v>
      </c>
      <c r="G2337">
        <f>'4M'!$O$47</f>
        <v>0</v>
      </c>
    </row>
    <row r="2338" spans="1:7">
      <c r="A2338" t="s">
        <v>643</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7182</v>
      </c>
      <c r="G2338">
        <f>'4M'!$P$47</f>
        <v>0</v>
      </c>
    </row>
    <row r="2339" spans="1:7">
      <c r="A2339" t="s">
        <v>643</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7182</v>
      </c>
      <c r="G2339">
        <f>'4M'!$Q$47</f>
        <v>0</v>
      </c>
    </row>
    <row r="2340" spans="1:7">
      <c r="A2340" t="s">
        <v>643</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7182</v>
      </c>
      <c r="G2340">
        <f>'4M'!$R$47</f>
        <v>0</v>
      </c>
    </row>
    <row r="2341" spans="1:7">
      <c r="A2341" t="s">
        <v>643</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7182</v>
      </c>
      <c r="G2341">
        <f>'4M'!$S$47</f>
        <v>0</v>
      </c>
    </row>
    <row r="2342" spans="1:7">
      <c r="A2342" t="s">
        <v>643</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7182</v>
      </c>
      <c r="G2342">
        <f>'4M'!$T$47</f>
        <v>0</v>
      </c>
    </row>
    <row r="2343" spans="1:7">
      <c r="A2343" t="s">
        <v>643</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7182</v>
      </c>
      <c r="G2343">
        <f>'4M'!$U$47</f>
        <v>0</v>
      </c>
    </row>
    <row r="2344" spans="1:7">
      <c r="A2344" t="s">
        <v>643</v>
      </c>
      <c r="C2344" t="str">
        <f>'4M'!$BX$47</f>
        <v>B0323RSC_C_SD</v>
      </c>
      <c r="D2344" t="str">
        <f>_xlfn.CONCAT('4M'!$B$9, "-", '4M'!$B$47, "-", '4M'!$V$7, "-", '4M'!$T$6, "-", '4M'!$O$5)</f>
        <v>EA/NRW environmental programme (WINEP/NEP)-Reduction of sanitary parameters-Sludge disposal-Bioresources-Cumulative expenditure on schemes completed in the report year</v>
      </c>
      <c r="F2344" t="s">
        <v>7182</v>
      </c>
      <c r="G2344">
        <f>'4M'!$V$47</f>
        <v>0</v>
      </c>
    </row>
    <row r="2345" spans="1:7">
      <c r="A2345" t="s">
        <v>643</v>
      </c>
      <c r="C2345" t="str">
        <f>'4M'!$BY$47</f>
        <v>B0323RSC_C_TOT</v>
      </c>
      <c r="D2345" t="str">
        <f>_xlfn.CONCAT('4M'!$B$9, "-", '4M'!$B$47, "-", '4M'!$W$6, "-", '4M'!$W$6, "-", '4M'!$O$5)</f>
        <v>EA/NRW environmental programme (WINEP/NEP)-Reduction of sanitary parameters-Total-Total-Cumulative expenditure on schemes completed in the report year</v>
      </c>
      <c r="F2345" t="s">
        <v>7182</v>
      </c>
      <c r="G2345">
        <f>'4M'!$W$47</f>
        <v>0</v>
      </c>
    </row>
    <row r="2346" spans="1:7">
      <c r="A2346" t="s">
        <v>643</v>
      </c>
      <c r="C2346" t="str">
        <f>'4M'!$BH$48</f>
        <v>B0324RSO_F</v>
      </c>
      <c r="D2346" t="str">
        <f>_xlfn.CONCAT('4M'!$B$9, "-", '4M'!$B$48, "-", '4M'!$F$7, "-", '4M'!$F$6, "-", '4M'!$F$5)</f>
        <v>EA/NRW environmental programme (WINEP/NEP)-Reduction of sanitary parameters-Foul-Wastewater network+ -Expenditure in report year</v>
      </c>
      <c r="F2346" t="s">
        <v>7182</v>
      </c>
      <c r="G2346">
        <f>'4M'!$F$48</f>
        <v>0</v>
      </c>
    </row>
    <row r="2347" spans="1:7">
      <c r="A2347" t="s">
        <v>643</v>
      </c>
      <c r="C2347" t="str">
        <f>'4M'!$BI$48</f>
        <v>B0324RSO_SWD</v>
      </c>
      <c r="D2347" t="str">
        <f>_xlfn.CONCAT('4M'!$B$9, "-", '4M'!$B$48, "-", '4M'!$G$7, "-", '4M'!$F$6, "-", '4M'!$F$5)</f>
        <v>EA/NRW environmental programme (WINEP/NEP)-Reduction of sanitary parameters-Surface water drainage-Wastewater network+ -Expenditure in report year</v>
      </c>
      <c r="F2347" t="s">
        <v>7182</v>
      </c>
      <c r="G2347">
        <f>'4M'!$G$48</f>
        <v>0</v>
      </c>
    </row>
    <row r="2348" spans="1:7">
      <c r="A2348" t="s">
        <v>643</v>
      </c>
      <c r="C2348" t="str">
        <f>'4M'!$BJ$48</f>
        <v>B0324RSO_HD</v>
      </c>
      <c r="D2348" t="str">
        <f>_xlfn.CONCAT('4M'!$B$9, "-", '4M'!$B$48, "-", '4M'!$H$7, "-", '4M'!$F$6, "-", '4M'!$F$5)</f>
        <v>EA/NRW environmental programme (WINEP/NEP)-Reduction of sanitary parameters-Highway drainage-Wastewater network+ -Expenditure in report year</v>
      </c>
      <c r="F2348" t="s">
        <v>7182</v>
      </c>
      <c r="G2348">
        <f>'4M'!$H$48</f>
        <v>0</v>
      </c>
    </row>
    <row r="2349" spans="1:7">
      <c r="A2349" t="s">
        <v>643</v>
      </c>
      <c r="C2349" t="str">
        <f>'4M'!$BK$48</f>
        <v>B0324RSO_STD</v>
      </c>
      <c r="D2349" t="str">
        <f>_xlfn.CONCAT('4M'!$B$9, "-", '4M'!$B$48, "-", '4M'!$I$7, "-", '4M'!$F$6, "-", '4M'!$F$5)</f>
        <v>EA/NRW environmental programme (WINEP/NEP)-Reduction of sanitary parameters-Sewage treatment and disposal-Wastewater network+ -Expenditure in report year</v>
      </c>
      <c r="F2349" t="s">
        <v>7182</v>
      </c>
      <c r="G2349">
        <f>'4M'!$I$48</f>
        <v>0</v>
      </c>
    </row>
    <row r="2350" spans="1:7">
      <c r="A2350" t="s">
        <v>643</v>
      </c>
      <c r="C2350" t="str">
        <f>'4M'!$BL$48</f>
        <v>B0324RSO_SLT</v>
      </c>
      <c r="D2350" t="str">
        <f>_xlfn.CONCAT('4M'!$B$9, "-", '4M'!$B$48, "-", '4M'!$J$7, "-", '4M'!$F$6, "-", '4M'!$F$5)</f>
        <v>EA/NRW environmental programme (WINEP/NEP)-Reduction of sanitary parameters-Sludge liquor treatment-Wastewater network+ -Expenditure in report year</v>
      </c>
      <c r="F2350" t="s">
        <v>7182</v>
      </c>
      <c r="G2350">
        <f>'4M'!$J$48</f>
        <v>0</v>
      </c>
    </row>
    <row r="2351" spans="1:7">
      <c r="A2351" t="s">
        <v>643</v>
      </c>
      <c r="C2351" t="str">
        <f>'4M'!$BM$48</f>
        <v>B0324RSO_STP</v>
      </c>
      <c r="D2351" t="str">
        <f>_xlfn.CONCAT('4M'!$B$9, "-", '4M'!$B$48, "-", '4M'!$K$7, "-", '4M'!$K$6, "-", '4M'!$F$5)</f>
        <v>EA/NRW environmental programme (WINEP/NEP)-Reduction of sanitary parameters-Sludge transport-Bioresources-Expenditure in report year</v>
      </c>
      <c r="F2351" t="s">
        <v>7182</v>
      </c>
      <c r="G2351">
        <f>'4M'!$K$48</f>
        <v>0</v>
      </c>
    </row>
    <row r="2352" spans="1:7">
      <c r="A2352" t="s">
        <v>643</v>
      </c>
      <c r="C2352" t="str">
        <f>'4M'!$BN$48</f>
        <v>B0324RSO_SDT</v>
      </c>
      <c r="D2352" t="str">
        <f>_xlfn.CONCAT('4M'!$B$9, "-", '4M'!$B$48, "-", '4M'!$L$7, "-", '4M'!$K$6, "-", '4M'!$F$5)</f>
        <v>EA/NRW environmental programme (WINEP/NEP)-Reduction of sanitary parameters-Sludge treatment-Bioresources-Expenditure in report year</v>
      </c>
      <c r="F2352" t="s">
        <v>7182</v>
      </c>
      <c r="G2352">
        <f>'4M'!$L$48</f>
        <v>0</v>
      </c>
    </row>
    <row r="2353" spans="1:7">
      <c r="A2353" t="s">
        <v>643</v>
      </c>
      <c r="C2353" t="str">
        <f>'4M'!$BO$48</f>
        <v>B0324RSO_SD</v>
      </c>
      <c r="D2353" t="str">
        <f>_xlfn.CONCAT('4M'!$B$9, "-", '4M'!$B$48, "-", '4M'!$M$7, "-", '4M'!$K$6, "-", '4M'!$F$5)</f>
        <v>EA/NRW environmental programme (WINEP/NEP)-Reduction of sanitary parameters-Sludge disposal-Bioresources-Expenditure in report year</v>
      </c>
      <c r="F2353" t="s">
        <v>7182</v>
      </c>
      <c r="G2353">
        <f>'4M'!$M$48</f>
        <v>0</v>
      </c>
    </row>
    <row r="2354" spans="1:7">
      <c r="A2354" t="s">
        <v>643</v>
      </c>
      <c r="C2354" t="str">
        <f>'4M'!$BP$48</f>
        <v>B0324RSO_TOT</v>
      </c>
      <c r="D2354" t="str">
        <f>_xlfn.CONCAT('4M'!$B$9, "-", '4M'!$B$48, "-", '4M'!$N$6, "-", '4M'!$N$6, "-", '4M'!$F$5)</f>
        <v>EA/NRW environmental programme (WINEP/NEP)-Reduction of sanitary parameters-Total-Total-Expenditure in report year</v>
      </c>
      <c r="F2354" t="s">
        <v>7182</v>
      </c>
      <c r="G2354">
        <f>'4M'!$N$48</f>
        <v>0</v>
      </c>
    </row>
    <row r="2355" spans="1:7">
      <c r="A2355" t="s">
        <v>643</v>
      </c>
      <c r="C2355" t="str">
        <f>'4M'!$BQ$48</f>
        <v>B0324RSO_C_F</v>
      </c>
      <c r="D2355" t="str">
        <f>_xlfn.CONCAT('4M'!$B$9, "-", '4M'!$B$48, "-", '4M'!$O$7, "-", '4M'!$O$6, "-", '4M'!$O$5)</f>
        <v>EA/NRW environmental programme (WINEP/NEP)-Reduction of sanitary parameters-Foul-Wastewater network+ -Cumulative expenditure on schemes completed in the report year</v>
      </c>
      <c r="F2355" t="s">
        <v>7182</v>
      </c>
      <c r="G2355">
        <f>'4M'!$O$48</f>
        <v>0</v>
      </c>
    </row>
    <row r="2356" spans="1:7">
      <c r="A2356" t="s">
        <v>643</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7182</v>
      </c>
      <c r="G2356">
        <f>'4M'!$P$48</f>
        <v>0</v>
      </c>
    </row>
    <row r="2357" spans="1:7">
      <c r="A2357" t="s">
        <v>643</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7182</v>
      </c>
      <c r="G2357">
        <f>'4M'!$Q$48</f>
        <v>0</v>
      </c>
    </row>
    <row r="2358" spans="1:7">
      <c r="A2358" t="s">
        <v>643</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7182</v>
      </c>
      <c r="G2358">
        <f>'4M'!$R$48</f>
        <v>0</v>
      </c>
    </row>
    <row r="2359" spans="1:7">
      <c r="A2359" t="s">
        <v>643</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7182</v>
      </c>
      <c r="G2359">
        <f>'4M'!$S$48</f>
        <v>0</v>
      </c>
    </row>
    <row r="2360" spans="1:7">
      <c r="A2360" t="s">
        <v>643</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7182</v>
      </c>
      <c r="G2360">
        <f>'4M'!$T$48</f>
        <v>0</v>
      </c>
    </row>
    <row r="2361" spans="1:7">
      <c r="A2361" t="s">
        <v>643</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7182</v>
      </c>
      <c r="G2361">
        <f>'4M'!$U$48</f>
        <v>0</v>
      </c>
    </row>
    <row r="2362" spans="1:7">
      <c r="A2362" t="s">
        <v>643</v>
      </c>
      <c r="C2362" t="str">
        <f>'4M'!$BX$48</f>
        <v>B0324RSO_C_SD</v>
      </c>
      <c r="D2362" t="str">
        <f>_xlfn.CONCAT('4M'!$B$9, "-", '4M'!$B$48, "-", '4M'!$V$7, "-", '4M'!$T$6, "-", '4M'!$O$5)</f>
        <v>EA/NRW environmental programme (WINEP/NEP)-Reduction of sanitary parameters-Sludge disposal-Bioresources-Cumulative expenditure on schemes completed in the report year</v>
      </c>
      <c r="F2362" t="s">
        <v>7182</v>
      </c>
      <c r="G2362">
        <f>'4M'!$V$48</f>
        <v>0</v>
      </c>
    </row>
    <row r="2363" spans="1:7">
      <c r="A2363" t="s">
        <v>643</v>
      </c>
      <c r="C2363" t="str">
        <f>'4M'!$BY$48</f>
        <v>B0324RSO_C_TOT</v>
      </c>
      <c r="D2363" t="str">
        <f>_xlfn.CONCAT('4M'!$B$9, "-", '4M'!$B$48, "-", '4M'!$W$6, "-", '4M'!$W$6, "-", '4M'!$O$5)</f>
        <v>EA/NRW environmental programme (WINEP/NEP)-Reduction of sanitary parameters-Total-Total-Cumulative expenditure on schemes completed in the report year</v>
      </c>
      <c r="F2363" t="s">
        <v>7182</v>
      </c>
      <c r="G2363">
        <f>'4M'!$W$48</f>
        <v>0</v>
      </c>
    </row>
    <row r="2364" spans="1:7">
      <c r="A2364" t="s">
        <v>643</v>
      </c>
      <c r="C2364" t="str">
        <f>'4M'!$BH$49</f>
        <v>B0325RST_F</v>
      </c>
      <c r="D2364" t="str">
        <f>_xlfn.CONCAT('4M'!$B$9, "-", '4M'!$B$49, "-", '4M'!$F$7, "-", '4M'!$F$6, "-", '4M'!$F$5)</f>
        <v>EA/NRW environmental programme (WINEP/NEP)-Reduction of sanitary parameters-Foul-Wastewater network+ -Expenditure in report year</v>
      </c>
      <c r="F2364" t="s">
        <v>7182</v>
      </c>
      <c r="G2364">
        <f>'4M'!$F$49</f>
        <v>0</v>
      </c>
    </row>
    <row r="2365" spans="1:7">
      <c r="A2365" t="s">
        <v>643</v>
      </c>
      <c r="C2365" t="str">
        <f>'4M'!$BI$49</f>
        <v>B0325RST_SWD</v>
      </c>
      <c r="D2365" t="str">
        <f>_xlfn.CONCAT('4M'!$B$9, "-", '4M'!$B$49, "-", '4M'!$G$7, "-", '4M'!$F$6, "-", '4M'!$F$5)</f>
        <v>EA/NRW environmental programme (WINEP/NEP)-Reduction of sanitary parameters-Surface water drainage-Wastewater network+ -Expenditure in report year</v>
      </c>
      <c r="F2365" t="s">
        <v>7182</v>
      </c>
      <c r="G2365">
        <f>'4M'!$G$49</f>
        <v>0</v>
      </c>
    </row>
    <row r="2366" spans="1:7">
      <c r="A2366" t="s">
        <v>643</v>
      </c>
      <c r="C2366" t="str">
        <f>'4M'!$BJ$49</f>
        <v>B0325RST_HD</v>
      </c>
      <c r="D2366" t="str">
        <f>_xlfn.CONCAT('4M'!$B$9, "-", '4M'!$B$49, "-", '4M'!$H$7, "-", '4M'!$F$6, "-", '4M'!$F$5)</f>
        <v>EA/NRW environmental programme (WINEP/NEP)-Reduction of sanitary parameters-Highway drainage-Wastewater network+ -Expenditure in report year</v>
      </c>
      <c r="F2366" t="s">
        <v>7182</v>
      </c>
      <c r="G2366">
        <f>'4M'!$H$49</f>
        <v>0</v>
      </c>
    </row>
    <row r="2367" spans="1:7">
      <c r="A2367" t="s">
        <v>643</v>
      </c>
      <c r="C2367" t="str">
        <f>'4M'!$BK$49</f>
        <v>B0325RST_STD</v>
      </c>
      <c r="D2367" t="str">
        <f>_xlfn.CONCAT('4M'!$B$9, "-", '4M'!$B$49, "-", '4M'!$I$7, "-", '4M'!$F$6, "-", '4M'!$F$5)</f>
        <v>EA/NRW environmental programme (WINEP/NEP)-Reduction of sanitary parameters-Sewage treatment and disposal-Wastewater network+ -Expenditure in report year</v>
      </c>
      <c r="F2367" t="s">
        <v>7182</v>
      </c>
      <c r="G2367">
        <f>'4M'!$I$49</f>
        <v>0</v>
      </c>
    </row>
    <row r="2368" spans="1:7">
      <c r="A2368" t="s">
        <v>643</v>
      </c>
      <c r="C2368" t="str">
        <f>'4M'!$BL$49</f>
        <v>B0325RST_SLT</v>
      </c>
      <c r="D2368" t="str">
        <f>_xlfn.CONCAT('4M'!$B$9, "-", '4M'!$B$49, "-", '4M'!$J$7, "-", '4M'!$F$6, "-", '4M'!$F$5)</f>
        <v>EA/NRW environmental programme (WINEP/NEP)-Reduction of sanitary parameters-Sludge liquor treatment-Wastewater network+ -Expenditure in report year</v>
      </c>
      <c r="F2368" t="s">
        <v>7182</v>
      </c>
      <c r="G2368">
        <f>'4M'!$J$49</f>
        <v>0</v>
      </c>
    </row>
    <row r="2369" spans="1:7">
      <c r="A2369" t="s">
        <v>643</v>
      </c>
      <c r="C2369" t="str">
        <f>'4M'!$BM$49</f>
        <v>B0325RST_STP</v>
      </c>
      <c r="D2369" t="str">
        <f>_xlfn.CONCAT('4M'!$B$9, "-", '4M'!$B$49, "-", '4M'!$K$7, "-", '4M'!$K$6, "-", '4M'!$F$5)</f>
        <v>EA/NRW environmental programme (WINEP/NEP)-Reduction of sanitary parameters-Sludge transport-Bioresources-Expenditure in report year</v>
      </c>
      <c r="F2369" t="s">
        <v>7182</v>
      </c>
      <c r="G2369">
        <f>'4M'!$K$49</f>
        <v>0</v>
      </c>
    </row>
    <row r="2370" spans="1:7">
      <c r="A2370" t="s">
        <v>643</v>
      </c>
      <c r="C2370" t="str">
        <f>'4M'!$BN$49</f>
        <v>B0325RST_SDT</v>
      </c>
      <c r="D2370" t="str">
        <f>_xlfn.CONCAT('4M'!$B$9, "-", '4M'!$B$49, "-", '4M'!$L$7, "-", '4M'!$K$6, "-", '4M'!$F$5)</f>
        <v>EA/NRW environmental programme (WINEP/NEP)-Reduction of sanitary parameters-Sludge treatment-Bioresources-Expenditure in report year</v>
      </c>
      <c r="F2370" t="s">
        <v>7182</v>
      </c>
      <c r="G2370">
        <f>'4M'!$L$49</f>
        <v>0</v>
      </c>
    </row>
    <row r="2371" spans="1:7">
      <c r="A2371" t="s">
        <v>643</v>
      </c>
      <c r="C2371" t="str">
        <f>'4M'!$BO$49</f>
        <v>B0325RST_SD</v>
      </c>
      <c r="D2371" t="str">
        <f>_xlfn.CONCAT('4M'!$B$9, "-", '4M'!$B$49, "-", '4M'!$M$7, "-", '4M'!$K$6, "-", '4M'!$F$5)</f>
        <v>EA/NRW environmental programme (WINEP/NEP)-Reduction of sanitary parameters-Sludge disposal-Bioresources-Expenditure in report year</v>
      </c>
      <c r="F2371" t="s">
        <v>7182</v>
      </c>
      <c r="G2371">
        <f>'4M'!$M$49</f>
        <v>0</v>
      </c>
    </row>
    <row r="2372" spans="1:7">
      <c r="A2372" t="s">
        <v>643</v>
      </c>
      <c r="C2372" t="str">
        <f>'4M'!$BP$49</f>
        <v>B0325RST_TOT</v>
      </c>
      <c r="D2372" t="str">
        <f>_xlfn.CONCAT('4M'!$B$9, "-", '4M'!$B$49, "-", '4M'!$N$6, "-", '4M'!$N$6, "-", '4M'!$F$5)</f>
        <v>EA/NRW environmental programme (WINEP/NEP)-Reduction of sanitary parameters-Total-Total-Expenditure in report year</v>
      </c>
      <c r="F2372" t="s">
        <v>7182</v>
      </c>
      <c r="G2372">
        <f>'4M'!$N$49</f>
        <v>0</v>
      </c>
    </row>
    <row r="2373" spans="1:7">
      <c r="A2373" t="s">
        <v>643</v>
      </c>
      <c r="C2373" t="str">
        <f>'4M'!$BQ$49</f>
        <v>B0325RST_C_F</v>
      </c>
      <c r="D2373" t="str">
        <f>_xlfn.CONCAT('4M'!$B$9, "-", '4M'!$B$49, "-", '4M'!$O$7, "-", '4M'!$O$6, "-", '4M'!$O$5)</f>
        <v>EA/NRW environmental programme (WINEP/NEP)-Reduction of sanitary parameters-Foul-Wastewater network+ -Cumulative expenditure on schemes completed in the report year</v>
      </c>
      <c r="F2373" t="s">
        <v>7182</v>
      </c>
      <c r="G2373">
        <f>'4M'!$O$49</f>
        <v>0</v>
      </c>
    </row>
    <row r="2374" spans="1:7">
      <c r="A2374" t="s">
        <v>643</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7182</v>
      </c>
      <c r="G2374">
        <f>'4M'!$P$49</f>
        <v>0</v>
      </c>
    </row>
    <row r="2375" spans="1:7">
      <c r="A2375" t="s">
        <v>643</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7182</v>
      </c>
      <c r="G2375">
        <f>'4M'!$Q$49</f>
        <v>0</v>
      </c>
    </row>
    <row r="2376" spans="1:7">
      <c r="A2376" t="s">
        <v>643</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7182</v>
      </c>
      <c r="G2376">
        <f>'4M'!$R$49</f>
        <v>0</v>
      </c>
    </row>
    <row r="2377" spans="1:7">
      <c r="A2377" t="s">
        <v>643</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7182</v>
      </c>
      <c r="G2377">
        <f>'4M'!$S$49</f>
        <v>0</v>
      </c>
    </row>
    <row r="2378" spans="1:7">
      <c r="A2378" t="s">
        <v>643</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7182</v>
      </c>
      <c r="G2378">
        <f>'4M'!$T$49</f>
        <v>0</v>
      </c>
    </row>
    <row r="2379" spans="1:7">
      <c r="A2379" t="s">
        <v>643</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7182</v>
      </c>
      <c r="G2379">
        <f>'4M'!$U$49</f>
        <v>0</v>
      </c>
    </row>
    <row r="2380" spans="1:7">
      <c r="A2380" t="s">
        <v>643</v>
      </c>
      <c r="C2380" t="str">
        <f>'4M'!$BX$49</f>
        <v>B0325RST_C_SD</v>
      </c>
      <c r="D2380" t="str">
        <f>_xlfn.CONCAT('4M'!$B$9, "-", '4M'!$B$49, "-", '4M'!$V$7, "-", '4M'!$T$6, "-", '4M'!$O$5)</f>
        <v>EA/NRW environmental programme (WINEP/NEP)-Reduction of sanitary parameters-Sludge disposal-Bioresources-Cumulative expenditure on schemes completed in the report year</v>
      </c>
      <c r="F2380" t="s">
        <v>7182</v>
      </c>
      <c r="G2380">
        <f>'4M'!$V$49</f>
        <v>0</v>
      </c>
    </row>
    <row r="2381" spans="1:7">
      <c r="A2381" t="s">
        <v>643</v>
      </c>
      <c r="C2381" t="str">
        <f>'4M'!$BY$49</f>
        <v>B0325RST_C_TOT</v>
      </c>
      <c r="D2381" t="str">
        <f>_xlfn.CONCAT('4M'!$B$9, "-", '4M'!$B$49, "-", '4M'!$W$6, "-", '4M'!$W$6, "-", '4M'!$O$5)</f>
        <v>EA/NRW environmental programme (WINEP/NEP)-Reduction of sanitary parameters-Total-Total-Cumulative expenditure on schemes completed in the report year</v>
      </c>
      <c r="F2381" t="s">
        <v>7182</v>
      </c>
      <c r="G2381">
        <f>'4M'!$W$49</f>
        <v>0</v>
      </c>
    </row>
    <row r="2382" spans="1:7">
      <c r="A2382" t="s">
        <v>643</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7182</v>
      </c>
      <c r="G2382">
        <f>'4M'!$X$49</f>
        <v>0</v>
      </c>
    </row>
    <row r="2383" spans="1:7">
      <c r="A2383" t="s">
        <v>643</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7182</v>
      </c>
      <c r="G2383">
        <f>'4M'!$Y$49</f>
        <v>3.92</v>
      </c>
    </row>
    <row r="2384" spans="1:7">
      <c r="A2384" t="s">
        <v>643</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7182</v>
      </c>
      <c r="G2384">
        <f>'4M'!$Z$49</f>
        <v>9.375</v>
      </c>
    </row>
    <row r="2385" spans="1:7">
      <c r="A2385" t="s">
        <v>643</v>
      </c>
      <c r="C2385" t="str">
        <f>'4M'!$BH$50</f>
        <v>B0326UVC_F</v>
      </c>
      <c r="D2385" t="str">
        <f>_xlfn.CONCAT('4M'!$B$9, "-", '4M'!$B$50, "-", '4M'!$F$7, "-", '4M'!$F$6, "-", '4M'!$F$5)</f>
        <v>EA/NRW environmental programme (WINEP/NEP)-UV disinfection (or similar)-Foul-Wastewater network+ -Expenditure in report year</v>
      </c>
      <c r="F2385" t="s">
        <v>7182</v>
      </c>
      <c r="G2385">
        <f>'4M'!$F$50</f>
        <v>0</v>
      </c>
    </row>
    <row r="2386" spans="1:7">
      <c r="A2386" t="s">
        <v>643</v>
      </c>
      <c r="C2386" t="str">
        <f>'4M'!$BI$50</f>
        <v>B0326UVC_SWD</v>
      </c>
      <c r="D2386" t="str">
        <f>_xlfn.CONCAT('4M'!$B$9, "-", '4M'!$B$50, "-", '4M'!$G$7, "-", '4M'!$F$6, "-", '4M'!$F$5)</f>
        <v>EA/NRW environmental programme (WINEP/NEP)-UV disinfection (or similar)-Surface water drainage-Wastewater network+ -Expenditure in report year</v>
      </c>
      <c r="F2386" t="s">
        <v>7182</v>
      </c>
      <c r="G2386">
        <f>'4M'!$G$50</f>
        <v>0</v>
      </c>
    </row>
    <row r="2387" spans="1:7">
      <c r="A2387" t="s">
        <v>643</v>
      </c>
      <c r="C2387" t="str">
        <f>'4M'!$BJ$50</f>
        <v>B0326UVC_HD</v>
      </c>
      <c r="D2387" t="str">
        <f>_xlfn.CONCAT('4M'!$B$9, "-", '4M'!$B$50, "-", '4M'!$H$7, "-", '4M'!$F$6, "-", '4M'!$F$5)</f>
        <v>EA/NRW environmental programme (WINEP/NEP)-UV disinfection (or similar)-Highway drainage-Wastewater network+ -Expenditure in report year</v>
      </c>
      <c r="F2387" t="s">
        <v>7182</v>
      </c>
      <c r="G2387">
        <f>'4M'!$H$50</f>
        <v>0</v>
      </c>
    </row>
    <row r="2388" spans="1:7">
      <c r="A2388" t="s">
        <v>643</v>
      </c>
      <c r="C2388" t="str">
        <f>'4M'!$BK$50</f>
        <v>B0326UVC_STD</v>
      </c>
      <c r="D2388" t="str">
        <f>_xlfn.CONCAT('4M'!$B$9, "-", '4M'!$B$50, "-", '4M'!$I$7, "-", '4M'!$F$6, "-", '4M'!$F$5)</f>
        <v>EA/NRW environmental programme (WINEP/NEP)-UV disinfection (or similar)-Sewage treatment and disposal-Wastewater network+ -Expenditure in report year</v>
      </c>
      <c r="F2388" t="s">
        <v>7182</v>
      </c>
      <c r="G2388">
        <f>'4M'!$I$50</f>
        <v>0</v>
      </c>
    </row>
    <row r="2389" spans="1:7">
      <c r="A2389" t="s">
        <v>643</v>
      </c>
      <c r="C2389" t="str">
        <f>'4M'!$BL$50</f>
        <v>B0326UVC_SLT</v>
      </c>
      <c r="D2389" t="str">
        <f>_xlfn.CONCAT('4M'!$B$9, "-", '4M'!$B$50, "-", '4M'!$J$7, "-", '4M'!$F$6, "-", '4M'!$F$5)</f>
        <v>EA/NRW environmental programme (WINEP/NEP)-UV disinfection (or similar)-Sludge liquor treatment-Wastewater network+ -Expenditure in report year</v>
      </c>
      <c r="F2389" t="s">
        <v>7182</v>
      </c>
      <c r="G2389">
        <f>'4M'!$J$50</f>
        <v>0</v>
      </c>
    </row>
    <row r="2390" spans="1:7">
      <c r="A2390" t="s">
        <v>643</v>
      </c>
      <c r="C2390" t="str">
        <f>'4M'!$BM$50</f>
        <v>B0326UVC_STP</v>
      </c>
      <c r="D2390" t="str">
        <f>_xlfn.CONCAT('4M'!$B$9, "-", '4M'!$B$50, "-", '4M'!$K$7, "-", '4M'!$K$6, "-", '4M'!$F$5)</f>
        <v>EA/NRW environmental programme (WINEP/NEP)-UV disinfection (or similar)-Sludge transport-Bioresources-Expenditure in report year</v>
      </c>
      <c r="F2390" t="s">
        <v>7182</v>
      </c>
      <c r="G2390">
        <f>'4M'!$K$50</f>
        <v>0</v>
      </c>
    </row>
    <row r="2391" spans="1:7">
      <c r="A2391" t="s">
        <v>643</v>
      </c>
      <c r="C2391" t="str">
        <f>'4M'!$BN$50</f>
        <v>B0326UVC_SDT</v>
      </c>
      <c r="D2391" t="str">
        <f>_xlfn.CONCAT('4M'!$B$9, "-", '4M'!$B$50, "-", '4M'!$L$7, "-", '4M'!$K$6, "-", '4M'!$F$5)</f>
        <v>EA/NRW environmental programme (WINEP/NEP)-UV disinfection (or similar)-Sludge treatment-Bioresources-Expenditure in report year</v>
      </c>
      <c r="F2391" t="s">
        <v>7182</v>
      </c>
      <c r="G2391">
        <f>'4M'!$L$50</f>
        <v>0</v>
      </c>
    </row>
    <row r="2392" spans="1:7">
      <c r="A2392" t="s">
        <v>643</v>
      </c>
      <c r="C2392" t="str">
        <f>'4M'!$BO$50</f>
        <v>B0326UVC_SD</v>
      </c>
      <c r="D2392" t="str">
        <f>_xlfn.CONCAT('4M'!$B$9, "-", '4M'!$B$50, "-", '4M'!$M$7, "-", '4M'!$K$6, "-", '4M'!$F$5)</f>
        <v>EA/NRW environmental programme (WINEP/NEP)-UV disinfection (or similar)-Sludge disposal-Bioresources-Expenditure in report year</v>
      </c>
      <c r="F2392" t="s">
        <v>7182</v>
      </c>
      <c r="G2392">
        <f>'4M'!$M$50</f>
        <v>0</v>
      </c>
    </row>
    <row r="2393" spans="1:7">
      <c r="A2393" t="s">
        <v>643</v>
      </c>
      <c r="C2393" t="str">
        <f>'4M'!$BP$50</f>
        <v>B0326UVC_TOT</v>
      </c>
      <c r="D2393" t="str">
        <f>_xlfn.CONCAT('4M'!$B$9, "-", '4M'!$B$50, "-", '4M'!$N$6, "-", '4M'!$N$6, "-", '4M'!$F$5)</f>
        <v>EA/NRW environmental programme (WINEP/NEP)-UV disinfection (or similar)-Total-Total-Expenditure in report year</v>
      </c>
      <c r="F2393" t="s">
        <v>7182</v>
      </c>
      <c r="G2393">
        <f>'4M'!$N$50</f>
        <v>0</v>
      </c>
    </row>
    <row r="2394" spans="1:7">
      <c r="A2394" t="s">
        <v>643</v>
      </c>
      <c r="C2394" t="str">
        <f>'4M'!$BQ$50</f>
        <v>B0326UVC_C_F</v>
      </c>
      <c r="D2394" t="str">
        <f>_xlfn.CONCAT('4M'!$B$9, "-", '4M'!$B$50, "-", '4M'!$O$7, "-", '4M'!$O$6, "-", '4M'!$O$5)</f>
        <v>EA/NRW environmental programme (WINEP/NEP)-UV disinfection (or similar)-Foul-Wastewater network+ -Cumulative expenditure on schemes completed in the report year</v>
      </c>
      <c r="F2394" t="s">
        <v>7182</v>
      </c>
      <c r="G2394">
        <f>'4M'!$O$50</f>
        <v>0</v>
      </c>
    </row>
    <row r="2395" spans="1:7">
      <c r="A2395" t="s">
        <v>643</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7182</v>
      </c>
      <c r="G2395">
        <f>'4M'!$P$50</f>
        <v>0</v>
      </c>
    </row>
    <row r="2396" spans="1:7">
      <c r="A2396" t="s">
        <v>643</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7182</v>
      </c>
      <c r="G2396">
        <f>'4M'!$Q$50</f>
        <v>0</v>
      </c>
    </row>
    <row r="2397" spans="1:7">
      <c r="A2397" t="s">
        <v>643</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7182</v>
      </c>
      <c r="G2397">
        <f>'4M'!$R$50</f>
        <v>0</v>
      </c>
    </row>
    <row r="2398" spans="1:7">
      <c r="A2398" t="s">
        <v>643</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7182</v>
      </c>
      <c r="G2398">
        <f>'4M'!$S$50</f>
        <v>0</v>
      </c>
    </row>
    <row r="2399" spans="1:7">
      <c r="A2399" t="s">
        <v>643</v>
      </c>
      <c r="C2399" t="str">
        <f>'4M'!$BV$50</f>
        <v>B0326UVC_C_STP</v>
      </c>
      <c r="D2399" t="str">
        <f>_xlfn.CONCAT('4M'!$B$9, "-", '4M'!$B$50, "-", '4M'!$T$7, "-", '4M'!$T$6, "-", '4M'!$O$5)</f>
        <v>EA/NRW environmental programme (WINEP/NEP)-UV disinfection (or similar)-Sludge transport-Bioresources-Cumulative expenditure on schemes completed in the report year</v>
      </c>
      <c r="F2399" t="s">
        <v>7182</v>
      </c>
      <c r="G2399">
        <f>'4M'!$T$50</f>
        <v>0</v>
      </c>
    </row>
    <row r="2400" spans="1:7">
      <c r="A2400" t="s">
        <v>643</v>
      </c>
      <c r="C2400" t="str">
        <f>'4M'!$BW$50</f>
        <v>B0326UVC_C_SDT</v>
      </c>
      <c r="D2400" t="str">
        <f>_xlfn.CONCAT('4M'!$B$9, "-", '4M'!$B$50, "-", '4M'!$U$7, "-", '4M'!$T$6, "-", '4M'!$O$5)</f>
        <v>EA/NRW environmental programme (WINEP/NEP)-UV disinfection (or similar)-Sludge treatment-Bioresources-Cumulative expenditure on schemes completed in the report year</v>
      </c>
      <c r="F2400" t="s">
        <v>7182</v>
      </c>
      <c r="G2400">
        <f>'4M'!$U$50</f>
        <v>0</v>
      </c>
    </row>
    <row r="2401" spans="1:7">
      <c r="A2401" t="s">
        <v>643</v>
      </c>
      <c r="C2401" t="str">
        <f>'4M'!$BX$50</f>
        <v>B0326UVC_C_SD</v>
      </c>
      <c r="D2401" t="str">
        <f>_xlfn.CONCAT('4M'!$B$9, "-", '4M'!$B$50, "-", '4M'!$V$7, "-", '4M'!$T$6, "-", '4M'!$O$5)</f>
        <v>EA/NRW environmental programme (WINEP/NEP)-UV disinfection (or similar)-Sludge disposal-Bioresources-Cumulative expenditure on schemes completed in the report year</v>
      </c>
      <c r="F2401" t="s">
        <v>7182</v>
      </c>
      <c r="G2401">
        <f>'4M'!$V$50</f>
        <v>0</v>
      </c>
    </row>
    <row r="2402" spans="1:7">
      <c r="A2402" t="s">
        <v>643</v>
      </c>
      <c r="C2402" t="str">
        <f>'4M'!$BY$50</f>
        <v>B0326UVC_C_TOT</v>
      </c>
      <c r="D2402" t="str">
        <f>_xlfn.CONCAT('4M'!$B$9, "-", '4M'!$B$50, "-", '4M'!$W$6, "-", '4M'!$W$6, "-", '4M'!$O$5)</f>
        <v>EA/NRW environmental programme (WINEP/NEP)-UV disinfection (or similar)-Total-Total-Cumulative expenditure on schemes completed in the report year</v>
      </c>
      <c r="F2402" t="s">
        <v>7182</v>
      </c>
      <c r="G2402">
        <f>'4M'!$W$50</f>
        <v>0</v>
      </c>
    </row>
    <row r="2403" spans="1:7">
      <c r="A2403" t="s">
        <v>643</v>
      </c>
      <c r="C2403" t="str">
        <f>'4M'!$BH$51</f>
        <v>B0327UVO_F</v>
      </c>
      <c r="D2403" t="str">
        <f>_xlfn.CONCAT('4M'!$B$9, "-", '4M'!$B$51, "-", '4M'!$F$7, "-", '4M'!$F$6, "-", '4M'!$F$5)</f>
        <v>EA/NRW environmental programme (WINEP/NEP)-UV disinfection (or similar)-Foul-Wastewater network+ -Expenditure in report year</v>
      </c>
      <c r="F2403" t="s">
        <v>7182</v>
      </c>
      <c r="G2403">
        <f>'4M'!$F$51</f>
        <v>0</v>
      </c>
    </row>
    <row r="2404" spans="1:7">
      <c r="A2404" t="s">
        <v>643</v>
      </c>
      <c r="C2404" t="str">
        <f>'4M'!$BI$51</f>
        <v>B0327UVO_SWD</v>
      </c>
      <c r="D2404" t="str">
        <f>_xlfn.CONCAT('4M'!$B$9, "-", '4M'!$B$51, "-", '4M'!$G$7, "-", '4M'!$F$6, "-", '4M'!$F$5)</f>
        <v>EA/NRW environmental programme (WINEP/NEP)-UV disinfection (or similar)-Surface water drainage-Wastewater network+ -Expenditure in report year</v>
      </c>
      <c r="F2404" t="s">
        <v>7182</v>
      </c>
      <c r="G2404">
        <f>'4M'!$G$51</f>
        <v>0</v>
      </c>
    </row>
    <row r="2405" spans="1:7">
      <c r="A2405" t="s">
        <v>643</v>
      </c>
      <c r="C2405" t="str">
        <f>'4M'!$BJ$51</f>
        <v>B0327UVO_HD</v>
      </c>
      <c r="D2405" t="str">
        <f>_xlfn.CONCAT('4M'!$B$9, "-", '4M'!$B$51, "-", '4M'!$H$7, "-", '4M'!$F$6, "-", '4M'!$F$5)</f>
        <v>EA/NRW environmental programme (WINEP/NEP)-UV disinfection (or similar)-Highway drainage-Wastewater network+ -Expenditure in report year</v>
      </c>
      <c r="F2405" t="s">
        <v>7182</v>
      </c>
      <c r="G2405">
        <f>'4M'!$H$51</f>
        <v>0</v>
      </c>
    </row>
    <row r="2406" spans="1:7">
      <c r="A2406" t="s">
        <v>643</v>
      </c>
      <c r="C2406" t="str">
        <f>'4M'!$BK$51</f>
        <v>B0327UVO_STD</v>
      </c>
      <c r="D2406" t="str">
        <f>_xlfn.CONCAT('4M'!$B$9, "-", '4M'!$B$51, "-", '4M'!$I$7, "-", '4M'!$F$6, "-", '4M'!$F$5)</f>
        <v>EA/NRW environmental programme (WINEP/NEP)-UV disinfection (or similar)-Sewage treatment and disposal-Wastewater network+ -Expenditure in report year</v>
      </c>
      <c r="F2406" t="s">
        <v>7182</v>
      </c>
      <c r="G2406">
        <f>'4M'!$I$51</f>
        <v>0</v>
      </c>
    </row>
    <row r="2407" spans="1:7">
      <c r="A2407" t="s">
        <v>643</v>
      </c>
      <c r="C2407" t="str">
        <f>'4M'!$BL$51</f>
        <v>B0327UVO_SLT</v>
      </c>
      <c r="D2407" t="str">
        <f>_xlfn.CONCAT('4M'!$B$9, "-", '4M'!$B$51, "-", '4M'!$J$7, "-", '4M'!$F$6, "-", '4M'!$F$5)</f>
        <v>EA/NRW environmental programme (WINEP/NEP)-UV disinfection (or similar)-Sludge liquor treatment-Wastewater network+ -Expenditure in report year</v>
      </c>
      <c r="F2407" t="s">
        <v>7182</v>
      </c>
      <c r="G2407">
        <f>'4M'!$J$51</f>
        <v>0</v>
      </c>
    </row>
    <row r="2408" spans="1:7">
      <c r="A2408" t="s">
        <v>643</v>
      </c>
      <c r="C2408" t="str">
        <f>'4M'!$BM$51</f>
        <v>B0327UVO_STP</v>
      </c>
      <c r="D2408" t="str">
        <f>_xlfn.CONCAT('4M'!$B$9, "-", '4M'!$B$51, "-", '4M'!$K$7, "-", '4M'!$K$6, "-", '4M'!$F$5)</f>
        <v>EA/NRW environmental programme (WINEP/NEP)-UV disinfection (or similar)-Sludge transport-Bioresources-Expenditure in report year</v>
      </c>
      <c r="F2408" t="s">
        <v>7182</v>
      </c>
      <c r="G2408">
        <f>'4M'!$K$51</f>
        <v>0</v>
      </c>
    </row>
    <row r="2409" spans="1:7">
      <c r="A2409" t="s">
        <v>643</v>
      </c>
      <c r="C2409" t="str">
        <f>'4M'!$BN$51</f>
        <v>B0327UVO_SDT</v>
      </c>
      <c r="D2409" t="str">
        <f>_xlfn.CONCAT('4M'!$B$9, "-", '4M'!$B$51, "-", '4M'!$L$7, "-", '4M'!$K$6, "-", '4M'!$F$5)</f>
        <v>EA/NRW environmental programme (WINEP/NEP)-UV disinfection (or similar)-Sludge treatment-Bioresources-Expenditure in report year</v>
      </c>
      <c r="F2409" t="s">
        <v>7182</v>
      </c>
      <c r="G2409">
        <f>'4M'!$L$51</f>
        <v>0</v>
      </c>
    </row>
    <row r="2410" spans="1:7">
      <c r="A2410" t="s">
        <v>643</v>
      </c>
      <c r="C2410" t="str">
        <f>'4M'!$BO$51</f>
        <v>B0327UVO_SD</v>
      </c>
      <c r="D2410" t="str">
        <f>_xlfn.CONCAT('4M'!$B$9, "-", '4M'!$B$51, "-", '4M'!$M$7, "-", '4M'!$K$6, "-", '4M'!$F$5)</f>
        <v>EA/NRW environmental programme (WINEP/NEP)-UV disinfection (or similar)-Sludge disposal-Bioresources-Expenditure in report year</v>
      </c>
      <c r="F2410" t="s">
        <v>7182</v>
      </c>
      <c r="G2410">
        <f>'4M'!$M$51</f>
        <v>0</v>
      </c>
    </row>
    <row r="2411" spans="1:7">
      <c r="A2411" t="s">
        <v>643</v>
      </c>
      <c r="C2411" t="str">
        <f>'4M'!$BP$51</f>
        <v>B0327UVO_TOT</v>
      </c>
      <c r="D2411" t="str">
        <f>_xlfn.CONCAT('4M'!$B$9, "-", '4M'!$B$51, "-", '4M'!$N$6, "-", '4M'!$N$6, "-", '4M'!$F$5)</f>
        <v>EA/NRW environmental programme (WINEP/NEP)-UV disinfection (or similar)-Total-Total-Expenditure in report year</v>
      </c>
      <c r="F2411" t="s">
        <v>7182</v>
      </c>
      <c r="G2411">
        <f>'4M'!$N$51</f>
        <v>0</v>
      </c>
    </row>
    <row r="2412" spans="1:7">
      <c r="A2412" t="s">
        <v>643</v>
      </c>
      <c r="C2412" t="str">
        <f>'4M'!$BQ$51</f>
        <v>B0327UVO_C_F</v>
      </c>
      <c r="D2412" t="str">
        <f>_xlfn.CONCAT('4M'!$B$9, "-", '4M'!$B$51, "-", '4M'!$O$7, "-", '4M'!$O$6, "-", '4M'!$O$5)</f>
        <v>EA/NRW environmental programme (WINEP/NEP)-UV disinfection (or similar)-Foul-Wastewater network+ -Cumulative expenditure on schemes completed in the report year</v>
      </c>
      <c r="F2412" t="s">
        <v>7182</v>
      </c>
      <c r="G2412">
        <f>'4M'!$O$51</f>
        <v>0</v>
      </c>
    </row>
    <row r="2413" spans="1:7">
      <c r="A2413" t="s">
        <v>643</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7182</v>
      </c>
      <c r="G2413">
        <f>'4M'!$P$51</f>
        <v>0</v>
      </c>
    </row>
    <row r="2414" spans="1:7">
      <c r="A2414" t="s">
        <v>643</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7182</v>
      </c>
      <c r="G2414">
        <f>'4M'!$Q$51</f>
        <v>0</v>
      </c>
    </row>
    <row r="2415" spans="1:7">
      <c r="A2415" t="s">
        <v>643</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7182</v>
      </c>
      <c r="G2415">
        <f>'4M'!$R$51</f>
        <v>0</v>
      </c>
    </row>
    <row r="2416" spans="1:7">
      <c r="A2416" t="s">
        <v>643</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7182</v>
      </c>
      <c r="G2416">
        <f>'4M'!$S$51</f>
        <v>0</v>
      </c>
    </row>
    <row r="2417" spans="1:7">
      <c r="A2417" t="s">
        <v>643</v>
      </c>
      <c r="C2417" t="str">
        <f>'4M'!$BV$51</f>
        <v>B0327UVO_C_STP</v>
      </c>
      <c r="D2417" t="str">
        <f>_xlfn.CONCAT('4M'!$B$9, "-", '4M'!$B$51, "-", '4M'!$T$7, "-", '4M'!$T$6, "-", '4M'!$O$5)</f>
        <v>EA/NRW environmental programme (WINEP/NEP)-UV disinfection (or similar)-Sludge transport-Bioresources-Cumulative expenditure on schemes completed in the report year</v>
      </c>
      <c r="F2417" t="s">
        <v>7182</v>
      </c>
      <c r="G2417">
        <f>'4M'!$T$51</f>
        <v>0</v>
      </c>
    </row>
    <row r="2418" spans="1:7">
      <c r="A2418" t="s">
        <v>643</v>
      </c>
      <c r="C2418" t="str">
        <f>'4M'!$BW$51</f>
        <v>B0327UVO_C_SDT</v>
      </c>
      <c r="D2418" t="str">
        <f>_xlfn.CONCAT('4M'!$B$9, "-", '4M'!$B$51, "-", '4M'!$U$7, "-", '4M'!$T$6, "-", '4M'!$O$5)</f>
        <v>EA/NRW environmental programme (WINEP/NEP)-UV disinfection (or similar)-Sludge treatment-Bioresources-Cumulative expenditure on schemes completed in the report year</v>
      </c>
      <c r="F2418" t="s">
        <v>7182</v>
      </c>
      <c r="G2418">
        <f>'4M'!$U$51</f>
        <v>0</v>
      </c>
    </row>
    <row r="2419" spans="1:7">
      <c r="A2419" t="s">
        <v>643</v>
      </c>
      <c r="C2419" t="str">
        <f>'4M'!$BX$51</f>
        <v>B0327UVO_C_SD</v>
      </c>
      <c r="D2419" t="str">
        <f>_xlfn.CONCAT('4M'!$B$9, "-", '4M'!$B$51, "-", '4M'!$V$7, "-", '4M'!$T$6, "-", '4M'!$O$5)</f>
        <v>EA/NRW environmental programme (WINEP/NEP)-UV disinfection (or similar)-Sludge disposal-Bioresources-Cumulative expenditure on schemes completed in the report year</v>
      </c>
      <c r="F2419" t="s">
        <v>7182</v>
      </c>
      <c r="G2419">
        <f>'4M'!$V$51</f>
        <v>0</v>
      </c>
    </row>
    <row r="2420" spans="1:7">
      <c r="A2420" t="s">
        <v>643</v>
      </c>
      <c r="C2420" t="str">
        <f>'4M'!$BY$51</f>
        <v>B0327UVO_C_TOT</v>
      </c>
      <c r="D2420" t="str">
        <f>_xlfn.CONCAT('4M'!$B$9, "-", '4M'!$B$51, "-", '4M'!$W$6, "-", '4M'!$W$6, "-", '4M'!$O$5)</f>
        <v>EA/NRW environmental programme (WINEP/NEP)-UV disinfection (or similar)-Total-Total-Cumulative expenditure on schemes completed in the report year</v>
      </c>
      <c r="F2420" t="s">
        <v>7182</v>
      </c>
      <c r="G2420">
        <f>'4M'!$W$51</f>
        <v>0</v>
      </c>
    </row>
    <row r="2421" spans="1:7">
      <c r="A2421" t="s">
        <v>643</v>
      </c>
      <c r="C2421" t="str">
        <f>'4M'!$BH$52</f>
        <v>B0328UVT_F</v>
      </c>
      <c r="D2421" t="str">
        <f>_xlfn.CONCAT('4M'!$B$9, "-", '4M'!$B$52, "-", '4M'!$F$7, "-", '4M'!$F$6, "-", '4M'!$F$5)</f>
        <v>EA/NRW environmental programme (WINEP/NEP)-UV disinfection (or similar)-Foul-Wastewater network+ -Expenditure in report year</v>
      </c>
      <c r="F2421" t="s">
        <v>7182</v>
      </c>
      <c r="G2421">
        <f>'4M'!$F$52</f>
        <v>0</v>
      </c>
    </row>
    <row r="2422" spans="1:7">
      <c r="A2422" t="s">
        <v>643</v>
      </c>
      <c r="C2422" t="str">
        <f>'4M'!$BI$52</f>
        <v>B0328UVT_SWD</v>
      </c>
      <c r="D2422" t="str">
        <f>_xlfn.CONCAT('4M'!$B$9, "-", '4M'!$B$52, "-", '4M'!$G$7, "-", '4M'!$F$6, "-", '4M'!$F$5)</f>
        <v>EA/NRW environmental programme (WINEP/NEP)-UV disinfection (or similar)-Surface water drainage-Wastewater network+ -Expenditure in report year</v>
      </c>
      <c r="F2422" t="s">
        <v>7182</v>
      </c>
      <c r="G2422">
        <f>'4M'!$G$52</f>
        <v>0</v>
      </c>
    </row>
    <row r="2423" spans="1:7">
      <c r="A2423" t="s">
        <v>643</v>
      </c>
      <c r="C2423" t="str">
        <f>'4M'!$BJ$52</f>
        <v>B0328UVT_HD</v>
      </c>
      <c r="D2423" t="str">
        <f>_xlfn.CONCAT('4M'!$B$9, "-", '4M'!$B$52, "-", '4M'!$H$7, "-", '4M'!$F$6, "-", '4M'!$F$5)</f>
        <v>EA/NRW environmental programme (WINEP/NEP)-UV disinfection (or similar)-Highway drainage-Wastewater network+ -Expenditure in report year</v>
      </c>
      <c r="F2423" t="s">
        <v>7182</v>
      </c>
      <c r="G2423">
        <f>'4M'!$H$52</f>
        <v>0</v>
      </c>
    </row>
    <row r="2424" spans="1:7">
      <c r="A2424" t="s">
        <v>643</v>
      </c>
      <c r="C2424" t="str">
        <f>'4M'!$BK$52</f>
        <v>B0328UVT_STD</v>
      </c>
      <c r="D2424" t="str">
        <f>_xlfn.CONCAT('4M'!$B$9, "-", '4M'!$B$52, "-", '4M'!$I$7, "-", '4M'!$F$6, "-", '4M'!$F$5)</f>
        <v>EA/NRW environmental programme (WINEP/NEP)-UV disinfection (or similar)-Sewage treatment and disposal-Wastewater network+ -Expenditure in report year</v>
      </c>
      <c r="F2424" t="s">
        <v>7182</v>
      </c>
      <c r="G2424">
        <f>'4M'!$I$52</f>
        <v>0</v>
      </c>
    </row>
    <row r="2425" spans="1:7">
      <c r="A2425" t="s">
        <v>643</v>
      </c>
      <c r="C2425" t="str">
        <f>'4M'!$BL$52</f>
        <v>B0328UVT_SLT</v>
      </c>
      <c r="D2425" t="str">
        <f>_xlfn.CONCAT('4M'!$B$9, "-", '4M'!$B$52, "-", '4M'!$J$7, "-", '4M'!$F$6, "-", '4M'!$F$5)</f>
        <v>EA/NRW environmental programme (WINEP/NEP)-UV disinfection (or similar)-Sludge liquor treatment-Wastewater network+ -Expenditure in report year</v>
      </c>
      <c r="F2425" t="s">
        <v>7182</v>
      </c>
      <c r="G2425">
        <f>'4M'!$J$52</f>
        <v>0</v>
      </c>
    </row>
    <row r="2426" spans="1:7">
      <c r="A2426" t="s">
        <v>643</v>
      </c>
      <c r="C2426" t="str">
        <f>'4M'!$BM$52</f>
        <v>B0328UVT_STP</v>
      </c>
      <c r="D2426" t="str">
        <f>_xlfn.CONCAT('4M'!$B$9, "-", '4M'!$B$52, "-", '4M'!$K$7, "-", '4M'!$K$6, "-", '4M'!$F$5)</f>
        <v>EA/NRW environmental programme (WINEP/NEP)-UV disinfection (or similar)-Sludge transport-Bioresources-Expenditure in report year</v>
      </c>
      <c r="F2426" t="s">
        <v>7182</v>
      </c>
      <c r="G2426">
        <f>'4M'!$K$52</f>
        <v>0</v>
      </c>
    </row>
    <row r="2427" spans="1:7">
      <c r="A2427" t="s">
        <v>643</v>
      </c>
      <c r="C2427" t="str">
        <f>'4M'!$BN$52</f>
        <v>B0328UVT_SDT</v>
      </c>
      <c r="D2427" t="str">
        <f>_xlfn.CONCAT('4M'!$B$9, "-", '4M'!$B$52, "-", '4M'!$L$7, "-", '4M'!$K$6, "-", '4M'!$F$5)</f>
        <v>EA/NRW environmental programme (WINEP/NEP)-UV disinfection (or similar)-Sludge treatment-Bioresources-Expenditure in report year</v>
      </c>
      <c r="F2427" t="s">
        <v>7182</v>
      </c>
      <c r="G2427">
        <f>'4M'!$L$52</f>
        <v>0</v>
      </c>
    </row>
    <row r="2428" spans="1:7">
      <c r="A2428" t="s">
        <v>643</v>
      </c>
      <c r="C2428" t="str">
        <f>'4M'!$BO$52</f>
        <v>B0328UVT_SD</v>
      </c>
      <c r="D2428" t="str">
        <f>_xlfn.CONCAT('4M'!$B$9, "-", '4M'!$B$52, "-", '4M'!$M$7, "-", '4M'!$K$6, "-", '4M'!$F$5)</f>
        <v>EA/NRW environmental programme (WINEP/NEP)-UV disinfection (or similar)-Sludge disposal-Bioresources-Expenditure in report year</v>
      </c>
      <c r="F2428" t="s">
        <v>7182</v>
      </c>
      <c r="G2428">
        <f>'4M'!$M$52</f>
        <v>0</v>
      </c>
    </row>
    <row r="2429" spans="1:7">
      <c r="A2429" t="s">
        <v>643</v>
      </c>
      <c r="C2429" t="str">
        <f>'4M'!$BP$52</f>
        <v>B0328UVT_TOT</v>
      </c>
      <c r="D2429" t="str">
        <f>_xlfn.CONCAT('4M'!$B$9, "-", '4M'!$B$52, "-", '4M'!$N$6, "-", '4M'!$N$6, "-", '4M'!$F$5)</f>
        <v>EA/NRW environmental programme (WINEP/NEP)-UV disinfection (or similar)-Total-Total-Expenditure in report year</v>
      </c>
      <c r="F2429" t="s">
        <v>7182</v>
      </c>
      <c r="G2429">
        <f>'4M'!$N$52</f>
        <v>0</v>
      </c>
    </row>
    <row r="2430" spans="1:7">
      <c r="A2430" t="s">
        <v>643</v>
      </c>
      <c r="C2430" t="str">
        <f>'4M'!$BQ$52</f>
        <v>B0328UVT_C_F</v>
      </c>
      <c r="D2430" t="str">
        <f>_xlfn.CONCAT('4M'!$B$9, "-", '4M'!$B$52, "-", '4M'!$O$7, "-", '4M'!$O$6, "-", '4M'!$O$5)</f>
        <v>EA/NRW environmental programme (WINEP/NEP)-UV disinfection (or similar)-Foul-Wastewater network+ -Cumulative expenditure on schemes completed in the report year</v>
      </c>
      <c r="F2430" t="s">
        <v>7182</v>
      </c>
      <c r="G2430">
        <f>'4M'!$O$52</f>
        <v>0</v>
      </c>
    </row>
    <row r="2431" spans="1:7">
      <c r="A2431" t="s">
        <v>643</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7182</v>
      </c>
      <c r="G2431">
        <f>'4M'!$P$52</f>
        <v>0</v>
      </c>
    </row>
    <row r="2432" spans="1:7">
      <c r="A2432" t="s">
        <v>643</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7182</v>
      </c>
      <c r="G2432">
        <f>'4M'!$Q$52</f>
        <v>0</v>
      </c>
    </row>
    <row r="2433" spans="1:7">
      <c r="A2433" t="s">
        <v>643</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7182</v>
      </c>
      <c r="G2433">
        <f>'4M'!$R$52</f>
        <v>0</v>
      </c>
    </row>
    <row r="2434" spans="1:7">
      <c r="A2434" t="s">
        <v>643</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7182</v>
      </c>
      <c r="G2434">
        <f>'4M'!$S$52</f>
        <v>0</v>
      </c>
    </row>
    <row r="2435" spans="1:7">
      <c r="A2435" t="s">
        <v>643</v>
      </c>
      <c r="C2435" t="str">
        <f>'4M'!$BV$52</f>
        <v>B0328UVT_C_STP</v>
      </c>
      <c r="D2435" t="str">
        <f>_xlfn.CONCAT('4M'!$B$9, "-", '4M'!$B$52, "-", '4M'!$T$7, "-", '4M'!$T$6, "-", '4M'!$O$5)</f>
        <v>EA/NRW environmental programme (WINEP/NEP)-UV disinfection (or similar)-Sludge transport-Bioresources-Cumulative expenditure on schemes completed in the report year</v>
      </c>
      <c r="F2435" t="s">
        <v>7182</v>
      </c>
      <c r="G2435">
        <f>'4M'!$T$52</f>
        <v>0</v>
      </c>
    </row>
    <row r="2436" spans="1:7">
      <c r="A2436" t="s">
        <v>643</v>
      </c>
      <c r="C2436" t="str">
        <f>'4M'!$BW$52</f>
        <v>B0328UVT_C_SDT</v>
      </c>
      <c r="D2436" t="str">
        <f>_xlfn.CONCAT('4M'!$B$9, "-", '4M'!$B$52, "-", '4M'!$U$7, "-", '4M'!$T$6, "-", '4M'!$O$5)</f>
        <v>EA/NRW environmental programme (WINEP/NEP)-UV disinfection (or similar)-Sludge treatment-Bioresources-Cumulative expenditure on schemes completed in the report year</v>
      </c>
      <c r="F2436" t="s">
        <v>7182</v>
      </c>
      <c r="G2436">
        <f>'4M'!$U$52</f>
        <v>0</v>
      </c>
    </row>
    <row r="2437" spans="1:7">
      <c r="A2437" t="s">
        <v>643</v>
      </c>
      <c r="C2437" t="str">
        <f>'4M'!$BX$52</f>
        <v>B0328UVT_C_SD</v>
      </c>
      <c r="D2437" t="str">
        <f>_xlfn.CONCAT('4M'!$B$9, "-", '4M'!$B$52, "-", '4M'!$V$7, "-", '4M'!$T$6, "-", '4M'!$O$5)</f>
        <v>EA/NRW environmental programme (WINEP/NEP)-UV disinfection (or similar)-Sludge disposal-Bioresources-Cumulative expenditure on schemes completed in the report year</v>
      </c>
      <c r="F2437" t="s">
        <v>7182</v>
      </c>
      <c r="G2437">
        <f>'4M'!$V$52</f>
        <v>0</v>
      </c>
    </row>
    <row r="2438" spans="1:7">
      <c r="A2438" t="s">
        <v>643</v>
      </c>
      <c r="C2438" t="str">
        <f>'4M'!$BY$52</f>
        <v>B0328UVT_C_TOT</v>
      </c>
      <c r="D2438" t="str">
        <f>_xlfn.CONCAT('4M'!$B$9, "-", '4M'!$B$52, "-", '4M'!$W$6, "-", '4M'!$W$6, "-", '4M'!$O$5)</f>
        <v>EA/NRW environmental programme (WINEP/NEP)-UV disinfection (or similar)-Total-Total-Cumulative expenditure on schemes completed in the report year</v>
      </c>
      <c r="F2438" t="s">
        <v>7182</v>
      </c>
      <c r="G2438">
        <f>'4M'!$W$52</f>
        <v>0</v>
      </c>
    </row>
    <row r="2439" spans="1:7">
      <c r="A2439" t="s">
        <v>643</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7182</v>
      </c>
      <c r="G2439">
        <f>'4M'!$X$52</f>
        <v>0</v>
      </c>
    </row>
    <row r="2440" spans="1:7">
      <c r="A2440" t="s">
        <v>643</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7182</v>
      </c>
      <c r="G2440">
        <f>'4M'!$Y$52</f>
        <v>0</v>
      </c>
    </row>
    <row r="2441" spans="1:7">
      <c r="A2441" t="s">
        <v>643</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7182</v>
      </c>
      <c r="G2441">
        <f>'4M'!$Z$52</f>
        <v>0</v>
      </c>
    </row>
    <row r="2442" spans="1:7">
      <c r="A2442" t="s">
        <v>643</v>
      </c>
      <c r="C2442" t="str">
        <f>'4M'!$BH$53</f>
        <v>B0329INC_F</v>
      </c>
      <c r="D2442" t="str">
        <f>_xlfn.CONCAT('4M'!$B$9, "-", '4M'!$B$53, "-", '4M'!$F$7, "-", '4M'!$F$6, "-", '4M'!$F$5)</f>
        <v>EA/NRW environmental programme (WINEP/NEP)-Investigations-Foul-Wastewater network+ -Expenditure in report year</v>
      </c>
      <c r="F2442" t="s">
        <v>7182</v>
      </c>
      <c r="G2442">
        <f>'4M'!$F$53</f>
        <v>0.109</v>
      </c>
    </row>
    <row r="2443" spans="1:7">
      <c r="A2443" t="s">
        <v>643</v>
      </c>
      <c r="C2443" t="str">
        <f>'4M'!$BI$53</f>
        <v>B0329INC_SWD</v>
      </c>
      <c r="D2443" t="str">
        <f>_xlfn.CONCAT('4M'!$B$9, "-", '4M'!$B$53, "-", '4M'!$G$7, "-", '4M'!$F$6, "-", '4M'!$F$5)</f>
        <v>EA/NRW environmental programme (WINEP/NEP)-Investigations-Surface water drainage-Wastewater network+ -Expenditure in report year</v>
      </c>
      <c r="F2443" t="s">
        <v>7182</v>
      </c>
      <c r="G2443">
        <f>'4M'!$G$53</f>
        <v>0.18099999999999999</v>
      </c>
    </row>
    <row r="2444" spans="1:7">
      <c r="A2444" t="s">
        <v>643</v>
      </c>
      <c r="C2444" t="str">
        <f>'4M'!$BJ$53</f>
        <v>B0329INC_HD</v>
      </c>
      <c r="D2444" t="str">
        <f>_xlfn.CONCAT('4M'!$B$9, "-", '4M'!$B$53, "-", '4M'!$H$7, "-", '4M'!$F$6, "-", '4M'!$F$5)</f>
        <v>EA/NRW environmental programme (WINEP/NEP)-Investigations-Highway drainage-Wastewater network+ -Expenditure in report year</v>
      </c>
      <c r="F2444" t="s">
        <v>7182</v>
      </c>
      <c r="G2444">
        <f>'4M'!$H$53</f>
        <v>9.7000000000000003E-2</v>
      </c>
    </row>
    <row r="2445" spans="1:7">
      <c r="A2445" t="s">
        <v>643</v>
      </c>
      <c r="C2445" t="str">
        <f>'4M'!$BK$53</f>
        <v>B0329INC_STD</v>
      </c>
      <c r="D2445" t="str">
        <f>_xlfn.CONCAT('4M'!$B$9, "-", '4M'!$B$53, "-", '4M'!$I$7, "-", '4M'!$F$6, "-", '4M'!$F$5)</f>
        <v>EA/NRW environmental programme (WINEP/NEP)-Investigations-Sewage treatment and disposal-Wastewater network+ -Expenditure in report year</v>
      </c>
      <c r="F2445" t="s">
        <v>7182</v>
      </c>
      <c r="G2445">
        <f>'4M'!$I$53</f>
        <v>2.8000000000000001E-2</v>
      </c>
    </row>
    <row r="2446" spans="1:7">
      <c r="A2446" t="s">
        <v>643</v>
      </c>
      <c r="C2446" t="str">
        <f>'4M'!$BL$53</f>
        <v>B0329INC_SLT</v>
      </c>
      <c r="D2446" t="str">
        <f>_xlfn.CONCAT('4M'!$B$9, "-", '4M'!$B$53, "-", '4M'!$J$7, "-", '4M'!$F$6, "-", '4M'!$F$5)</f>
        <v>EA/NRW environmental programme (WINEP/NEP)-Investigations-Sludge liquor treatment-Wastewater network+ -Expenditure in report year</v>
      </c>
      <c r="F2446" t="s">
        <v>7182</v>
      </c>
      <c r="G2446">
        <f>'4M'!$J$53</f>
        <v>0</v>
      </c>
    </row>
    <row r="2447" spans="1:7">
      <c r="A2447" t="s">
        <v>643</v>
      </c>
      <c r="C2447" t="str">
        <f>'4M'!$BM$53</f>
        <v>B0329INC_STP</v>
      </c>
      <c r="D2447" t="str">
        <f>_xlfn.CONCAT('4M'!$B$9, "-", '4M'!$B$53, "-", '4M'!$K$7, "-", '4M'!$K$6, "-", '4M'!$F$5)</f>
        <v>EA/NRW environmental programme (WINEP/NEP)-Investigations-Sludge transport-Bioresources-Expenditure in report year</v>
      </c>
      <c r="F2447" t="s">
        <v>7182</v>
      </c>
      <c r="G2447">
        <f>'4M'!$K$53</f>
        <v>0</v>
      </c>
    </row>
    <row r="2448" spans="1:7">
      <c r="A2448" t="s">
        <v>643</v>
      </c>
      <c r="C2448" t="str">
        <f>'4M'!$BN$53</f>
        <v>B0329INC_SDT</v>
      </c>
      <c r="D2448" t="str">
        <f>_xlfn.CONCAT('4M'!$B$9, "-", '4M'!$B$53, "-", '4M'!$L$7, "-", '4M'!$K$6, "-", '4M'!$F$5)</f>
        <v>EA/NRW environmental programme (WINEP/NEP)-Investigations-Sludge treatment-Bioresources-Expenditure in report year</v>
      </c>
      <c r="F2448" t="s">
        <v>7182</v>
      </c>
      <c r="G2448">
        <f>'4M'!$L$53</f>
        <v>0</v>
      </c>
    </row>
    <row r="2449" spans="1:7">
      <c r="A2449" t="s">
        <v>643</v>
      </c>
      <c r="C2449" t="str">
        <f>'4M'!$BO$53</f>
        <v>B0329INC_SD</v>
      </c>
      <c r="D2449" t="str">
        <f>_xlfn.CONCAT('4M'!$B$9, "-", '4M'!$B$53, "-", '4M'!$M$7, "-", '4M'!$K$6, "-", '4M'!$F$5)</f>
        <v>EA/NRW environmental programme (WINEP/NEP)-Investigations-Sludge disposal-Bioresources-Expenditure in report year</v>
      </c>
      <c r="F2449" t="s">
        <v>7182</v>
      </c>
      <c r="G2449">
        <f>'4M'!$M$53</f>
        <v>0</v>
      </c>
    </row>
    <row r="2450" spans="1:7">
      <c r="A2450" t="s">
        <v>643</v>
      </c>
      <c r="C2450" t="str">
        <f>'4M'!$BP$53</f>
        <v>B0329INC_TOT</v>
      </c>
      <c r="D2450" t="str">
        <f>_xlfn.CONCAT('4M'!$B$9, "-", '4M'!$B$53, "-", '4M'!$N$6, "-", '4M'!$N$6, "-", '4M'!$F$5)</f>
        <v>EA/NRW environmental programme (WINEP/NEP)-Investigations-Total-Total-Expenditure in report year</v>
      </c>
      <c r="F2450" t="s">
        <v>7182</v>
      </c>
      <c r="G2450">
        <f>'4M'!$N$53</f>
        <v>0.41500000000000004</v>
      </c>
    </row>
    <row r="2451" spans="1:7">
      <c r="A2451" t="s">
        <v>643</v>
      </c>
      <c r="C2451" t="str">
        <f>'4M'!$BH$54</f>
        <v>B0330INO_F</v>
      </c>
      <c r="D2451" t="str">
        <f>_xlfn.CONCAT('4M'!$B$9, "-", '4M'!$B$54, "-", '4M'!$F$7, "-", '4M'!$F$6, "-", '4M'!$F$5)</f>
        <v>EA/NRW environmental programme (WINEP/NEP)-Investigations-Foul-Wastewater network+ -Expenditure in report year</v>
      </c>
      <c r="F2451" t="s">
        <v>7182</v>
      </c>
      <c r="G2451">
        <f>'4M'!$F$54</f>
        <v>2E-3</v>
      </c>
    </row>
    <row r="2452" spans="1:7">
      <c r="A2452" t="s">
        <v>643</v>
      </c>
      <c r="C2452" t="str">
        <f>'4M'!$BI$54</f>
        <v>B0330INO_SWD</v>
      </c>
      <c r="D2452" t="str">
        <f>_xlfn.CONCAT('4M'!$B$9, "-", '4M'!$B$54, "-", '4M'!$G$7, "-", '4M'!$F$6, "-", '4M'!$F$5)</f>
        <v>EA/NRW environmental programme (WINEP/NEP)-Investigations-Surface water drainage-Wastewater network+ -Expenditure in report year</v>
      </c>
      <c r="F2452" t="s">
        <v>7182</v>
      </c>
      <c r="G2452">
        <f>'4M'!$G$54</f>
        <v>0</v>
      </c>
    </row>
    <row r="2453" spans="1:7">
      <c r="A2453" t="s">
        <v>643</v>
      </c>
      <c r="C2453" t="str">
        <f>'4M'!$BJ$54</f>
        <v>B0330INO_HD</v>
      </c>
      <c r="D2453" t="str">
        <f>_xlfn.CONCAT('4M'!$B$9, "-", '4M'!$B$54, "-", '4M'!$H$7, "-", '4M'!$F$6, "-", '4M'!$F$5)</f>
        <v>EA/NRW environmental programme (WINEP/NEP)-Investigations-Highway drainage-Wastewater network+ -Expenditure in report year</v>
      </c>
      <c r="F2453" t="s">
        <v>7182</v>
      </c>
      <c r="G2453">
        <f>'4M'!$H$54</f>
        <v>0</v>
      </c>
    </row>
    <row r="2454" spans="1:7">
      <c r="A2454" t="s">
        <v>643</v>
      </c>
      <c r="C2454" t="str">
        <f>'4M'!$BK$54</f>
        <v>B0330INO_STD</v>
      </c>
      <c r="D2454" t="str">
        <f>_xlfn.CONCAT('4M'!$B$9, "-", '4M'!$B$54, "-", '4M'!$I$7, "-", '4M'!$F$6, "-", '4M'!$F$5)</f>
        <v>EA/NRW environmental programme (WINEP/NEP)-Investigations-Sewage treatment and disposal-Wastewater network+ -Expenditure in report year</v>
      </c>
      <c r="F2454" t="s">
        <v>7182</v>
      </c>
      <c r="G2454">
        <f>'4M'!$I$54</f>
        <v>0</v>
      </c>
    </row>
    <row r="2455" spans="1:7">
      <c r="A2455" t="s">
        <v>643</v>
      </c>
      <c r="C2455" t="str">
        <f>'4M'!$BL$54</f>
        <v>B0330INO_SLT</v>
      </c>
      <c r="D2455" t="str">
        <f>_xlfn.CONCAT('4M'!$B$9, "-", '4M'!$B$54, "-", '4M'!$J$7, "-", '4M'!$F$6, "-", '4M'!$F$5)</f>
        <v>EA/NRW environmental programme (WINEP/NEP)-Investigations-Sludge liquor treatment-Wastewater network+ -Expenditure in report year</v>
      </c>
      <c r="F2455" t="s">
        <v>7182</v>
      </c>
      <c r="G2455">
        <f>'4M'!$J$54</f>
        <v>0</v>
      </c>
    </row>
    <row r="2456" spans="1:7">
      <c r="A2456" t="s">
        <v>643</v>
      </c>
      <c r="C2456" t="str">
        <f>'4M'!$BM$54</f>
        <v>B0330INO_STP</v>
      </c>
      <c r="D2456" t="str">
        <f>_xlfn.CONCAT('4M'!$B$9, "-", '4M'!$B$54, "-", '4M'!$K$7, "-", '4M'!$K$6, "-", '4M'!$F$5)</f>
        <v>EA/NRW environmental programme (WINEP/NEP)-Investigations-Sludge transport-Bioresources-Expenditure in report year</v>
      </c>
      <c r="F2456" t="s">
        <v>7182</v>
      </c>
      <c r="G2456">
        <f>'4M'!$K$54</f>
        <v>0</v>
      </c>
    </row>
    <row r="2457" spans="1:7">
      <c r="A2457" t="s">
        <v>643</v>
      </c>
      <c r="C2457" t="str">
        <f>'4M'!$BN$54</f>
        <v>B0330INO_SDT</v>
      </c>
      <c r="D2457" t="str">
        <f>_xlfn.CONCAT('4M'!$B$9, "-", '4M'!$B$54, "-", '4M'!$L$7, "-", '4M'!$K$6, "-", '4M'!$F$5)</f>
        <v>EA/NRW environmental programme (WINEP/NEP)-Investigations-Sludge treatment-Bioresources-Expenditure in report year</v>
      </c>
      <c r="F2457" t="s">
        <v>7182</v>
      </c>
      <c r="G2457">
        <f>'4M'!$L$54</f>
        <v>0</v>
      </c>
    </row>
    <row r="2458" spans="1:7">
      <c r="A2458" t="s">
        <v>643</v>
      </c>
      <c r="C2458" t="str">
        <f>'4M'!$BO$54</f>
        <v>B0330INO_SD</v>
      </c>
      <c r="D2458" t="str">
        <f>_xlfn.CONCAT('4M'!$B$9, "-", '4M'!$B$54, "-", '4M'!$M$7, "-", '4M'!$K$6, "-", '4M'!$F$5)</f>
        <v>EA/NRW environmental programme (WINEP/NEP)-Investigations-Sludge disposal-Bioresources-Expenditure in report year</v>
      </c>
      <c r="F2458" t="s">
        <v>7182</v>
      </c>
      <c r="G2458">
        <f>'4M'!$M$54</f>
        <v>0</v>
      </c>
    </row>
    <row r="2459" spans="1:7">
      <c r="A2459" t="s">
        <v>643</v>
      </c>
      <c r="C2459" t="str">
        <f>'4M'!$BP$54</f>
        <v>B0330INO_TOT</v>
      </c>
      <c r="D2459" t="str">
        <f>_xlfn.CONCAT('4M'!$B$9, "-", '4M'!$B$54, "-", '4M'!$N$6, "-", '4M'!$N$6, "-", '4M'!$F$5)</f>
        <v>EA/NRW environmental programme (WINEP/NEP)-Investigations-Total-Total-Expenditure in report year</v>
      </c>
      <c r="F2459" t="s">
        <v>7182</v>
      </c>
      <c r="G2459">
        <f>'4M'!$N$54</f>
        <v>2E-3</v>
      </c>
    </row>
    <row r="2460" spans="1:7">
      <c r="A2460" t="s">
        <v>643</v>
      </c>
      <c r="C2460" t="str">
        <f>'4M'!$BH$55</f>
        <v>B0331INT_F</v>
      </c>
      <c r="D2460" t="str">
        <f>_xlfn.CONCAT('4M'!$B$9, "-", '4M'!$B$55, "-", '4M'!$F$7, "-", '4M'!$F$6, "-", '4M'!$F$5)</f>
        <v>EA/NRW environmental programme (WINEP/NEP)-Investigations-Foul-Wastewater network+ -Expenditure in report year</v>
      </c>
      <c r="F2460" t="s">
        <v>7182</v>
      </c>
      <c r="G2460">
        <f>'4M'!$F$55</f>
        <v>0.111</v>
      </c>
    </row>
    <row r="2461" spans="1:7">
      <c r="A2461" t="s">
        <v>643</v>
      </c>
      <c r="C2461" t="str">
        <f>'4M'!$BI$55</f>
        <v>B0331INT_SWD</v>
      </c>
      <c r="D2461" t="str">
        <f>_xlfn.CONCAT('4M'!$B$9, "-", '4M'!$B$55, "-", '4M'!$G$7, "-", '4M'!$F$6, "-", '4M'!$F$5)</f>
        <v>EA/NRW environmental programme (WINEP/NEP)-Investigations-Surface water drainage-Wastewater network+ -Expenditure in report year</v>
      </c>
      <c r="F2461" t="s">
        <v>7182</v>
      </c>
      <c r="G2461">
        <f>'4M'!$G$55</f>
        <v>0.18099999999999999</v>
      </c>
    </row>
    <row r="2462" spans="1:7">
      <c r="A2462" t="s">
        <v>643</v>
      </c>
      <c r="C2462" t="str">
        <f>'4M'!$BJ$55</f>
        <v>B0331INT_HD</v>
      </c>
      <c r="D2462" t="str">
        <f>_xlfn.CONCAT('4M'!$B$9, "-", '4M'!$B$55, "-", '4M'!$H$7, "-", '4M'!$F$6, "-", '4M'!$F$5)</f>
        <v>EA/NRW environmental programme (WINEP/NEP)-Investigations-Highway drainage-Wastewater network+ -Expenditure in report year</v>
      </c>
      <c r="F2462" t="s">
        <v>7182</v>
      </c>
      <c r="G2462">
        <f>'4M'!$H$55</f>
        <v>9.7000000000000003E-2</v>
      </c>
    </row>
    <row r="2463" spans="1:7">
      <c r="A2463" t="s">
        <v>643</v>
      </c>
      <c r="C2463" t="str">
        <f>'4M'!$BK$55</f>
        <v>B0331INT_STD</v>
      </c>
      <c r="D2463" t="str">
        <f>_xlfn.CONCAT('4M'!$B$9, "-", '4M'!$B$55, "-", '4M'!$I$7, "-", '4M'!$F$6, "-", '4M'!$F$5)</f>
        <v>EA/NRW environmental programme (WINEP/NEP)-Investigations-Sewage treatment and disposal-Wastewater network+ -Expenditure in report year</v>
      </c>
      <c r="F2463" t="s">
        <v>7182</v>
      </c>
      <c r="G2463">
        <f>'4M'!$I$55</f>
        <v>2.8000000000000001E-2</v>
      </c>
    </row>
    <row r="2464" spans="1:7">
      <c r="A2464" t="s">
        <v>643</v>
      </c>
      <c r="C2464" t="str">
        <f>'4M'!$BL$55</f>
        <v>B0331INT_SLT</v>
      </c>
      <c r="D2464" t="str">
        <f>_xlfn.CONCAT('4M'!$B$9, "-", '4M'!$B$55, "-", '4M'!$J$7, "-", '4M'!$F$6, "-", '4M'!$F$5)</f>
        <v>EA/NRW environmental programme (WINEP/NEP)-Investigations-Sludge liquor treatment-Wastewater network+ -Expenditure in report year</v>
      </c>
      <c r="F2464" t="s">
        <v>7182</v>
      </c>
      <c r="G2464">
        <f>'4M'!$J$55</f>
        <v>0</v>
      </c>
    </row>
    <row r="2465" spans="1:7">
      <c r="A2465" t="s">
        <v>643</v>
      </c>
      <c r="C2465" t="str">
        <f>'4M'!$BM$55</f>
        <v>B0331INT_STP</v>
      </c>
      <c r="D2465" t="str">
        <f>_xlfn.CONCAT('4M'!$B$9, "-", '4M'!$B$55, "-", '4M'!$K$7, "-", '4M'!$K$6, "-", '4M'!$F$5)</f>
        <v>EA/NRW environmental programme (WINEP/NEP)-Investigations-Sludge transport-Bioresources-Expenditure in report year</v>
      </c>
      <c r="F2465" t="s">
        <v>7182</v>
      </c>
      <c r="G2465">
        <f>'4M'!$K$55</f>
        <v>0</v>
      </c>
    </row>
    <row r="2466" spans="1:7">
      <c r="A2466" t="s">
        <v>643</v>
      </c>
      <c r="C2466" t="str">
        <f>'4M'!$BN$55</f>
        <v>B0331INT_SDT</v>
      </c>
      <c r="D2466" t="str">
        <f>_xlfn.CONCAT('4M'!$B$9, "-", '4M'!$B$55, "-", '4M'!$L$7, "-", '4M'!$K$6, "-", '4M'!$F$5)</f>
        <v>EA/NRW environmental programme (WINEP/NEP)-Investigations-Sludge treatment-Bioresources-Expenditure in report year</v>
      </c>
      <c r="F2466" t="s">
        <v>7182</v>
      </c>
      <c r="G2466">
        <f>'4M'!$L$55</f>
        <v>0</v>
      </c>
    </row>
    <row r="2467" spans="1:7">
      <c r="A2467" t="s">
        <v>643</v>
      </c>
      <c r="C2467" t="str">
        <f>'4M'!$BO$55</f>
        <v>B0331INT_SD</v>
      </c>
      <c r="D2467" t="str">
        <f>_xlfn.CONCAT('4M'!$B$9, "-", '4M'!$B$55, "-", '4M'!$M$7, "-", '4M'!$K$6, "-", '4M'!$F$5)</f>
        <v>EA/NRW environmental programme (WINEP/NEP)-Investigations-Sludge disposal-Bioresources-Expenditure in report year</v>
      </c>
      <c r="F2467" t="s">
        <v>7182</v>
      </c>
      <c r="G2467">
        <f>'4M'!$M$55</f>
        <v>0</v>
      </c>
    </row>
    <row r="2468" spans="1:7">
      <c r="A2468" t="s">
        <v>643</v>
      </c>
      <c r="C2468" t="str">
        <f>'4M'!$BP$55</f>
        <v>B0331INT_TOT</v>
      </c>
      <c r="D2468" t="str">
        <f>_xlfn.CONCAT('4M'!$B$9, "-", '4M'!$B$55, "-", '4M'!$N$6, "-", '4M'!$N$6, "-", '4M'!$F$5)</f>
        <v>EA/NRW environmental programme (WINEP/NEP)-Investigations-Total-Total-Expenditure in report year</v>
      </c>
      <c r="F2468" t="s">
        <v>7182</v>
      </c>
      <c r="G2468">
        <f>'4M'!$N$55</f>
        <v>0.41700000000000004</v>
      </c>
    </row>
    <row r="2469" spans="1:7">
      <c r="A2469" t="s">
        <v>643</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7182</v>
      </c>
      <c r="G2469">
        <f>'4M'!$X$55</f>
        <v>3.6719999999999997</v>
      </c>
    </row>
    <row r="2470" spans="1:7">
      <c r="A2470" t="s">
        <v>643</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7182</v>
      </c>
      <c r="G2470">
        <f>'4M'!$Y$55</f>
        <v>2.9299999999999997</v>
      </c>
    </row>
    <row r="2471" spans="1:7">
      <c r="A2471" t="s">
        <v>643</v>
      </c>
      <c r="C2471" t="str">
        <f>'4M'!$CB$55</f>
        <v>B0392IT_TC</v>
      </c>
      <c r="D2471" t="str">
        <f>_xlfn.CONCAT('4M'!$B$9, "-", '4M'!$B$55, "-", '4M'!$Z$7, "-", '4M'!$Z$5, "-", '4M'!$Z$5)</f>
        <v>EA/NRW environmental programme (WINEP/NEP)-Investigations-Total-Cumulative allowed expenditure on all schemes 2020-25-Cumulative allowed expenditure on all schemes 2020-25</v>
      </c>
      <c r="F2471" t="s">
        <v>7182</v>
      </c>
      <c r="G2471">
        <f>'4M'!$Z$55</f>
        <v>7.0069999999999997</v>
      </c>
    </row>
    <row r="2472" spans="1:7">
      <c r="A2472" t="s">
        <v>643</v>
      </c>
      <c r="C2472" t="str">
        <f>'4M'!$BH$56</f>
        <v>B0332TET_F</v>
      </c>
      <c r="D2472" t="str">
        <f>_xlfn.CONCAT('4M'!$B$9, "-", '4M'!$B$56, "-", '4M'!$F$7, "-", '4M'!$F$6, "-", '4M'!$F$5)</f>
        <v>EA/NRW environmental programme (WINEP/NEP)-Total environmental programme expenditure -Foul-Wastewater network+ -Expenditure in report year</v>
      </c>
      <c r="F2472" t="s">
        <v>7182</v>
      </c>
      <c r="G2472">
        <f>'4M'!$F$56</f>
        <v>0.11899999999999999</v>
      </c>
    </row>
    <row r="2473" spans="1:7">
      <c r="A2473" t="s">
        <v>643</v>
      </c>
      <c r="C2473" t="str">
        <f>'4M'!$BI$56</f>
        <v>B0332TET_SWD</v>
      </c>
      <c r="D2473" t="str">
        <f>_xlfn.CONCAT('4M'!$B$9, "-", '4M'!$B$56, "-", '4M'!$G$7, "-", '4M'!$F$6, "-", '4M'!$F$5)</f>
        <v>EA/NRW environmental programme (WINEP/NEP)-Total environmental programme expenditure -Surface water drainage-Wastewater network+ -Expenditure in report year</v>
      </c>
      <c r="F2473" t="s">
        <v>7182</v>
      </c>
      <c r="G2473">
        <f>'4M'!$G$56</f>
        <v>0.193</v>
      </c>
    </row>
    <row r="2474" spans="1:7">
      <c r="A2474" t="s">
        <v>643</v>
      </c>
      <c r="C2474" t="str">
        <f>'4M'!$BJ$56</f>
        <v>B0332TET_HD</v>
      </c>
      <c r="D2474" t="str">
        <f>_xlfn.CONCAT('4M'!$B$9, "-", '4M'!$B$56, "-", '4M'!$H$7, "-", '4M'!$F$6, "-", '4M'!$F$5)</f>
        <v>EA/NRW environmental programme (WINEP/NEP)-Total environmental programme expenditure -Highway drainage-Wastewater network+ -Expenditure in report year</v>
      </c>
      <c r="F2474" t="s">
        <v>7182</v>
      </c>
      <c r="G2474">
        <f>'4M'!$H$56</f>
        <v>0.10400000000000001</v>
      </c>
    </row>
    <row r="2475" spans="1:7">
      <c r="A2475" t="s">
        <v>643</v>
      </c>
      <c r="C2475" t="str">
        <f>'4M'!$BK$56</f>
        <v>B0332TET_STD</v>
      </c>
      <c r="D2475" t="str">
        <f>_xlfn.CONCAT('4M'!$B$9, "-", '4M'!$B$56, "-", '4M'!$I$7, "-", '4M'!$F$6, "-", '4M'!$F$5)</f>
        <v>EA/NRW environmental programme (WINEP/NEP)-Total environmental programme expenditure -Sewage treatment and disposal-Wastewater network+ -Expenditure in report year</v>
      </c>
      <c r="F2475" t="s">
        <v>7182</v>
      </c>
      <c r="G2475">
        <f>'4M'!$I$56</f>
        <v>22.687999999999999</v>
      </c>
    </row>
    <row r="2476" spans="1:7">
      <c r="A2476" t="s">
        <v>643</v>
      </c>
      <c r="C2476" t="str">
        <f>'4M'!$BL$56</f>
        <v>B0332TET_SLT</v>
      </c>
      <c r="D2476" t="str">
        <f>_xlfn.CONCAT('4M'!$B$9, "-", '4M'!$B$56, "-", '4M'!$J$7, "-", '4M'!$F$6, "-", '4M'!$F$5)</f>
        <v>EA/NRW environmental programme (WINEP/NEP)-Total environmental programme expenditure -Sludge liquor treatment-Wastewater network+ -Expenditure in report year</v>
      </c>
      <c r="F2476" t="s">
        <v>7182</v>
      </c>
      <c r="G2476">
        <f>'4M'!$J$56</f>
        <v>0</v>
      </c>
    </row>
    <row r="2477" spans="1:7">
      <c r="A2477" t="s">
        <v>643</v>
      </c>
      <c r="C2477" t="str">
        <f>'4M'!$BM$56</f>
        <v>B0332TET_STP</v>
      </c>
      <c r="D2477" t="str">
        <f>_xlfn.CONCAT('4M'!$B$9, "-", '4M'!$B$56, "-", '4M'!$K$7, "-", '4M'!$K$6, "-", '4M'!$F$5)</f>
        <v>EA/NRW environmental programme (WINEP/NEP)-Total environmental programme expenditure -Sludge transport-Bioresources-Expenditure in report year</v>
      </c>
      <c r="F2477" t="s">
        <v>7182</v>
      </c>
      <c r="G2477">
        <f>'4M'!$K$56</f>
        <v>0</v>
      </c>
    </row>
    <row r="2478" spans="1:7">
      <c r="A2478" t="s">
        <v>643</v>
      </c>
      <c r="C2478" t="str">
        <f>'4M'!$BN$56</f>
        <v>B0332TET_SDT</v>
      </c>
      <c r="D2478" t="str">
        <f>_xlfn.CONCAT('4M'!$B$9, "-", '4M'!$B$56, "-", '4M'!$L$7, "-", '4M'!$K$6, "-", '4M'!$F$5)</f>
        <v>EA/NRW environmental programme (WINEP/NEP)-Total environmental programme expenditure -Sludge treatment-Bioresources-Expenditure in report year</v>
      </c>
      <c r="F2478" t="s">
        <v>7182</v>
      </c>
      <c r="G2478">
        <f>'4M'!$L$56</f>
        <v>0</v>
      </c>
    </row>
    <row r="2479" spans="1:7">
      <c r="A2479" t="s">
        <v>643</v>
      </c>
      <c r="C2479" t="str">
        <f>'4M'!$BO$56</f>
        <v>B0332TET_SD</v>
      </c>
      <c r="D2479" t="str">
        <f>_xlfn.CONCAT('4M'!$B$9, "-", '4M'!$B$56, "-", '4M'!$M$7, "-", '4M'!$K$6, "-", '4M'!$F$5)</f>
        <v>EA/NRW environmental programme (WINEP/NEP)-Total environmental programme expenditure -Sludge disposal-Bioresources-Expenditure in report year</v>
      </c>
      <c r="F2479" t="s">
        <v>7182</v>
      </c>
      <c r="G2479">
        <f>'4M'!$M$56</f>
        <v>0</v>
      </c>
    </row>
    <row r="2480" spans="1:7">
      <c r="A2480" t="s">
        <v>643</v>
      </c>
      <c r="C2480" t="str">
        <f>'4M'!$BP$56</f>
        <v>B0332TET_TOT</v>
      </c>
      <c r="D2480" t="str">
        <f>_xlfn.CONCAT('4M'!$B$9, "-", '4M'!$B$56, "-", '4M'!$N$6, "-", '4M'!$N$6, "-", '4M'!$F$5)</f>
        <v>EA/NRW environmental programme (WINEP/NEP)-Total environmental programme expenditure -Total-Total-Expenditure in report year</v>
      </c>
      <c r="F2480" t="s">
        <v>7182</v>
      </c>
      <c r="G2480">
        <f>'4M'!$N$56</f>
        <v>23.103999999999999</v>
      </c>
    </row>
    <row r="2481" spans="1:7">
      <c r="A2481" t="s">
        <v>643</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7182</v>
      </c>
      <c r="G2481">
        <f>'4M'!$X$56</f>
        <v>46.195999999999998</v>
      </c>
    </row>
    <row r="2482" spans="1:7">
      <c r="A2482" t="s">
        <v>643</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7182</v>
      </c>
      <c r="G2482">
        <f>'4M'!$Y$56</f>
        <v>70.099999999999994</v>
      </c>
    </row>
    <row r="2483" spans="1:7">
      <c r="A2483" t="s">
        <v>643</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7182</v>
      </c>
      <c r="G2483">
        <f>'4M'!$Z$56</f>
        <v>167.64700000000002</v>
      </c>
    </row>
    <row r="2484" spans="1:7">
      <c r="A2484" t="s">
        <v>643</v>
      </c>
      <c r="C2484" t="str">
        <f>'4M'!$BH$59</f>
        <v>B0333GSC_F</v>
      </c>
      <c r="D2484" t="str">
        <f>_xlfn.CONCAT('4M'!$B$58, "-", '4M'!$B$59, "-", '4M'!$F$7, "-", '4M'!$F$6, "-", '4M'!$F$5)</f>
        <v>Other enhancement-Growth at sewage treatment works (excluding sludge treatment)-Foul-Wastewater network+ -Expenditure in report year</v>
      </c>
      <c r="F2484" t="s">
        <v>7182</v>
      </c>
      <c r="G2484">
        <f>'4M'!$F$59</f>
        <v>0</v>
      </c>
    </row>
    <row r="2485" spans="1:7">
      <c r="A2485" t="s">
        <v>643</v>
      </c>
      <c r="C2485" t="str">
        <f>'4M'!$BI$59</f>
        <v>B0333GSC_SWD</v>
      </c>
      <c r="D2485" t="str">
        <f>_xlfn.CONCAT('4M'!$B$58, "-", '4M'!$B$59, "-", '4M'!$G$7, "-", '4M'!$F$6, "-", '4M'!$F$5)</f>
        <v>Other enhancement-Growth at sewage treatment works (excluding sludge treatment)-Surface water drainage-Wastewater network+ -Expenditure in report year</v>
      </c>
      <c r="F2485" t="s">
        <v>7182</v>
      </c>
      <c r="G2485">
        <f>'4M'!$G$59</f>
        <v>0</v>
      </c>
    </row>
    <row r="2486" spans="1:7">
      <c r="A2486" t="s">
        <v>643</v>
      </c>
      <c r="C2486" t="str">
        <f>'4M'!$BJ$59</f>
        <v>B0333GSC_HD</v>
      </c>
      <c r="D2486" t="str">
        <f>_xlfn.CONCAT('4M'!$B$58, "-", '4M'!$B$59, "-", '4M'!$H$7, "-", '4M'!$F$6, "-", '4M'!$F$5)</f>
        <v>Other enhancement-Growth at sewage treatment works (excluding sludge treatment)-Highway drainage-Wastewater network+ -Expenditure in report year</v>
      </c>
      <c r="F2486" t="s">
        <v>7182</v>
      </c>
      <c r="G2486">
        <f>'4M'!$H$59</f>
        <v>0</v>
      </c>
    </row>
    <row r="2487" spans="1:7">
      <c r="A2487" t="s">
        <v>643</v>
      </c>
      <c r="C2487" t="str">
        <f>'4M'!$BK$59</f>
        <v>B0333GSC_STD</v>
      </c>
      <c r="D2487" t="str">
        <f>_xlfn.CONCAT('4M'!$B$58, "-", '4M'!$B$59, "-", '4M'!$I$7, "-", '4M'!$F$6, "-", '4M'!$F$5)</f>
        <v>Other enhancement-Growth at sewage treatment works (excluding sludge treatment)-Sewage treatment and disposal-Wastewater network+ -Expenditure in report year</v>
      </c>
      <c r="F2487" t="s">
        <v>7182</v>
      </c>
      <c r="G2487">
        <f>'4M'!$I$59</f>
        <v>4.4550000000000001</v>
      </c>
    </row>
    <row r="2488" spans="1:7">
      <c r="A2488" t="s">
        <v>643</v>
      </c>
      <c r="C2488" t="str">
        <f>'4M'!$BL$59</f>
        <v>B0333GSC_SLT</v>
      </c>
      <c r="D2488" t="str">
        <f>_xlfn.CONCAT('4M'!$B$58, "-", '4M'!$B$59, "-", '4M'!$J$7, "-", '4M'!$F$6, "-", '4M'!$F$5)</f>
        <v>Other enhancement-Growth at sewage treatment works (excluding sludge treatment)-Sludge liquor treatment-Wastewater network+ -Expenditure in report year</v>
      </c>
      <c r="F2488" t="s">
        <v>7182</v>
      </c>
      <c r="G2488">
        <f>'4M'!$J$59</f>
        <v>0</v>
      </c>
    </row>
    <row r="2489" spans="1:7">
      <c r="A2489" t="s">
        <v>643</v>
      </c>
      <c r="C2489" t="str">
        <f>'4M'!$BM$59</f>
        <v>B0333GSC_STP</v>
      </c>
      <c r="D2489" t="str">
        <f>_xlfn.CONCAT('4M'!$B$58, "-", '4M'!$B$59, "-", '4M'!$K$7, "-", '4M'!$K$6, "-", '4M'!$F$5)</f>
        <v>Other enhancement-Growth at sewage treatment works (excluding sludge treatment)-Sludge transport-Bioresources-Expenditure in report year</v>
      </c>
      <c r="F2489" t="s">
        <v>7182</v>
      </c>
      <c r="G2489">
        <f>'4M'!$K$59</f>
        <v>0</v>
      </c>
    </row>
    <row r="2490" spans="1:7">
      <c r="A2490" t="s">
        <v>643</v>
      </c>
      <c r="C2490" t="str">
        <f>'4M'!$BN$59</f>
        <v>B0333GSC_SDT</v>
      </c>
      <c r="D2490" t="str">
        <f>_xlfn.CONCAT('4M'!$B$58, "-", '4M'!$B$59, "-", '4M'!$L$7, "-", '4M'!$K$6, "-", '4M'!$F$5)</f>
        <v>Other enhancement-Growth at sewage treatment works (excluding sludge treatment)-Sludge treatment-Bioresources-Expenditure in report year</v>
      </c>
      <c r="F2490" t="s">
        <v>7182</v>
      </c>
      <c r="G2490">
        <f>'4M'!$L$59</f>
        <v>0</v>
      </c>
    </row>
    <row r="2491" spans="1:7">
      <c r="A2491" t="s">
        <v>643</v>
      </c>
      <c r="C2491" t="str">
        <f>'4M'!$BO$59</f>
        <v>B0333GSC_SD</v>
      </c>
      <c r="D2491" t="str">
        <f>_xlfn.CONCAT('4M'!$B$58, "-", '4M'!$B$59, "-", '4M'!$M$7, "-", '4M'!$K$6, "-", '4M'!$F$5)</f>
        <v>Other enhancement-Growth at sewage treatment works (excluding sludge treatment)-Sludge disposal-Bioresources-Expenditure in report year</v>
      </c>
      <c r="F2491" t="s">
        <v>7182</v>
      </c>
      <c r="G2491">
        <f>'4M'!$M$59</f>
        <v>0</v>
      </c>
    </row>
    <row r="2492" spans="1:7">
      <c r="A2492" t="s">
        <v>643</v>
      </c>
      <c r="C2492" t="str">
        <f>'4M'!$BP$59</f>
        <v>B0333GSC_TOT</v>
      </c>
      <c r="D2492" t="str">
        <f>_xlfn.CONCAT('4M'!$B$58, "-", '4M'!$B$59, "-", '4M'!$N$6, "-", '4M'!$N$6, "-", '4M'!$F$5)</f>
        <v>Other enhancement-Growth at sewage treatment works (excluding sludge treatment)-Total-Total-Expenditure in report year</v>
      </c>
      <c r="F2492" t="s">
        <v>7182</v>
      </c>
      <c r="G2492">
        <f>'4M'!$N$59</f>
        <v>4.4550000000000001</v>
      </c>
    </row>
    <row r="2493" spans="1:7">
      <c r="A2493" t="s">
        <v>643</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7182</v>
      </c>
      <c r="G2493">
        <f>'4M'!$O$59</f>
        <v>0</v>
      </c>
    </row>
    <row r="2494" spans="1:7">
      <c r="A2494" t="s">
        <v>643</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7182</v>
      </c>
      <c r="G2494">
        <f>'4M'!$P$59</f>
        <v>0</v>
      </c>
    </row>
    <row r="2495" spans="1:7">
      <c r="A2495" t="s">
        <v>643</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7182</v>
      </c>
      <c r="G2495">
        <f>'4M'!$Q$59</f>
        <v>0</v>
      </c>
    </row>
    <row r="2496" spans="1:7">
      <c r="A2496" t="s">
        <v>643</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7182</v>
      </c>
      <c r="G2496">
        <f>'4M'!$R$59</f>
        <v>4.9809999999999999</v>
      </c>
    </row>
    <row r="2497" spans="1:7">
      <c r="A2497" t="s">
        <v>643</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7182</v>
      </c>
      <c r="G2497">
        <f>'4M'!$S$59</f>
        <v>0</v>
      </c>
    </row>
    <row r="2498" spans="1:7">
      <c r="A2498" t="s">
        <v>643</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7182</v>
      </c>
      <c r="G2498">
        <f>'4M'!$T$59</f>
        <v>0</v>
      </c>
    </row>
    <row r="2499" spans="1:7">
      <c r="A2499" t="s">
        <v>643</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7182</v>
      </c>
      <c r="G2499">
        <f>'4M'!$U$59</f>
        <v>0</v>
      </c>
    </row>
    <row r="2500" spans="1:7">
      <c r="A2500" t="s">
        <v>643</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7182</v>
      </c>
      <c r="G2500">
        <f>'4M'!$V$59</f>
        <v>0</v>
      </c>
    </row>
    <row r="2501" spans="1:7">
      <c r="A2501" t="s">
        <v>643</v>
      </c>
      <c r="C2501" t="str">
        <f>'4M'!$BY$59</f>
        <v>B0333GSC_C_TOT</v>
      </c>
      <c r="D2501" t="str">
        <f>_xlfn.CONCAT('4M'!$B$58, "-", '4M'!$B$59, "-", '4M'!$W$6, "-", '4M'!$W$6, "-", '4M'!$O$5)</f>
        <v>Other enhancement-Growth at sewage treatment works (excluding sludge treatment)-Total-Total-Cumulative expenditure on schemes completed in the report year</v>
      </c>
      <c r="F2501" t="s">
        <v>7182</v>
      </c>
      <c r="G2501">
        <f>'4M'!$W$59</f>
        <v>4.9809999999999999</v>
      </c>
    </row>
    <row r="2502" spans="1:7">
      <c r="A2502" t="s">
        <v>643</v>
      </c>
      <c r="C2502" t="str">
        <f>'4M'!$BH$60</f>
        <v>B0334GSO_F</v>
      </c>
      <c r="D2502" t="str">
        <f>_xlfn.CONCAT('4M'!$B$58, "-", '4M'!$B$60, "-", '4M'!$F$7, "-", '4M'!$F$6, "-", '4M'!$F$5)</f>
        <v>Other enhancement-Growth at sewage treatment works (excluding sludge treatment)-Foul-Wastewater network+ -Expenditure in report year</v>
      </c>
      <c r="F2502" t="s">
        <v>7182</v>
      </c>
      <c r="G2502">
        <f>'4M'!$F$60</f>
        <v>0</v>
      </c>
    </row>
    <row r="2503" spans="1:7">
      <c r="A2503" t="s">
        <v>643</v>
      </c>
      <c r="C2503" t="str">
        <f>'4M'!$BI$60</f>
        <v>B0334GSO_SWD</v>
      </c>
      <c r="D2503" t="str">
        <f>_xlfn.CONCAT('4M'!$B$58, "-", '4M'!$B$60, "-", '4M'!$G$7, "-", '4M'!$F$6, "-", '4M'!$F$5)</f>
        <v>Other enhancement-Growth at sewage treatment works (excluding sludge treatment)-Surface water drainage-Wastewater network+ -Expenditure in report year</v>
      </c>
      <c r="F2503" t="s">
        <v>7182</v>
      </c>
      <c r="G2503">
        <f>'4M'!$G$60</f>
        <v>0</v>
      </c>
    </row>
    <row r="2504" spans="1:7">
      <c r="A2504" t="s">
        <v>643</v>
      </c>
      <c r="C2504" t="str">
        <f>'4M'!$BJ$60</f>
        <v>B0334GSO_HD</v>
      </c>
      <c r="D2504" t="str">
        <f>_xlfn.CONCAT('4M'!$B$58, "-", '4M'!$B$60, "-", '4M'!$H$7, "-", '4M'!$F$6, "-", '4M'!$F$5)</f>
        <v>Other enhancement-Growth at sewage treatment works (excluding sludge treatment)-Highway drainage-Wastewater network+ -Expenditure in report year</v>
      </c>
      <c r="F2504" t="s">
        <v>7182</v>
      </c>
      <c r="G2504">
        <f>'4M'!$H$60</f>
        <v>0</v>
      </c>
    </row>
    <row r="2505" spans="1:7">
      <c r="A2505" t="s">
        <v>643</v>
      </c>
      <c r="C2505" t="str">
        <f>'4M'!$BK$60</f>
        <v>B0334GSO_STD</v>
      </c>
      <c r="D2505" t="str">
        <f>_xlfn.CONCAT('4M'!$B$58, "-", '4M'!$B$60, "-", '4M'!$I$7, "-", '4M'!$F$6, "-", '4M'!$F$5)</f>
        <v>Other enhancement-Growth at sewage treatment works (excluding sludge treatment)-Sewage treatment and disposal-Wastewater network+ -Expenditure in report year</v>
      </c>
      <c r="F2505" t="s">
        <v>7182</v>
      </c>
      <c r="G2505">
        <f>'4M'!$I$60</f>
        <v>7.0000000000000001E-3</v>
      </c>
    </row>
    <row r="2506" spans="1:7">
      <c r="A2506" t="s">
        <v>643</v>
      </c>
      <c r="C2506" t="str">
        <f>'4M'!$BL$60</f>
        <v>B0334GSO_SLT</v>
      </c>
      <c r="D2506" t="str">
        <f>_xlfn.CONCAT('4M'!$B$58, "-", '4M'!$B$60, "-", '4M'!$J$7, "-", '4M'!$F$6, "-", '4M'!$F$5)</f>
        <v>Other enhancement-Growth at sewage treatment works (excluding sludge treatment)-Sludge liquor treatment-Wastewater network+ -Expenditure in report year</v>
      </c>
      <c r="F2506" t="s">
        <v>7182</v>
      </c>
      <c r="G2506">
        <f>'4M'!$J$60</f>
        <v>0</v>
      </c>
    </row>
    <row r="2507" spans="1:7">
      <c r="A2507" t="s">
        <v>643</v>
      </c>
      <c r="C2507" t="str">
        <f>'4M'!$BM$60</f>
        <v>B0334GSO_STP</v>
      </c>
      <c r="D2507" t="str">
        <f>_xlfn.CONCAT('4M'!$B$58, "-", '4M'!$B$60, "-", '4M'!$K$7, "-", '4M'!$K$6, "-", '4M'!$F$5)</f>
        <v>Other enhancement-Growth at sewage treatment works (excluding sludge treatment)-Sludge transport-Bioresources-Expenditure in report year</v>
      </c>
      <c r="F2507" t="s">
        <v>7182</v>
      </c>
      <c r="G2507">
        <f>'4M'!$K$60</f>
        <v>0</v>
      </c>
    </row>
    <row r="2508" spans="1:7">
      <c r="A2508" t="s">
        <v>643</v>
      </c>
      <c r="C2508" t="str">
        <f>'4M'!$BN$60</f>
        <v>B0334GSO_SDT</v>
      </c>
      <c r="D2508" t="str">
        <f>_xlfn.CONCAT('4M'!$B$58, "-", '4M'!$B$60, "-", '4M'!$L$7, "-", '4M'!$K$6, "-", '4M'!$F$5)</f>
        <v>Other enhancement-Growth at sewage treatment works (excluding sludge treatment)-Sludge treatment-Bioresources-Expenditure in report year</v>
      </c>
      <c r="F2508" t="s">
        <v>7182</v>
      </c>
      <c r="G2508">
        <f>'4M'!$L$60</f>
        <v>0</v>
      </c>
    </row>
    <row r="2509" spans="1:7">
      <c r="A2509" t="s">
        <v>643</v>
      </c>
      <c r="C2509" t="str">
        <f>'4M'!$BO$60</f>
        <v>B0334GSO_SD</v>
      </c>
      <c r="D2509" t="str">
        <f>_xlfn.CONCAT('4M'!$B$58, "-", '4M'!$B$60, "-", '4M'!$M$7, "-", '4M'!$K$6, "-", '4M'!$F$5)</f>
        <v>Other enhancement-Growth at sewage treatment works (excluding sludge treatment)-Sludge disposal-Bioresources-Expenditure in report year</v>
      </c>
      <c r="F2509" t="s">
        <v>7182</v>
      </c>
      <c r="G2509">
        <f>'4M'!$M$60</f>
        <v>0</v>
      </c>
    </row>
    <row r="2510" spans="1:7">
      <c r="A2510" t="s">
        <v>643</v>
      </c>
      <c r="C2510" t="str">
        <f>'4M'!$BP$60</f>
        <v>B0334GSO_TOT</v>
      </c>
      <c r="D2510" t="str">
        <f>_xlfn.CONCAT('4M'!$B$58, "-", '4M'!$B$60, "-", '4M'!$N$6, "-", '4M'!$N$6, "-", '4M'!$F$5)</f>
        <v>Other enhancement-Growth at sewage treatment works (excluding sludge treatment)-Total-Total-Expenditure in report year</v>
      </c>
      <c r="F2510" t="s">
        <v>7182</v>
      </c>
      <c r="G2510">
        <f>'4M'!$N$60</f>
        <v>7.0000000000000001E-3</v>
      </c>
    </row>
    <row r="2511" spans="1:7">
      <c r="A2511" t="s">
        <v>643</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7182</v>
      </c>
      <c r="G2511">
        <f>'4M'!$O$60</f>
        <v>0</v>
      </c>
    </row>
    <row r="2512" spans="1:7">
      <c r="A2512" t="s">
        <v>643</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7182</v>
      </c>
      <c r="G2512">
        <f>'4M'!$P$60</f>
        <v>0</v>
      </c>
    </row>
    <row r="2513" spans="1:7">
      <c r="A2513" t="s">
        <v>643</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7182</v>
      </c>
      <c r="G2513">
        <f>'4M'!$Q$60</f>
        <v>0</v>
      </c>
    </row>
    <row r="2514" spans="1:7">
      <c r="A2514" t="s">
        <v>643</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7182</v>
      </c>
      <c r="G2514">
        <f>'4M'!$R$60</f>
        <v>0</v>
      </c>
    </row>
    <row r="2515" spans="1:7">
      <c r="A2515" t="s">
        <v>643</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7182</v>
      </c>
      <c r="G2515">
        <f>'4M'!$S$60</f>
        <v>0</v>
      </c>
    </row>
    <row r="2516" spans="1:7">
      <c r="A2516" t="s">
        <v>643</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7182</v>
      </c>
      <c r="G2516">
        <f>'4M'!$T$60</f>
        <v>0</v>
      </c>
    </row>
    <row r="2517" spans="1:7">
      <c r="A2517" t="s">
        <v>643</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7182</v>
      </c>
      <c r="G2517">
        <f>'4M'!$U$60</f>
        <v>0</v>
      </c>
    </row>
    <row r="2518" spans="1:7">
      <c r="A2518" t="s">
        <v>643</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7182</v>
      </c>
      <c r="G2518">
        <f>'4M'!$V$60</f>
        <v>0</v>
      </c>
    </row>
    <row r="2519" spans="1:7">
      <c r="A2519" t="s">
        <v>643</v>
      </c>
      <c r="C2519" t="str">
        <f>'4M'!$BY$60</f>
        <v>B0334GSO_C_TOT</v>
      </c>
      <c r="D2519" t="str">
        <f>_xlfn.CONCAT('4M'!$B$58, "-", '4M'!$B$60, "-", '4M'!$W$6, "-", '4M'!$W$6, "-", '4M'!$O$5)</f>
        <v>Other enhancement-Growth at sewage treatment works (excluding sludge treatment)-Total-Total-Cumulative expenditure on schemes completed in the report year</v>
      </c>
      <c r="F2519" t="s">
        <v>7182</v>
      </c>
      <c r="G2519">
        <f>'4M'!$W$60</f>
        <v>0</v>
      </c>
    </row>
    <row r="2520" spans="1:7">
      <c r="A2520" t="s">
        <v>643</v>
      </c>
      <c r="C2520" t="str">
        <f>'4M'!$BH$61</f>
        <v>B0335GST_F</v>
      </c>
      <c r="D2520" t="str">
        <f>_xlfn.CONCAT('4M'!$B$58, "-", '4M'!$B$61, "-", '4M'!$F$7, "-", '4M'!$F$6, "-", '4M'!$F$5)</f>
        <v>Other enhancement-Growth at sewage treatment works (excluding sludge treatment)-Foul-Wastewater network+ -Expenditure in report year</v>
      </c>
      <c r="F2520" t="s">
        <v>7182</v>
      </c>
      <c r="G2520">
        <f>'4M'!$F$61</f>
        <v>0</v>
      </c>
    </row>
    <row r="2521" spans="1:7">
      <c r="A2521" t="s">
        <v>643</v>
      </c>
      <c r="C2521" t="str">
        <f>'4M'!$BI$61</f>
        <v>B0335GST_SWD</v>
      </c>
      <c r="D2521" t="str">
        <f>_xlfn.CONCAT('4M'!$B$58, "-", '4M'!$B$61, "-", '4M'!$G$7, "-", '4M'!$F$6, "-", '4M'!$F$5)</f>
        <v>Other enhancement-Growth at sewage treatment works (excluding sludge treatment)-Surface water drainage-Wastewater network+ -Expenditure in report year</v>
      </c>
      <c r="F2521" t="s">
        <v>7182</v>
      </c>
      <c r="G2521">
        <f>'4M'!$G$61</f>
        <v>0</v>
      </c>
    </row>
    <row r="2522" spans="1:7">
      <c r="A2522" t="s">
        <v>643</v>
      </c>
      <c r="C2522" t="str">
        <f>'4M'!$BJ$61</f>
        <v>B0335GST_HD</v>
      </c>
      <c r="D2522" t="str">
        <f>_xlfn.CONCAT('4M'!$B$58, "-", '4M'!$B$61, "-", '4M'!$H$7, "-", '4M'!$F$6, "-", '4M'!$F$5)</f>
        <v>Other enhancement-Growth at sewage treatment works (excluding sludge treatment)-Highway drainage-Wastewater network+ -Expenditure in report year</v>
      </c>
      <c r="F2522" t="s">
        <v>7182</v>
      </c>
      <c r="G2522">
        <f>'4M'!$H$61</f>
        <v>0</v>
      </c>
    </row>
    <row r="2523" spans="1:7">
      <c r="A2523" t="s">
        <v>643</v>
      </c>
      <c r="C2523" t="str">
        <f>'4M'!$BK$61</f>
        <v>B0335GST_STD</v>
      </c>
      <c r="D2523" t="str">
        <f>_xlfn.CONCAT('4M'!$B$58, "-", '4M'!$B$61, "-", '4M'!$I$7, "-", '4M'!$F$6, "-", '4M'!$F$5)</f>
        <v>Other enhancement-Growth at sewage treatment works (excluding sludge treatment)-Sewage treatment and disposal-Wastewater network+ -Expenditure in report year</v>
      </c>
      <c r="F2523" t="s">
        <v>7182</v>
      </c>
      <c r="G2523">
        <f>'4M'!$I$61</f>
        <v>4.4619999999999997</v>
      </c>
    </row>
    <row r="2524" spans="1:7">
      <c r="A2524" t="s">
        <v>643</v>
      </c>
      <c r="C2524" t="str">
        <f>'4M'!$BL$61</f>
        <v>B0335GST_SLT</v>
      </c>
      <c r="D2524" t="str">
        <f>_xlfn.CONCAT('4M'!$B$58, "-", '4M'!$B$61, "-", '4M'!$J$7, "-", '4M'!$F$6, "-", '4M'!$F$5)</f>
        <v>Other enhancement-Growth at sewage treatment works (excluding sludge treatment)-Sludge liquor treatment-Wastewater network+ -Expenditure in report year</v>
      </c>
      <c r="F2524" t="s">
        <v>7182</v>
      </c>
      <c r="G2524">
        <f>'4M'!$J$61</f>
        <v>0</v>
      </c>
    </row>
    <row r="2525" spans="1:7">
      <c r="A2525" t="s">
        <v>643</v>
      </c>
      <c r="C2525" t="str">
        <f>'4M'!$BM$61</f>
        <v>B0335GST_STP</v>
      </c>
      <c r="D2525" t="str">
        <f>_xlfn.CONCAT('4M'!$B$58, "-", '4M'!$B$61, "-", '4M'!$K$7, "-", '4M'!$K$6, "-", '4M'!$F$5)</f>
        <v>Other enhancement-Growth at sewage treatment works (excluding sludge treatment)-Sludge transport-Bioresources-Expenditure in report year</v>
      </c>
      <c r="F2525" t="s">
        <v>7182</v>
      </c>
      <c r="G2525">
        <f>'4M'!$K$61</f>
        <v>0</v>
      </c>
    </row>
    <row r="2526" spans="1:7">
      <c r="A2526" t="s">
        <v>643</v>
      </c>
      <c r="C2526" t="str">
        <f>'4M'!$BN$61</f>
        <v>B0335GST_SDT</v>
      </c>
      <c r="D2526" t="str">
        <f>_xlfn.CONCAT('4M'!$B$58, "-", '4M'!$B$61, "-", '4M'!$L$7, "-", '4M'!$K$6, "-", '4M'!$F$5)</f>
        <v>Other enhancement-Growth at sewage treatment works (excluding sludge treatment)-Sludge treatment-Bioresources-Expenditure in report year</v>
      </c>
      <c r="F2526" t="s">
        <v>7182</v>
      </c>
      <c r="G2526">
        <f>'4M'!$L$61</f>
        <v>0</v>
      </c>
    </row>
    <row r="2527" spans="1:7">
      <c r="A2527" t="s">
        <v>643</v>
      </c>
      <c r="C2527" t="str">
        <f>'4M'!$BO$61</f>
        <v>B0335GST_SD</v>
      </c>
      <c r="D2527" t="str">
        <f>_xlfn.CONCAT('4M'!$B$58, "-", '4M'!$B$61, "-", '4M'!$M$7, "-", '4M'!$K$6, "-", '4M'!$F$5)</f>
        <v>Other enhancement-Growth at sewage treatment works (excluding sludge treatment)-Sludge disposal-Bioresources-Expenditure in report year</v>
      </c>
      <c r="F2527" t="s">
        <v>7182</v>
      </c>
      <c r="G2527">
        <f>'4M'!$M$61</f>
        <v>0</v>
      </c>
    </row>
    <row r="2528" spans="1:7">
      <c r="A2528" t="s">
        <v>643</v>
      </c>
      <c r="C2528" t="str">
        <f>'4M'!$BP$61</f>
        <v>B0335GST_TOT</v>
      </c>
      <c r="D2528" t="str">
        <f>_xlfn.CONCAT('4M'!$B$58, "-", '4M'!$B$61, "-", '4M'!$N$6, "-", '4M'!$N$6, "-", '4M'!$F$5)</f>
        <v>Other enhancement-Growth at sewage treatment works (excluding sludge treatment)-Total-Total-Expenditure in report year</v>
      </c>
      <c r="F2528" t="s">
        <v>7182</v>
      </c>
      <c r="G2528">
        <f>'4M'!$N$61</f>
        <v>4.4619999999999997</v>
      </c>
    </row>
    <row r="2529" spans="1:7">
      <c r="A2529" t="s">
        <v>643</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7182</v>
      </c>
      <c r="G2529">
        <f>'4M'!$O$61</f>
        <v>0</v>
      </c>
    </row>
    <row r="2530" spans="1:7">
      <c r="A2530" t="s">
        <v>643</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7182</v>
      </c>
      <c r="G2530">
        <f>'4M'!$P$61</f>
        <v>0</v>
      </c>
    </row>
    <row r="2531" spans="1:7">
      <c r="A2531" t="s">
        <v>643</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7182</v>
      </c>
      <c r="G2531">
        <f>'4M'!$Q$61</f>
        <v>0</v>
      </c>
    </row>
    <row r="2532" spans="1:7">
      <c r="A2532" t="s">
        <v>643</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7182</v>
      </c>
      <c r="G2532">
        <f>'4M'!$R$61</f>
        <v>4.9809999999999999</v>
      </c>
    </row>
    <row r="2533" spans="1:7">
      <c r="A2533" t="s">
        <v>643</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7182</v>
      </c>
      <c r="G2533">
        <f>'4M'!$S$61</f>
        <v>0</v>
      </c>
    </row>
    <row r="2534" spans="1:7">
      <c r="A2534" t="s">
        <v>643</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7182</v>
      </c>
      <c r="G2534">
        <f>'4M'!$T$61</f>
        <v>0</v>
      </c>
    </row>
    <row r="2535" spans="1:7">
      <c r="A2535" t="s">
        <v>643</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7182</v>
      </c>
      <c r="G2535">
        <f>'4M'!$U$61</f>
        <v>0</v>
      </c>
    </row>
    <row r="2536" spans="1:7">
      <c r="A2536" t="s">
        <v>643</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7182</v>
      </c>
      <c r="G2536">
        <f>'4M'!$V$61</f>
        <v>0</v>
      </c>
    </row>
    <row r="2537" spans="1:7">
      <c r="A2537" t="s">
        <v>643</v>
      </c>
      <c r="C2537" t="str">
        <f>'4M'!$BY$61</f>
        <v>B0335GST_C_TOT</v>
      </c>
      <c r="D2537" t="str">
        <f>_xlfn.CONCAT('4M'!$B$58, "-", '4M'!$B$61, "-", '4M'!$W$6, "-", '4M'!$W$6, "-", '4M'!$O$5)</f>
        <v>Other enhancement-Growth at sewage treatment works (excluding sludge treatment)-Total-Total-Cumulative expenditure on schemes completed in the report year</v>
      </c>
      <c r="F2537" t="s">
        <v>7182</v>
      </c>
      <c r="G2537">
        <f>'4M'!$W$61</f>
        <v>4.9809999999999999</v>
      </c>
    </row>
    <row r="2538" spans="1:7">
      <c r="A2538" t="s">
        <v>643</v>
      </c>
      <c r="C2538" t="str">
        <f>'4M'!$BH$62</f>
        <v>B0336RFC_F</v>
      </c>
      <c r="D2538" t="str">
        <f>_xlfn.CONCAT('4M'!$B$58, "-", '4M'!$B$62, "-", '4M'!$F$7, "-", '4M'!$F$6, "-", '4M'!$F$5)</f>
        <v>Other enhancement-Reduce flooding risk for properties-Foul-Wastewater network+ -Expenditure in report year</v>
      </c>
      <c r="F2538" t="s">
        <v>7182</v>
      </c>
      <c r="G2538">
        <f>'4M'!$F$62</f>
        <v>0.33100000000000002</v>
      </c>
    </row>
    <row r="2539" spans="1:7">
      <c r="A2539" t="s">
        <v>643</v>
      </c>
      <c r="C2539" t="str">
        <f>'4M'!$BI$62</f>
        <v>B0336RFC_SWD</v>
      </c>
      <c r="D2539" t="str">
        <f>_xlfn.CONCAT('4M'!$B$58, "-", '4M'!$B$62, "-", '4M'!$G$7, "-", '4M'!$F$6, "-", '4M'!$F$5)</f>
        <v>Other enhancement-Reduce flooding risk for properties-Surface water drainage-Wastewater network+ -Expenditure in report year</v>
      </c>
      <c r="F2539" t="s">
        <v>7182</v>
      </c>
      <c r="G2539">
        <f>'4M'!$G$62</f>
        <v>0.55100000000000005</v>
      </c>
    </row>
    <row r="2540" spans="1:7">
      <c r="A2540" t="s">
        <v>643</v>
      </c>
      <c r="C2540" t="str">
        <f>'4M'!$BJ$62</f>
        <v>B0336RFC_HD</v>
      </c>
      <c r="D2540" t="str">
        <f>_xlfn.CONCAT('4M'!$B$58, "-", '4M'!$B$62, "-", '4M'!$H$7, "-", '4M'!$F$6, "-", '4M'!$F$5)</f>
        <v>Other enhancement-Reduce flooding risk for properties-Highway drainage-Wastewater network+ -Expenditure in report year</v>
      </c>
      <c r="F2540" t="s">
        <v>7182</v>
      </c>
      <c r="G2540">
        <f>'4M'!$H$62</f>
        <v>0.29699999999999999</v>
      </c>
    </row>
    <row r="2541" spans="1:7">
      <c r="A2541" t="s">
        <v>643</v>
      </c>
      <c r="C2541" t="str">
        <f>'4M'!$BK$62</f>
        <v>B0336RFC_STD</v>
      </c>
      <c r="D2541" t="str">
        <f>_xlfn.CONCAT('4M'!$B$58, "-", '4M'!$B$62, "-", '4M'!$I$7, "-", '4M'!$F$6, "-", '4M'!$F$5)</f>
        <v>Other enhancement-Reduce flooding risk for properties-Sewage treatment and disposal-Wastewater network+ -Expenditure in report year</v>
      </c>
      <c r="F2541" t="s">
        <v>7182</v>
      </c>
      <c r="G2541">
        <f>'4M'!$I$62</f>
        <v>0</v>
      </c>
    </row>
    <row r="2542" spans="1:7">
      <c r="A2542" t="s">
        <v>643</v>
      </c>
      <c r="C2542" t="str">
        <f>'4M'!$BL$62</f>
        <v>B0336RFC_SLT</v>
      </c>
      <c r="D2542" t="str">
        <f>_xlfn.CONCAT('4M'!$B$58, "-", '4M'!$B$62, "-", '4M'!$J$7, "-", '4M'!$F$6, "-", '4M'!$F$5)</f>
        <v>Other enhancement-Reduce flooding risk for properties-Sludge liquor treatment-Wastewater network+ -Expenditure in report year</v>
      </c>
      <c r="F2542" t="s">
        <v>7182</v>
      </c>
      <c r="G2542">
        <f>'4M'!$J$62</f>
        <v>0</v>
      </c>
    </row>
    <row r="2543" spans="1:7">
      <c r="A2543" t="s">
        <v>643</v>
      </c>
      <c r="C2543" t="str">
        <f>'4M'!$BM$62</f>
        <v>B0336RFC_STP</v>
      </c>
      <c r="D2543" t="str">
        <f>_xlfn.CONCAT('4M'!$B$58, "-", '4M'!$B$62, "-", '4M'!$K$7, "-", '4M'!$K$6, "-", '4M'!$F$5)</f>
        <v>Other enhancement-Reduce flooding risk for properties-Sludge transport-Bioresources-Expenditure in report year</v>
      </c>
      <c r="F2543" t="s">
        <v>7182</v>
      </c>
      <c r="G2543">
        <f>'4M'!$K$62</f>
        <v>0</v>
      </c>
    </row>
    <row r="2544" spans="1:7">
      <c r="A2544" t="s">
        <v>643</v>
      </c>
      <c r="C2544" t="str">
        <f>'4M'!$BN$62</f>
        <v>B0336RFC_SDT</v>
      </c>
      <c r="D2544" t="str">
        <f>_xlfn.CONCAT('4M'!$B$58, "-", '4M'!$B$62, "-", '4M'!$L$7, "-", '4M'!$K$6, "-", '4M'!$F$5)</f>
        <v>Other enhancement-Reduce flooding risk for properties-Sludge treatment-Bioresources-Expenditure in report year</v>
      </c>
      <c r="F2544" t="s">
        <v>7182</v>
      </c>
      <c r="G2544">
        <f>'4M'!$L$62</f>
        <v>0</v>
      </c>
    </row>
    <row r="2545" spans="1:7">
      <c r="A2545" t="s">
        <v>643</v>
      </c>
      <c r="C2545" t="str">
        <f>'4M'!$BO$62</f>
        <v>B0336RFC_SD</v>
      </c>
      <c r="D2545" t="str">
        <f>_xlfn.CONCAT('4M'!$B$58, "-", '4M'!$B$62, "-", '4M'!$M$7, "-", '4M'!$K$6, "-", '4M'!$F$5)</f>
        <v>Other enhancement-Reduce flooding risk for properties-Sludge disposal-Bioresources-Expenditure in report year</v>
      </c>
      <c r="F2545" t="s">
        <v>7182</v>
      </c>
      <c r="G2545">
        <f>'4M'!$M$62</f>
        <v>0</v>
      </c>
    </row>
    <row r="2546" spans="1:7">
      <c r="A2546" t="s">
        <v>643</v>
      </c>
      <c r="C2546" t="str">
        <f>'4M'!$BP$62</f>
        <v>B0336RFC_TOT</v>
      </c>
      <c r="D2546" t="str">
        <f>_xlfn.CONCAT('4M'!$B$58, "-", '4M'!$B$62, "-", '4M'!$N$6, "-", '4M'!$N$6, "-", '4M'!$F$5)</f>
        <v>Other enhancement-Reduce flooding risk for properties-Total-Total-Expenditure in report year</v>
      </c>
      <c r="F2546" t="s">
        <v>7182</v>
      </c>
      <c r="G2546">
        <f>'4M'!$N$62</f>
        <v>1.179</v>
      </c>
    </row>
    <row r="2547" spans="1:7">
      <c r="A2547" t="s">
        <v>643</v>
      </c>
      <c r="C2547" t="str">
        <f>'4M'!$BQ$62</f>
        <v>B0336RFC_C_F</v>
      </c>
      <c r="D2547" t="str">
        <f>_xlfn.CONCAT('4M'!$B$58, "-", '4M'!$B$62, "-", '4M'!$O$7, "-", '4M'!$O$6, "-", '4M'!$O$5)</f>
        <v>Other enhancement-Reduce flooding risk for properties-Foul-Wastewater network+ -Cumulative expenditure on schemes completed in the report year</v>
      </c>
      <c r="F2547" t="s">
        <v>7182</v>
      </c>
      <c r="G2547">
        <f>'4M'!$O$62</f>
        <v>0.28599999999999998</v>
      </c>
    </row>
    <row r="2548" spans="1:7">
      <c r="A2548" t="s">
        <v>643</v>
      </c>
      <c r="C2548" t="str">
        <f>'4M'!$BR$62</f>
        <v>B0336RFC_C_SWD</v>
      </c>
      <c r="D2548" t="str">
        <f>_xlfn.CONCAT('4M'!$B$58, "-", '4M'!$B$62, "-", '4M'!$P$7, "-", '4M'!$O$6, "-", '4M'!$O$5)</f>
        <v>Other enhancement-Reduce flooding risk for properties-Surface water drainage-Wastewater network+ -Cumulative expenditure on schemes completed in the report year</v>
      </c>
      <c r="F2548" t="s">
        <v>7182</v>
      </c>
      <c r="G2548">
        <f>'4M'!$P$62</f>
        <v>0.47499999999999998</v>
      </c>
    </row>
    <row r="2549" spans="1:7">
      <c r="A2549" t="s">
        <v>643</v>
      </c>
      <c r="C2549" t="str">
        <f>'4M'!$BS$62</f>
        <v>B0336RFC_C_HD</v>
      </c>
      <c r="D2549" t="str">
        <f>_xlfn.CONCAT('4M'!$B$58, "-", '4M'!$B$62, "-", '4M'!$Q$7, "-", '4M'!$O$6, "-", '4M'!$O$5)</f>
        <v>Other enhancement-Reduce flooding risk for properties-Highway drainage-Wastewater network+ -Cumulative expenditure on schemes completed in the report year</v>
      </c>
      <c r="F2549" t="s">
        <v>7182</v>
      </c>
      <c r="G2549">
        <f>'4M'!$Q$62</f>
        <v>0.25600000000000001</v>
      </c>
    </row>
    <row r="2550" spans="1:7">
      <c r="A2550" t="s">
        <v>643</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7182</v>
      </c>
      <c r="G2550">
        <f>'4M'!$R$62</f>
        <v>0</v>
      </c>
    </row>
    <row r="2551" spans="1:7">
      <c r="A2551" t="s">
        <v>643</v>
      </c>
      <c r="C2551" t="str">
        <f>'4M'!$BU$62</f>
        <v>B0336RFC_C_SLT</v>
      </c>
      <c r="D2551" t="str">
        <f>_xlfn.CONCAT('4M'!$B$58, "-", '4M'!$B$62, "-", '4M'!$S$7, "-", '4M'!$O$6, "-", '4M'!$O$5)</f>
        <v>Other enhancement-Reduce flooding risk for properties-Sludge liquor treatment-Wastewater network+ -Cumulative expenditure on schemes completed in the report year</v>
      </c>
      <c r="F2551" t="s">
        <v>7182</v>
      </c>
      <c r="G2551">
        <f>'4M'!$S$62</f>
        <v>0</v>
      </c>
    </row>
    <row r="2552" spans="1:7">
      <c r="A2552" t="s">
        <v>643</v>
      </c>
      <c r="C2552" t="str">
        <f>'4M'!$BV$62</f>
        <v>B0336RFC_C_STP</v>
      </c>
      <c r="D2552" t="str">
        <f>_xlfn.CONCAT('4M'!$B$58, "-", '4M'!$B$62, "-", '4M'!$T$7, "-", '4M'!$T$6, "-", '4M'!$O$5)</f>
        <v>Other enhancement-Reduce flooding risk for properties-Sludge transport-Bioresources-Cumulative expenditure on schemes completed in the report year</v>
      </c>
      <c r="F2552" t="s">
        <v>7182</v>
      </c>
      <c r="G2552">
        <f>'4M'!$T$62</f>
        <v>0</v>
      </c>
    </row>
    <row r="2553" spans="1:7">
      <c r="A2553" t="s">
        <v>643</v>
      </c>
      <c r="C2553" t="str">
        <f>'4M'!$BW$62</f>
        <v>B0336RFC_C_SDT</v>
      </c>
      <c r="D2553" t="str">
        <f>_xlfn.CONCAT('4M'!$B$58, "-", '4M'!$B$62, "-", '4M'!$U$7, "-", '4M'!$T$6, "-", '4M'!$O$5)</f>
        <v>Other enhancement-Reduce flooding risk for properties-Sludge treatment-Bioresources-Cumulative expenditure on schemes completed in the report year</v>
      </c>
      <c r="F2553" t="s">
        <v>7182</v>
      </c>
      <c r="G2553">
        <f>'4M'!$U$62</f>
        <v>0</v>
      </c>
    </row>
    <row r="2554" spans="1:7">
      <c r="A2554" t="s">
        <v>643</v>
      </c>
      <c r="C2554" t="str">
        <f>'4M'!$BX$62</f>
        <v>B0336RFC_C_SD</v>
      </c>
      <c r="D2554" t="str">
        <f>_xlfn.CONCAT('4M'!$B$58, "-", '4M'!$B$62, "-", '4M'!$V$7, "-", '4M'!$T$6, "-", '4M'!$O$5)</f>
        <v>Other enhancement-Reduce flooding risk for properties-Sludge disposal-Bioresources-Cumulative expenditure on schemes completed in the report year</v>
      </c>
      <c r="F2554" t="s">
        <v>7182</v>
      </c>
      <c r="G2554">
        <f>'4M'!$V$62</f>
        <v>0</v>
      </c>
    </row>
    <row r="2555" spans="1:7">
      <c r="A2555" t="s">
        <v>643</v>
      </c>
      <c r="C2555" t="str">
        <f>'4M'!$BY$62</f>
        <v>B0336RFC_C_TOT</v>
      </c>
      <c r="D2555" t="str">
        <f>_xlfn.CONCAT('4M'!$B$58, "-", '4M'!$B$62, "-", '4M'!$W$6, "-", '4M'!$W$6, "-", '4M'!$O$5)</f>
        <v>Other enhancement-Reduce flooding risk for properties-Total-Total-Cumulative expenditure on schemes completed in the report year</v>
      </c>
      <c r="F2555" t="s">
        <v>7182</v>
      </c>
      <c r="G2555">
        <f>'4M'!$W$62</f>
        <v>1.0169999999999999</v>
      </c>
    </row>
    <row r="2556" spans="1:7">
      <c r="A2556" t="s">
        <v>643</v>
      </c>
      <c r="C2556" t="str">
        <f>'4M'!$BH$63</f>
        <v>B0337RFO_F</v>
      </c>
      <c r="D2556" t="str">
        <f>_xlfn.CONCAT('4M'!$B$58, "-", '4M'!$B$63, "-", '4M'!$F$7, "-", '4M'!$F$6, "-", '4M'!$F$5)</f>
        <v>Other enhancement-Reduce flooding risk for properties-Foul-Wastewater network+ -Expenditure in report year</v>
      </c>
      <c r="F2556" t="s">
        <v>7182</v>
      </c>
      <c r="G2556">
        <f>'4M'!$F$63</f>
        <v>0</v>
      </c>
    </row>
    <row r="2557" spans="1:7">
      <c r="A2557" t="s">
        <v>643</v>
      </c>
      <c r="C2557" t="str">
        <f>'4M'!$BI$63</f>
        <v>B0337RFO_SWD</v>
      </c>
      <c r="D2557" t="str">
        <f>_xlfn.CONCAT('4M'!$B$58, "-", '4M'!$B$63, "-", '4M'!$G$7, "-", '4M'!$F$6, "-", '4M'!$F$5)</f>
        <v>Other enhancement-Reduce flooding risk for properties-Surface water drainage-Wastewater network+ -Expenditure in report year</v>
      </c>
      <c r="F2557" t="s">
        <v>7182</v>
      </c>
      <c r="G2557">
        <f>'4M'!$G$63</f>
        <v>0</v>
      </c>
    </row>
    <row r="2558" spans="1:7">
      <c r="A2558" t="s">
        <v>643</v>
      </c>
      <c r="C2558" t="str">
        <f>'4M'!$BJ$63</f>
        <v>B0337RFO_HD</v>
      </c>
      <c r="D2558" t="str">
        <f>_xlfn.CONCAT('4M'!$B$58, "-", '4M'!$B$63, "-", '4M'!$H$7, "-", '4M'!$F$6, "-", '4M'!$F$5)</f>
        <v>Other enhancement-Reduce flooding risk for properties-Highway drainage-Wastewater network+ -Expenditure in report year</v>
      </c>
      <c r="F2558" t="s">
        <v>7182</v>
      </c>
      <c r="G2558">
        <f>'4M'!$H$63</f>
        <v>0</v>
      </c>
    </row>
    <row r="2559" spans="1:7">
      <c r="A2559" t="s">
        <v>643</v>
      </c>
      <c r="C2559" t="str">
        <f>'4M'!$BK$63</f>
        <v>B0337RFO_STD</v>
      </c>
      <c r="D2559" t="str">
        <f>_xlfn.CONCAT('4M'!$B$58, "-", '4M'!$B$63, "-", '4M'!$I$7, "-", '4M'!$F$6, "-", '4M'!$F$5)</f>
        <v>Other enhancement-Reduce flooding risk for properties-Sewage treatment and disposal-Wastewater network+ -Expenditure in report year</v>
      </c>
      <c r="F2559" t="s">
        <v>7182</v>
      </c>
      <c r="G2559">
        <f>'4M'!$I$63</f>
        <v>0</v>
      </c>
    </row>
    <row r="2560" spans="1:7">
      <c r="A2560" t="s">
        <v>643</v>
      </c>
      <c r="C2560" t="str">
        <f>'4M'!$BL$63</f>
        <v>B0337RFO_SLT</v>
      </c>
      <c r="D2560" t="str">
        <f>_xlfn.CONCAT('4M'!$B$58, "-", '4M'!$B$63, "-", '4M'!$J$7, "-", '4M'!$F$6, "-", '4M'!$F$5)</f>
        <v>Other enhancement-Reduce flooding risk for properties-Sludge liquor treatment-Wastewater network+ -Expenditure in report year</v>
      </c>
      <c r="F2560" t="s">
        <v>7182</v>
      </c>
      <c r="G2560">
        <f>'4M'!$J$63</f>
        <v>0</v>
      </c>
    </row>
    <row r="2561" spans="1:7">
      <c r="A2561" t="s">
        <v>643</v>
      </c>
      <c r="C2561" t="str">
        <f>'4M'!$BM$63</f>
        <v>B0337RFO_STP</v>
      </c>
      <c r="D2561" t="str">
        <f>_xlfn.CONCAT('4M'!$B$58, "-", '4M'!$B$63, "-", '4M'!$K$7, "-", '4M'!$K$6, "-", '4M'!$F$5)</f>
        <v>Other enhancement-Reduce flooding risk for properties-Sludge transport-Bioresources-Expenditure in report year</v>
      </c>
      <c r="F2561" t="s">
        <v>7182</v>
      </c>
      <c r="G2561">
        <f>'4M'!$K$63</f>
        <v>0</v>
      </c>
    </row>
    <row r="2562" spans="1:7">
      <c r="A2562" t="s">
        <v>643</v>
      </c>
      <c r="C2562" t="str">
        <f>'4M'!$BN$63</f>
        <v>B0337RFO_SDT</v>
      </c>
      <c r="D2562" t="str">
        <f>_xlfn.CONCAT('4M'!$B$58, "-", '4M'!$B$63, "-", '4M'!$L$7, "-", '4M'!$K$6, "-", '4M'!$F$5)</f>
        <v>Other enhancement-Reduce flooding risk for properties-Sludge treatment-Bioresources-Expenditure in report year</v>
      </c>
      <c r="F2562" t="s">
        <v>7182</v>
      </c>
      <c r="G2562">
        <f>'4M'!$L$63</f>
        <v>0</v>
      </c>
    </row>
    <row r="2563" spans="1:7">
      <c r="A2563" t="s">
        <v>643</v>
      </c>
      <c r="C2563" t="str">
        <f>'4M'!$BO$63</f>
        <v>B0337RFO_SD</v>
      </c>
      <c r="D2563" t="str">
        <f>_xlfn.CONCAT('4M'!$B$58, "-", '4M'!$B$63, "-", '4M'!$M$7, "-", '4M'!$K$6, "-", '4M'!$F$5)</f>
        <v>Other enhancement-Reduce flooding risk for properties-Sludge disposal-Bioresources-Expenditure in report year</v>
      </c>
      <c r="F2563" t="s">
        <v>7182</v>
      </c>
      <c r="G2563">
        <f>'4M'!$M$63</f>
        <v>0</v>
      </c>
    </row>
    <row r="2564" spans="1:7">
      <c r="A2564" t="s">
        <v>643</v>
      </c>
      <c r="C2564" t="str">
        <f>'4M'!$BP$63</f>
        <v>B0337RFO_TOT</v>
      </c>
      <c r="D2564" t="str">
        <f>_xlfn.CONCAT('4M'!$B$58, "-", '4M'!$B$63, "-", '4M'!$N$6, "-", '4M'!$N$6, "-", '4M'!$F$5)</f>
        <v>Other enhancement-Reduce flooding risk for properties-Total-Total-Expenditure in report year</v>
      </c>
      <c r="F2564" t="s">
        <v>7182</v>
      </c>
      <c r="G2564">
        <f>'4M'!$N$63</f>
        <v>0</v>
      </c>
    </row>
    <row r="2565" spans="1:7">
      <c r="A2565" t="s">
        <v>643</v>
      </c>
      <c r="C2565" t="str">
        <f>'4M'!$BQ$63</f>
        <v>B0337RFO_C_F</v>
      </c>
      <c r="D2565" t="str">
        <f>_xlfn.CONCAT('4M'!$B$58, "-", '4M'!$B$63, "-", '4M'!$O$7, "-", '4M'!$O$6, "-", '4M'!$O$5)</f>
        <v>Other enhancement-Reduce flooding risk for properties-Foul-Wastewater network+ -Cumulative expenditure on schemes completed in the report year</v>
      </c>
      <c r="F2565" t="s">
        <v>7182</v>
      </c>
      <c r="G2565">
        <f>'4M'!$O$63</f>
        <v>0</v>
      </c>
    </row>
    <row r="2566" spans="1:7">
      <c r="A2566" t="s">
        <v>643</v>
      </c>
      <c r="C2566" t="str">
        <f>'4M'!$BR$63</f>
        <v>B0337RFO_C_SWD</v>
      </c>
      <c r="D2566" t="str">
        <f>_xlfn.CONCAT('4M'!$B$58, "-", '4M'!$B$63, "-", '4M'!$P$7, "-", '4M'!$O$6, "-", '4M'!$O$5)</f>
        <v>Other enhancement-Reduce flooding risk for properties-Surface water drainage-Wastewater network+ -Cumulative expenditure on schemes completed in the report year</v>
      </c>
      <c r="F2566" t="s">
        <v>7182</v>
      </c>
      <c r="G2566">
        <f>'4M'!$P$63</f>
        <v>0</v>
      </c>
    </row>
    <row r="2567" spans="1:7">
      <c r="A2567" t="s">
        <v>643</v>
      </c>
      <c r="C2567" t="str">
        <f>'4M'!$BS$63</f>
        <v>B0337RFO_C_HD</v>
      </c>
      <c r="D2567" t="str">
        <f>_xlfn.CONCAT('4M'!$B$58, "-", '4M'!$B$63, "-", '4M'!$Q$7, "-", '4M'!$O$6, "-", '4M'!$O$5)</f>
        <v>Other enhancement-Reduce flooding risk for properties-Highway drainage-Wastewater network+ -Cumulative expenditure on schemes completed in the report year</v>
      </c>
      <c r="F2567" t="s">
        <v>7182</v>
      </c>
      <c r="G2567">
        <f>'4M'!$Q$63</f>
        <v>0</v>
      </c>
    </row>
    <row r="2568" spans="1:7">
      <c r="A2568" t="s">
        <v>643</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7182</v>
      </c>
      <c r="G2568">
        <f>'4M'!$R$63</f>
        <v>0</v>
      </c>
    </row>
    <row r="2569" spans="1:7">
      <c r="A2569" t="s">
        <v>643</v>
      </c>
      <c r="C2569" t="str">
        <f>'4M'!$BU$63</f>
        <v>B0337RFO_C_SLT</v>
      </c>
      <c r="D2569" t="str">
        <f>_xlfn.CONCAT('4M'!$B$58, "-", '4M'!$B$63, "-", '4M'!$S$7, "-", '4M'!$O$6, "-", '4M'!$O$5)</f>
        <v>Other enhancement-Reduce flooding risk for properties-Sludge liquor treatment-Wastewater network+ -Cumulative expenditure on schemes completed in the report year</v>
      </c>
      <c r="F2569" t="s">
        <v>7182</v>
      </c>
      <c r="G2569">
        <f>'4M'!$S$63</f>
        <v>0</v>
      </c>
    </row>
    <row r="2570" spans="1:7">
      <c r="A2570" t="s">
        <v>643</v>
      </c>
      <c r="C2570" t="str">
        <f>'4M'!$BV$63</f>
        <v>B0337RFO_C_STP</v>
      </c>
      <c r="D2570" t="str">
        <f>_xlfn.CONCAT('4M'!$B$58, "-", '4M'!$B$63, "-", '4M'!$T$7, "-", '4M'!$T$6, "-", '4M'!$O$5)</f>
        <v>Other enhancement-Reduce flooding risk for properties-Sludge transport-Bioresources-Cumulative expenditure on schemes completed in the report year</v>
      </c>
      <c r="F2570" t="s">
        <v>7182</v>
      </c>
      <c r="G2570">
        <f>'4M'!$T$63</f>
        <v>0</v>
      </c>
    </row>
    <row r="2571" spans="1:7">
      <c r="A2571" t="s">
        <v>643</v>
      </c>
      <c r="C2571" t="str">
        <f>'4M'!$BW$63</f>
        <v>B0337RFO_C_SDT</v>
      </c>
      <c r="D2571" t="str">
        <f>_xlfn.CONCAT('4M'!$B$58, "-", '4M'!$B$63, "-", '4M'!$U$7, "-", '4M'!$T$6, "-", '4M'!$O$5)</f>
        <v>Other enhancement-Reduce flooding risk for properties-Sludge treatment-Bioresources-Cumulative expenditure on schemes completed in the report year</v>
      </c>
      <c r="F2571" t="s">
        <v>7182</v>
      </c>
      <c r="G2571">
        <f>'4M'!$U$63</f>
        <v>0</v>
      </c>
    </row>
    <row r="2572" spans="1:7">
      <c r="A2572" t="s">
        <v>643</v>
      </c>
      <c r="C2572" t="str">
        <f>'4M'!$BX$63</f>
        <v>B0337RFO_C_SD</v>
      </c>
      <c r="D2572" t="str">
        <f>_xlfn.CONCAT('4M'!$B$58, "-", '4M'!$B$63, "-", '4M'!$V$7, "-", '4M'!$T$6, "-", '4M'!$O$5)</f>
        <v>Other enhancement-Reduce flooding risk for properties-Sludge disposal-Bioresources-Cumulative expenditure on schemes completed in the report year</v>
      </c>
      <c r="F2572" t="s">
        <v>7182</v>
      </c>
      <c r="G2572">
        <f>'4M'!$V$63</f>
        <v>0</v>
      </c>
    </row>
    <row r="2573" spans="1:7">
      <c r="A2573" t="s">
        <v>643</v>
      </c>
      <c r="C2573" t="str">
        <f>'4M'!$BY$63</f>
        <v>B0337RFO_C_TOT</v>
      </c>
      <c r="D2573" t="str">
        <f>_xlfn.CONCAT('4M'!$B$58, "-", '4M'!$B$63, "-", '4M'!$W$6, "-", '4M'!$W$6, "-", '4M'!$O$5)</f>
        <v>Other enhancement-Reduce flooding risk for properties-Total-Total-Cumulative expenditure on schemes completed in the report year</v>
      </c>
      <c r="F2573" t="s">
        <v>7182</v>
      </c>
      <c r="G2573">
        <f>'4M'!$W$63</f>
        <v>0</v>
      </c>
    </row>
    <row r="2574" spans="1:7">
      <c r="A2574" t="s">
        <v>643</v>
      </c>
      <c r="C2574" t="str">
        <f>'4M'!$BH$64</f>
        <v>B0338RFT_F</v>
      </c>
      <c r="D2574" t="str">
        <f>_xlfn.CONCAT('4M'!$B$58, "-", '4M'!$B$64, "-", '4M'!$F$7, "-", '4M'!$F$6, "-", '4M'!$F$5)</f>
        <v>Other enhancement-Reduce flooding risk for properties-Foul-Wastewater network+ -Expenditure in report year</v>
      </c>
      <c r="F2574" t="s">
        <v>7182</v>
      </c>
      <c r="G2574">
        <f>'4M'!$F$64</f>
        <v>0.33100000000000002</v>
      </c>
    </row>
    <row r="2575" spans="1:7">
      <c r="A2575" t="s">
        <v>643</v>
      </c>
      <c r="C2575" t="str">
        <f>'4M'!$BI$64</f>
        <v>B0338RFT_SWD</v>
      </c>
      <c r="D2575" t="str">
        <f>_xlfn.CONCAT('4M'!$B$58, "-", '4M'!$B$64, "-", '4M'!$G$7, "-", '4M'!$F$6, "-", '4M'!$F$5)</f>
        <v>Other enhancement-Reduce flooding risk for properties-Surface water drainage-Wastewater network+ -Expenditure in report year</v>
      </c>
      <c r="F2575" t="s">
        <v>7182</v>
      </c>
      <c r="G2575">
        <f>'4M'!$G$64</f>
        <v>0.55100000000000005</v>
      </c>
    </row>
    <row r="2576" spans="1:7">
      <c r="A2576" t="s">
        <v>643</v>
      </c>
      <c r="C2576" t="str">
        <f>'4M'!$BJ$64</f>
        <v>B0338RFT_HD</v>
      </c>
      <c r="D2576" t="str">
        <f>_xlfn.CONCAT('4M'!$B$58, "-", '4M'!$B$64, "-", '4M'!$H$7, "-", '4M'!$F$6, "-", '4M'!$F$5)</f>
        <v>Other enhancement-Reduce flooding risk for properties-Highway drainage-Wastewater network+ -Expenditure in report year</v>
      </c>
      <c r="F2576" t="s">
        <v>7182</v>
      </c>
      <c r="G2576">
        <f>'4M'!$H$64</f>
        <v>0.29699999999999999</v>
      </c>
    </row>
    <row r="2577" spans="1:7">
      <c r="A2577" t="s">
        <v>643</v>
      </c>
      <c r="C2577" t="str">
        <f>'4M'!$BK$64</f>
        <v>B0338RFT_STD</v>
      </c>
      <c r="D2577" t="str">
        <f>_xlfn.CONCAT('4M'!$B$58, "-", '4M'!$B$64, "-", '4M'!$I$7, "-", '4M'!$F$6, "-", '4M'!$F$5)</f>
        <v>Other enhancement-Reduce flooding risk for properties-Sewage treatment and disposal-Wastewater network+ -Expenditure in report year</v>
      </c>
      <c r="F2577" t="s">
        <v>7182</v>
      </c>
      <c r="G2577">
        <f>'4M'!$I$64</f>
        <v>0</v>
      </c>
    </row>
    <row r="2578" spans="1:7">
      <c r="A2578" t="s">
        <v>643</v>
      </c>
      <c r="C2578" t="str">
        <f>'4M'!$BL$64</f>
        <v>B0338RFT_SLT</v>
      </c>
      <c r="D2578" t="str">
        <f>_xlfn.CONCAT('4M'!$B$58, "-", '4M'!$B$64, "-", '4M'!$J$7, "-", '4M'!$F$6, "-", '4M'!$F$5)</f>
        <v>Other enhancement-Reduce flooding risk for properties-Sludge liquor treatment-Wastewater network+ -Expenditure in report year</v>
      </c>
      <c r="F2578" t="s">
        <v>7182</v>
      </c>
      <c r="G2578">
        <f>'4M'!$J$64</f>
        <v>0</v>
      </c>
    </row>
    <row r="2579" spans="1:7">
      <c r="A2579" t="s">
        <v>643</v>
      </c>
      <c r="C2579" t="str">
        <f>'4M'!$BM$64</f>
        <v>B0338RFT_STP</v>
      </c>
      <c r="D2579" t="str">
        <f>_xlfn.CONCAT('4M'!$B$58, "-", '4M'!$B$64, "-", '4M'!$K$7, "-", '4M'!$K$6, "-", '4M'!$F$5)</f>
        <v>Other enhancement-Reduce flooding risk for properties-Sludge transport-Bioresources-Expenditure in report year</v>
      </c>
      <c r="F2579" t="s">
        <v>7182</v>
      </c>
      <c r="G2579">
        <f>'4M'!$K$64</f>
        <v>0</v>
      </c>
    </row>
    <row r="2580" spans="1:7">
      <c r="A2580" t="s">
        <v>643</v>
      </c>
      <c r="C2580" t="str">
        <f>'4M'!$BN$64</f>
        <v>B0338RFT_SDT</v>
      </c>
      <c r="D2580" t="str">
        <f>_xlfn.CONCAT('4M'!$B$58, "-", '4M'!$B$64, "-", '4M'!$L$7, "-", '4M'!$K$6, "-", '4M'!$F$5)</f>
        <v>Other enhancement-Reduce flooding risk for properties-Sludge treatment-Bioresources-Expenditure in report year</v>
      </c>
      <c r="F2580" t="s">
        <v>7182</v>
      </c>
      <c r="G2580">
        <f>'4M'!$L$64</f>
        <v>0</v>
      </c>
    </row>
    <row r="2581" spans="1:7">
      <c r="A2581" t="s">
        <v>643</v>
      </c>
      <c r="C2581" t="str">
        <f>'4M'!$BO$64</f>
        <v>B0338RFT_SD</v>
      </c>
      <c r="D2581" t="str">
        <f>_xlfn.CONCAT('4M'!$B$58, "-", '4M'!$B$64, "-", '4M'!$M$7, "-", '4M'!$K$6, "-", '4M'!$F$5)</f>
        <v>Other enhancement-Reduce flooding risk for properties-Sludge disposal-Bioresources-Expenditure in report year</v>
      </c>
      <c r="F2581" t="s">
        <v>7182</v>
      </c>
      <c r="G2581">
        <f>'4M'!$M$64</f>
        <v>0</v>
      </c>
    </row>
    <row r="2582" spans="1:7">
      <c r="A2582" t="s">
        <v>643</v>
      </c>
      <c r="C2582" t="str">
        <f>'4M'!$BP$64</f>
        <v>B0338RFT_TOT</v>
      </c>
      <c r="D2582" t="str">
        <f>_xlfn.CONCAT('4M'!$B$58, "-", '4M'!$B$64, "-", '4M'!$N$6, "-", '4M'!$N$6, "-", '4M'!$F$5)</f>
        <v>Other enhancement-Reduce flooding risk for properties-Total-Total-Expenditure in report year</v>
      </c>
      <c r="F2582" t="s">
        <v>7182</v>
      </c>
      <c r="G2582">
        <f>'4M'!$N$64</f>
        <v>1.179</v>
      </c>
    </row>
    <row r="2583" spans="1:7">
      <c r="A2583" t="s">
        <v>643</v>
      </c>
      <c r="C2583" t="str">
        <f>'4M'!$BQ$64</f>
        <v>B0338RFT_C_F</v>
      </c>
      <c r="D2583" t="str">
        <f>_xlfn.CONCAT('4M'!$B$58, "-", '4M'!$B$64, "-", '4M'!$O$7, "-", '4M'!$O$6, "-", '4M'!$O$5)</f>
        <v>Other enhancement-Reduce flooding risk for properties-Foul-Wastewater network+ -Cumulative expenditure on schemes completed in the report year</v>
      </c>
      <c r="F2583" t="s">
        <v>7182</v>
      </c>
      <c r="G2583">
        <f>'4M'!$O$64</f>
        <v>0.28599999999999998</v>
      </c>
    </row>
    <row r="2584" spans="1:7">
      <c r="A2584" t="s">
        <v>643</v>
      </c>
      <c r="C2584" t="str">
        <f>'4M'!$BR$64</f>
        <v>B0338RFT_C_SWD</v>
      </c>
      <c r="D2584" t="str">
        <f>_xlfn.CONCAT('4M'!$B$58, "-", '4M'!$B$64, "-", '4M'!$P$7, "-", '4M'!$O$6, "-", '4M'!$O$5)</f>
        <v>Other enhancement-Reduce flooding risk for properties-Surface water drainage-Wastewater network+ -Cumulative expenditure on schemes completed in the report year</v>
      </c>
      <c r="F2584" t="s">
        <v>7182</v>
      </c>
      <c r="G2584">
        <f>'4M'!$P$64</f>
        <v>0.47499999999999998</v>
      </c>
    </row>
    <row r="2585" spans="1:7">
      <c r="A2585" t="s">
        <v>643</v>
      </c>
      <c r="C2585" t="str">
        <f>'4M'!$BS$64</f>
        <v>B0338RFT_C_HD</v>
      </c>
      <c r="D2585" t="str">
        <f>_xlfn.CONCAT('4M'!$B$58, "-", '4M'!$B$64, "-", '4M'!$Q$7, "-", '4M'!$O$6, "-", '4M'!$O$5)</f>
        <v>Other enhancement-Reduce flooding risk for properties-Highway drainage-Wastewater network+ -Cumulative expenditure on schemes completed in the report year</v>
      </c>
      <c r="F2585" t="s">
        <v>7182</v>
      </c>
      <c r="G2585">
        <f>'4M'!$Q$64</f>
        <v>0.25600000000000001</v>
      </c>
    </row>
    <row r="2586" spans="1:7">
      <c r="A2586" t="s">
        <v>643</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7182</v>
      </c>
      <c r="G2586">
        <f>'4M'!$R$64</f>
        <v>0</v>
      </c>
    </row>
    <row r="2587" spans="1:7">
      <c r="A2587" t="s">
        <v>643</v>
      </c>
      <c r="C2587" t="str">
        <f>'4M'!$BU$64</f>
        <v>B0338RFT_C_SLT</v>
      </c>
      <c r="D2587" t="str">
        <f>_xlfn.CONCAT('4M'!$B$58, "-", '4M'!$B$64, "-", '4M'!$S$7, "-", '4M'!$O$6, "-", '4M'!$O$5)</f>
        <v>Other enhancement-Reduce flooding risk for properties-Sludge liquor treatment-Wastewater network+ -Cumulative expenditure on schemes completed in the report year</v>
      </c>
      <c r="F2587" t="s">
        <v>7182</v>
      </c>
      <c r="G2587">
        <f>'4M'!$S$64</f>
        <v>0</v>
      </c>
    </row>
    <row r="2588" spans="1:7">
      <c r="A2588" t="s">
        <v>643</v>
      </c>
      <c r="C2588" t="str">
        <f>'4M'!$BV$64</f>
        <v>B0338RFT_C_STP</v>
      </c>
      <c r="D2588" t="str">
        <f>_xlfn.CONCAT('4M'!$B$58, "-", '4M'!$B$64, "-", '4M'!$T$7, "-", '4M'!$T$6, "-", '4M'!$O$5)</f>
        <v>Other enhancement-Reduce flooding risk for properties-Sludge transport-Bioresources-Cumulative expenditure on schemes completed in the report year</v>
      </c>
      <c r="F2588" t="s">
        <v>7182</v>
      </c>
      <c r="G2588">
        <f>'4M'!$T$64</f>
        <v>0</v>
      </c>
    </row>
    <row r="2589" spans="1:7">
      <c r="A2589" t="s">
        <v>643</v>
      </c>
      <c r="C2589" t="str">
        <f>'4M'!$BW$64</f>
        <v>B0338RFT_C_SDT</v>
      </c>
      <c r="D2589" t="str">
        <f>_xlfn.CONCAT('4M'!$B$58, "-", '4M'!$B$64, "-", '4M'!$U$7, "-", '4M'!$T$6, "-", '4M'!$O$5)</f>
        <v>Other enhancement-Reduce flooding risk for properties-Sludge treatment-Bioresources-Cumulative expenditure on schemes completed in the report year</v>
      </c>
      <c r="F2589" t="s">
        <v>7182</v>
      </c>
      <c r="G2589">
        <f>'4M'!$U$64</f>
        <v>0</v>
      </c>
    </row>
    <row r="2590" spans="1:7">
      <c r="A2590" t="s">
        <v>643</v>
      </c>
      <c r="C2590" t="str">
        <f>'4M'!$BX$64</f>
        <v>B0338RFT_C_SD</v>
      </c>
      <c r="D2590" t="str">
        <f>_xlfn.CONCAT('4M'!$B$58, "-", '4M'!$B$64, "-", '4M'!$V$7, "-", '4M'!$T$6, "-", '4M'!$O$5)</f>
        <v>Other enhancement-Reduce flooding risk for properties-Sludge disposal-Bioresources-Cumulative expenditure on schemes completed in the report year</v>
      </c>
      <c r="F2590" t="s">
        <v>7182</v>
      </c>
      <c r="G2590">
        <f>'4M'!$V$64</f>
        <v>0</v>
      </c>
    </row>
    <row r="2591" spans="1:7">
      <c r="A2591" t="s">
        <v>643</v>
      </c>
      <c r="C2591" t="str">
        <f>'4M'!$BY$64</f>
        <v>B0338RFT_C_TOT</v>
      </c>
      <c r="D2591" t="str">
        <f>_xlfn.CONCAT('4M'!$B$58, "-", '4M'!$B$64, "-", '4M'!$W$6, "-", '4M'!$W$6, "-", '4M'!$O$5)</f>
        <v>Other enhancement-Reduce flooding risk for properties-Total-Total-Cumulative expenditure on schemes completed in the report year</v>
      </c>
      <c r="F2591" t="s">
        <v>7182</v>
      </c>
      <c r="G2591">
        <f>'4M'!$W$64</f>
        <v>1.0169999999999999</v>
      </c>
    </row>
    <row r="2592" spans="1:7">
      <c r="A2592" t="s">
        <v>643</v>
      </c>
      <c r="C2592" t="str">
        <f>'4M'!$BH$65</f>
        <v>B0339FTC_F</v>
      </c>
      <c r="D2592" t="str">
        <f>_xlfn.CONCAT('4M'!$B$58, "-", '4M'!$B$65, "-", '4M'!$F$7, "-", '4M'!$F$6, "-", '4M'!$F$5)</f>
        <v>Other enhancement-First time sewerage-Foul-Wastewater network+ -Expenditure in report year</v>
      </c>
      <c r="F2592" t="s">
        <v>7182</v>
      </c>
      <c r="G2592">
        <f>'4M'!$F$65</f>
        <v>1.7999999999999999E-2</v>
      </c>
    </row>
    <row r="2593" spans="1:7">
      <c r="A2593" t="s">
        <v>643</v>
      </c>
      <c r="C2593" t="str">
        <f>'4M'!$BI$65</f>
        <v>B0339FTC_SWD</v>
      </c>
      <c r="D2593" t="str">
        <f>_xlfn.CONCAT('4M'!$B$58, "-", '4M'!$B$65, "-", '4M'!$G$7, "-", '4M'!$F$6, "-", '4M'!$F$5)</f>
        <v>Other enhancement-First time sewerage-Surface water drainage-Wastewater network+ -Expenditure in report year</v>
      </c>
      <c r="F2593" t="s">
        <v>7182</v>
      </c>
      <c r="G2593">
        <f>'4M'!$G$65</f>
        <v>0.03</v>
      </c>
    </row>
    <row r="2594" spans="1:7">
      <c r="A2594" t="s">
        <v>643</v>
      </c>
      <c r="C2594" t="str">
        <f>'4M'!$BJ$65</f>
        <v>B0339FTC_HD</v>
      </c>
      <c r="D2594" t="str">
        <f>_xlfn.CONCAT('4M'!$B$58, "-", '4M'!$B$65, "-", '4M'!$H$7, "-", '4M'!$F$6, "-", '4M'!$F$5)</f>
        <v>Other enhancement-First time sewerage-Highway drainage-Wastewater network+ -Expenditure in report year</v>
      </c>
      <c r="F2594" t="s">
        <v>7182</v>
      </c>
      <c r="G2594">
        <f>'4M'!$H$65</f>
        <v>1.6E-2</v>
      </c>
    </row>
    <row r="2595" spans="1:7">
      <c r="A2595" t="s">
        <v>643</v>
      </c>
      <c r="C2595" t="str">
        <f>'4M'!$BK$65</f>
        <v>B0339FTC_STD</v>
      </c>
      <c r="D2595" t="str">
        <f>_xlfn.CONCAT('4M'!$B$58, "-", '4M'!$B$65, "-", '4M'!$I$7, "-", '4M'!$F$6, "-", '4M'!$F$5)</f>
        <v>Other enhancement-First time sewerage-Sewage treatment and disposal-Wastewater network+ -Expenditure in report year</v>
      </c>
      <c r="F2595" t="s">
        <v>7182</v>
      </c>
      <c r="G2595">
        <f>'4M'!$I$65</f>
        <v>0</v>
      </c>
    </row>
    <row r="2596" spans="1:7">
      <c r="A2596" t="s">
        <v>643</v>
      </c>
      <c r="C2596" t="str">
        <f>'4M'!$BL$65</f>
        <v>B0339FTC_SLT</v>
      </c>
      <c r="D2596" t="str">
        <f>_xlfn.CONCAT('4M'!$B$58, "-", '4M'!$B$65, "-", '4M'!$J$7, "-", '4M'!$F$6, "-", '4M'!$F$5)</f>
        <v>Other enhancement-First time sewerage-Sludge liquor treatment-Wastewater network+ -Expenditure in report year</v>
      </c>
      <c r="F2596" t="s">
        <v>7182</v>
      </c>
      <c r="G2596">
        <f>'4M'!$J$65</f>
        <v>0</v>
      </c>
    </row>
    <row r="2597" spans="1:7">
      <c r="A2597" t="s">
        <v>643</v>
      </c>
      <c r="C2597" t="str">
        <f>'4M'!$BM$65</f>
        <v>B0339FTC_STP</v>
      </c>
      <c r="D2597" t="str">
        <f>_xlfn.CONCAT('4M'!$B$58, "-", '4M'!$B$65, "-", '4M'!$K$7, "-", '4M'!$K$6, "-", '4M'!$F$5)</f>
        <v>Other enhancement-First time sewerage-Sludge transport-Bioresources-Expenditure in report year</v>
      </c>
      <c r="F2597" t="s">
        <v>7182</v>
      </c>
      <c r="G2597">
        <f>'4M'!$K$65</f>
        <v>0</v>
      </c>
    </row>
    <row r="2598" spans="1:7">
      <c r="A2598" t="s">
        <v>643</v>
      </c>
      <c r="C2598" t="str">
        <f>'4M'!$BN$65</f>
        <v>B0339FTC_SDT</v>
      </c>
      <c r="D2598" t="str">
        <f>_xlfn.CONCAT('4M'!$B$58, "-", '4M'!$B$65, "-", '4M'!$L$7, "-", '4M'!$K$6, "-", '4M'!$F$5)</f>
        <v>Other enhancement-First time sewerage-Sludge treatment-Bioresources-Expenditure in report year</v>
      </c>
      <c r="F2598" t="s">
        <v>7182</v>
      </c>
      <c r="G2598">
        <f>'4M'!$L$65</f>
        <v>0</v>
      </c>
    </row>
    <row r="2599" spans="1:7">
      <c r="A2599" t="s">
        <v>643</v>
      </c>
      <c r="C2599" t="str">
        <f>'4M'!$BO$65</f>
        <v>B0339FTC_SD</v>
      </c>
      <c r="D2599" t="str">
        <f>_xlfn.CONCAT('4M'!$B$58, "-", '4M'!$B$65, "-", '4M'!$M$7, "-", '4M'!$K$6, "-", '4M'!$F$5)</f>
        <v>Other enhancement-First time sewerage-Sludge disposal-Bioresources-Expenditure in report year</v>
      </c>
      <c r="F2599" t="s">
        <v>7182</v>
      </c>
      <c r="G2599">
        <f>'4M'!$M$65</f>
        <v>0</v>
      </c>
    </row>
    <row r="2600" spans="1:7">
      <c r="A2600" t="s">
        <v>643</v>
      </c>
      <c r="C2600" t="str">
        <f>'4M'!$BP$65</f>
        <v>B0339FTC_TOT</v>
      </c>
      <c r="D2600" t="str">
        <f>_xlfn.CONCAT('4M'!$B$58, "-", '4M'!$B$65, "-", '4M'!$N$6, "-", '4M'!$N$6, "-", '4M'!$F$5)</f>
        <v>Other enhancement-First time sewerage-Total-Total-Expenditure in report year</v>
      </c>
      <c r="F2600" t="s">
        <v>7182</v>
      </c>
      <c r="G2600">
        <f>'4M'!$N$65</f>
        <v>6.4000000000000001E-2</v>
      </c>
    </row>
    <row r="2601" spans="1:7">
      <c r="A2601" t="s">
        <v>643</v>
      </c>
      <c r="C2601" t="str">
        <f>'4M'!$BQ$65</f>
        <v>B0339FTC_C_F</v>
      </c>
      <c r="D2601" t="str">
        <f>_xlfn.CONCAT('4M'!$B$58, "-", '4M'!$B$65, "-", '4M'!$O$7, "-", '4M'!$O$6, "-", '4M'!$O$5)</f>
        <v>Other enhancement-First time sewerage-Foul-Wastewater network+ -Cumulative expenditure on schemes completed in the report year</v>
      </c>
      <c r="F2601" t="s">
        <v>7182</v>
      </c>
      <c r="G2601">
        <f>'4M'!$O$65</f>
        <v>0.39</v>
      </c>
    </row>
    <row r="2602" spans="1:7">
      <c r="A2602" t="s">
        <v>643</v>
      </c>
      <c r="C2602" t="str">
        <f>'4M'!$BR$65</f>
        <v>B0339FTC_C_SWD</v>
      </c>
      <c r="D2602" t="str">
        <f>_xlfn.CONCAT('4M'!$B$58, "-", '4M'!$B$65, "-", '4M'!$P$7, "-", '4M'!$O$6, "-", '4M'!$O$5)</f>
        <v>Other enhancement-First time sewerage-Surface water drainage-Wastewater network+ -Cumulative expenditure on schemes completed in the report year</v>
      </c>
      <c r="F2602" t="s">
        <v>7182</v>
      </c>
      <c r="G2602">
        <f>'4M'!$P$65</f>
        <v>0.64700000000000002</v>
      </c>
    </row>
    <row r="2603" spans="1:7">
      <c r="A2603" t="s">
        <v>643</v>
      </c>
      <c r="C2603" t="str">
        <f>'4M'!$BS$65</f>
        <v>B0339FTC_C_HD</v>
      </c>
      <c r="D2603" t="str">
        <f>_xlfn.CONCAT('4M'!$B$58, "-", '4M'!$B$65, "-", '4M'!$Q$7, "-", '4M'!$O$6, "-", '4M'!$O$5)</f>
        <v>Other enhancement-First time sewerage-Highway drainage-Wastewater network+ -Cumulative expenditure on schemes completed in the report year</v>
      </c>
      <c r="F2603" t="s">
        <v>7182</v>
      </c>
      <c r="G2603">
        <f>'4M'!$Q$65</f>
        <v>0.34799999999999998</v>
      </c>
    </row>
    <row r="2604" spans="1:7">
      <c r="A2604" t="s">
        <v>643</v>
      </c>
      <c r="C2604" t="str">
        <f>'4M'!$BT$65</f>
        <v>B0339FTC_C_STD</v>
      </c>
      <c r="D2604" t="str">
        <f>_xlfn.CONCAT('4M'!$B$58, "-", '4M'!$B$65, "-", '4M'!$R$7, "-", '4M'!$O$6, "-", '4M'!$O$5)</f>
        <v>Other enhancement-First time sewerage-Sewage treatment and disposal-Wastewater network+ -Cumulative expenditure on schemes completed in the report year</v>
      </c>
      <c r="F2604" t="s">
        <v>7182</v>
      </c>
      <c r="G2604">
        <f>'4M'!$R$65</f>
        <v>0</v>
      </c>
    </row>
    <row r="2605" spans="1:7">
      <c r="A2605" t="s">
        <v>643</v>
      </c>
      <c r="C2605" t="str">
        <f>'4M'!$BU$65</f>
        <v>B0339FTC_C_SLT</v>
      </c>
      <c r="D2605" t="str">
        <f>_xlfn.CONCAT('4M'!$B$58, "-", '4M'!$B$65, "-", '4M'!$S$7, "-", '4M'!$O$6, "-", '4M'!$O$5)</f>
        <v>Other enhancement-First time sewerage-Sludge liquor treatment-Wastewater network+ -Cumulative expenditure on schemes completed in the report year</v>
      </c>
      <c r="F2605" t="s">
        <v>7182</v>
      </c>
      <c r="G2605">
        <f>'4M'!$S$65</f>
        <v>0</v>
      </c>
    </row>
    <row r="2606" spans="1:7">
      <c r="A2606" t="s">
        <v>643</v>
      </c>
      <c r="C2606" t="str">
        <f>'4M'!$BV$65</f>
        <v>B0339FTC_C_STP</v>
      </c>
      <c r="D2606" t="str">
        <f>_xlfn.CONCAT('4M'!$B$58, "-", '4M'!$B$65, "-", '4M'!$T$7, "-", '4M'!$T$6, "-", '4M'!$O$5)</f>
        <v>Other enhancement-First time sewerage-Sludge transport-Bioresources-Cumulative expenditure on schemes completed in the report year</v>
      </c>
      <c r="F2606" t="s">
        <v>7182</v>
      </c>
      <c r="G2606">
        <f>'4M'!$T$65</f>
        <v>0</v>
      </c>
    </row>
    <row r="2607" spans="1:7">
      <c r="A2607" t="s">
        <v>643</v>
      </c>
      <c r="C2607" t="str">
        <f>'4M'!$BW$65</f>
        <v>B0339FTC_C_SDT</v>
      </c>
      <c r="D2607" t="str">
        <f>_xlfn.CONCAT('4M'!$B$58, "-", '4M'!$B$65, "-", '4M'!$U$7, "-", '4M'!$T$6, "-", '4M'!$O$5)</f>
        <v>Other enhancement-First time sewerage-Sludge treatment-Bioresources-Cumulative expenditure on schemes completed in the report year</v>
      </c>
      <c r="F2607" t="s">
        <v>7182</v>
      </c>
      <c r="G2607">
        <f>'4M'!$U$65</f>
        <v>0</v>
      </c>
    </row>
    <row r="2608" spans="1:7">
      <c r="A2608" t="s">
        <v>643</v>
      </c>
      <c r="C2608" t="str">
        <f>'4M'!$BX$65</f>
        <v>B0339FTC_C_SD</v>
      </c>
      <c r="D2608" t="str">
        <f>_xlfn.CONCAT('4M'!$B$58, "-", '4M'!$B$65, "-", '4M'!$V$7, "-", '4M'!$T$6, "-", '4M'!$O$5)</f>
        <v>Other enhancement-First time sewerage-Sludge disposal-Bioresources-Cumulative expenditure on schemes completed in the report year</v>
      </c>
      <c r="F2608" t="s">
        <v>7182</v>
      </c>
      <c r="G2608">
        <f>'4M'!$V$65</f>
        <v>0</v>
      </c>
    </row>
    <row r="2609" spans="1:7">
      <c r="A2609" t="s">
        <v>643</v>
      </c>
      <c r="C2609" t="str">
        <f>'4M'!$BY$65</f>
        <v>B0339FTC_C_TOT</v>
      </c>
      <c r="D2609" t="str">
        <f>_xlfn.CONCAT('4M'!$B$58, "-", '4M'!$B$65, "-", '4M'!$W$6, "-", '4M'!$W$6, "-", '4M'!$O$5)</f>
        <v>Other enhancement-First time sewerage-Total-Total-Cumulative expenditure on schemes completed in the report year</v>
      </c>
      <c r="F2609" t="s">
        <v>7182</v>
      </c>
      <c r="G2609">
        <f>'4M'!$W$65</f>
        <v>1.3849999999999998</v>
      </c>
    </row>
    <row r="2610" spans="1:7">
      <c r="A2610" t="s">
        <v>643</v>
      </c>
      <c r="C2610" t="str">
        <f>'4M'!$BH$66</f>
        <v>B0340FTO_F</v>
      </c>
      <c r="D2610" t="str">
        <f>_xlfn.CONCAT('4M'!$B$58, "-", '4M'!$B$66, "-", '4M'!$F$7, "-", '4M'!$F$6, "-", '4M'!$F$5)</f>
        <v>Other enhancement-First time sewerage-Foul-Wastewater network+ -Expenditure in report year</v>
      </c>
      <c r="F2610" t="s">
        <v>7182</v>
      </c>
      <c r="G2610">
        <f>'4M'!$F$66</f>
        <v>0</v>
      </c>
    </row>
    <row r="2611" spans="1:7">
      <c r="A2611" t="s">
        <v>643</v>
      </c>
      <c r="C2611" t="str">
        <f>'4M'!$BI$66</f>
        <v>B0340FTO_SWD</v>
      </c>
      <c r="D2611" t="str">
        <f>_xlfn.CONCAT('4M'!$B$58, "-", '4M'!$B$66, "-", '4M'!$G$7, "-", '4M'!$F$6, "-", '4M'!$F$5)</f>
        <v>Other enhancement-First time sewerage-Surface water drainage-Wastewater network+ -Expenditure in report year</v>
      </c>
      <c r="F2611" t="s">
        <v>7182</v>
      </c>
      <c r="G2611">
        <f>'4M'!$G$66</f>
        <v>0</v>
      </c>
    </row>
    <row r="2612" spans="1:7">
      <c r="A2612" t="s">
        <v>643</v>
      </c>
      <c r="C2612" t="str">
        <f>'4M'!$BJ$66</f>
        <v>B0340FTO_HD</v>
      </c>
      <c r="D2612" t="str">
        <f>_xlfn.CONCAT('4M'!$B$58, "-", '4M'!$B$66, "-", '4M'!$H$7, "-", '4M'!$F$6, "-", '4M'!$F$5)</f>
        <v>Other enhancement-First time sewerage-Highway drainage-Wastewater network+ -Expenditure in report year</v>
      </c>
      <c r="F2612" t="s">
        <v>7182</v>
      </c>
      <c r="G2612">
        <f>'4M'!$H$66</f>
        <v>0</v>
      </c>
    </row>
    <row r="2613" spans="1:7">
      <c r="A2613" t="s">
        <v>643</v>
      </c>
      <c r="C2613" t="str">
        <f>'4M'!$BK$66</f>
        <v>B0340FTO_STD</v>
      </c>
      <c r="D2613" t="str">
        <f>_xlfn.CONCAT('4M'!$B$58, "-", '4M'!$B$66, "-", '4M'!$I$7, "-", '4M'!$F$6, "-", '4M'!$F$5)</f>
        <v>Other enhancement-First time sewerage-Sewage treatment and disposal-Wastewater network+ -Expenditure in report year</v>
      </c>
      <c r="F2613" t="s">
        <v>7182</v>
      </c>
      <c r="G2613">
        <f>'4M'!$I$66</f>
        <v>0</v>
      </c>
    </row>
    <row r="2614" spans="1:7">
      <c r="A2614" t="s">
        <v>643</v>
      </c>
      <c r="C2614" t="str">
        <f>'4M'!$BL$66</f>
        <v>B0340FTO_SLT</v>
      </c>
      <c r="D2614" t="str">
        <f>_xlfn.CONCAT('4M'!$B$58, "-", '4M'!$B$66, "-", '4M'!$J$7, "-", '4M'!$F$6, "-", '4M'!$F$5)</f>
        <v>Other enhancement-First time sewerage-Sludge liquor treatment-Wastewater network+ -Expenditure in report year</v>
      </c>
      <c r="F2614" t="s">
        <v>7182</v>
      </c>
      <c r="G2614">
        <f>'4M'!$J$66</f>
        <v>0</v>
      </c>
    </row>
    <row r="2615" spans="1:7">
      <c r="A2615" t="s">
        <v>643</v>
      </c>
      <c r="C2615" t="str">
        <f>'4M'!$BM$66</f>
        <v>B0340FTO_STP</v>
      </c>
      <c r="D2615" t="str">
        <f>_xlfn.CONCAT('4M'!$B$58, "-", '4M'!$B$66, "-", '4M'!$K$7, "-", '4M'!$K$6, "-", '4M'!$F$5)</f>
        <v>Other enhancement-First time sewerage-Sludge transport-Bioresources-Expenditure in report year</v>
      </c>
      <c r="F2615" t="s">
        <v>7182</v>
      </c>
      <c r="G2615">
        <f>'4M'!$K$66</f>
        <v>0</v>
      </c>
    </row>
    <row r="2616" spans="1:7">
      <c r="A2616" t="s">
        <v>643</v>
      </c>
      <c r="C2616" t="str">
        <f>'4M'!$BN$66</f>
        <v>B0340FTO_SDT</v>
      </c>
      <c r="D2616" t="str">
        <f>_xlfn.CONCAT('4M'!$B$58, "-", '4M'!$B$66, "-", '4M'!$L$7, "-", '4M'!$K$6, "-", '4M'!$F$5)</f>
        <v>Other enhancement-First time sewerage-Sludge treatment-Bioresources-Expenditure in report year</v>
      </c>
      <c r="F2616" t="s">
        <v>7182</v>
      </c>
      <c r="G2616">
        <f>'4M'!$L$66</f>
        <v>0</v>
      </c>
    </row>
    <row r="2617" spans="1:7">
      <c r="A2617" t="s">
        <v>643</v>
      </c>
      <c r="C2617" t="str">
        <f>'4M'!$BO$66</f>
        <v>B0340FTO_SD</v>
      </c>
      <c r="D2617" t="str">
        <f>_xlfn.CONCAT('4M'!$B$58, "-", '4M'!$B$66, "-", '4M'!$M$7, "-", '4M'!$K$6, "-", '4M'!$F$5)</f>
        <v>Other enhancement-First time sewerage-Sludge disposal-Bioresources-Expenditure in report year</v>
      </c>
      <c r="F2617" t="s">
        <v>7182</v>
      </c>
      <c r="G2617">
        <f>'4M'!$M$66</f>
        <v>0</v>
      </c>
    </row>
    <row r="2618" spans="1:7">
      <c r="A2618" t="s">
        <v>643</v>
      </c>
      <c r="C2618" t="str">
        <f>'4M'!$BP$66</f>
        <v>B0340FTO_TOT</v>
      </c>
      <c r="D2618" t="str">
        <f>_xlfn.CONCAT('4M'!$B$58, "-", '4M'!$B$66, "-", '4M'!$N$6, "-", '4M'!$N$6, "-", '4M'!$F$5)</f>
        <v>Other enhancement-First time sewerage-Total-Total-Expenditure in report year</v>
      </c>
      <c r="F2618" t="s">
        <v>7182</v>
      </c>
      <c r="G2618">
        <f>'4M'!$N$66</f>
        <v>0</v>
      </c>
    </row>
    <row r="2619" spans="1:7">
      <c r="A2619" t="s">
        <v>643</v>
      </c>
      <c r="C2619" t="str">
        <f>'4M'!$BQ$66</f>
        <v>B0340FTO_C_F</v>
      </c>
      <c r="D2619" t="str">
        <f>_xlfn.CONCAT('4M'!$B$58, "-", '4M'!$B$66, "-", '4M'!$O$7, "-", '4M'!$O$6, "-", '4M'!$O$5)</f>
        <v>Other enhancement-First time sewerage-Foul-Wastewater network+ -Cumulative expenditure on schemes completed in the report year</v>
      </c>
      <c r="F2619" t="s">
        <v>7182</v>
      </c>
      <c r="G2619">
        <f>'4M'!$O$66</f>
        <v>0</v>
      </c>
    </row>
    <row r="2620" spans="1:7">
      <c r="A2620" t="s">
        <v>643</v>
      </c>
      <c r="C2620" t="str">
        <f>'4M'!$BR$66</f>
        <v>B0340FTO_C_SWD</v>
      </c>
      <c r="D2620" t="str">
        <f>_xlfn.CONCAT('4M'!$B$58, "-", '4M'!$B$66, "-", '4M'!$P$7, "-", '4M'!$O$6, "-", '4M'!$O$5)</f>
        <v>Other enhancement-First time sewerage-Surface water drainage-Wastewater network+ -Cumulative expenditure on schemes completed in the report year</v>
      </c>
      <c r="F2620" t="s">
        <v>7182</v>
      </c>
      <c r="G2620">
        <f>'4M'!$P$66</f>
        <v>0</v>
      </c>
    </row>
    <row r="2621" spans="1:7">
      <c r="A2621" t="s">
        <v>643</v>
      </c>
      <c r="C2621" t="str">
        <f>'4M'!$BS$66</f>
        <v>B0340FTO_C_HD</v>
      </c>
      <c r="D2621" t="str">
        <f>_xlfn.CONCAT('4M'!$B$58, "-", '4M'!$B$66, "-", '4M'!$Q$7, "-", '4M'!$O$6, "-", '4M'!$O$5)</f>
        <v>Other enhancement-First time sewerage-Highway drainage-Wastewater network+ -Cumulative expenditure on schemes completed in the report year</v>
      </c>
      <c r="F2621" t="s">
        <v>7182</v>
      </c>
      <c r="G2621">
        <f>'4M'!$Q$66</f>
        <v>0</v>
      </c>
    </row>
    <row r="2622" spans="1:7">
      <c r="A2622" t="s">
        <v>643</v>
      </c>
      <c r="C2622" t="str">
        <f>'4M'!$BT$66</f>
        <v>B0340FTO_C_STD</v>
      </c>
      <c r="D2622" t="str">
        <f>_xlfn.CONCAT('4M'!$B$58, "-", '4M'!$B$66, "-", '4M'!$R$7, "-", '4M'!$O$6, "-", '4M'!$O$5)</f>
        <v>Other enhancement-First time sewerage-Sewage treatment and disposal-Wastewater network+ -Cumulative expenditure on schemes completed in the report year</v>
      </c>
      <c r="F2622" t="s">
        <v>7182</v>
      </c>
      <c r="G2622">
        <f>'4M'!$R$66</f>
        <v>0</v>
      </c>
    </row>
    <row r="2623" spans="1:7">
      <c r="A2623" t="s">
        <v>643</v>
      </c>
      <c r="C2623" t="str">
        <f>'4M'!$BU$66</f>
        <v>B0340FTO_C_SLT</v>
      </c>
      <c r="D2623" t="str">
        <f>_xlfn.CONCAT('4M'!$B$58, "-", '4M'!$B$66, "-", '4M'!$S$7, "-", '4M'!$O$6, "-", '4M'!$O$5)</f>
        <v>Other enhancement-First time sewerage-Sludge liquor treatment-Wastewater network+ -Cumulative expenditure on schemes completed in the report year</v>
      </c>
      <c r="F2623" t="s">
        <v>7182</v>
      </c>
      <c r="G2623">
        <f>'4M'!$S$66</f>
        <v>0</v>
      </c>
    </row>
    <row r="2624" spans="1:7">
      <c r="A2624" t="s">
        <v>643</v>
      </c>
      <c r="C2624" t="str">
        <f>'4M'!$BV$66</f>
        <v>B0340FTO_C_STP</v>
      </c>
      <c r="D2624" t="str">
        <f>_xlfn.CONCAT('4M'!$B$58, "-", '4M'!$B$66, "-", '4M'!$T$7, "-", '4M'!$T$6, "-", '4M'!$O$5)</f>
        <v>Other enhancement-First time sewerage-Sludge transport-Bioresources-Cumulative expenditure on schemes completed in the report year</v>
      </c>
      <c r="F2624" t="s">
        <v>7182</v>
      </c>
      <c r="G2624">
        <f>'4M'!$T$66</f>
        <v>0</v>
      </c>
    </row>
    <row r="2625" spans="1:7">
      <c r="A2625" t="s">
        <v>643</v>
      </c>
      <c r="C2625" t="str">
        <f>'4M'!$BW$66</f>
        <v>B0340FTO_C_SDT</v>
      </c>
      <c r="D2625" t="str">
        <f>_xlfn.CONCAT('4M'!$B$58, "-", '4M'!$B$66, "-", '4M'!$U$7, "-", '4M'!$T$6, "-", '4M'!$O$5)</f>
        <v>Other enhancement-First time sewerage-Sludge treatment-Bioresources-Cumulative expenditure on schemes completed in the report year</v>
      </c>
      <c r="F2625" t="s">
        <v>7182</v>
      </c>
      <c r="G2625">
        <f>'4M'!$U$66</f>
        <v>0</v>
      </c>
    </row>
    <row r="2626" spans="1:7">
      <c r="A2626" t="s">
        <v>643</v>
      </c>
      <c r="C2626" t="str">
        <f>'4M'!$BX$66</f>
        <v>B0340FTO_C_SD</v>
      </c>
      <c r="D2626" t="str">
        <f>_xlfn.CONCAT('4M'!$B$58, "-", '4M'!$B$66, "-", '4M'!$V$7, "-", '4M'!$T$6, "-", '4M'!$O$5)</f>
        <v>Other enhancement-First time sewerage-Sludge disposal-Bioresources-Cumulative expenditure on schemes completed in the report year</v>
      </c>
      <c r="F2626" t="s">
        <v>7182</v>
      </c>
      <c r="G2626">
        <f>'4M'!$V$66</f>
        <v>0</v>
      </c>
    </row>
    <row r="2627" spans="1:7">
      <c r="A2627" t="s">
        <v>643</v>
      </c>
      <c r="C2627" t="str">
        <f>'4M'!$BY$66</f>
        <v>B0340FTO_C_TOT</v>
      </c>
      <c r="D2627" t="str">
        <f>_xlfn.CONCAT('4M'!$B$58, "-", '4M'!$B$66, "-", '4M'!$W$6, "-", '4M'!$W$6, "-", '4M'!$O$5)</f>
        <v>Other enhancement-First time sewerage-Total-Total-Cumulative expenditure on schemes completed in the report year</v>
      </c>
      <c r="F2627" t="s">
        <v>7182</v>
      </c>
      <c r="G2627">
        <f>'4M'!$W$66</f>
        <v>0</v>
      </c>
    </row>
    <row r="2628" spans="1:7">
      <c r="A2628" t="s">
        <v>643</v>
      </c>
      <c r="C2628" t="str">
        <f>'4M'!$BH$67</f>
        <v>B0341FTT_F</v>
      </c>
      <c r="D2628" t="str">
        <f>_xlfn.CONCAT('4M'!$B$58, "-", '4M'!$B$67, "-", '4M'!$F$7, "-", '4M'!$F$6, "-", '4M'!$F$5)</f>
        <v>Other enhancement-First time sewerage-Foul-Wastewater network+ -Expenditure in report year</v>
      </c>
      <c r="F2628" t="s">
        <v>7182</v>
      </c>
      <c r="G2628">
        <f>'4M'!$F$67</f>
        <v>1.7999999999999999E-2</v>
      </c>
    </row>
    <row r="2629" spans="1:7">
      <c r="A2629" t="s">
        <v>643</v>
      </c>
      <c r="C2629" t="str">
        <f>'4M'!$BI$67</f>
        <v>B0341FTT_SWD</v>
      </c>
      <c r="D2629" t="str">
        <f>_xlfn.CONCAT('4M'!$B$58, "-", '4M'!$B$67, "-", '4M'!$G$7, "-", '4M'!$F$6, "-", '4M'!$F$5)</f>
        <v>Other enhancement-First time sewerage-Surface water drainage-Wastewater network+ -Expenditure in report year</v>
      </c>
      <c r="F2629" t="s">
        <v>7182</v>
      </c>
      <c r="G2629">
        <f>'4M'!$G$67</f>
        <v>0.03</v>
      </c>
    </row>
    <row r="2630" spans="1:7">
      <c r="A2630" t="s">
        <v>643</v>
      </c>
      <c r="C2630" t="str">
        <f>'4M'!$BJ$67</f>
        <v>B0341FTT_HD</v>
      </c>
      <c r="D2630" t="str">
        <f>_xlfn.CONCAT('4M'!$B$58, "-", '4M'!$B$67, "-", '4M'!$H$7, "-", '4M'!$F$6, "-", '4M'!$F$5)</f>
        <v>Other enhancement-First time sewerage-Highway drainage-Wastewater network+ -Expenditure in report year</v>
      </c>
      <c r="F2630" t="s">
        <v>7182</v>
      </c>
      <c r="G2630">
        <f>'4M'!$H$67</f>
        <v>1.6E-2</v>
      </c>
    </row>
    <row r="2631" spans="1:7">
      <c r="A2631" t="s">
        <v>643</v>
      </c>
      <c r="C2631" t="str">
        <f>'4M'!$BK$67</f>
        <v>B0341FTT_STD</v>
      </c>
      <c r="D2631" t="str">
        <f>_xlfn.CONCAT('4M'!$B$58, "-", '4M'!$B$67, "-", '4M'!$I$7, "-", '4M'!$F$6, "-", '4M'!$F$5)</f>
        <v>Other enhancement-First time sewerage-Sewage treatment and disposal-Wastewater network+ -Expenditure in report year</v>
      </c>
      <c r="F2631" t="s">
        <v>7182</v>
      </c>
      <c r="G2631">
        <f>'4M'!$I$67</f>
        <v>0</v>
      </c>
    </row>
    <row r="2632" spans="1:7">
      <c r="A2632" t="s">
        <v>643</v>
      </c>
      <c r="C2632" t="str">
        <f>'4M'!$BL$67</f>
        <v>B0341FTT_SLT</v>
      </c>
      <c r="D2632" t="str">
        <f>_xlfn.CONCAT('4M'!$B$58, "-", '4M'!$B$67, "-", '4M'!$J$7, "-", '4M'!$F$6, "-", '4M'!$F$5)</f>
        <v>Other enhancement-First time sewerage-Sludge liquor treatment-Wastewater network+ -Expenditure in report year</v>
      </c>
      <c r="F2632" t="s">
        <v>7182</v>
      </c>
      <c r="G2632">
        <f>'4M'!$J$67</f>
        <v>0</v>
      </c>
    </row>
    <row r="2633" spans="1:7">
      <c r="A2633" t="s">
        <v>643</v>
      </c>
      <c r="C2633" t="str">
        <f>'4M'!$BM$67</f>
        <v>B0341FTT_STP</v>
      </c>
      <c r="D2633" t="str">
        <f>_xlfn.CONCAT('4M'!$B$58, "-", '4M'!$B$67, "-", '4M'!$K$7, "-", '4M'!$K$6, "-", '4M'!$F$5)</f>
        <v>Other enhancement-First time sewerage-Sludge transport-Bioresources-Expenditure in report year</v>
      </c>
      <c r="F2633" t="s">
        <v>7182</v>
      </c>
      <c r="G2633">
        <f>'4M'!$K$67</f>
        <v>0</v>
      </c>
    </row>
    <row r="2634" spans="1:7">
      <c r="A2634" t="s">
        <v>643</v>
      </c>
      <c r="C2634" t="str">
        <f>'4M'!$BN$67</f>
        <v>B0341FTT_SDT</v>
      </c>
      <c r="D2634" t="str">
        <f>_xlfn.CONCAT('4M'!$B$58, "-", '4M'!$B$67, "-", '4M'!$L$7, "-", '4M'!$K$6, "-", '4M'!$F$5)</f>
        <v>Other enhancement-First time sewerage-Sludge treatment-Bioresources-Expenditure in report year</v>
      </c>
      <c r="F2634" t="s">
        <v>7182</v>
      </c>
      <c r="G2634">
        <f>'4M'!$L$67</f>
        <v>0</v>
      </c>
    </row>
    <row r="2635" spans="1:7">
      <c r="A2635" t="s">
        <v>643</v>
      </c>
      <c r="C2635" t="str">
        <f>'4M'!$BO$67</f>
        <v>B0341FTT_SD</v>
      </c>
      <c r="D2635" t="str">
        <f>_xlfn.CONCAT('4M'!$B$58, "-", '4M'!$B$67, "-", '4M'!$M$7, "-", '4M'!$K$6, "-", '4M'!$F$5)</f>
        <v>Other enhancement-First time sewerage-Sludge disposal-Bioresources-Expenditure in report year</v>
      </c>
      <c r="F2635" t="s">
        <v>7182</v>
      </c>
      <c r="G2635">
        <f>'4M'!$M$67</f>
        <v>0</v>
      </c>
    </row>
    <row r="2636" spans="1:7">
      <c r="A2636" t="s">
        <v>643</v>
      </c>
      <c r="C2636" t="str">
        <f>'4M'!$BP$67</f>
        <v>B0341FTT_TOT</v>
      </c>
      <c r="D2636" t="str">
        <f>_xlfn.CONCAT('4M'!$B$58, "-", '4M'!$B$67, "-", '4M'!$N$6, "-", '4M'!$N$6, "-", '4M'!$F$5)</f>
        <v>Other enhancement-First time sewerage-Total-Total-Expenditure in report year</v>
      </c>
      <c r="F2636" t="s">
        <v>7182</v>
      </c>
      <c r="G2636">
        <f>'4M'!$N$67</f>
        <v>6.4000000000000001E-2</v>
      </c>
    </row>
    <row r="2637" spans="1:7">
      <c r="A2637" t="s">
        <v>643</v>
      </c>
      <c r="C2637" t="str">
        <f>'4M'!$BQ$67</f>
        <v>B0341FTT_C_F</v>
      </c>
      <c r="D2637" t="str">
        <f>_xlfn.CONCAT('4M'!$B$58, "-", '4M'!$B$67, "-", '4M'!$O$7, "-", '4M'!$O$6, "-", '4M'!$O$5)</f>
        <v>Other enhancement-First time sewerage-Foul-Wastewater network+ -Cumulative expenditure on schemes completed in the report year</v>
      </c>
      <c r="F2637" t="s">
        <v>7182</v>
      </c>
      <c r="G2637">
        <f>'4M'!$O$67</f>
        <v>0.39</v>
      </c>
    </row>
    <row r="2638" spans="1:7">
      <c r="A2638" t="s">
        <v>643</v>
      </c>
      <c r="C2638" t="str">
        <f>'4M'!$BR$67</f>
        <v>B0341FTT_C_SWD</v>
      </c>
      <c r="D2638" t="str">
        <f>_xlfn.CONCAT('4M'!$B$58, "-", '4M'!$B$67, "-", '4M'!$P$7, "-", '4M'!$O$6, "-", '4M'!$O$5)</f>
        <v>Other enhancement-First time sewerage-Surface water drainage-Wastewater network+ -Cumulative expenditure on schemes completed in the report year</v>
      </c>
      <c r="F2638" t="s">
        <v>7182</v>
      </c>
      <c r="G2638">
        <f>'4M'!$P$67</f>
        <v>0.64700000000000002</v>
      </c>
    </row>
    <row r="2639" spans="1:7">
      <c r="A2639" t="s">
        <v>643</v>
      </c>
      <c r="C2639" t="str">
        <f>'4M'!$BS$67</f>
        <v>B0341FTT_C_HD</v>
      </c>
      <c r="D2639" t="str">
        <f>_xlfn.CONCAT('4M'!$B$58, "-", '4M'!$B$67, "-", '4M'!$Q$7, "-", '4M'!$O$6, "-", '4M'!$O$5)</f>
        <v>Other enhancement-First time sewerage-Highway drainage-Wastewater network+ -Cumulative expenditure on schemes completed in the report year</v>
      </c>
      <c r="F2639" t="s">
        <v>7182</v>
      </c>
      <c r="G2639">
        <f>'4M'!$Q$67</f>
        <v>0.34799999999999998</v>
      </c>
    </row>
    <row r="2640" spans="1:7">
      <c r="A2640" t="s">
        <v>643</v>
      </c>
      <c r="C2640" t="str">
        <f>'4M'!$BT$67</f>
        <v>B0341FTT_C_STD</v>
      </c>
      <c r="D2640" t="str">
        <f>_xlfn.CONCAT('4M'!$B$58, "-", '4M'!$B$67, "-", '4M'!$R$7, "-", '4M'!$O$6, "-", '4M'!$O$5)</f>
        <v>Other enhancement-First time sewerage-Sewage treatment and disposal-Wastewater network+ -Cumulative expenditure on schemes completed in the report year</v>
      </c>
      <c r="F2640" t="s">
        <v>7182</v>
      </c>
      <c r="G2640">
        <f>'4M'!$R$67</f>
        <v>0</v>
      </c>
    </row>
    <row r="2641" spans="1:7">
      <c r="A2641" t="s">
        <v>643</v>
      </c>
      <c r="C2641" t="str">
        <f>'4M'!$BU$67</f>
        <v>B0341FTT_C_SLT</v>
      </c>
      <c r="D2641" t="str">
        <f>_xlfn.CONCAT('4M'!$B$58, "-", '4M'!$B$67, "-", '4M'!$S$7, "-", '4M'!$O$6, "-", '4M'!$O$5)</f>
        <v>Other enhancement-First time sewerage-Sludge liquor treatment-Wastewater network+ -Cumulative expenditure on schemes completed in the report year</v>
      </c>
      <c r="F2641" t="s">
        <v>7182</v>
      </c>
      <c r="G2641">
        <f>'4M'!$S$67</f>
        <v>0</v>
      </c>
    </row>
    <row r="2642" spans="1:7">
      <c r="A2642" t="s">
        <v>643</v>
      </c>
      <c r="C2642" t="str">
        <f>'4M'!$BV$67</f>
        <v>B0341FTT_C_STP</v>
      </c>
      <c r="D2642" t="str">
        <f>_xlfn.CONCAT('4M'!$B$58, "-", '4M'!$B$67, "-", '4M'!$T$7, "-", '4M'!$T$6, "-", '4M'!$O$5)</f>
        <v>Other enhancement-First time sewerage-Sludge transport-Bioresources-Cumulative expenditure on schemes completed in the report year</v>
      </c>
      <c r="F2642" t="s">
        <v>7182</v>
      </c>
      <c r="G2642">
        <f>'4M'!$T$67</f>
        <v>0</v>
      </c>
    </row>
    <row r="2643" spans="1:7">
      <c r="A2643" t="s">
        <v>643</v>
      </c>
      <c r="C2643" t="str">
        <f>'4M'!$BW$67</f>
        <v>B0341FTT_C_SDT</v>
      </c>
      <c r="D2643" t="str">
        <f>_xlfn.CONCAT('4M'!$B$58, "-", '4M'!$B$67, "-", '4M'!$U$7, "-", '4M'!$T$6, "-", '4M'!$O$5)</f>
        <v>Other enhancement-First time sewerage-Sludge treatment-Bioresources-Cumulative expenditure on schemes completed in the report year</v>
      </c>
      <c r="F2643" t="s">
        <v>7182</v>
      </c>
      <c r="G2643">
        <f>'4M'!$U$67</f>
        <v>0</v>
      </c>
    </row>
    <row r="2644" spans="1:7">
      <c r="A2644" t="s">
        <v>643</v>
      </c>
      <c r="C2644" t="str">
        <f>'4M'!$BX$67</f>
        <v>B0341FTT_C_SD</v>
      </c>
      <c r="D2644" t="str">
        <f>_xlfn.CONCAT('4M'!$B$58, "-", '4M'!$B$67, "-", '4M'!$V$7, "-", '4M'!$T$6, "-", '4M'!$O$5)</f>
        <v>Other enhancement-First time sewerage-Sludge disposal-Bioresources-Cumulative expenditure on schemes completed in the report year</v>
      </c>
      <c r="F2644" t="s">
        <v>7182</v>
      </c>
      <c r="G2644">
        <f>'4M'!$V$67</f>
        <v>0</v>
      </c>
    </row>
    <row r="2645" spans="1:7">
      <c r="A2645" t="s">
        <v>643</v>
      </c>
      <c r="C2645" t="str">
        <f>'4M'!$BY$67</f>
        <v>B0341FTT_C_TOT</v>
      </c>
      <c r="D2645" t="str">
        <f>_xlfn.CONCAT('4M'!$B$58, "-", '4M'!$B$67, "-", '4M'!$W$6, "-", '4M'!$W$6, "-", '4M'!$O$5)</f>
        <v>Other enhancement-First time sewerage-Total-Total-Cumulative expenditure on schemes completed in the report year</v>
      </c>
      <c r="F2645" t="s">
        <v>7182</v>
      </c>
      <c r="G2645">
        <f>'4M'!$W$67</f>
        <v>1.3849999999999998</v>
      </c>
    </row>
    <row r="2646" spans="1:7">
      <c r="A2646" t="s">
        <v>643</v>
      </c>
      <c r="C2646" t="str">
        <f>'4M'!$BZ$67</f>
        <v>B0394FST_TE</v>
      </c>
      <c r="D2646" t="str">
        <f>_xlfn.CONCAT('4M'!$B$58, "-", '4M'!$B$67, "-", '4M'!$X$7, "-", '4M'!$X$5, "-", '4M'!$X$5)</f>
        <v>Other enhancement-First time sewerage-Total-Cumulative expenditure on all schemes to reporting year end-Cumulative expenditure on all schemes to reporting year end</v>
      </c>
      <c r="F2646" t="s">
        <v>7182</v>
      </c>
      <c r="G2646">
        <f>'4M'!$X$67</f>
        <v>1.429</v>
      </c>
    </row>
    <row r="2647" spans="1:7">
      <c r="A2647" t="s">
        <v>643</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7182</v>
      </c>
      <c r="G2647">
        <f>'4M'!$Y$67</f>
        <v>0.48299999999999998</v>
      </c>
    </row>
    <row r="2648" spans="1:7">
      <c r="A2648" t="s">
        <v>643</v>
      </c>
      <c r="C2648" t="str">
        <f>'4M'!$CB$67</f>
        <v>B0394FST_TC</v>
      </c>
      <c r="D2648" t="str">
        <f>_xlfn.CONCAT('4M'!$B$58, "-", '4M'!$B$67, "-", '4M'!$Z$7, "-", '4M'!$Z$5, "-", '4M'!$Z$5)</f>
        <v>Other enhancement-First time sewerage-Total-Cumulative allowed expenditure on all schemes 2020-25-Cumulative allowed expenditure on all schemes 2020-25</v>
      </c>
      <c r="F2648" t="s">
        <v>7182</v>
      </c>
      <c r="G2648">
        <f>'4M'!$Z$67</f>
        <v>1.1539999999999999</v>
      </c>
    </row>
    <row r="2649" spans="1:7">
      <c r="A2649" t="s">
        <v>643</v>
      </c>
      <c r="C2649" t="str">
        <f>'4M'!$BH$68</f>
        <v>B0342SEC_F</v>
      </c>
      <c r="D2649" t="str">
        <f>_xlfn.CONCAT('4M'!$B$58, "-", '4M'!$B$68, "-", '4M'!$F$7, "-", '4M'!$F$6, "-", '4M'!$F$5)</f>
        <v>Other enhancement-Sludge enhancement (quality)-Foul-Wastewater network+ -Expenditure in report year</v>
      </c>
      <c r="F2649" t="s">
        <v>7182</v>
      </c>
      <c r="G2649">
        <f>'4M'!$F$68</f>
        <v>0</v>
      </c>
    </row>
    <row r="2650" spans="1:7">
      <c r="A2650" t="s">
        <v>643</v>
      </c>
      <c r="C2650" t="str">
        <f>'4M'!$BI$68</f>
        <v>B0342SEC_SWD</v>
      </c>
      <c r="D2650" t="str">
        <f>_xlfn.CONCAT('4M'!$B$58, "-", '4M'!$B$68, "-", '4M'!$G$7, "-", '4M'!$F$6, "-", '4M'!$F$5)</f>
        <v>Other enhancement-Sludge enhancement (quality)-Surface water drainage-Wastewater network+ -Expenditure in report year</v>
      </c>
      <c r="F2650" t="s">
        <v>7182</v>
      </c>
      <c r="G2650">
        <f>'4M'!$G$68</f>
        <v>0</v>
      </c>
    </row>
    <row r="2651" spans="1:7">
      <c r="A2651" t="s">
        <v>643</v>
      </c>
      <c r="C2651" t="str">
        <f>'4M'!$BJ$68</f>
        <v>B0342SEC_HD</v>
      </c>
      <c r="D2651" t="str">
        <f>_xlfn.CONCAT('4M'!$B$58, "-", '4M'!$B$68, "-", '4M'!$H$7, "-", '4M'!$F$6, "-", '4M'!$F$5)</f>
        <v>Other enhancement-Sludge enhancement (quality)-Highway drainage-Wastewater network+ -Expenditure in report year</v>
      </c>
      <c r="F2651" t="s">
        <v>7182</v>
      </c>
      <c r="G2651">
        <f>'4M'!$H$68</f>
        <v>0</v>
      </c>
    </row>
    <row r="2652" spans="1:7">
      <c r="A2652" t="s">
        <v>643</v>
      </c>
      <c r="C2652" t="str">
        <f>'4M'!$BK$68</f>
        <v>B0342SEC_STD</v>
      </c>
      <c r="D2652" t="str">
        <f>_xlfn.CONCAT('4M'!$B$58, "-", '4M'!$B$68, "-", '4M'!$I$7, "-", '4M'!$F$6, "-", '4M'!$F$5)</f>
        <v>Other enhancement-Sludge enhancement (quality)-Sewage treatment and disposal-Wastewater network+ -Expenditure in report year</v>
      </c>
      <c r="F2652" t="s">
        <v>7182</v>
      </c>
      <c r="G2652">
        <f>'4M'!$I$68</f>
        <v>0</v>
      </c>
    </row>
    <row r="2653" spans="1:7">
      <c r="A2653" t="s">
        <v>643</v>
      </c>
      <c r="C2653" t="str">
        <f>'4M'!$BL$68</f>
        <v>B0342SEC_SLT</v>
      </c>
      <c r="D2653" t="str">
        <f>_xlfn.CONCAT('4M'!$B$58, "-", '4M'!$B$68, "-", '4M'!$J$7, "-", '4M'!$F$6, "-", '4M'!$F$5)</f>
        <v>Other enhancement-Sludge enhancement (quality)-Sludge liquor treatment-Wastewater network+ -Expenditure in report year</v>
      </c>
      <c r="F2653" t="s">
        <v>7182</v>
      </c>
      <c r="G2653">
        <f>'4M'!$J$68</f>
        <v>0</v>
      </c>
    </row>
    <row r="2654" spans="1:7">
      <c r="A2654" t="s">
        <v>643</v>
      </c>
      <c r="C2654" t="str">
        <f>'4M'!$BM$68</f>
        <v>B0342SEC_STP</v>
      </c>
      <c r="D2654" t="str">
        <f>_xlfn.CONCAT('4M'!$B$58, "-", '4M'!$B$68, "-", '4M'!$K$7, "-", '4M'!$K$6, "-", '4M'!$F$5)</f>
        <v>Other enhancement-Sludge enhancement (quality)-Sludge transport-Bioresources-Expenditure in report year</v>
      </c>
      <c r="F2654" t="s">
        <v>7182</v>
      </c>
      <c r="G2654">
        <f>'4M'!$K$68</f>
        <v>0</v>
      </c>
    </row>
    <row r="2655" spans="1:7">
      <c r="A2655" t="s">
        <v>643</v>
      </c>
      <c r="C2655" t="str">
        <f>'4M'!$BN$68</f>
        <v>B0342SEC_SDT</v>
      </c>
      <c r="D2655" t="str">
        <f>_xlfn.CONCAT('4M'!$B$58, "-", '4M'!$B$68, "-", '4M'!$L$7, "-", '4M'!$K$6, "-", '4M'!$F$5)</f>
        <v>Other enhancement-Sludge enhancement (quality)-Sludge treatment-Bioresources-Expenditure in report year</v>
      </c>
      <c r="F2655" t="s">
        <v>7182</v>
      </c>
      <c r="G2655">
        <f>'4M'!$L$68</f>
        <v>0</v>
      </c>
    </row>
    <row r="2656" spans="1:7">
      <c r="A2656" t="s">
        <v>643</v>
      </c>
      <c r="C2656" t="str">
        <f>'4M'!$BO$68</f>
        <v>B0342SEC_SD</v>
      </c>
      <c r="D2656" t="str">
        <f>_xlfn.CONCAT('4M'!$B$58, "-", '4M'!$B$68, "-", '4M'!$M$7, "-", '4M'!$K$6, "-", '4M'!$F$5)</f>
        <v>Other enhancement-Sludge enhancement (quality)-Sludge disposal-Bioresources-Expenditure in report year</v>
      </c>
      <c r="F2656" t="s">
        <v>7182</v>
      </c>
      <c r="G2656">
        <f>'4M'!$M$68</f>
        <v>0</v>
      </c>
    </row>
    <row r="2657" spans="1:7">
      <c r="A2657" t="s">
        <v>643</v>
      </c>
      <c r="C2657" t="str">
        <f>'4M'!$BP$68</f>
        <v>B0342SEC_TOT</v>
      </c>
      <c r="D2657" t="str">
        <f>_xlfn.CONCAT('4M'!$B$58, "-", '4M'!$B$68, "-", '4M'!$N$6, "-", '4M'!$N$6, "-", '4M'!$F$5)</f>
        <v>Other enhancement-Sludge enhancement (quality)-Total-Total-Expenditure in report year</v>
      </c>
      <c r="F2657" t="s">
        <v>7182</v>
      </c>
      <c r="G2657">
        <f>'4M'!$N$68</f>
        <v>0</v>
      </c>
    </row>
    <row r="2658" spans="1:7">
      <c r="A2658" t="s">
        <v>643</v>
      </c>
      <c r="C2658" t="str">
        <f>'4M'!$BH$69</f>
        <v>B0343SEO_F</v>
      </c>
      <c r="D2658" t="str">
        <f>_xlfn.CONCAT('4M'!$B$58, "-", '4M'!$B$69, "-", '4M'!$F$7, "-", '4M'!$F$6, "-", '4M'!$F$5)</f>
        <v>Other enhancement-Sludge enhancement (quality)-Foul-Wastewater network+ -Expenditure in report year</v>
      </c>
      <c r="F2658" t="s">
        <v>7182</v>
      </c>
      <c r="G2658">
        <f>'4M'!$F$69</f>
        <v>0</v>
      </c>
    </row>
    <row r="2659" spans="1:7">
      <c r="A2659" t="s">
        <v>643</v>
      </c>
      <c r="C2659" t="str">
        <f>'4M'!$BI$69</f>
        <v>B0343SEO_SWD</v>
      </c>
      <c r="D2659" t="str">
        <f>_xlfn.CONCAT('4M'!$B$58, "-", '4M'!$B$69, "-", '4M'!$G$7, "-", '4M'!$F$6, "-", '4M'!$F$5)</f>
        <v>Other enhancement-Sludge enhancement (quality)-Surface water drainage-Wastewater network+ -Expenditure in report year</v>
      </c>
      <c r="F2659" t="s">
        <v>7182</v>
      </c>
      <c r="G2659">
        <f>'4M'!$G$69</f>
        <v>0</v>
      </c>
    </row>
    <row r="2660" spans="1:7">
      <c r="A2660" t="s">
        <v>643</v>
      </c>
      <c r="C2660" t="str">
        <f>'4M'!$BJ$69</f>
        <v>B0343SEO_HD</v>
      </c>
      <c r="D2660" t="str">
        <f>_xlfn.CONCAT('4M'!$B$58, "-", '4M'!$B$69, "-", '4M'!$H$7, "-", '4M'!$F$6, "-", '4M'!$F$5)</f>
        <v>Other enhancement-Sludge enhancement (quality)-Highway drainage-Wastewater network+ -Expenditure in report year</v>
      </c>
      <c r="F2660" t="s">
        <v>7182</v>
      </c>
      <c r="G2660">
        <f>'4M'!$H$69</f>
        <v>0</v>
      </c>
    </row>
    <row r="2661" spans="1:7">
      <c r="A2661" t="s">
        <v>643</v>
      </c>
      <c r="C2661" t="str">
        <f>'4M'!$BK$69</f>
        <v>B0343SEO_STD</v>
      </c>
      <c r="D2661" t="str">
        <f>_xlfn.CONCAT('4M'!$B$58, "-", '4M'!$B$69, "-", '4M'!$I$7, "-", '4M'!$F$6, "-", '4M'!$F$5)</f>
        <v>Other enhancement-Sludge enhancement (quality)-Sewage treatment and disposal-Wastewater network+ -Expenditure in report year</v>
      </c>
      <c r="F2661" t="s">
        <v>7182</v>
      </c>
      <c r="G2661">
        <f>'4M'!$I$69</f>
        <v>0</v>
      </c>
    </row>
    <row r="2662" spans="1:7">
      <c r="A2662" t="s">
        <v>643</v>
      </c>
      <c r="C2662" t="str">
        <f>'4M'!$BL$69</f>
        <v>B0343SEO_SLT</v>
      </c>
      <c r="D2662" t="str">
        <f>_xlfn.CONCAT('4M'!$B$58, "-", '4M'!$B$69, "-", '4M'!$J$7, "-", '4M'!$F$6, "-", '4M'!$F$5)</f>
        <v>Other enhancement-Sludge enhancement (quality)-Sludge liquor treatment-Wastewater network+ -Expenditure in report year</v>
      </c>
      <c r="F2662" t="s">
        <v>7182</v>
      </c>
      <c r="G2662">
        <f>'4M'!$J$69</f>
        <v>0</v>
      </c>
    </row>
    <row r="2663" spans="1:7">
      <c r="A2663" t="s">
        <v>643</v>
      </c>
      <c r="C2663" t="str">
        <f>'4M'!$BM$69</f>
        <v>B0343SEO_STP</v>
      </c>
      <c r="D2663" t="str">
        <f>_xlfn.CONCAT('4M'!$B$58, "-", '4M'!$B$69, "-", '4M'!$K$7, "-", '4M'!$K$6, "-", '4M'!$F$5)</f>
        <v>Other enhancement-Sludge enhancement (quality)-Sludge transport-Bioresources-Expenditure in report year</v>
      </c>
      <c r="F2663" t="s">
        <v>7182</v>
      </c>
      <c r="G2663">
        <f>'4M'!$K$69</f>
        <v>0</v>
      </c>
    </row>
    <row r="2664" spans="1:7">
      <c r="A2664" t="s">
        <v>643</v>
      </c>
      <c r="C2664" t="str">
        <f>'4M'!$BN$69</f>
        <v>B0343SEO_SDT</v>
      </c>
      <c r="D2664" t="str">
        <f>_xlfn.CONCAT('4M'!$B$58, "-", '4M'!$B$69, "-", '4M'!$L$7, "-", '4M'!$K$6, "-", '4M'!$F$5)</f>
        <v>Other enhancement-Sludge enhancement (quality)-Sludge treatment-Bioresources-Expenditure in report year</v>
      </c>
      <c r="F2664" t="s">
        <v>7182</v>
      </c>
      <c r="G2664">
        <f>'4M'!$L$69</f>
        <v>0</v>
      </c>
    </row>
    <row r="2665" spans="1:7">
      <c r="A2665" t="s">
        <v>643</v>
      </c>
      <c r="C2665" t="str">
        <f>'4M'!$BO$69</f>
        <v>B0343SEO_SD</v>
      </c>
      <c r="D2665" t="str">
        <f>_xlfn.CONCAT('4M'!$B$58, "-", '4M'!$B$69, "-", '4M'!$M$7, "-", '4M'!$K$6, "-", '4M'!$F$5)</f>
        <v>Other enhancement-Sludge enhancement (quality)-Sludge disposal-Bioresources-Expenditure in report year</v>
      </c>
      <c r="F2665" t="s">
        <v>7182</v>
      </c>
      <c r="G2665">
        <f>'4M'!$M$69</f>
        <v>0</v>
      </c>
    </row>
    <row r="2666" spans="1:7">
      <c r="A2666" t="s">
        <v>643</v>
      </c>
      <c r="C2666" t="str">
        <f>'4M'!$BP$69</f>
        <v>B0343SEO_TOT</v>
      </c>
      <c r="D2666" t="str">
        <f>_xlfn.CONCAT('4M'!$B$58, "-", '4M'!$B$69, "-", '4M'!$N$6, "-", '4M'!$N$6, "-", '4M'!$F$5)</f>
        <v>Other enhancement-Sludge enhancement (quality)-Total-Total-Expenditure in report year</v>
      </c>
      <c r="F2666" t="s">
        <v>7182</v>
      </c>
      <c r="G2666">
        <f>'4M'!$N$69</f>
        <v>0</v>
      </c>
    </row>
    <row r="2667" spans="1:7">
      <c r="A2667" t="s">
        <v>643</v>
      </c>
      <c r="C2667" t="str">
        <f>'4M'!$BH$70</f>
        <v>B0344SET_F</v>
      </c>
      <c r="D2667" t="str">
        <f>_xlfn.CONCAT('4M'!$B$58, "-", '4M'!$B$70, "-", '4M'!$F$7, "-", '4M'!$F$6, "-", '4M'!$F$5)</f>
        <v>Other enhancement-Sludge enhancement (quality)-Foul-Wastewater network+ -Expenditure in report year</v>
      </c>
      <c r="F2667" t="s">
        <v>7182</v>
      </c>
      <c r="G2667">
        <f>'4M'!$F$70</f>
        <v>0</v>
      </c>
    </row>
    <row r="2668" spans="1:7">
      <c r="A2668" t="s">
        <v>643</v>
      </c>
      <c r="C2668" t="str">
        <f>'4M'!$BI$70</f>
        <v>B0344SET_SWD</v>
      </c>
      <c r="D2668" t="str">
        <f>_xlfn.CONCAT('4M'!$B$58, "-", '4M'!$B$70, "-", '4M'!$G$7, "-", '4M'!$F$6, "-", '4M'!$F$5)</f>
        <v>Other enhancement-Sludge enhancement (quality)-Surface water drainage-Wastewater network+ -Expenditure in report year</v>
      </c>
      <c r="F2668" t="s">
        <v>7182</v>
      </c>
      <c r="G2668">
        <f>'4M'!$G$70</f>
        <v>0</v>
      </c>
    </row>
    <row r="2669" spans="1:7">
      <c r="A2669" t="s">
        <v>643</v>
      </c>
      <c r="C2669" t="str">
        <f>'4M'!$BJ$70</f>
        <v>B0344SET_HD</v>
      </c>
      <c r="D2669" t="str">
        <f>_xlfn.CONCAT('4M'!$B$58, "-", '4M'!$B$70, "-", '4M'!$H$7, "-", '4M'!$F$6, "-", '4M'!$F$5)</f>
        <v>Other enhancement-Sludge enhancement (quality)-Highway drainage-Wastewater network+ -Expenditure in report year</v>
      </c>
      <c r="F2669" t="s">
        <v>7182</v>
      </c>
      <c r="G2669">
        <f>'4M'!$H$70</f>
        <v>0</v>
      </c>
    </row>
    <row r="2670" spans="1:7">
      <c r="A2670" t="s">
        <v>643</v>
      </c>
      <c r="C2670" t="str">
        <f>'4M'!$BK$70</f>
        <v>B0344SET_STD</v>
      </c>
      <c r="D2670" t="str">
        <f>_xlfn.CONCAT('4M'!$B$58, "-", '4M'!$B$70, "-", '4M'!$I$7, "-", '4M'!$F$6, "-", '4M'!$F$5)</f>
        <v>Other enhancement-Sludge enhancement (quality)-Sewage treatment and disposal-Wastewater network+ -Expenditure in report year</v>
      </c>
      <c r="F2670" t="s">
        <v>7182</v>
      </c>
      <c r="G2670">
        <f>'4M'!$I$70</f>
        <v>0</v>
      </c>
    </row>
    <row r="2671" spans="1:7">
      <c r="A2671" t="s">
        <v>643</v>
      </c>
      <c r="C2671" t="str">
        <f>'4M'!$BL$70</f>
        <v>B0344SET_SLT</v>
      </c>
      <c r="D2671" t="str">
        <f>_xlfn.CONCAT('4M'!$B$58, "-", '4M'!$B$70, "-", '4M'!$J$7, "-", '4M'!$F$6, "-", '4M'!$F$5)</f>
        <v>Other enhancement-Sludge enhancement (quality)-Sludge liquor treatment-Wastewater network+ -Expenditure in report year</v>
      </c>
      <c r="F2671" t="s">
        <v>7182</v>
      </c>
      <c r="G2671">
        <f>'4M'!$J$70</f>
        <v>0</v>
      </c>
    </row>
    <row r="2672" spans="1:7">
      <c r="A2672" t="s">
        <v>643</v>
      </c>
      <c r="C2672" t="str">
        <f>'4M'!$BM$70</f>
        <v>B0344SET_STP</v>
      </c>
      <c r="D2672" t="str">
        <f>_xlfn.CONCAT('4M'!$B$58, "-", '4M'!$B$70, "-", '4M'!$K$7, "-", '4M'!$K$6, "-", '4M'!$F$5)</f>
        <v>Other enhancement-Sludge enhancement (quality)-Sludge transport-Bioresources-Expenditure in report year</v>
      </c>
      <c r="F2672" t="s">
        <v>7182</v>
      </c>
      <c r="G2672">
        <f>'4M'!$K$70</f>
        <v>0</v>
      </c>
    </row>
    <row r="2673" spans="1:7">
      <c r="A2673" t="s">
        <v>643</v>
      </c>
      <c r="C2673" t="str">
        <f>'4M'!$BN$70</f>
        <v>B0344SET_SDT</v>
      </c>
      <c r="D2673" t="str">
        <f>_xlfn.CONCAT('4M'!$B$58, "-", '4M'!$B$70, "-", '4M'!$L$7, "-", '4M'!$K$6, "-", '4M'!$F$5)</f>
        <v>Other enhancement-Sludge enhancement (quality)-Sludge treatment-Bioresources-Expenditure in report year</v>
      </c>
      <c r="F2673" t="s">
        <v>7182</v>
      </c>
      <c r="G2673">
        <f>'4M'!$L$70</f>
        <v>0</v>
      </c>
    </row>
    <row r="2674" spans="1:7">
      <c r="A2674" t="s">
        <v>643</v>
      </c>
      <c r="C2674" t="str">
        <f>'4M'!$BO$70</f>
        <v>B0344SET_SD</v>
      </c>
      <c r="D2674" t="str">
        <f>_xlfn.CONCAT('4M'!$B$58, "-", '4M'!$B$70, "-", '4M'!$M$7, "-", '4M'!$K$6, "-", '4M'!$F$5)</f>
        <v>Other enhancement-Sludge enhancement (quality)-Sludge disposal-Bioresources-Expenditure in report year</v>
      </c>
      <c r="F2674" t="s">
        <v>7182</v>
      </c>
      <c r="G2674">
        <f>'4M'!$M$70</f>
        <v>0</v>
      </c>
    </row>
    <row r="2675" spans="1:7">
      <c r="A2675" t="s">
        <v>643</v>
      </c>
      <c r="C2675" t="str">
        <f>'4M'!$BP$70</f>
        <v>B0344SET_TOT</v>
      </c>
      <c r="D2675" t="str">
        <f>_xlfn.CONCAT('4M'!$B$58, "-", '4M'!$B$70, "-", '4M'!$N$6, "-", '4M'!$N$6, "-", '4M'!$F$5)</f>
        <v>Other enhancement-Sludge enhancement (quality)-Total-Total-Expenditure in report year</v>
      </c>
      <c r="F2675" t="s">
        <v>7182</v>
      </c>
      <c r="G2675">
        <f>'4M'!$N$70</f>
        <v>0</v>
      </c>
    </row>
    <row r="2676" spans="1:7">
      <c r="A2676" t="s">
        <v>643</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7182</v>
      </c>
      <c r="G2676">
        <f>'4M'!$X$70</f>
        <v>0</v>
      </c>
    </row>
    <row r="2677" spans="1:7">
      <c r="A2677" t="s">
        <v>643</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7182</v>
      </c>
      <c r="G2677">
        <f>'4M'!$Y$70</f>
        <v>0</v>
      </c>
    </row>
    <row r="2678" spans="1:7">
      <c r="A2678" t="s">
        <v>643</v>
      </c>
      <c r="C2678" t="str">
        <f>'4M'!$CB$70</f>
        <v>B0395SET_TC</v>
      </c>
      <c r="D2678" t="str">
        <f>_xlfn.CONCAT('4M'!$B$58, "-", '4M'!$B$70, "-", '4M'!$Z$7, "-", '4M'!$Z$5, "-", '4M'!$Z$5)</f>
        <v>Other enhancement-Sludge enhancement (quality)-Total-Cumulative allowed expenditure on all schemes 2020-25-Cumulative allowed expenditure on all schemes 2020-25</v>
      </c>
      <c r="F2678" t="s">
        <v>7182</v>
      </c>
      <c r="G2678">
        <f>'4M'!$Z$70</f>
        <v>0</v>
      </c>
    </row>
    <row r="2679" spans="1:7">
      <c r="A2679" t="s">
        <v>643</v>
      </c>
      <c r="C2679" t="str">
        <f>'4M'!$BH$71</f>
        <v>B0345SEC_F</v>
      </c>
      <c r="D2679" t="str">
        <f>_xlfn.CONCAT('4M'!$B$58, "-", '4M'!$B$71, "-", '4M'!$F$7, "-", '4M'!$F$6, "-", '4M'!$F$5)</f>
        <v>Other enhancement-Sludge enhancement (growth)-Foul-Wastewater network+ -Expenditure in report year</v>
      </c>
      <c r="F2679" t="s">
        <v>7182</v>
      </c>
      <c r="G2679">
        <f>'4M'!$F$71</f>
        <v>0</v>
      </c>
    </row>
    <row r="2680" spans="1:7">
      <c r="A2680" t="s">
        <v>643</v>
      </c>
      <c r="C2680" t="str">
        <f>'4M'!$BI$71</f>
        <v>B0345SEC_SWD</v>
      </c>
      <c r="D2680" t="str">
        <f>_xlfn.CONCAT('4M'!$B$58, "-", '4M'!$B$71, "-", '4M'!$G$7, "-", '4M'!$F$6, "-", '4M'!$F$5)</f>
        <v>Other enhancement-Sludge enhancement (growth)-Surface water drainage-Wastewater network+ -Expenditure in report year</v>
      </c>
      <c r="F2680" t="s">
        <v>7182</v>
      </c>
      <c r="G2680">
        <f>'4M'!$G$71</f>
        <v>0</v>
      </c>
    </row>
    <row r="2681" spans="1:7">
      <c r="A2681" t="s">
        <v>643</v>
      </c>
      <c r="C2681" t="str">
        <f>'4M'!$BJ$71</f>
        <v>B0345SEC_HD</v>
      </c>
      <c r="D2681" t="str">
        <f>_xlfn.CONCAT('4M'!$B$58, "-", '4M'!$B$71, "-", '4M'!$H$7, "-", '4M'!$F$6, "-", '4M'!$F$5)</f>
        <v>Other enhancement-Sludge enhancement (growth)-Highway drainage-Wastewater network+ -Expenditure in report year</v>
      </c>
      <c r="F2681" t="s">
        <v>7182</v>
      </c>
      <c r="G2681">
        <f>'4M'!$H$71</f>
        <v>0</v>
      </c>
    </row>
    <row r="2682" spans="1:7">
      <c r="A2682" t="s">
        <v>643</v>
      </c>
      <c r="C2682" t="str">
        <f>'4M'!$BK$71</f>
        <v>B0345SEC_STD</v>
      </c>
      <c r="D2682" t="str">
        <f>_xlfn.CONCAT('4M'!$B$58, "-", '4M'!$B$71, "-", '4M'!$I$7, "-", '4M'!$F$6, "-", '4M'!$F$5)</f>
        <v>Other enhancement-Sludge enhancement (growth)-Sewage treatment and disposal-Wastewater network+ -Expenditure in report year</v>
      </c>
      <c r="F2682" t="s">
        <v>7182</v>
      </c>
      <c r="G2682">
        <f>'4M'!$I$71</f>
        <v>0</v>
      </c>
    </row>
    <row r="2683" spans="1:7">
      <c r="A2683" t="s">
        <v>643</v>
      </c>
      <c r="C2683" t="str">
        <f>'4M'!$BL$71</f>
        <v>B0345SEC_SLT</v>
      </c>
      <c r="D2683" t="str">
        <f>_xlfn.CONCAT('4M'!$B$58, "-", '4M'!$B$71, "-", '4M'!$J$7, "-", '4M'!$F$6, "-", '4M'!$F$5)</f>
        <v>Other enhancement-Sludge enhancement (growth)-Sludge liquor treatment-Wastewater network+ -Expenditure in report year</v>
      </c>
      <c r="F2683" t="s">
        <v>7182</v>
      </c>
      <c r="G2683">
        <f>'4M'!$J$71</f>
        <v>0</v>
      </c>
    </row>
    <row r="2684" spans="1:7">
      <c r="A2684" t="s">
        <v>643</v>
      </c>
      <c r="C2684" t="str">
        <f>'4M'!$BM$71</f>
        <v>B0345SEC_STP</v>
      </c>
      <c r="D2684" t="str">
        <f>_xlfn.CONCAT('4M'!$B$58, "-", '4M'!$B$71, "-", '4M'!$K$7, "-", '4M'!$K$6, "-", '4M'!$F$5)</f>
        <v>Other enhancement-Sludge enhancement (growth)-Sludge transport-Bioresources-Expenditure in report year</v>
      </c>
      <c r="F2684" t="s">
        <v>7182</v>
      </c>
      <c r="G2684">
        <f>'4M'!$K$71</f>
        <v>0</v>
      </c>
    </row>
    <row r="2685" spans="1:7">
      <c r="A2685" t="s">
        <v>643</v>
      </c>
      <c r="C2685" t="str">
        <f>'4M'!$BN$71</f>
        <v>B0345SEC_SDT</v>
      </c>
      <c r="D2685" t="str">
        <f>_xlfn.CONCAT('4M'!$B$58, "-", '4M'!$B$71, "-", '4M'!$L$7, "-", '4M'!$K$6, "-", '4M'!$F$5)</f>
        <v>Other enhancement-Sludge enhancement (growth)-Sludge treatment-Bioresources-Expenditure in report year</v>
      </c>
      <c r="F2685" t="s">
        <v>7182</v>
      </c>
      <c r="G2685">
        <f>'4M'!$L$71</f>
        <v>0</v>
      </c>
    </row>
    <row r="2686" spans="1:7">
      <c r="A2686" t="s">
        <v>643</v>
      </c>
      <c r="C2686" t="str">
        <f>'4M'!$BO$71</f>
        <v>B0345SEC_SD</v>
      </c>
      <c r="D2686" t="str">
        <f>_xlfn.CONCAT('4M'!$B$58, "-", '4M'!$B$71, "-", '4M'!$M$7, "-", '4M'!$K$6, "-", '4M'!$F$5)</f>
        <v>Other enhancement-Sludge enhancement (growth)-Sludge disposal-Bioresources-Expenditure in report year</v>
      </c>
      <c r="F2686" t="s">
        <v>7182</v>
      </c>
      <c r="G2686">
        <f>'4M'!$M$71</f>
        <v>0</v>
      </c>
    </row>
    <row r="2687" spans="1:7">
      <c r="A2687" t="s">
        <v>643</v>
      </c>
      <c r="C2687" t="str">
        <f>'4M'!$BP$71</f>
        <v>B0345SEC_TOT</v>
      </c>
      <c r="D2687" t="str">
        <f>_xlfn.CONCAT('4M'!$B$58, "-", '4M'!$B$71, "-", '4M'!$N$6, "-", '4M'!$N$6, "-", '4M'!$F$5)</f>
        <v>Other enhancement-Sludge enhancement (growth)-Total-Total-Expenditure in report year</v>
      </c>
      <c r="F2687" t="s">
        <v>7182</v>
      </c>
      <c r="G2687">
        <f>'4M'!$N$71</f>
        <v>0</v>
      </c>
    </row>
    <row r="2688" spans="1:7">
      <c r="A2688" t="s">
        <v>643</v>
      </c>
      <c r="C2688" t="str">
        <f>'4M'!$BH$72</f>
        <v>B0346SEO_F</v>
      </c>
      <c r="D2688" t="str">
        <f>_xlfn.CONCAT('4M'!$B$58, "-", '4M'!$B$72, "-", '4M'!$F$7, "-", '4M'!$F$6, "-", '4M'!$F$5)</f>
        <v>Other enhancement-Sludge enhancement (growth)-Foul-Wastewater network+ -Expenditure in report year</v>
      </c>
      <c r="F2688" t="s">
        <v>7182</v>
      </c>
      <c r="G2688">
        <f>'4M'!$F$72</f>
        <v>0</v>
      </c>
    </row>
    <row r="2689" spans="1:7">
      <c r="A2689" t="s">
        <v>643</v>
      </c>
      <c r="C2689" t="str">
        <f>'4M'!$BI$72</f>
        <v>B0346SEO_SWD</v>
      </c>
      <c r="D2689" t="str">
        <f>_xlfn.CONCAT('4M'!$B$58, "-", '4M'!$B$72, "-", '4M'!$G$7, "-", '4M'!$F$6, "-", '4M'!$F$5)</f>
        <v>Other enhancement-Sludge enhancement (growth)-Surface water drainage-Wastewater network+ -Expenditure in report year</v>
      </c>
      <c r="F2689" t="s">
        <v>7182</v>
      </c>
      <c r="G2689">
        <f>'4M'!$G$72</f>
        <v>0</v>
      </c>
    </row>
    <row r="2690" spans="1:7">
      <c r="A2690" t="s">
        <v>643</v>
      </c>
      <c r="C2690" t="str">
        <f>'4M'!$BJ$72</f>
        <v>B0346SEO_HD</v>
      </c>
      <c r="D2690" t="str">
        <f>_xlfn.CONCAT('4M'!$B$58, "-", '4M'!$B$72, "-", '4M'!$H$7, "-", '4M'!$F$6, "-", '4M'!$F$5)</f>
        <v>Other enhancement-Sludge enhancement (growth)-Highway drainage-Wastewater network+ -Expenditure in report year</v>
      </c>
      <c r="F2690" t="s">
        <v>7182</v>
      </c>
      <c r="G2690">
        <f>'4M'!$H$72</f>
        <v>0</v>
      </c>
    </row>
    <row r="2691" spans="1:7">
      <c r="A2691" t="s">
        <v>643</v>
      </c>
      <c r="C2691" t="str">
        <f>'4M'!$BK$72</f>
        <v>B0346SEO_STD</v>
      </c>
      <c r="D2691" t="str">
        <f>_xlfn.CONCAT('4M'!$B$58, "-", '4M'!$B$72, "-", '4M'!$I$7, "-", '4M'!$F$6, "-", '4M'!$F$5)</f>
        <v>Other enhancement-Sludge enhancement (growth)-Sewage treatment and disposal-Wastewater network+ -Expenditure in report year</v>
      </c>
      <c r="F2691" t="s">
        <v>7182</v>
      </c>
      <c r="G2691">
        <f>'4M'!$I$72</f>
        <v>0</v>
      </c>
    </row>
    <row r="2692" spans="1:7">
      <c r="A2692" t="s">
        <v>643</v>
      </c>
      <c r="C2692" t="str">
        <f>'4M'!$BL$72</f>
        <v>B0346SEO_SLT</v>
      </c>
      <c r="D2692" t="str">
        <f>_xlfn.CONCAT('4M'!$B$58, "-", '4M'!$B$72, "-", '4M'!$J$7, "-", '4M'!$F$6, "-", '4M'!$F$5)</f>
        <v>Other enhancement-Sludge enhancement (growth)-Sludge liquor treatment-Wastewater network+ -Expenditure in report year</v>
      </c>
      <c r="F2692" t="s">
        <v>7182</v>
      </c>
      <c r="G2692">
        <f>'4M'!$J$72</f>
        <v>0</v>
      </c>
    </row>
    <row r="2693" spans="1:7">
      <c r="A2693" t="s">
        <v>643</v>
      </c>
      <c r="C2693" t="str">
        <f>'4M'!$BM$72</f>
        <v>B0346SEO_STP</v>
      </c>
      <c r="D2693" t="str">
        <f>_xlfn.CONCAT('4M'!$B$58, "-", '4M'!$B$72, "-", '4M'!$K$7, "-", '4M'!$K$6, "-", '4M'!$F$5)</f>
        <v>Other enhancement-Sludge enhancement (growth)-Sludge transport-Bioresources-Expenditure in report year</v>
      </c>
      <c r="F2693" t="s">
        <v>7182</v>
      </c>
      <c r="G2693">
        <f>'4M'!$K$72</f>
        <v>0</v>
      </c>
    </row>
    <row r="2694" spans="1:7">
      <c r="A2694" t="s">
        <v>643</v>
      </c>
      <c r="C2694" t="str">
        <f>'4M'!$BN$72</f>
        <v>B0346SEO_SDT</v>
      </c>
      <c r="D2694" t="str">
        <f>_xlfn.CONCAT('4M'!$B$58, "-", '4M'!$B$72, "-", '4M'!$L$7, "-", '4M'!$K$6, "-", '4M'!$F$5)</f>
        <v>Other enhancement-Sludge enhancement (growth)-Sludge treatment-Bioresources-Expenditure in report year</v>
      </c>
      <c r="F2694" t="s">
        <v>7182</v>
      </c>
      <c r="G2694">
        <f>'4M'!$L$72</f>
        <v>0</v>
      </c>
    </row>
    <row r="2695" spans="1:7">
      <c r="A2695" t="s">
        <v>643</v>
      </c>
      <c r="C2695" t="str">
        <f>'4M'!$BO$72</f>
        <v>B0346SEO_SD</v>
      </c>
      <c r="D2695" t="str">
        <f>_xlfn.CONCAT('4M'!$B$58, "-", '4M'!$B$72, "-", '4M'!$M$7, "-", '4M'!$K$6, "-", '4M'!$F$5)</f>
        <v>Other enhancement-Sludge enhancement (growth)-Sludge disposal-Bioresources-Expenditure in report year</v>
      </c>
      <c r="F2695" t="s">
        <v>7182</v>
      </c>
      <c r="G2695">
        <f>'4M'!$M$72</f>
        <v>0</v>
      </c>
    </row>
    <row r="2696" spans="1:7">
      <c r="A2696" t="s">
        <v>643</v>
      </c>
      <c r="C2696" t="str">
        <f>'4M'!$BP$72</f>
        <v>B0346SEO_TOT</v>
      </c>
      <c r="D2696" t="str">
        <f>_xlfn.CONCAT('4M'!$B$58, "-", '4M'!$B$72, "-", '4M'!$N$6, "-", '4M'!$N$6, "-", '4M'!$F$5)</f>
        <v>Other enhancement-Sludge enhancement (growth)-Total-Total-Expenditure in report year</v>
      </c>
      <c r="F2696" t="s">
        <v>7182</v>
      </c>
      <c r="G2696">
        <f>'4M'!$N$72</f>
        <v>0</v>
      </c>
    </row>
    <row r="2697" spans="1:7">
      <c r="A2697" t="s">
        <v>643</v>
      </c>
      <c r="C2697" t="str">
        <f>'4M'!$BH$73</f>
        <v>B0347SET_F</v>
      </c>
      <c r="D2697" t="str">
        <f>_xlfn.CONCAT('4M'!$B$58, "-", '4M'!$B$73, "-", '4M'!$F$7, "-", '4M'!$F$6, "-", '4M'!$F$5)</f>
        <v>Other enhancement-Sludge enhancement (growth)-Foul-Wastewater network+ -Expenditure in report year</v>
      </c>
      <c r="F2697" t="s">
        <v>7182</v>
      </c>
      <c r="G2697">
        <f>'4M'!$F$73</f>
        <v>0</v>
      </c>
    </row>
    <row r="2698" spans="1:7">
      <c r="A2698" t="s">
        <v>643</v>
      </c>
      <c r="C2698" t="str">
        <f>'4M'!$BI$73</f>
        <v>B0347SET_SWD</v>
      </c>
      <c r="D2698" t="str">
        <f>_xlfn.CONCAT('4M'!$B$58, "-", '4M'!$B$73, "-", '4M'!$G$7, "-", '4M'!$F$6, "-", '4M'!$F$5)</f>
        <v>Other enhancement-Sludge enhancement (growth)-Surface water drainage-Wastewater network+ -Expenditure in report year</v>
      </c>
      <c r="F2698" t="s">
        <v>7182</v>
      </c>
      <c r="G2698">
        <f>'4M'!$G$73</f>
        <v>0</v>
      </c>
    </row>
    <row r="2699" spans="1:7">
      <c r="A2699" t="s">
        <v>643</v>
      </c>
      <c r="C2699" t="str">
        <f>'4M'!$BJ$73</f>
        <v>B0347SET_HD</v>
      </c>
      <c r="D2699" t="str">
        <f>_xlfn.CONCAT('4M'!$B$58, "-", '4M'!$B$73, "-", '4M'!$H$7, "-", '4M'!$F$6, "-", '4M'!$F$5)</f>
        <v>Other enhancement-Sludge enhancement (growth)-Highway drainage-Wastewater network+ -Expenditure in report year</v>
      </c>
      <c r="F2699" t="s">
        <v>7182</v>
      </c>
      <c r="G2699">
        <f>'4M'!$H$73</f>
        <v>0</v>
      </c>
    </row>
    <row r="2700" spans="1:7">
      <c r="A2700" t="s">
        <v>643</v>
      </c>
      <c r="C2700" t="str">
        <f>'4M'!$BK$73</f>
        <v>B0347SET_STD</v>
      </c>
      <c r="D2700" t="str">
        <f>_xlfn.CONCAT('4M'!$B$58, "-", '4M'!$B$73, "-", '4M'!$I$7, "-", '4M'!$F$6, "-", '4M'!$F$5)</f>
        <v>Other enhancement-Sludge enhancement (growth)-Sewage treatment and disposal-Wastewater network+ -Expenditure in report year</v>
      </c>
      <c r="F2700" t="s">
        <v>7182</v>
      </c>
      <c r="G2700">
        <f>'4M'!$I$73</f>
        <v>0</v>
      </c>
    </row>
    <row r="2701" spans="1:7">
      <c r="A2701" t="s">
        <v>643</v>
      </c>
      <c r="C2701" t="str">
        <f>'4M'!$BL$73</f>
        <v>B0347SET_SLT</v>
      </c>
      <c r="D2701" t="str">
        <f>_xlfn.CONCAT('4M'!$B$58, "-", '4M'!$B$73, "-", '4M'!$J$7, "-", '4M'!$F$6, "-", '4M'!$F$5)</f>
        <v>Other enhancement-Sludge enhancement (growth)-Sludge liquor treatment-Wastewater network+ -Expenditure in report year</v>
      </c>
      <c r="F2701" t="s">
        <v>7182</v>
      </c>
      <c r="G2701">
        <f>'4M'!$J$73</f>
        <v>0</v>
      </c>
    </row>
    <row r="2702" spans="1:7">
      <c r="A2702" t="s">
        <v>643</v>
      </c>
      <c r="C2702" t="str">
        <f>'4M'!$BM$73</f>
        <v>B0347SET_STP</v>
      </c>
      <c r="D2702" t="str">
        <f>_xlfn.CONCAT('4M'!$B$58, "-", '4M'!$B$73, "-", '4M'!$K$7, "-", '4M'!$K$6, "-", '4M'!$F$5)</f>
        <v>Other enhancement-Sludge enhancement (growth)-Sludge transport-Bioresources-Expenditure in report year</v>
      </c>
      <c r="F2702" t="s">
        <v>7182</v>
      </c>
      <c r="G2702">
        <f>'4M'!$K$73</f>
        <v>0</v>
      </c>
    </row>
    <row r="2703" spans="1:7">
      <c r="A2703" t="s">
        <v>643</v>
      </c>
      <c r="C2703" t="str">
        <f>'4M'!$BN$73</f>
        <v>B0347SET_SDT</v>
      </c>
      <c r="D2703" t="str">
        <f>_xlfn.CONCAT('4M'!$B$58, "-", '4M'!$B$73, "-", '4M'!$L$7, "-", '4M'!$K$6, "-", '4M'!$F$5)</f>
        <v>Other enhancement-Sludge enhancement (growth)-Sludge treatment-Bioresources-Expenditure in report year</v>
      </c>
      <c r="F2703" t="s">
        <v>7182</v>
      </c>
      <c r="G2703">
        <f>'4M'!$L$73</f>
        <v>0</v>
      </c>
    </row>
    <row r="2704" spans="1:7">
      <c r="A2704" t="s">
        <v>643</v>
      </c>
      <c r="C2704" t="str">
        <f>'4M'!$BO$73</f>
        <v>B0347SET_SD</v>
      </c>
      <c r="D2704" t="str">
        <f>_xlfn.CONCAT('4M'!$B$58, "-", '4M'!$B$73, "-", '4M'!$M$7, "-", '4M'!$K$6, "-", '4M'!$F$5)</f>
        <v>Other enhancement-Sludge enhancement (growth)-Sludge disposal-Bioresources-Expenditure in report year</v>
      </c>
      <c r="F2704" t="s">
        <v>7182</v>
      </c>
      <c r="G2704">
        <f>'4M'!$M$73</f>
        <v>0</v>
      </c>
    </row>
    <row r="2705" spans="1:7">
      <c r="A2705" t="s">
        <v>643</v>
      </c>
      <c r="C2705" t="str">
        <f>'4M'!$BP$73</f>
        <v>B0347SET_TOT</v>
      </c>
      <c r="D2705" t="str">
        <f>_xlfn.CONCAT('4M'!$B$58, "-", '4M'!$B$73, "-", '4M'!$N$6, "-", '4M'!$N$6, "-", '4M'!$F$5)</f>
        <v>Other enhancement-Sludge enhancement (growth)-Total-Total-Expenditure in report year</v>
      </c>
      <c r="F2705" t="s">
        <v>7182</v>
      </c>
      <c r="G2705">
        <f>'4M'!$N$73</f>
        <v>0</v>
      </c>
    </row>
    <row r="2706" spans="1:7">
      <c r="A2706" t="s">
        <v>643</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7182</v>
      </c>
      <c r="G2706">
        <f>'4M'!$X$73</f>
        <v>0</v>
      </c>
    </row>
    <row r="2707" spans="1:7">
      <c r="A2707" t="s">
        <v>643</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7182</v>
      </c>
      <c r="G2707">
        <f>'4M'!$Y$73</f>
        <v>0</v>
      </c>
    </row>
    <row r="2708" spans="1:7">
      <c r="A2708" t="s">
        <v>643</v>
      </c>
      <c r="C2708" t="str">
        <f>'4M'!$CB$73</f>
        <v>B0396SET_TC</v>
      </c>
      <c r="D2708" t="str">
        <f>_xlfn.CONCAT('4M'!$B$58, "-", '4M'!$B$73, "-", '4M'!$Z$7, "-", '4M'!$Z$5, "-", '4M'!$Z$5)</f>
        <v>Other enhancement-Sludge enhancement (growth)-Total-Cumulative allowed expenditure on all schemes 2020-25-Cumulative allowed expenditure on all schemes 2020-25</v>
      </c>
      <c r="F2708" t="s">
        <v>7182</v>
      </c>
      <c r="G2708">
        <f>'4M'!$Z$73</f>
        <v>0</v>
      </c>
    </row>
    <row r="2709" spans="1:7">
      <c r="A2709" t="s">
        <v>643</v>
      </c>
      <c r="C2709" t="str">
        <f>'4M'!$BH$74</f>
        <v>B0348ODC_F</v>
      </c>
      <c r="D2709" t="str">
        <f>_xlfn.CONCAT('4M'!$B$58, "-", '4M'!$B$74, "-", '4M'!$F$7, "-", '4M'!$F$6, "-", '4M'!$F$5)</f>
        <v>Other enhancement-Odour-Foul-Wastewater network+ -Expenditure in report year</v>
      </c>
      <c r="F2709" t="s">
        <v>7182</v>
      </c>
      <c r="G2709">
        <f>'4M'!$F$74</f>
        <v>0</v>
      </c>
    </row>
    <row r="2710" spans="1:7">
      <c r="A2710" t="s">
        <v>643</v>
      </c>
      <c r="C2710" t="str">
        <f>'4M'!$BI$74</f>
        <v>B0348ODC_SWD</v>
      </c>
      <c r="D2710" t="str">
        <f>_xlfn.CONCAT('4M'!$B$58, "-", '4M'!$B$74, "-", '4M'!$G$7, "-", '4M'!$F$6, "-", '4M'!$F$5)</f>
        <v>Other enhancement-Odour-Surface water drainage-Wastewater network+ -Expenditure in report year</v>
      </c>
      <c r="F2710" t="s">
        <v>7182</v>
      </c>
      <c r="G2710">
        <f>'4M'!$G$74</f>
        <v>0</v>
      </c>
    </row>
    <row r="2711" spans="1:7">
      <c r="A2711" t="s">
        <v>643</v>
      </c>
      <c r="C2711" t="str">
        <f>'4M'!$BJ$74</f>
        <v>B0348ODC_HD</v>
      </c>
      <c r="D2711" t="str">
        <f>_xlfn.CONCAT('4M'!$B$58, "-", '4M'!$B$74, "-", '4M'!$H$7, "-", '4M'!$F$6, "-", '4M'!$F$5)</f>
        <v>Other enhancement-Odour-Highway drainage-Wastewater network+ -Expenditure in report year</v>
      </c>
      <c r="F2711" t="s">
        <v>7182</v>
      </c>
      <c r="G2711">
        <f>'4M'!$H$74</f>
        <v>0</v>
      </c>
    </row>
    <row r="2712" spans="1:7">
      <c r="A2712" t="s">
        <v>643</v>
      </c>
      <c r="C2712" t="str">
        <f>'4M'!$BK$74</f>
        <v>B0348ODC_STD</v>
      </c>
      <c r="D2712" t="str">
        <f>_xlfn.CONCAT('4M'!$B$58, "-", '4M'!$B$74, "-", '4M'!$I$7, "-", '4M'!$F$6, "-", '4M'!$F$5)</f>
        <v>Other enhancement-Odour-Sewage treatment and disposal-Wastewater network+ -Expenditure in report year</v>
      </c>
      <c r="F2712" t="s">
        <v>7182</v>
      </c>
      <c r="G2712">
        <f>'4M'!$I$74</f>
        <v>0</v>
      </c>
    </row>
    <row r="2713" spans="1:7">
      <c r="A2713" t="s">
        <v>643</v>
      </c>
      <c r="C2713" t="str">
        <f>'4M'!$BL$74</f>
        <v>B0348ODC_SLT</v>
      </c>
      <c r="D2713" t="str">
        <f>_xlfn.CONCAT('4M'!$B$58, "-", '4M'!$B$74, "-", '4M'!$J$7, "-", '4M'!$F$6, "-", '4M'!$F$5)</f>
        <v>Other enhancement-Odour-Sludge liquor treatment-Wastewater network+ -Expenditure in report year</v>
      </c>
      <c r="F2713" t="s">
        <v>7182</v>
      </c>
      <c r="G2713">
        <f>'4M'!$J$74</f>
        <v>0</v>
      </c>
    </row>
    <row r="2714" spans="1:7">
      <c r="A2714" t="s">
        <v>643</v>
      </c>
      <c r="C2714" t="str">
        <f>'4M'!$BM$74</f>
        <v>B0348ODC_STP</v>
      </c>
      <c r="D2714" t="str">
        <f>_xlfn.CONCAT('4M'!$B$58, "-", '4M'!$B$74, "-", '4M'!$K$7, "-", '4M'!$K$6, "-", '4M'!$F$5)</f>
        <v>Other enhancement-Odour-Sludge transport-Bioresources-Expenditure in report year</v>
      </c>
      <c r="F2714" t="s">
        <v>7182</v>
      </c>
      <c r="G2714">
        <f>'4M'!$K$74</f>
        <v>0</v>
      </c>
    </row>
    <row r="2715" spans="1:7">
      <c r="A2715" t="s">
        <v>643</v>
      </c>
      <c r="C2715" t="str">
        <f>'4M'!$BN$74</f>
        <v>B0348ODC_SDT</v>
      </c>
      <c r="D2715" t="str">
        <f>_xlfn.CONCAT('4M'!$B$58, "-", '4M'!$B$74, "-", '4M'!$L$7, "-", '4M'!$K$6, "-", '4M'!$F$5)</f>
        <v>Other enhancement-Odour-Sludge treatment-Bioresources-Expenditure in report year</v>
      </c>
      <c r="F2715" t="s">
        <v>7182</v>
      </c>
      <c r="G2715">
        <f>'4M'!$L$74</f>
        <v>0</v>
      </c>
    </row>
    <row r="2716" spans="1:7">
      <c r="A2716" t="s">
        <v>643</v>
      </c>
      <c r="C2716" t="str">
        <f>'4M'!$BO$74</f>
        <v>B0348ODC_SD</v>
      </c>
      <c r="D2716" t="str">
        <f>_xlfn.CONCAT('4M'!$B$58, "-", '4M'!$B$74, "-", '4M'!$M$7, "-", '4M'!$K$6, "-", '4M'!$F$5)</f>
        <v>Other enhancement-Odour-Sludge disposal-Bioresources-Expenditure in report year</v>
      </c>
      <c r="F2716" t="s">
        <v>7182</v>
      </c>
      <c r="G2716">
        <f>'4M'!$M$74</f>
        <v>0</v>
      </c>
    </row>
    <row r="2717" spans="1:7">
      <c r="A2717" t="s">
        <v>643</v>
      </c>
      <c r="C2717" t="str">
        <f>'4M'!$BP$74</f>
        <v>B0348ODC_TOT</v>
      </c>
      <c r="D2717" t="str">
        <f>_xlfn.CONCAT('4M'!$B$58, "-", '4M'!$B$74, "-", '4M'!$N$6, "-", '4M'!$N$6, "-", '4M'!$F$5)</f>
        <v>Other enhancement-Odour-Total-Total-Expenditure in report year</v>
      </c>
      <c r="F2717" t="s">
        <v>7182</v>
      </c>
      <c r="G2717">
        <f>'4M'!$N$74</f>
        <v>0</v>
      </c>
    </row>
    <row r="2718" spans="1:7">
      <c r="A2718" t="s">
        <v>643</v>
      </c>
      <c r="C2718" t="str">
        <f>'4M'!$BH$75</f>
        <v>B0349ODO_F</v>
      </c>
      <c r="D2718" t="str">
        <f>_xlfn.CONCAT('4M'!$B$58, "-", '4M'!$B$75, "-", '4M'!$F$7, "-", '4M'!$F$6, "-", '4M'!$F$5)</f>
        <v>Other enhancement-Odour-Foul-Wastewater network+ -Expenditure in report year</v>
      </c>
      <c r="F2718" t="s">
        <v>7182</v>
      </c>
      <c r="G2718">
        <f>'4M'!$F$75</f>
        <v>0</v>
      </c>
    </row>
    <row r="2719" spans="1:7">
      <c r="A2719" t="s">
        <v>643</v>
      </c>
      <c r="C2719" t="str">
        <f>'4M'!$BI$75</f>
        <v>B0349ODO_SWD</v>
      </c>
      <c r="D2719" t="str">
        <f>_xlfn.CONCAT('4M'!$B$58, "-", '4M'!$B$75, "-", '4M'!$G$7, "-", '4M'!$F$6, "-", '4M'!$F$5)</f>
        <v>Other enhancement-Odour-Surface water drainage-Wastewater network+ -Expenditure in report year</v>
      </c>
      <c r="F2719" t="s">
        <v>7182</v>
      </c>
      <c r="G2719">
        <f>'4M'!$G$75</f>
        <v>0</v>
      </c>
    </row>
    <row r="2720" spans="1:7">
      <c r="A2720" t="s">
        <v>643</v>
      </c>
      <c r="C2720" t="str">
        <f>'4M'!$BJ$75</f>
        <v>B0349ODO_HD</v>
      </c>
      <c r="D2720" t="str">
        <f>_xlfn.CONCAT('4M'!$B$58, "-", '4M'!$B$75, "-", '4M'!$H$7, "-", '4M'!$F$6, "-", '4M'!$F$5)</f>
        <v>Other enhancement-Odour-Highway drainage-Wastewater network+ -Expenditure in report year</v>
      </c>
      <c r="F2720" t="s">
        <v>7182</v>
      </c>
      <c r="G2720">
        <f>'4M'!$H$75</f>
        <v>0</v>
      </c>
    </row>
    <row r="2721" spans="1:7">
      <c r="A2721" t="s">
        <v>643</v>
      </c>
      <c r="C2721" t="str">
        <f>'4M'!$BK$75</f>
        <v>B0349ODO_STD</v>
      </c>
      <c r="D2721" t="str">
        <f>_xlfn.CONCAT('4M'!$B$58, "-", '4M'!$B$75, "-", '4M'!$I$7, "-", '4M'!$F$6, "-", '4M'!$F$5)</f>
        <v>Other enhancement-Odour-Sewage treatment and disposal-Wastewater network+ -Expenditure in report year</v>
      </c>
      <c r="F2721" t="s">
        <v>7182</v>
      </c>
      <c r="G2721">
        <f>'4M'!$I$75</f>
        <v>0</v>
      </c>
    </row>
    <row r="2722" spans="1:7">
      <c r="A2722" t="s">
        <v>643</v>
      </c>
      <c r="C2722" t="str">
        <f>'4M'!$BL$75</f>
        <v>B0349ODO_SLT</v>
      </c>
      <c r="D2722" t="str">
        <f>_xlfn.CONCAT('4M'!$B$58, "-", '4M'!$B$75, "-", '4M'!$J$7, "-", '4M'!$F$6, "-", '4M'!$F$5)</f>
        <v>Other enhancement-Odour-Sludge liquor treatment-Wastewater network+ -Expenditure in report year</v>
      </c>
      <c r="F2722" t="s">
        <v>7182</v>
      </c>
      <c r="G2722">
        <f>'4M'!$J$75</f>
        <v>0</v>
      </c>
    </row>
    <row r="2723" spans="1:7">
      <c r="A2723" t="s">
        <v>643</v>
      </c>
      <c r="C2723" t="str">
        <f>'4M'!$BM$75</f>
        <v>B0349ODO_STP</v>
      </c>
      <c r="D2723" t="str">
        <f>_xlfn.CONCAT('4M'!$B$58, "-", '4M'!$B$75, "-", '4M'!$K$7, "-", '4M'!$K$6, "-", '4M'!$F$5)</f>
        <v>Other enhancement-Odour-Sludge transport-Bioresources-Expenditure in report year</v>
      </c>
      <c r="F2723" t="s">
        <v>7182</v>
      </c>
      <c r="G2723">
        <f>'4M'!$K$75</f>
        <v>0</v>
      </c>
    </row>
    <row r="2724" spans="1:7">
      <c r="A2724" t="s">
        <v>643</v>
      </c>
      <c r="C2724" t="str">
        <f>'4M'!$BN$75</f>
        <v>B0349ODO_SDT</v>
      </c>
      <c r="D2724" t="str">
        <f>_xlfn.CONCAT('4M'!$B$58, "-", '4M'!$B$75, "-", '4M'!$L$7, "-", '4M'!$K$6, "-", '4M'!$F$5)</f>
        <v>Other enhancement-Odour-Sludge treatment-Bioresources-Expenditure in report year</v>
      </c>
      <c r="F2724" t="s">
        <v>7182</v>
      </c>
      <c r="G2724">
        <f>'4M'!$L$75</f>
        <v>0</v>
      </c>
    </row>
    <row r="2725" spans="1:7">
      <c r="A2725" t="s">
        <v>643</v>
      </c>
      <c r="C2725" t="str">
        <f>'4M'!$BO$75</f>
        <v>B0349ODO_SD</v>
      </c>
      <c r="D2725" t="str">
        <f>_xlfn.CONCAT('4M'!$B$58, "-", '4M'!$B$75, "-", '4M'!$M$7, "-", '4M'!$K$6, "-", '4M'!$F$5)</f>
        <v>Other enhancement-Odour-Sludge disposal-Bioresources-Expenditure in report year</v>
      </c>
      <c r="F2725" t="s">
        <v>7182</v>
      </c>
      <c r="G2725">
        <f>'4M'!$M$75</f>
        <v>0</v>
      </c>
    </row>
    <row r="2726" spans="1:7">
      <c r="A2726" t="s">
        <v>643</v>
      </c>
      <c r="C2726" t="str">
        <f>'4M'!$BP$75</f>
        <v>B0349ODO_TOT</v>
      </c>
      <c r="D2726" t="str">
        <f>_xlfn.CONCAT('4M'!$B$58, "-", '4M'!$B$75, "-", '4M'!$N$6, "-", '4M'!$N$6, "-", '4M'!$F$5)</f>
        <v>Other enhancement-Odour-Total-Total-Expenditure in report year</v>
      </c>
      <c r="F2726" t="s">
        <v>7182</v>
      </c>
      <c r="G2726">
        <f>'4M'!$N$75</f>
        <v>0</v>
      </c>
    </row>
    <row r="2727" spans="1:7">
      <c r="A2727" t="s">
        <v>643</v>
      </c>
      <c r="C2727" t="str">
        <f>'4M'!$BH$76</f>
        <v>B0350ODT_F</v>
      </c>
      <c r="D2727" t="str">
        <f>_xlfn.CONCAT('4M'!$B$58, "-", '4M'!$B$76, "-", '4M'!$F$7, "-", '4M'!$F$6, "-", '4M'!$F$5)</f>
        <v>Other enhancement-Odour-Foul-Wastewater network+ -Expenditure in report year</v>
      </c>
      <c r="F2727" t="s">
        <v>7182</v>
      </c>
      <c r="G2727">
        <f>'4M'!$F$76</f>
        <v>0</v>
      </c>
    </row>
    <row r="2728" spans="1:7">
      <c r="A2728" t="s">
        <v>643</v>
      </c>
      <c r="C2728" t="str">
        <f>'4M'!$BI$76</f>
        <v>B0350ODT_SWD</v>
      </c>
      <c r="D2728" t="str">
        <f>_xlfn.CONCAT('4M'!$B$58, "-", '4M'!$B$76, "-", '4M'!$G$7, "-", '4M'!$F$6, "-", '4M'!$F$5)</f>
        <v>Other enhancement-Odour-Surface water drainage-Wastewater network+ -Expenditure in report year</v>
      </c>
      <c r="F2728" t="s">
        <v>7182</v>
      </c>
      <c r="G2728">
        <f>'4M'!$G$76</f>
        <v>0</v>
      </c>
    </row>
    <row r="2729" spans="1:7">
      <c r="A2729" t="s">
        <v>643</v>
      </c>
      <c r="C2729" t="str">
        <f>'4M'!$BJ$76</f>
        <v>B0350ODT_HD</v>
      </c>
      <c r="D2729" t="str">
        <f>_xlfn.CONCAT('4M'!$B$58, "-", '4M'!$B$76, "-", '4M'!$H$7, "-", '4M'!$F$6, "-", '4M'!$F$5)</f>
        <v>Other enhancement-Odour-Highway drainage-Wastewater network+ -Expenditure in report year</v>
      </c>
      <c r="F2729" t="s">
        <v>7182</v>
      </c>
      <c r="G2729">
        <f>'4M'!$H$76</f>
        <v>0</v>
      </c>
    </row>
    <row r="2730" spans="1:7">
      <c r="A2730" t="s">
        <v>643</v>
      </c>
      <c r="C2730" t="str">
        <f>'4M'!$BK$76</f>
        <v>B0350ODT_STD</v>
      </c>
      <c r="D2730" t="str">
        <f>_xlfn.CONCAT('4M'!$B$58, "-", '4M'!$B$76, "-", '4M'!$I$7, "-", '4M'!$F$6, "-", '4M'!$F$5)</f>
        <v>Other enhancement-Odour-Sewage treatment and disposal-Wastewater network+ -Expenditure in report year</v>
      </c>
      <c r="F2730" t="s">
        <v>7182</v>
      </c>
      <c r="G2730">
        <f>'4M'!$I$76</f>
        <v>0</v>
      </c>
    </row>
    <row r="2731" spans="1:7">
      <c r="A2731" t="s">
        <v>643</v>
      </c>
      <c r="C2731" t="str">
        <f>'4M'!$BL$76</f>
        <v>B0350ODT_SLT</v>
      </c>
      <c r="D2731" t="str">
        <f>_xlfn.CONCAT('4M'!$B$58, "-", '4M'!$B$76, "-", '4M'!$J$7, "-", '4M'!$F$6, "-", '4M'!$F$5)</f>
        <v>Other enhancement-Odour-Sludge liquor treatment-Wastewater network+ -Expenditure in report year</v>
      </c>
      <c r="F2731" t="s">
        <v>7182</v>
      </c>
      <c r="G2731">
        <f>'4M'!$J$76</f>
        <v>0</v>
      </c>
    </row>
    <row r="2732" spans="1:7">
      <c r="A2732" t="s">
        <v>643</v>
      </c>
      <c r="C2732" t="str">
        <f>'4M'!$BM$76</f>
        <v>B0350ODT_STP</v>
      </c>
      <c r="D2732" t="str">
        <f>_xlfn.CONCAT('4M'!$B$58, "-", '4M'!$B$76, "-", '4M'!$K$7, "-", '4M'!$K$6, "-", '4M'!$F$5)</f>
        <v>Other enhancement-Odour-Sludge transport-Bioresources-Expenditure in report year</v>
      </c>
      <c r="F2732" t="s">
        <v>7182</v>
      </c>
      <c r="G2732">
        <f>'4M'!$K$76</f>
        <v>0</v>
      </c>
    </row>
    <row r="2733" spans="1:7">
      <c r="A2733" t="s">
        <v>643</v>
      </c>
      <c r="C2733" t="str">
        <f>'4M'!$BN$76</f>
        <v>B0350ODT_SDT</v>
      </c>
      <c r="D2733" t="str">
        <f>_xlfn.CONCAT('4M'!$B$58, "-", '4M'!$B$76, "-", '4M'!$L$7, "-", '4M'!$K$6, "-", '4M'!$F$5)</f>
        <v>Other enhancement-Odour-Sludge treatment-Bioresources-Expenditure in report year</v>
      </c>
      <c r="F2733" t="s">
        <v>7182</v>
      </c>
      <c r="G2733">
        <f>'4M'!$L$76</f>
        <v>0</v>
      </c>
    </row>
    <row r="2734" spans="1:7">
      <c r="A2734" t="s">
        <v>643</v>
      </c>
      <c r="C2734" t="str">
        <f>'4M'!$BO$76</f>
        <v>B0350ODT_SD</v>
      </c>
      <c r="D2734" t="str">
        <f>_xlfn.CONCAT('4M'!$B$58, "-", '4M'!$B$76, "-", '4M'!$M$7, "-", '4M'!$K$6, "-", '4M'!$F$5)</f>
        <v>Other enhancement-Odour-Sludge disposal-Bioresources-Expenditure in report year</v>
      </c>
      <c r="F2734" t="s">
        <v>7182</v>
      </c>
      <c r="G2734">
        <f>'4M'!$M$76</f>
        <v>0</v>
      </c>
    </row>
    <row r="2735" spans="1:7">
      <c r="A2735" t="s">
        <v>643</v>
      </c>
      <c r="C2735" t="str">
        <f>'4M'!$BP$76</f>
        <v>B0350ODT_TOT</v>
      </c>
      <c r="D2735" t="str">
        <f>_xlfn.CONCAT('4M'!$B$58, "-", '4M'!$B$76, "-", '4M'!$N$6, "-", '4M'!$N$6, "-", '4M'!$F$5)</f>
        <v>Other enhancement-Odour-Total-Total-Expenditure in report year</v>
      </c>
      <c r="F2735" t="s">
        <v>7182</v>
      </c>
      <c r="G2735">
        <f>'4M'!$N$76</f>
        <v>0</v>
      </c>
    </row>
    <row r="2736" spans="1:7">
      <c r="A2736" t="s">
        <v>643</v>
      </c>
      <c r="C2736" t="str">
        <f>'4M'!$BZ$76</f>
        <v>B0397OT_TE</v>
      </c>
      <c r="D2736" t="str">
        <f>_xlfn.CONCAT('4M'!$B$58, "-", '4M'!$B$76, "-", '4M'!$X$7, "-", '4M'!$X$5, "-", '4M'!$X$5)</f>
        <v>Other enhancement-Odour-Total-Cumulative expenditure on all schemes to reporting year end-Cumulative expenditure on all schemes to reporting year end</v>
      </c>
      <c r="F2736" t="s">
        <v>7182</v>
      </c>
      <c r="G2736">
        <f>'4M'!$X$76</f>
        <v>0</v>
      </c>
    </row>
    <row r="2737" spans="1:7">
      <c r="A2737" t="s">
        <v>643</v>
      </c>
      <c r="C2737" t="str">
        <f>'4M'!$CA$76</f>
        <v>B0397OT_TA</v>
      </c>
      <c r="D2737" t="str">
        <f>_xlfn.CONCAT('4M'!$B$58, "-", '4M'!$B$76, "-", '4M'!$Y$7, "-", '4M'!$Y$5, "-", '4M'!$Y$5)</f>
        <v>Other enhancement-Odour-Total-Cumulative allowed expenditure on all schemes to reporting year end-Cumulative allowed expenditure on all schemes to reporting year end</v>
      </c>
      <c r="F2737" t="s">
        <v>7182</v>
      </c>
      <c r="G2737">
        <f>'4M'!$Y$76</f>
        <v>0</v>
      </c>
    </row>
    <row r="2738" spans="1:7">
      <c r="A2738" t="s">
        <v>643</v>
      </c>
      <c r="C2738" t="str">
        <f>'4M'!$CB$76</f>
        <v>B0397OT_TC</v>
      </c>
      <c r="D2738" t="str">
        <f>_xlfn.CONCAT('4M'!$B$58, "-", '4M'!$B$76, "-", '4M'!$Z$7, "-", '4M'!$Z$5, "-", '4M'!$Z$5)</f>
        <v>Other enhancement-Odour-Total-Cumulative allowed expenditure on all schemes 2020-25-Cumulative allowed expenditure on all schemes 2020-25</v>
      </c>
      <c r="F2738" t="s">
        <v>7182</v>
      </c>
      <c r="G2738">
        <f>'4M'!$Z$76</f>
        <v>0</v>
      </c>
    </row>
    <row r="2739" spans="1:7">
      <c r="A2739" t="s">
        <v>643</v>
      </c>
      <c r="C2739" t="str">
        <f>'4M'!$BH$77</f>
        <v>B0351ERC_F</v>
      </c>
      <c r="D2739" t="str">
        <f>_xlfn.CONCAT('4M'!$B$58, "-", '4M'!$B$77, "-", '4M'!$F$7, "-", '4M'!$F$6, "-", '4M'!$F$5)</f>
        <v>Other enhancement-Enhancing resilience to low probability high consequence events-Foul-Wastewater network+ -Expenditure in report year</v>
      </c>
      <c r="F2739" t="s">
        <v>7182</v>
      </c>
      <c r="G2739">
        <f>'4M'!$F$77</f>
        <v>0</v>
      </c>
    </row>
    <row r="2740" spans="1:7">
      <c r="A2740" t="s">
        <v>643</v>
      </c>
      <c r="C2740" t="str">
        <f>'4M'!$BI$77</f>
        <v>B0351ERC_SWD</v>
      </c>
      <c r="D2740" t="str">
        <f>_xlfn.CONCAT('4M'!$B$58, "-", '4M'!$B$77, "-", '4M'!$G$7, "-", '4M'!$F$6, "-", '4M'!$F$5)</f>
        <v>Other enhancement-Enhancing resilience to low probability high consequence events-Surface water drainage-Wastewater network+ -Expenditure in report year</v>
      </c>
      <c r="F2740" t="s">
        <v>7182</v>
      </c>
      <c r="G2740">
        <f>'4M'!$G$77</f>
        <v>0</v>
      </c>
    </row>
    <row r="2741" spans="1:7">
      <c r="A2741" t="s">
        <v>643</v>
      </c>
      <c r="C2741" t="str">
        <f>'4M'!$BJ$77</f>
        <v>B0351ERC_HD</v>
      </c>
      <c r="D2741" t="str">
        <f>_xlfn.CONCAT('4M'!$B$58, "-", '4M'!$B$77, "-", '4M'!$H$7, "-", '4M'!$F$6, "-", '4M'!$F$5)</f>
        <v>Other enhancement-Enhancing resilience to low probability high consequence events-Highway drainage-Wastewater network+ -Expenditure in report year</v>
      </c>
      <c r="F2741" t="s">
        <v>7182</v>
      </c>
      <c r="G2741">
        <f>'4M'!$H$77</f>
        <v>0</v>
      </c>
    </row>
    <row r="2742" spans="1:7">
      <c r="A2742" t="s">
        <v>643</v>
      </c>
      <c r="C2742" t="str">
        <f>'4M'!$BK$77</f>
        <v>B0351ERC_STD</v>
      </c>
      <c r="D2742" t="str">
        <f>_xlfn.CONCAT('4M'!$B$58, "-", '4M'!$B$77, "-", '4M'!$I$7, "-", '4M'!$F$6, "-", '4M'!$F$5)</f>
        <v>Other enhancement-Enhancing resilience to low probability high consequence events-Sewage treatment and disposal-Wastewater network+ -Expenditure in report year</v>
      </c>
      <c r="F2742" t="s">
        <v>7182</v>
      </c>
      <c r="G2742">
        <f>'4M'!$I$77</f>
        <v>2.089</v>
      </c>
    </row>
    <row r="2743" spans="1:7">
      <c r="A2743" t="s">
        <v>643</v>
      </c>
      <c r="C2743" t="str">
        <f>'4M'!$BL$77</f>
        <v>B0351ERC_SLT</v>
      </c>
      <c r="D2743" t="str">
        <f>_xlfn.CONCAT('4M'!$B$58, "-", '4M'!$B$77, "-", '4M'!$J$7, "-", '4M'!$F$6, "-", '4M'!$F$5)</f>
        <v>Other enhancement-Enhancing resilience to low probability high consequence events-Sludge liquor treatment-Wastewater network+ -Expenditure in report year</v>
      </c>
      <c r="F2743" t="s">
        <v>7182</v>
      </c>
      <c r="G2743">
        <f>'4M'!$J$77</f>
        <v>0</v>
      </c>
    </row>
    <row r="2744" spans="1:7">
      <c r="A2744" t="s">
        <v>643</v>
      </c>
      <c r="C2744" t="str">
        <f>'4M'!$BM$77</f>
        <v>B0351ERC_STP</v>
      </c>
      <c r="D2744" t="str">
        <f>_xlfn.CONCAT('4M'!$B$58, "-", '4M'!$B$77, "-", '4M'!$K$7, "-", '4M'!$K$6, "-", '4M'!$F$5)</f>
        <v>Other enhancement-Enhancing resilience to low probability high consequence events-Sludge transport-Bioresources-Expenditure in report year</v>
      </c>
      <c r="F2744" t="s">
        <v>7182</v>
      </c>
      <c r="G2744">
        <f>'4M'!$K$77</f>
        <v>0</v>
      </c>
    </row>
    <row r="2745" spans="1:7">
      <c r="A2745" t="s">
        <v>643</v>
      </c>
      <c r="C2745" t="str">
        <f>'4M'!$BN$77</f>
        <v>B0351ERC_SDT</v>
      </c>
      <c r="D2745" t="str">
        <f>_xlfn.CONCAT('4M'!$B$58, "-", '4M'!$B$77, "-", '4M'!$L$7, "-", '4M'!$K$6, "-", '4M'!$F$5)</f>
        <v>Other enhancement-Enhancing resilience to low probability high consequence events-Sludge treatment-Bioresources-Expenditure in report year</v>
      </c>
      <c r="F2745" t="s">
        <v>7182</v>
      </c>
      <c r="G2745">
        <f>'4M'!$L$77</f>
        <v>0</v>
      </c>
    </row>
    <row r="2746" spans="1:7">
      <c r="A2746" t="s">
        <v>643</v>
      </c>
      <c r="C2746" t="str">
        <f>'4M'!$BO$77</f>
        <v>B0351ERC_SD</v>
      </c>
      <c r="D2746" t="str">
        <f>_xlfn.CONCAT('4M'!$B$58, "-", '4M'!$B$77, "-", '4M'!$M$7, "-", '4M'!$K$6, "-", '4M'!$F$5)</f>
        <v>Other enhancement-Enhancing resilience to low probability high consequence events-Sludge disposal-Bioresources-Expenditure in report year</v>
      </c>
      <c r="F2746" t="s">
        <v>7182</v>
      </c>
      <c r="G2746">
        <f>'4M'!$M$77</f>
        <v>0</v>
      </c>
    </row>
    <row r="2747" spans="1:7">
      <c r="A2747" t="s">
        <v>643</v>
      </c>
      <c r="C2747" t="str">
        <f>'4M'!$BP$77</f>
        <v>B0351ERC_TOT</v>
      </c>
      <c r="D2747" t="str">
        <f>_xlfn.CONCAT('4M'!$B$58, "-", '4M'!$B$77, "-", '4M'!$N$6, "-", '4M'!$N$6, "-", '4M'!$F$5)</f>
        <v>Other enhancement-Enhancing resilience to low probability high consequence events-Total-Total-Expenditure in report year</v>
      </c>
      <c r="F2747" t="s">
        <v>7182</v>
      </c>
      <c r="G2747">
        <f>'4M'!$N$77</f>
        <v>2.089</v>
      </c>
    </row>
    <row r="2748" spans="1:7">
      <c r="A2748" t="s">
        <v>643</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7182</v>
      </c>
      <c r="G2748">
        <f>'4M'!$O$77</f>
        <v>0</v>
      </c>
    </row>
    <row r="2749" spans="1:7">
      <c r="A2749" t="s">
        <v>643</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7182</v>
      </c>
      <c r="G2749">
        <f>'4M'!$P$77</f>
        <v>0</v>
      </c>
    </row>
    <row r="2750" spans="1:7">
      <c r="A2750" t="s">
        <v>643</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7182</v>
      </c>
      <c r="G2750">
        <f>'4M'!$Q$77</f>
        <v>0</v>
      </c>
    </row>
    <row r="2751" spans="1:7">
      <c r="A2751" t="s">
        <v>643</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7182</v>
      </c>
      <c r="G2751">
        <f>'4M'!$R$77</f>
        <v>1.536</v>
      </c>
    </row>
    <row r="2752" spans="1:7">
      <c r="A2752" t="s">
        <v>643</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7182</v>
      </c>
      <c r="G2752">
        <f>'4M'!$S$77</f>
        <v>0</v>
      </c>
    </row>
    <row r="2753" spans="1:7">
      <c r="A2753" t="s">
        <v>643</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7182</v>
      </c>
      <c r="G2753">
        <f>'4M'!$T$77</f>
        <v>0</v>
      </c>
    </row>
    <row r="2754" spans="1:7">
      <c r="A2754" t="s">
        <v>643</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7182</v>
      </c>
      <c r="G2754">
        <f>'4M'!$U$77</f>
        <v>0</v>
      </c>
    </row>
    <row r="2755" spans="1:7">
      <c r="A2755" t="s">
        <v>643</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7182</v>
      </c>
      <c r="G2755">
        <f>'4M'!$V$77</f>
        <v>0</v>
      </c>
    </row>
    <row r="2756" spans="1:7">
      <c r="A2756" t="s">
        <v>643</v>
      </c>
      <c r="C2756" t="str">
        <f>'4M'!$BY$77</f>
        <v>B0351ERC_C_TOT</v>
      </c>
      <c r="D2756" t="str">
        <f>_xlfn.CONCAT('4M'!$B$58, "-", '4M'!$B$77, "-", '4M'!$W$6, "-", '4M'!$W$6, "-", '4M'!$O$5)</f>
        <v>Other enhancement-Enhancing resilience to low probability high consequence events-Total-Total-Cumulative expenditure on schemes completed in the report year</v>
      </c>
      <c r="F2756" t="s">
        <v>7182</v>
      </c>
      <c r="G2756">
        <f>'4M'!$W$77</f>
        <v>1.536</v>
      </c>
    </row>
    <row r="2757" spans="1:7">
      <c r="A2757" t="s">
        <v>643</v>
      </c>
      <c r="C2757" t="str">
        <f>'4M'!$BH$78</f>
        <v>B0352ERO_F</v>
      </c>
      <c r="D2757" t="str">
        <f>_xlfn.CONCAT('4M'!$B$58, "-", '4M'!$B$78, "-", '4M'!$F$7, "-", '4M'!$F$6, "-", '4M'!$F$5)</f>
        <v>Other enhancement-Enhancing resilience to low probability high consequence events-Foul-Wastewater network+ -Expenditure in report year</v>
      </c>
      <c r="F2757" t="s">
        <v>7182</v>
      </c>
      <c r="G2757">
        <f>'4M'!$F$78</f>
        <v>0</v>
      </c>
    </row>
    <row r="2758" spans="1:7">
      <c r="A2758" t="s">
        <v>643</v>
      </c>
      <c r="C2758" t="str">
        <f>'4M'!$BI$78</f>
        <v>B0352ERO_SWD</v>
      </c>
      <c r="D2758" t="str">
        <f>_xlfn.CONCAT('4M'!$B$58, "-", '4M'!$B$78, "-", '4M'!$G$7, "-", '4M'!$F$6, "-", '4M'!$F$5)</f>
        <v>Other enhancement-Enhancing resilience to low probability high consequence events-Surface water drainage-Wastewater network+ -Expenditure in report year</v>
      </c>
      <c r="F2758" t="s">
        <v>7182</v>
      </c>
      <c r="G2758">
        <f>'4M'!$G$78</f>
        <v>0</v>
      </c>
    </row>
    <row r="2759" spans="1:7">
      <c r="A2759" t="s">
        <v>643</v>
      </c>
      <c r="C2759" t="str">
        <f>'4M'!$BJ$78</f>
        <v>B0352ERO_HD</v>
      </c>
      <c r="D2759" t="str">
        <f>_xlfn.CONCAT('4M'!$B$58, "-", '4M'!$B$78, "-", '4M'!$H$7, "-", '4M'!$F$6, "-", '4M'!$F$5)</f>
        <v>Other enhancement-Enhancing resilience to low probability high consequence events-Highway drainage-Wastewater network+ -Expenditure in report year</v>
      </c>
      <c r="F2759" t="s">
        <v>7182</v>
      </c>
      <c r="G2759">
        <f>'4M'!$H$78</f>
        <v>0</v>
      </c>
    </row>
    <row r="2760" spans="1:7">
      <c r="A2760" t="s">
        <v>643</v>
      </c>
      <c r="C2760" t="str">
        <f>'4M'!$BK$78</f>
        <v>B0352ERO_STD</v>
      </c>
      <c r="D2760" t="str">
        <f>_xlfn.CONCAT('4M'!$B$58, "-", '4M'!$B$78, "-", '4M'!$I$7, "-", '4M'!$F$6, "-", '4M'!$F$5)</f>
        <v>Other enhancement-Enhancing resilience to low probability high consequence events-Sewage treatment and disposal-Wastewater network+ -Expenditure in report year</v>
      </c>
      <c r="F2760" t="s">
        <v>7182</v>
      </c>
      <c r="G2760">
        <f>'4M'!$I$78</f>
        <v>0</v>
      </c>
    </row>
    <row r="2761" spans="1:7">
      <c r="A2761" t="s">
        <v>643</v>
      </c>
      <c r="C2761" t="str">
        <f>'4M'!$BL$78</f>
        <v>B0352ERO_SLT</v>
      </c>
      <c r="D2761" t="str">
        <f>_xlfn.CONCAT('4M'!$B$58, "-", '4M'!$B$78, "-", '4M'!$J$7, "-", '4M'!$F$6, "-", '4M'!$F$5)</f>
        <v>Other enhancement-Enhancing resilience to low probability high consequence events-Sludge liquor treatment-Wastewater network+ -Expenditure in report year</v>
      </c>
      <c r="F2761" t="s">
        <v>7182</v>
      </c>
      <c r="G2761">
        <f>'4M'!$J$78</f>
        <v>0</v>
      </c>
    </row>
    <row r="2762" spans="1:7">
      <c r="A2762" t="s">
        <v>643</v>
      </c>
      <c r="C2762" t="str">
        <f>'4M'!$BM$78</f>
        <v>B0352ERO_STP</v>
      </c>
      <c r="D2762" t="str">
        <f>_xlfn.CONCAT('4M'!$B$58, "-", '4M'!$B$78, "-", '4M'!$K$7, "-", '4M'!$K$6, "-", '4M'!$F$5)</f>
        <v>Other enhancement-Enhancing resilience to low probability high consequence events-Sludge transport-Bioresources-Expenditure in report year</v>
      </c>
      <c r="F2762" t="s">
        <v>7182</v>
      </c>
      <c r="G2762">
        <f>'4M'!$K$78</f>
        <v>0</v>
      </c>
    </row>
    <row r="2763" spans="1:7">
      <c r="A2763" t="s">
        <v>643</v>
      </c>
      <c r="C2763" t="str">
        <f>'4M'!$BN$78</f>
        <v>B0352ERO_SDT</v>
      </c>
      <c r="D2763" t="str">
        <f>_xlfn.CONCAT('4M'!$B$58, "-", '4M'!$B$78, "-", '4M'!$L$7, "-", '4M'!$K$6, "-", '4M'!$F$5)</f>
        <v>Other enhancement-Enhancing resilience to low probability high consequence events-Sludge treatment-Bioresources-Expenditure in report year</v>
      </c>
      <c r="F2763" t="s">
        <v>7182</v>
      </c>
      <c r="G2763">
        <f>'4M'!$L$78</f>
        <v>0</v>
      </c>
    </row>
    <row r="2764" spans="1:7">
      <c r="A2764" t="s">
        <v>643</v>
      </c>
      <c r="C2764" t="str">
        <f>'4M'!$BO$78</f>
        <v>B0352ERO_SD</v>
      </c>
      <c r="D2764" t="str">
        <f>_xlfn.CONCAT('4M'!$B$58, "-", '4M'!$B$78, "-", '4M'!$M$7, "-", '4M'!$K$6, "-", '4M'!$F$5)</f>
        <v>Other enhancement-Enhancing resilience to low probability high consequence events-Sludge disposal-Bioresources-Expenditure in report year</v>
      </c>
      <c r="F2764" t="s">
        <v>7182</v>
      </c>
      <c r="G2764">
        <f>'4M'!$M$78</f>
        <v>0</v>
      </c>
    </row>
    <row r="2765" spans="1:7">
      <c r="A2765" t="s">
        <v>643</v>
      </c>
      <c r="C2765" t="str">
        <f>'4M'!$BP$78</f>
        <v>B0352ERO_TOT</v>
      </c>
      <c r="D2765" t="str">
        <f>_xlfn.CONCAT('4M'!$B$58, "-", '4M'!$B$78, "-", '4M'!$N$6, "-", '4M'!$N$6, "-", '4M'!$F$5)</f>
        <v>Other enhancement-Enhancing resilience to low probability high consequence events-Total-Total-Expenditure in report year</v>
      </c>
      <c r="F2765" t="s">
        <v>7182</v>
      </c>
      <c r="G2765">
        <f>'4M'!$N$78</f>
        <v>0</v>
      </c>
    </row>
    <row r="2766" spans="1:7">
      <c r="A2766" t="s">
        <v>643</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7182</v>
      </c>
      <c r="G2766">
        <f>'4M'!$O$78</f>
        <v>0</v>
      </c>
    </row>
    <row r="2767" spans="1:7">
      <c r="A2767" t="s">
        <v>643</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7182</v>
      </c>
      <c r="G2767">
        <f>'4M'!$P$78</f>
        <v>0</v>
      </c>
    </row>
    <row r="2768" spans="1:7">
      <c r="A2768" t="s">
        <v>643</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7182</v>
      </c>
      <c r="G2768">
        <f>'4M'!$Q$78</f>
        <v>0</v>
      </c>
    </row>
    <row r="2769" spans="1:7">
      <c r="A2769" t="s">
        <v>643</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7182</v>
      </c>
      <c r="G2769">
        <f>'4M'!$R$78</f>
        <v>0</v>
      </c>
    </row>
    <row r="2770" spans="1:7">
      <c r="A2770" t="s">
        <v>643</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7182</v>
      </c>
      <c r="G2770">
        <f>'4M'!$S$78</f>
        <v>0</v>
      </c>
    </row>
    <row r="2771" spans="1:7">
      <c r="A2771" t="s">
        <v>643</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7182</v>
      </c>
      <c r="G2771">
        <f>'4M'!$T$78</f>
        <v>0</v>
      </c>
    </row>
    <row r="2772" spans="1:7">
      <c r="A2772" t="s">
        <v>643</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7182</v>
      </c>
      <c r="G2772">
        <f>'4M'!$U$78</f>
        <v>0</v>
      </c>
    </row>
    <row r="2773" spans="1:7">
      <c r="A2773" t="s">
        <v>643</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7182</v>
      </c>
      <c r="G2773">
        <f>'4M'!$V$78</f>
        <v>0</v>
      </c>
    </row>
    <row r="2774" spans="1:7">
      <c r="A2774" t="s">
        <v>643</v>
      </c>
      <c r="C2774" t="str">
        <f>'4M'!$BY$78</f>
        <v>B0352ERO_C_TOT</v>
      </c>
      <c r="D2774" t="str">
        <f>_xlfn.CONCAT('4M'!$B$58, "-", '4M'!$B$78, "-", '4M'!$W$6, "-", '4M'!$W$6, "-", '4M'!$O$5)</f>
        <v>Other enhancement-Enhancing resilience to low probability high consequence events-Total-Total-Cumulative expenditure on schemes completed in the report year</v>
      </c>
      <c r="F2774" t="s">
        <v>7182</v>
      </c>
      <c r="G2774">
        <f>'4M'!$W$78</f>
        <v>0</v>
      </c>
    </row>
    <row r="2775" spans="1:7">
      <c r="A2775" t="s">
        <v>643</v>
      </c>
      <c r="C2775" t="str">
        <f>'4M'!$BH$79</f>
        <v>B0353ERT_F</v>
      </c>
      <c r="D2775" t="str">
        <f>_xlfn.CONCAT('4M'!$B$58, "-", '4M'!$B$79, "-", '4M'!$F$7, "-", '4M'!$F$6, "-", '4M'!$F$5)</f>
        <v>Other enhancement-Enhancing resilience to low probability high consequence events-Foul-Wastewater network+ -Expenditure in report year</v>
      </c>
      <c r="F2775" t="s">
        <v>7182</v>
      </c>
      <c r="G2775">
        <f>'4M'!$F$79</f>
        <v>0</v>
      </c>
    </row>
    <row r="2776" spans="1:7">
      <c r="A2776" t="s">
        <v>643</v>
      </c>
      <c r="C2776" t="str">
        <f>'4M'!$BI$79</f>
        <v>B0353ERT_SWD</v>
      </c>
      <c r="D2776" t="str">
        <f>_xlfn.CONCAT('4M'!$B$58, "-", '4M'!$B$79, "-", '4M'!$G$7, "-", '4M'!$F$6, "-", '4M'!$F$5)</f>
        <v>Other enhancement-Enhancing resilience to low probability high consequence events-Surface water drainage-Wastewater network+ -Expenditure in report year</v>
      </c>
      <c r="F2776" t="s">
        <v>7182</v>
      </c>
      <c r="G2776">
        <f>'4M'!$G$79</f>
        <v>0</v>
      </c>
    </row>
    <row r="2777" spans="1:7">
      <c r="A2777" t="s">
        <v>643</v>
      </c>
      <c r="C2777" t="str">
        <f>'4M'!$BJ$79</f>
        <v>B0353ERT_HD</v>
      </c>
      <c r="D2777" t="str">
        <f>_xlfn.CONCAT('4M'!$B$58, "-", '4M'!$B$79, "-", '4M'!$H$7, "-", '4M'!$F$6, "-", '4M'!$F$5)</f>
        <v>Other enhancement-Enhancing resilience to low probability high consequence events-Highway drainage-Wastewater network+ -Expenditure in report year</v>
      </c>
      <c r="F2777" t="s">
        <v>7182</v>
      </c>
      <c r="G2777">
        <f>'4M'!$H$79</f>
        <v>0</v>
      </c>
    </row>
    <row r="2778" spans="1:7">
      <c r="A2778" t="s">
        <v>643</v>
      </c>
      <c r="C2778" t="str">
        <f>'4M'!$BK$79</f>
        <v>B0353ERT_STD</v>
      </c>
      <c r="D2778" t="str">
        <f>_xlfn.CONCAT('4M'!$B$58, "-", '4M'!$B$79, "-", '4M'!$I$7, "-", '4M'!$F$6, "-", '4M'!$F$5)</f>
        <v>Other enhancement-Enhancing resilience to low probability high consequence events-Sewage treatment and disposal-Wastewater network+ -Expenditure in report year</v>
      </c>
      <c r="F2778" t="s">
        <v>7182</v>
      </c>
      <c r="G2778">
        <f>'4M'!$I$79</f>
        <v>2.089</v>
      </c>
    </row>
    <row r="2779" spans="1:7">
      <c r="A2779" t="s">
        <v>643</v>
      </c>
      <c r="C2779" t="str">
        <f>'4M'!$BL$79</f>
        <v>B0353ERT_SLT</v>
      </c>
      <c r="D2779" t="str">
        <f>_xlfn.CONCAT('4M'!$B$58, "-", '4M'!$B$79, "-", '4M'!$J$7, "-", '4M'!$F$6, "-", '4M'!$F$5)</f>
        <v>Other enhancement-Enhancing resilience to low probability high consequence events-Sludge liquor treatment-Wastewater network+ -Expenditure in report year</v>
      </c>
      <c r="F2779" t="s">
        <v>7182</v>
      </c>
      <c r="G2779">
        <f>'4M'!$J$79</f>
        <v>0</v>
      </c>
    </row>
    <row r="2780" spans="1:7">
      <c r="A2780" t="s">
        <v>643</v>
      </c>
      <c r="C2780" t="str">
        <f>'4M'!$BM$79</f>
        <v>B0353ERT_STP</v>
      </c>
      <c r="D2780" t="str">
        <f>_xlfn.CONCAT('4M'!$B$58, "-", '4M'!$B$79, "-", '4M'!$K$7, "-", '4M'!$K$6, "-", '4M'!$F$5)</f>
        <v>Other enhancement-Enhancing resilience to low probability high consequence events-Sludge transport-Bioresources-Expenditure in report year</v>
      </c>
      <c r="F2780" t="s">
        <v>7182</v>
      </c>
      <c r="G2780">
        <f>'4M'!$K$79</f>
        <v>0</v>
      </c>
    </row>
    <row r="2781" spans="1:7">
      <c r="A2781" t="s">
        <v>643</v>
      </c>
      <c r="C2781" t="str">
        <f>'4M'!$BN$79</f>
        <v>B0353ERT_SDT</v>
      </c>
      <c r="D2781" t="str">
        <f>_xlfn.CONCAT('4M'!$B$58, "-", '4M'!$B$79, "-", '4M'!$L$7, "-", '4M'!$K$6, "-", '4M'!$F$5)</f>
        <v>Other enhancement-Enhancing resilience to low probability high consequence events-Sludge treatment-Bioresources-Expenditure in report year</v>
      </c>
      <c r="F2781" t="s">
        <v>7182</v>
      </c>
      <c r="G2781">
        <f>'4M'!$L$79</f>
        <v>0</v>
      </c>
    </row>
    <row r="2782" spans="1:7">
      <c r="A2782" t="s">
        <v>643</v>
      </c>
      <c r="C2782" t="str">
        <f>'4M'!$BO$79</f>
        <v>B0353ERT_SD</v>
      </c>
      <c r="D2782" t="str">
        <f>_xlfn.CONCAT('4M'!$B$58, "-", '4M'!$B$79, "-", '4M'!$M$7, "-", '4M'!$K$6, "-", '4M'!$F$5)</f>
        <v>Other enhancement-Enhancing resilience to low probability high consequence events-Sludge disposal-Bioresources-Expenditure in report year</v>
      </c>
      <c r="F2782" t="s">
        <v>7182</v>
      </c>
      <c r="G2782">
        <f>'4M'!$M$79</f>
        <v>0</v>
      </c>
    </row>
    <row r="2783" spans="1:7">
      <c r="A2783" t="s">
        <v>643</v>
      </c>
      <c r="C2783" t="str">
        <f>'4M'!$BP$79</f>
        <v>B0353ERT_TOT</v>
      </c>
      <c r="D2783" t="str">
        <f>_xlfn.CONCAT('4M'!$B$58, "-", '4M'!$B$79, "-", '4M'!$N$6, "-", '4M'!$N$6, "-", '4M'!$F$5)</f>
        <v>Other enhancement-Enhancing resilience to low probability high consequence events-Total-Total-Expenditure in report year</v>
      </c>
      <c r="F2783" t="s">
        <v>7182</v>
      </c>
      <c r="G2783">
        <f>'4M'!$N$79</f>
        <v>2.089</v>
      </c>
    </row>
    <row r="2784" spans="1:7">
      <c r="A2784" t="s">
        <v>643</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7182</v>
      </c>
      <c r="G2784">
        <f>'4M'!$O$79</f>
        <v>0</v>
      </c>
    </row>
    <row r="2785" spans="1:7">
      <c r="A2785" t="s">
        <v>643</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7182</v>
      </c>
      <c r="G2785">
        <f>'4M'!$P$79</f>
        <v>0</v>
      </c>
    </row>
    <row r="2786" spans="1:7">
      <c r="A2786" t="s">
        <v>643</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7182</v>
      </c>
      <c r="G2786">
        <f>'4M'!$Q$79</f>
        <v>0</v>
      </c>
    </row>
    <row r="2787" spans="1:7">
      <c r="A2787" t="s">
        <v>643</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7182</v>
      </c>
      <c r="G2787">
        <f>'4M'!$R$79</f>
        <v>1.536</v>
      </c>
    </row>
    <row r="2788" spans="1:7">
      <c r="A2788" t="s">
        <v>643</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7182</v>
      </c>
      <c r="G2788">
        <f>'4M'!$S$79</f>
        <v>0</v>
      </c>
    </row>
    <row r="2789" spans="1:7">
      <c r="A2789" t="s">
        <v>643</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7182</v>
      </c>
      <c r="G2789">
        <f>'4M'!$T$79</f>
        <v>0</v>
      </c>
    </row>
    <row r="2790" spans="1:7">
      <c r="A2790" t="s">
        <v>643</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7182</v>
      </c>
      <c r="G2790">
        <f>'4M'!$U$79</f>
        <v>0</v>
      </c>
    </row>
    <row r="2791" spans="1:7">
      <c r="A2791" t="s">
        <v>643</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7182</v>
      </c>
      <c r="G2791">
        <f>'4M'!$V$79</f>
        <v>0</v>
      </c>
    </row>
    <row r="2792" spans="1:7">
      <c r="A2792" t="s">
        <v>643</v>
      </c>
      <c r="C2792" t="str">
        <f>'4M'!$BY$79</f>
        <v>B0353ERT_C_TOT</v>
      </c>
      <c r="D2792" t="str">
        <f>_xlfn.CONCAT('4M'!$B$58, "-", '4M'!$B$79, "-", '4M'!$W$6, "-", '4M'!$W$6, "-", '4M'!$O$5)</f>
        <v>Other enhancement-Enhancing resilience to low probability high consequence events-Total-Total-Cumulative expenditure on schemes completed in the report year</v>
      </c>
      <c r="F2792" t="s">
        <v>7182</v>
      </c>
      <c r="G2792">
        <f>'4M'!$W$79</f>
        <v>1.536</v>
      </c>
    </row>
    <row r="2793" spans="1:7">
      <c r="A2793" t="s">
        <v>643</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7182</v>
      </c>
      <c r="G2793">
        <f>'4M'!$X$79</f>
        <v>3.0110000000000001</v>
      </c>
    </row>
    <row r="2794" spans="1:7">
      <c r="A2794" t="s">
        <v>643</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7182</v>
      </c>
      <c r="G2794">
        <f>'4M'!$Y$79</f>
        <v>18.479999999999997</v>
      </c>
    </row>
    <row r="2795" spans="1:7">
      <c r="A2795" t="s">
        <v>643</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7182</v>
      </c>
      <c r="G2795">
        <f>'4M'!$Z$79</f>
        <v>44.193999999999996</v>
      </c>
    </row>
    <row r="2796" spans="1:7">
      <c r="A2796" t="s">
        <v>643</v>
      </c>
      <c r="C2796" t="str">
        <f>'4M'!$BH$80</f>
        <v>B0354SSC_F</v>
      </c>
      <c r="D2796" t="str">
        <f>_xlfn.CONCAT('4M'!$B$58, "-", '4M'!$B$80, "-", '4M'!$F$7, "-", '4M'!$F$6, "-", '4M'!$F$5)</f>
        <v>Other enhancement-Security - SEMD-Foul-Wastewater network+ -Expenditure in report year</v>
      </c>
      <c r="F2796" t="s">
        <v>7182</v>
      </c>
      <c r="G2796">
        <f>'4M'!$F$80</f>
        <v>0</v>
      </c>
    </row>
    <row r="2797" spans="1:7">
      <c r="A2797" t="s">
        <v>643</v>
      </c>
      <c r="C2797" t="str">
        <f>'4M'!$BI$80</f>
        <v>B0354SSC_SWD</v>
      </c>
      <c r="D2797" t="str">
        <f>_xlfn.CONCAT('4M'!$B$58, "-", '4M'!$B$80, "-", '4M'!$G$7, "-", '4M'!$F$6, "-", '4M'!$F$5)</f>
        <v>Other enhancement-Security - SEMD-Surface water drainage-Wastewater network+ -Expenditure in report year</v>
      </c>
      <c r="F2797" t="s">
        <v>7182</v>
      </c>
      <c r="G2797">
        <f>'4M'!$G$80</f>
        <v>0</v>
      </c>
    </row>
    <row r="2798" spans="1:7">
      <c r="A2798" t="s">
        <v>643</v>
      </c>
      <c r="C2798" t="str">
        <f>'4M'!$BJ$80</f>
        <v>B0354SSC_HD</v>
      </c>
      <c r="D2798" t="str">
        <f>_xlfn.CONCAT('4M'!$B$58, "-", '4M'!$B$80, "-", '4M'!$H$7, "-", '4M'!$F$6, "-", '4M'!$F$5)</f>
        <v>Other enhancement-Security - SEMD-Highway drainage-Wastewater network+ -Expenditure in report year</v>
      </c>
      <c r="F2798" t="s">
        <v>7182</v>
      </c>
      <c r="G2798">
        <f>'4M'!$H$80</f>
        <v>0</v>
      </c>
    </row>
    <row r="2799" spans="1:7">
      <c r="A2799" t="s">
        <v>643</v>
      </c>
      <c r="C2799" t="str">
        <f>'4M'!$BK$80</f>
        <v>B0354SSC_STD</v>
      </c>
      <c r="D2799" t="str">
        <f>_xlfn.CONCAT('4M'!$B$58, "-", '4M'!$B$80, "-", '4M'!$I$7, "-", '4M'!$F$6, "-", '4M'!$F$5)</f>
        <v>Other enhancement-Security - SEMD-Sewage treatment and disposal-Wastewater network+ -Expenditure in report year</v>
      </c>
      <c r="F2799" t="s">
        <v>7182</v>
      </c>
      <c r="G2799">
        <f>'4M'!$I$80</f>
        <v>0</v>
      </c>
    </row>
    <row r="2800" spans="1:7">
      <c r="A2800" t="s">
        <v>643</v>
      </c>
      <c r="C2800" t="str">
        <f>'4M'!$BL$80</f>
        <v>B0354SSC_SLT</v>
      </c>
      <c r="D2800" t="str">
        <f>_xlfn.CONCAT('4M'!$B$58, "-", '4M'!$B$80, "-", '4M'!$J$7, "-", '4M'!$F$6, "-", '4M'!$F$5)</f>
        <v>Other enhancement-Security - SEMD-Sludge liquor treatment-Wastewater network+ -Expenditure in report year</v>
      </c>
      <c r="F2800" t="s">
        <v>7182</v>
      </c>
      <c r="G2800">
        <f>'4M'!$J$80</f>
        <v>0</v>
      </c>
    </row>
    <row r="2801" spans="1:7">
      <c r="A2801" t="s">
        <v>643</v>
      </c>
      <c r="C2801" t="str">
        <f>'4M'!$BM$80</f>
        <v>B0354SSC_STP</v>
      </c>
      <c r="D2801" t="str">
        <f>_xlfn.CONCAT('4M'!$B$58, "-", '4M'!$B$80, "-", '4M'!$K$7, "-", '4M'!$K$6, "-", '4M'!$F$5)</f>
        <v>Other enhancement-Security - SEMD-Sludge transport-Bioresources-Expenditure in report year</v>
      </c>
      <c r="F2801" t="s">
        <v>7182</v>
      </c>
      <c r="G2801">
        <f>'4M'!$K$80</f>
        <v>0</v>
      </c>
    </row>
    <row r="2802" spans="1:7">
      <c r="A2802" t="s">
        <v>643</v>
      </c>
      <c r="C2802" t="str">
        <f>'4M'!$BN$80</f>
        <v>B0354SSC_SDT</v>
      </c>
      <c r="D2802" t="str">
        <f>_xlfn.CONCAT('4M'!$B$58, "-", '4M'!$B$80, "-", '4M'!$L$7, "-", '4M'!$K$6, "-", '4M'!$F$5)</f>
        <v>Other enhancement-Security - SEMD-Sludge treatment-Bioresources-Expenditure in report year</v>
      </c>
      <c r="F2802" t="s">
        <v>7182</v>
      </c>
      <c r="G2802">
        <f>'4M'!$L$80</f>
        <v>0</v>
      </c>
    </row>
    <row r="2803" spans="1:7">
      <c r="A2803" t="s">
        <v>643</v>
      </c>
      <c r="C2803" t="str">
        <f>'4M'!$BO$80</f>
        <v>B0354SSC_SD</v>
      </c>
      <c r="D2803" t="str">
        <f>_xlfn.CONCAT('4M'!$B$58, "-", '4M'!$B$80, "-", '4M'!$M$7, "-", '4M'!$K$6, "-", '4M'!$F$5)</f>
        <v>Other enhancement-Security - SEMD-Sludge disposal-Bioresources-Expenditure in report year</v>
      </c>
      <c r="F2803" t="s">
        <v>7182</v>
      </c>
      <c r="G2803">
        <f>'4M'!$M$80</f>
        <v>0</v>
      </c>
    </row>
    <row r="2804" spans="1:7">
      <c r="A2804" t="s">
        <v>643</v>
      </c>
      <c r="C2804" t="str">
        <f>'4M'!$BP$80</f>
        <v>B0354SSC_TOT</v>
      </c>
      <c r="D2804" t="str">
        <f>_xlfn.CONCAT('4M'!$B$58, "-", '4M'!$B$80, "-", '4M'!$N$6, "-", '4M'!$N$6, "-", '4M'!$F$5)</f>
        <v>Other enhancement-Security - SEMD-Total-Total-Expenditure in report year</v>
      </c>
      <c r="F2804" t="s">
        <v>7182</v>
      </c>
      <c r="G2804">
        <f>'4M'!$N$80</f>
        <v>0</v>
      </c>
    </row>
    <row r="2805" spans="1:7">
      <c r="A2805" t="s">
        <v>643</v>
      </c>
      <c r="C2805" t="str">
        <f>'4M'!$BQ$80</f>
        <v>B0354SSC_C_F</v>
      </c>
      <c r="D2805" t="str">
        <f>_xlfn.CONCAT('4M'!$B$58, "-", '4M'!$B$80, "-", '4M'!$O$7, "-", '4M'!$O$6, "-", '4M'!$O$5)</f>
        <v>Other enhancement-Security - SEMD-Foul-Wastewater network+ -Cumulative expenditure on schemes completed in the report year</v>
      </c>
      <c r="F2805" t="s">
        <v>7182</v>
      </c>
      <c r="G2805">
        <f>'4M'!$O$80</f>
        <v>0</v>
      </c>
    </row>
    <row r="2806" spans="1:7">
      <c r="A2806" t="s">
        <v>643</v>
      </c>
      <c r="C2806" t="str">
        <f>'4M'!$BR$80</f>
        <v>B0354SSC_C_SWD</v>
      </c>
      <c r="D2806" t="str">
        <f>_xlfn.CONCAT('4M'!$B$58, "-", '4M'!$B$80, "-", '4M'!$P$7, "-", '4M'!$O$6, "-", '4M'!$O$5)</f>
        <v>Other enhancement-Security - SEMD-Surface water drainage-Wastewater network+ -Cumulative expenditure on schemes completed in the report year</v>
      </c>
      <c r="F2806" t="s">
        <v>7182</v>
      </c>
      <c r="G2806">
        <f>'4M'!$P$80</f>
        <v>0</v>
      </c>
    </row>
    <row r="2807" spans="1:7">
      <c r="A2807" t="s">
        <v>643</v>
      </c>
      <c r="C2807" t="str">
        <f>'4M'!$BS$80</f>
        <v>B0354SSC_C_HD</v>
      </c>
      <c r="D2807" t="str">
        <f>_xlfn.CONCAT('4M'!$B$58, "-", '4M'!$B$80, "-", '4M'!$Q$7, "-", '4M'!$O$6, "-", '4M'!$O$5)</f>
        <v>Other enhancement-Security - SEMD-Highway drainage-Wastewater network+ -Cumulative expenditure on schemes completed in the report year</v>
      </c>
      <c r="F2807" t="s">
        <v>7182</v>
      </c>
      <c r="G2807">
        <f>'4M'!$Q$80</f>
        <v>0</v>
      </c>
    </row>
    <row r="2808" spans="1:7">
      <c r="A2808" t="s">
        <v>643</v>
      </c>
      <c r="C2808" t="str">
        <f>'4M'!$BT$80</f>
        <v>B0354SSC_C_STD</v>
      </c>
      <c r="D2808" t="str">
        <f>_xlfn.CONCAT('4M'!$B$58, "-", '4M'!$B$80, "-", '4M'!$R$7, "-", '4M'!$O$6, "-", '4M'!$O$5)</f>
        <v>Other enhancement-Security - SEMD-Sewage treatment and disposal-Wastewater network+ -Cumulative expenditure on schemes completed in the report year</v>
      </c>
      <c r="F2808" t="s">
        <v>7182</v>
      </c>
      <c r="G2808">
        <f>'4M'!$R$80</f>
        <v>0</v>
      </c>
    </row>
    <row r="2809" spans="1:7">
      <c r="A2809" t="s">
        <v>643</v>
      </c>
      <c r="C2809" t="str">
        <f>'4M'!$BU$80</f>
        <v>B0354SSC_C_SLT</v>
      </c>
      <c r="D2809" t="str">
        <f>_xlfn.CONCAT('4M'!$B$58, "-", '4M'!$B$80, "-", '4M'!$S$7, "-", '4M'!$O$6, "-", '4M'!$O$5)</f>
        <v>Other enhancement-Security - SEMD-Sludge liquor treatment-Wastewater network+ -Cumulative expenditure on schemes completed in the report year</v>
      </c>
      <c r="F2809" t="s">
        <v>7182</v>
      </c>
      <c r="G2809">
        <f>'4M'!$S$80</f>
        <v>0</v>
      </c>
    </row>
    <row r="2810" spans="1:7">
      <c r="A2810" t="s">
        <v>643</v>
      </c>
      <c r="C2810" t="str">
        <f>'4M'!$BV$80</f>
        <v>B0354SSC_C_STP</v>
      </c>
      <c r="D2810" t="str">
        <f>_xlfn.CONCAT('4M'!$B$58, "-", '4M'!$B$80, "-", '4M'!$T$7, "-", '4M'!$T$6, "-", '4M'!$O$5)</f>
        <v>Other enhancement-Security - SEMD-Sludge transport-Bioresources-Cumulative expenditure on schemes completed in the report year</v>
      </c>
      <c r="F2810" t="s">
        <v>7182</v>
      </c>
      <c r="G2810">
        <f>'4M'!$T$80</f>
        <v>0</v>
      </c>
    </row>
    <row r="2811" spans="1:7">
      <c r="A2811" t="s">
        <v>643</v>
      </c>
      <c r="C2811" t="str">
        <f>'4M'!$BW$80</f>
        <v>B0354SSC_C_SDT</v>
      </c>
      <c r="D2811" t="str">
        <f>_xlfn.CONCAT('4M'!$B$58, "-", '4M'!$B$80, "-", '4M'!$U$7, "-", '4M'!$T$6, "-", '4M'!$O$5)</f>
        <v>Other enhancement-Security - SEMD-Sludge treatment-Bioresources-Cumulative expenditure on schemes completed in the report year</v>
      </c>
      <c r="F2811" t="s">
        <v>7182</v>
      </c>
      <c r="G2811">
        <f>'4M'!$U$80</f>
        <v>0</v>
      </c>
    </row>
    <row r="2812" spans="1:7">
      <c r="A2812" t="s">
        <v>643</v>
      </c>
      <c r="C2812" t="str">
        <f>'4M'!$BX$80</f>
        <v>B0354SSC_C_SD</v>
      </c>
      <c r="D2812" t="str">
        <f>_xlfn.CONCAT('4M'!$B$58, "-", '4M'!$B$80, "-", '4M'!$V$7, "-", '4M'!$T$6, "-", '4M'!$O$5)</f>
        <v>Other enhancement-Security - SEMD-Sludge disposal-Bioresources-Cumulative expenditure on schemes completed in the report year</v>
      </c>
      <c r="F2812" t="s">
        <v>7182</v>
      </c>
      <c r="G2812">
        <f>'4M'!$V$80</f>
        <v>0</v>
      </c>
    </row>
    <row r="2813" spans="1:7">
      <c r="A2813" t="s">
        <v>643</v>
      </c>
      <c r="C2813" t="str">
        <f>'4M'!$BY$80</f>
        <v>B0354SSC_C_TOT</v>
      </c>
      <c r="D2813" t="str">
        <f>_xlfn.CONCAT('4M'!$B$58, "-", '4M'!$B$80, "-", '4M'!$W$6, "-", '4M'!$W$6, "-", '4M'!$O$5)</f>
        <v>Other enhancement-Security - SEMD-Total-Total-Cumulative expenditure on schemes completed in the report year</v>
      </c>
      <c r="F2813" t="s">
        <v>7182</v>
      </c>
      <c r="G2813">
        <f>'4M'!$W$80</f>
        <v>0</v>
      </c>
    </row>
    <row r="2814" spans="1:7">
      <c r="A2814" t="s">
        <v>643</v>
      </c>
      <c r="C2814" t="str">
        <f>'4M'!$BH$81</f>
        <v>B0355SSO_F</v>
      </c>
      <c r="D2814" t="str">
        <f>_xlfn.CONCAT('4M'!$B$58, "-", '4M'!$B$81, "-", '4M'!$F$7, "-", '4M'!$F$6, "-", '4M'!$F$5)</f>
        <v>Other enhancement-Security - SEMD-Foul-Wastewater network+ -Expenditure in report year</v>
      </c>
      <c r="F2814" t="s">
        <v>7182</v>
      </c>
      <c r="G2814">
        <f>'4M'!$F$81</f>
        <v>0</v>
      </c>
    </row>
    <row r="2815" spans="1:7">
      <c r="A2815" t="s">
        <v>643</v>
      </c>
      <c r="C2815" t="str">
        <f>'4M'!$BI$81</f>
        <v>B0355SSO_SWD</v>
      </c>
      <c r="D2815" t="str">
        <f>_xlfn.CONCAT('4M'!$B$58, "-", '4M'!$B$81, "-", '4M'!$G$7, "-", '4M'!$F$6, "-", '4M'!$F$5)</f>
        <v>Other enhancement-Security - SEMD-Surface water drainage-Wastewater network+ -Expenditure in report year</v>
      </c>
      <c r="F2815" t="s">
        <v>7182</v>
      </c>
      <c r="G2815">
        <f>'4M'!$G$81</f>
        <v>0</v>
      </c>
    </row>
    <row r="2816" spans="1:7">
      <c r="A2816" t="s">
        <v>643</v>
      </c>
      <c r="C2816" t="str">
        <f>'4M'!$BJ$81</f>
        <v>B0355SSO_HD</v>
      </c>
      <c r="D2816" t="str">
        <f>_xlfn.CONCAT('4M'!$B$58, "-", '4M'!$B$81, "-", '4M'!$H$7, "-", '4M'!$F$6, "-", '4M'!$F$5)</f>
        <v>Other enhancement-Security - SEMD-Highway drainage-Wastewater network+ -Expenditure in report year</v>
      </c>
      <c r="F2816" t="s">
        <v>7182</v>
      </c>
      <c r="G2816">
        <f>'4M'!$H$81</f>
        <v>0</v>
      </c>
    </row>
    <row r="2817" spans="1:7">
      <c r="A2817" t="s">
        <v>643</v>
      </c>
      <c r="C2817" t="str">
        <f>'4M'!$BK$81</f>
        <v>B0355SSO_STD</v>
      </c>
      <c r="D2817" t="str">
        <f>_xlfn.CONCAT('4M'!$B$58, "-", '4M'!$B$81, "-", '4M'!$I$7, "-", '4M'!$F$6, "-", '4M'!$F$5)</f>
        <v>Other enhancement-Security - SEMD-Sewage treatment and disposal-Wastewater network+ -Expenditure in report year</v>
      </c>
      <c r="F2817" t="s">
        <v>7182</v>
      </c>
      <c r="G2817">
        <f>'4M'!$I$81</f>
        <v>0</v>
      </c>
    </row>
    <row r="2818" spans="1:7">
      <c r="A2818" t="s">
        <v>643</v>
      </c>
      <c r="C2818" t="str">
        <f>'4M'!$BL$81</f>
        <v>B0355SSO_SLT</v>
      </c>
      <c r="D2818" t="str">
        <f>_xlfn.CONCAT('4M'!$B$58, "-", '4M'!$B$81, "-", '4M'!$J$7, "-", '4M'!$F$6, "-", '4M'!$F$5)</f>
        <v>Other enhancement-Security - SEMD-Sludge liquor treatment-Wastewater network+ -Expenditure in report year</v>
      </c>
      <c r="F2818" t="s">
        <v>7182</v>
      </c>
      <c r="G2818">
        <f>'4M'!$J$81</f>
        <v>0</v>
      </c>
    </row>
    <row r="2819" spans="1:7">
      <c r="A2819" t="s">
        <v>643</v>
      </c>
      <c r="C2819" t="str">
        <f>'4M'!$BM$81</f>
        <v>B0355SSO_STP</v>
      </c>
      <c r="D2819" t="str">
        <f>_xlfn.CONCAT('4M'!$B$58, "-", '4M'!$B$81, "-", '4M'!$K$7, "-", '4M'!$K$6, "-", '4M'!$F$5)</f>
        <v>Other enhancement-Security - SEMD-Sludge transport-Bioresources-Expenditure in report year</v>
      </c>
      <c r="F2819" t="s">
        <v>7182</v>
      </c>
      <c r="G2819">
        <f>'4M'!$K$81</f>
        <v>0</v>
      </c>
    </row>
    <row r="2820" spans="1:7">
      <c r="A2820" t="s">
        <v>643</v>
      </c>
      <c r="C2820" t="str">
        <f>'4M'!$BN$81</f>
        <v>B0355SSO_SDT</v>
      </c>
      <c r="D2820" t="str">
        <f>_xlfn.CONCAT('4M'!$B$58, "-", '4M'!$B$81, "-", '4M'!$L$7, "-", '4M'!$K$6, "-", '4M'!$F$5)</f>
        <v>Other enhancement-Security - SEMD-Sludge treatment-Bioresources-Expenditure in report year</v>
      </c>
      <c r="F2820" t="s">
        <v>7182</v>
      </c>
      <c r="G2820">
        <f>'4M'!$L$81</f>
        <v>0</v>
      </c>
    </row>
    <row r="2821" spans="1:7">
      <c r="A2821" t="s">
        <v>643</v>
      </c>
      <c r="C2821" t="str">
        <f>'4M'!$BO$81</f>
        <v>B0355SSO_SD</v>
      </c>
      <c r="D2821" t="str">
        <f>_xlfn.CONCAT('4M'!$B$58, "-", '4M'!$B$81, "-", '4M'!$M$7, "-", '4M'!$K$6, "-", '4M'!$F$5)</f>
        <v>Other enhancement-Security - SEMD-Sludge disposal-Bioresources-Expenditure in report year</v>
      </c>
      <c r="F2821" t="s">
        <v>7182</v>
      </c>
      <c r="G2821">
        <f>'4M'!$M$81</f>
        <v>0</v>
      </c>
    </row>
    <row r="2822" spans="1:7">
      <c r="A2822" t="s">
        <v>643</v>
      </c>
      <c r="C2822" t="str">
        <f>'4M'!$BP$81</f>
        <v>B0355SSO_TOT</v>
      </c>
      <c r="D2822" t="str">
        <f>_xlfn.CONCAT('4M'!$B$58, "-", '4M'!$B$81, "-", '4M'!$N$6, "-", '4M'!$N$6, "-", '4M'!$F$5)</f>
        <v>Other enhancement-Security - SEMD-Total-Total-Expenditure in report year</v>
      </c>
      <c r="F2822" t="s">
        <v>7182</v>
      </c>
      <c r="G2822">
        <f>'4M'!$N$81</f>
        <v>0</v>
      </c>
    </row>
    <row r="2823" spans="1:7">
      <c r="A2823" t="s">
        <v>643</v>
      </c>
      <c r="C2823" t="str">
        <f>'4M'!$BQ$81</f>
        <v>B0355SSO_C_F</v>
      </c>
      <c r="D2823" t="str">
        <f>_xlfn.CONCAT('4M'!$B$58, "-", '4M'!$B$81, "-", '4M'!$O$7, "-", '4M'!$O$6, "-", '4M'!$O$5)</f>
        <v>Other enhancement-Security - SEMD-Foul-Wastewater network+ -Cumulative expenditure on schemes completed in the report year</v>
      </c>
      <c r="F2823" t="s">
        <v>7182</v>
      </c>
      <c r="G2823">
        <f>'4M'!$O$81</f>
        <v>0</v>
      </c>
    </row>
    <row r="2824" spans="1:7">
      <c r="A2824" t="s">
        <v>643</v>
      </c>
      <c r="C2824" t="str">
        <f>'4M'!$BR$81</f>
        <v>B0355SSO_C_SWD</v>
      </c>
      <c r="D2824" t="str">
        <f>_xlfn.CONCAT('4M'!$B$58, "-", '4M'!$B$81, "-", '4M'!$P$7, "-", '4M'!$O$6, "-", '4M'!$O$5)</f>
        <v>Other enhancement-Security - SEMD-Surface water drainage-Wastewater network+ -Cumulative expenditure on schemes completed in the report year</v>
      </c>
      <c r="F2824" t="s">
        <v>7182</v>
      </c>
      <c r="G2824">
        <f>'4M'!$P$81</f>
        <v>0</v>
      </c>
    </row>
    <row r="2825" spans="1:7">
      <c r="A2825" t="s">
        <v>643</v>
      </c>
      <c r="C2825" t="str">
        <f>'4M'!$BS$81</f>
        <v>B0355SSO_C_HD</v>
      </c>
      <c r="D2825" t="str">
        <f>_xlfn.CONCAT('4M'!$B$58, "-", '4M'!$B$81, "-", '4M'!$Q$7, "-", '4M'!$O$6, "-", '4M'!$O$5)</f>
        <v>Other enhancement-Security - SEMD-Highway drainage-Wastewater network+ -Cumulative expenditure on schemes completed in the report year</v>
      </c>
      <c r="F2825" t="s">
        <v>7182</v>
      </c>
      <c r="G2825">
        <f>'4M'!$Q$81</f>
        <v>0</v>
      </c>
    </row>
    <row r="2826" spans="1:7">
      <c r="A2826" t="s">
        <v>643</v>
      </c>
      <c r="C2826" t="str">
        <f>'4M'!$BT$81</f>
        <v>B0355SSO_C_STD</v>
      </c>
      <c r="D2826" t="str">
        <f>_xlfn.CONCAT('4M'!$B$58, "-", '4M'!$B$81, "-", '4M'!$R$7, "-", '4M'!$O$6, "-", '4M'!$O$5)</f>
        <v>Other enhancement-Security - SEMD-Sewage treatment and disposal-Wastewater network+ -Cumulative expenditure on schemes completed in the report year</v>
      </c>
      <c r="F2826" t="s">
        <v>7182</v>
      </c>
      <c r="G2826">
        <f>'4M'!$R$81</f>
        <v>0</v>
      </c>
    </row>
    <row r="2827" spans="1:7">
      <c r="A2827" t="s">
        <v>643</v>
      </c>
      <c r="C2827" t="str">
        <f>'4M'!$BU$81</f>
        <v>B0355SSO_C_SLT</v>
      </c>
      <c r="D2827" t="str">
        <f>_xlfn.CONCAT('4M'!$B$58, "-", '4M'!$B$81, "-", '4M'!$S$7, "-", '4M'!$O$6, "-", '4M'!$O$5)</f>
        <v>Other enhancement-Security - SEMD-Sludge liquor treatment-Wastewater network+ -Cumulative expenditure on schemes completed in the report year</v>
      </c>
      <c r="F2827" t="s">
        <v>7182</v>
      </c>
      <c r="G2827">
        <f>'4M'!$S$81</f>
        <v>0</v>
      </c>
    </row>
    <row r="2828" spans="1:7">
      <c r="A2828" t="s">
        <v>643</v>
      </c>
      <c r="C2828" t="str">
        <f>'4M'!$BV$81</f>
        <v>B0355SSO_C_STP</v>
      </c>
      <c r="D2828" t="str">
        <f>_xlfn.CONCAT('4M'!$B$58, "-", '4M'!$B$81, "-", '4M'!$T$7, "-", '4M'!$T$6, "-", '4M'!$O$5)</f>
        <v>Other enhancement-Security - SEMD-Sludge transport-Bioresources-Cumulative expenditure on schemes completed in the report year</v>
      </c>
      <c r="F2828" t="s">
        <v>7182</v>
      </c>
      <c r="G2828">
        <f>'4M'!$T$81</f>
        <v>0</v>
      </c>
    </row>
    <row r="2829" spans="1:7">
      <c r="A2829" t="s">
        <v>643</v>
      </c>
      <c r="C2829" t="str">
        <f>'4M'!$BW$81</f>
        <v>B0355SSO_C_SDT</v>
      </c>
      <c r="D2829" t="str">
        <f>_xlfn.CONCAT('4M'!$B$58, "-", '4M'!$B$81, "-", '4M'!$U$7, "-", '4M'!$T$6, "-", '4M'!$O$5)</f>
        <v>Other enhancement-Security - SEMD-Sludge treatment-Bioresources-Cumulative expenditure on schemes completed in the report year</v>
      </c>
      <c r="F2829" t="s">
        <v>7182</v>
      </c>
      <c r="G2829">
        <f>'4M'!$U$81</f>
        <v>0</v>
      </c>
    </row>
    <row r="2830" spans="1:7">
      <c r="A2830" t="s">
        <v>643</v>
      </c>
      <c r="C2830" t="str">
        <f>'4M'!$BX$81</f>
        <v>B0355SSO_C_SD</v>
      </c>
      <c r="D2830" t="str">
        <f>_xlfn.CONCAT('4M'!$B$58, "-", '4M'!$B$81, "-", '4M'!$V$7, "-", '4M'!$T$6, "-", '4M'!$O$5)</f>
        <v>Other enhancement-Security - SEMD-Sludge disposal-Bioresources-Cumulative expenditure on schemes completed in the report year</v>
      </c>
      <c r="F2830" t="s">
        <v>7182</v>
      </c>
      <c r="G2830">
        <f>'4M'!$V$81</f>
        <v>0</v>
      </c>
    </row>
    <row r="2831" spans="1:7">
      <c r="A2831" t="s">
        <v>643</v>
      </c>
      <c r="C2831" t="str">
        <f>'4M'!$BY$81</f>
        <v>B0355SSO_C_TOT</v>
      </c>
      <c r="D2831" t="str">
        <f>_xlfn.CONCAT('4M'!$B$58, "-", '4M'!$B$81, "-", '4M'!$W$6, "-", '4M'!$W$6, "-", '4M'!$O$5)</f>
        <v>Other enhancement-Security - SEMD-Total-Total-Cumulative expenditure on schemes completed in the report year</v>
      </c>
      <c r="F2831" t="s">
        <v>7182</v>
      </c>
      <c r="G2831">
        <f>'4M'!$W$81</f>
        <v>0</v>
      </c>
    </row>
    <row r="2832" spans="1:7">
      <c r="A2832" t="s">
        <v>643</v>
      </c>
      <c r="C2832" t="str">
        <f>'4M'!$BH$82</f>
        <v>B0356SST_F</v>
      </c>
      <c r="D2832" t="str">
        <f>_xlfn.CONCAT('4M'!$B$58, "-", '4M'!$B$82, "-", '4M'!$F$7, "-", '4M'!$F$6, "-", '4M'!$F$5)</f>
        <v>Other enhancement-Security - SEMD-Foul-Wastewater network+ -Expenditure in report year</v>
      </c>
      <c r="F2832" t="s">
        <v>7182</v>
      </c>
      <c r="G2832">
        <f>'4M'!$F$82</f>
        <v>0</v>
      </c>
    </row>
    <row r="2833" spans="1:7">
      <c r="A2833" t="s">
        <v>643</v>
      </c>
      <c r="C2833" t="str">
        <f>'4M'!$BI$82</f>
        <v>B0356SST_SWD</v>
      </c>
      <c r="D2833" t="str">
        <f>_xlfn.CONCAT('4M'!$B$58, "-", '4M'!$B$82, "-", '4M'!$G$7, "-", '4M'!$F$6, "-", '4M'!$F$5)</f>
        <v>Other enhancement-Security - SEMD-Surface water drainage-Wastewater network+ -Expenditure in report year</v>
      </c>
      <c r="F2833" t="s">
        <v>7182</v>
      </c>
      <c r="G2833">
        <f>'4M'!$G$82</f>
        <v>0</v>
      </c>
    </row>
    <row r="2834" spans="1:7">
      <c r="A2834" t="s">
        <v>643</v>
      </c>
      <c r="C2834" t="str">
        <f>'4M'!$BJ$82</f>
        <v>B0356SST_HD</v>
      </c>
      <c r="D2834" t="str">
        <f>_xlfn.CONCAT('4M'!$B$58, "-", '4M'!$B$82, "-", '4M'!$H$7, "-", '4M'!$F$6, "-", '4M'!$F$5)</f>
        <v>Other enhancement-Security - SEMD-Highway drainage-Wastewater network+ -Expenditure in report year</v>
      </c>
      <c r="F2834" t="s">
        <v>7182</v>
      </c>
      <c r="G2834">
        <f>'4M'!$H$82</f>
        <v>0</v>
      </c>
    </row>
    <row r="2835" spans="1:7">
      <c r="A2835" t="s">
        <v>643</v>
      </c>
      <c r="C2835" t="str">
        <f>'4M'!$BK$82</f>
        <v>B0356SST_STD</v>
      </c>
      <c r="D2835" t="str">
        <f>_xlfn.CONCAT('4M'!$B$58, "-", '4M'!$B$82, "-", '4M'!$I$7, "-", '4M'!$F$6, "-", '4M'!$F$5)</f>
        <v>Other enhancement-Security - SEMD-Sewage treatment and disposal-Wastewater network+ -Expenditure in report year</v>
      </c>
      <c r="F2835" t="s">
        <v>7182</v>
      </c>
      <c r="G2835">
        <f>'4M'!$I$82</f>
        <v>0</v>
      </c>
    </row>
    <row r="2836" spans="1:7">
      <c r="A2836" t="s">
        <v>643</v>
      </c>
      <c r="C2836" t="str">
        <f>'4M'!$BL$82</f>
        <v>B0356SST_SLT</v>
      </c>
      <c r="D2836" t="str">
        <f>_xlfn.CONCAT('4M'!$B$58, "-", '4M'!$B$82, "-", '4M'!$J$7, "-", '4M'!$F$6, "-", '4M'!$F$5)</f>
        <v>Other enhancement-Security - SEMD-Sludge liquor treatment-Wastewater network+ -Expenditure in report year</v>
      </c>
      <c r="F2836" t="s">
        <v>7182</v>
      </c>
      <c r="G2836">
        <f>'4M'!$J$82</f>
        <v>0</v>
      </c>
    </row>
    <row r="2837" spans="1:7">
      <c r="A2837" t="s">
        <v>643</v>
      </c>
      <c r="C2837" t="str">
        <f>'4M'!$BM$82</f>
        <v>B0356SST_STP</v>
      </c>
      <c r="D2837" t="str">
        <f>_xlfn.CONCAT('4M'!$B$58, "-", '4M'!$B$82, "-", '4M'!$K$7, "-", '4M'!$K$6, "-", '4M'!$F$5)</f>
        <v>Other enhancement-Security - SEMD-Sludge transport-Bioresources-Expenditure in report year</v>
      </c>
      <c r="F2837" t="s">
        <v>7182</v>
      </c>
      <c r="G2837">
        <f>'4M'!$K$82</f>
        <v>0</v>
      </c>
    </row>
    <row r="2838" spans="1:7">
      <c r="A2838" t="s">
        <v>643</v>
      </c>
      <c r="C2838" t="str">
        <f>'4M'!$BN$82</f>
        <v>B0356SST_SDT</v>
      </c>
      <c r="D2838" t="str">
        <f>_xlfn.CONCAT('4M'!$B$58, "-", '4M'!$B$82, "-", '4M'!$L$7, "-", '4M'!$K$6, "-", '4M'!$F$5)</f>
        <v>Other enhancement-Security - SEMD-Sludge treatment-Bioresources-Expenditure in report year</v>
      </c>
      <c r="F2838" t="s">
        <v>7182</v>
      </c>
      <c r="G2838">
        <f>'4M'!$L$82</f>
        <v>0</v>
      </c>
    </row>
    <row r="2839" spans="1:7">
      <c r="A2839" t="s">
        <v>643</v>
      </c>
      <c r="C2839" t="str">
        <f>'4M'!$BO$82</f>
        <v>B0356SST_SD</v>
      </c>
      <c r="D2839" t="str">
        <f>_xlfn.CONCAT('4M'!$B$58, "-", '4M'!$B$82, "-", '4M'!$M$7, "-", '4M'!$K$6, "-", '4M'!$F$5)</f>
        <v>Other enhancement-Security - SEMD-Sludge disposal-Bioresources-Expenditure in report year</v>
      </c>
      <c r="F2839" t="s">
        <v>7182</v>
      </c>
      <c r="G2839">
        <f>'4M'!$M$82</f>
        <v>0</v>
      </c>
    </row>
    <row r="2840" spans="1:7">
      <c r="A2840" t="s">
        <v>643</v>
      </c>
      <c r="C2840" t="str">
        <f>'4M'!$BP$82</f>
        <v>B0356SST_TOT</v>
      </c>
      <c r="D2840" t="str">
        <f>_xlfn.CONCAT('4M'!$B$58, "-", '4M'!$B$82, "-", '4M'!$N$6, "-", '4M'!$N$6, "-", '4M'!$F$5)</f>
        <v>Other enhancement-Security - SEMD-Total-Total-Expenditure in report year</v>
      </c>
      <c r="F2840" t="s">
        <v>7182</v>
      </c>
      <c r="G2840">
        <f>'4M'!$N$82</f>
        <v>0</v>
      </c>
    </row>
    <row r="2841" spans="1:7">
      <c r="A2841" t="s">
        <v>643</v>
      </c>
      <c r="C2841" t="str">
        <f>'4M'!$BQ$82</f>
        <v>B0356SST_C_F</v>
      </c>
      <c r="D2841" t="str">
        <f>_xlfn.CONCAT('4M'!$B$58, "-", '4M'!$B$82, "-", '4M'!$O$7, "-", '4M'!$O$6, "-", '4M'!$O$5)</f>
        <v>Other enhancement-Security - SEMD-Foul-Wastewater network+ -Cumulative expenditure on schemes completed in the report year</v>
      </c>
      <c r="F2841" t="s">
        <v>7182</v>
      </c>
      <c r="G2841">
        <f>'4M'!$O$82</f>
        <v>0</v>
      </c>
    </row>
    <row r="2842" spans="1:7">
      <c r="A2842" t="s">
        <v>643</v>
      </c>
      <c r="C2842" t="str">
        <f>'4M'!$BR$82</f>
        <v>B0356SST_C_SWD</v>
      </c>
      <c r="D2842" t="str">
        <f>_xlfn.CONCAT('4M'!$B$58, "-", '4M'!$B$82, "-", '4M'!$P$7, "-", '4M'!$O$6, "-", '4M'!$O$5)</f>
        <v>Other enhancement-Security - SEMD-Surface water drainage-Wastewater network+ -Cumulative expenditure on schemes completed in the report year</v>
      </c>
      <c r="F2842" t="s">
        <v>7182</v>
      </c>
      <c r="G2842">
        <f>'4M'!$P$82</f>
        <v>0</v>
      </c>
    </row>
    <row r="2843" spans="1:7">
      <c r="A2843" t="s">
        <v>643</v>
      </c>
      <c r="C2843" t="str">
        <f>'4M'!$BS$82</f>
        <v>B0356SST_C_HD</v>
      </c>
      <c r="D2843" t="str">
        <f>_xlfn.CONCAT('4M'!$B$58, "-", '4M'!$B$82, "-", '4M'!$Q$7, "-", '4M'!$O$6, "-", '4M'!$O$5)</f>
        <v>Other enhancement-Security - SEMD-Highway drainage-Wastewater network+ -Cumulative expenditure on schemes completed in the report year</v>
      </c>
      <c r="F2843" t="s">
        <v>7182</v>
      </c>
      <c r="G2843">
        <f>'4M'!$Q$82</f>
        <v>0</v>
      </c>
    </row>
    <row r="2844" spans="1:7">
      <c r="A2844" t="s">
        <v>643</v>
      </c>
      <c r="C2844" t="str">
        <f>'4M'!$BT$82</f>
        <v>B0356SST_C_STD</v>
      </c>
      <c r="D2844" t="str">
        <f>_xlfn.CONCAT('4M'!$B$58, "-", '4M'!$B$82, "-", '4M'!$R$7, "-", '4M'!$O$6, "-", '4M'!$O$5)</f>
        <v>Other enhancement-Security - SEMD-Sewage treatment and disposal-Wastewater network+ -Cumulative expenditure on schemes completed in the report year</v>
      </c>
      <c r="F2844" t="s">
        <v>7182</v>
      </c>
      <c r="G2844">
        <f>'4M'!$R$82</f>
        <v>0</v>
      </c>
    </row>
    <row r="2845" spans="1:7">
      <c r="A2845" t="s">
        <v>643</v>
      </c>
      <c r="C2845" t="str">
        <f>'4M'!$BU$82</f>
        <v>B0356SST_C_SLT</v>
      </c>
      <c r="D2845" t="str">
        <f>_xlfn.CONCAT('4M'!$B$58, "-", '4M'!$B$82, "-", '4M'!$S$7, "-", '4M'!$O$6, "-", '4M'!$O$5)</f>
        <v>Other enhancement-Security - SEMD-Sludge liquor treatment-Wastewater network+ -Cumulative expenditure on schemes completed in the report year</v>
      </c>
      <c r="F2845" t="s">
        <v>7182</v>
      </c>
      <c r="G2845">
        <f>'4M'!$S$82</f>
        <v>0</v>
      </c>
    </row>
    <row r="2846" spans="1:7">
      <c r="A2846" t="s">
        <v>643</v>
      </c>
      <c r="C2846" t="str">
        <f>'4M'!$BV$82</f>
        <v>B0356SST_C_STP</v>
      </c>
      <c r="D2846" t="str">
        <f>_xlfn.CONCAT('4M'!$B$58, "-", '4M'!$B$82, "-", '4M'!$T$7, "-", '4M'!$T$6, "-", '4M'!$O$5)</f>
        <v>Other enhancement-Security - SEMD-Sludge transport-Bioresources-Cumulative expenditure on schemes completed in the report year</v>
      </c>
      <c r="F2846" t="s">
        <v>7182</v>
      </c>
      <c r="G2846">
        <f>'4M'!$T$82</f>
        <v>0</v>
      </c>
    </row>
    <row r="2847" spans="1:7">
      <c r="A2847" t="s">
        <v>643</v>
      </c>
      <c r="C2847" t="str">
        <f>'4M'!$BW$82</f>
        <v>B0356SST_C_SDT</v>
      </c>
      <c r="D2847" t="str">
        <f>_xlfn.CONCAT('4M'!$B$58, "-", '4M'!$B$82, "-", '4M'!$U$7, "-", '4M'!$T$6, "-", '4M'!$O$5)</f>
        <v>Other enhancement-Security - SEMD-Sludge treatment-Bioresources-Cumulative expenditure on schemes completed in the report year</v>
      </c>
      <c r="F2847" t="s">
        <v>7182</v>
      </c>
      <c r="G2847">
        <f>'4M'!$U$82</f>
        <v>0</v>
      </c>
    </row>
    <row r="2848" spans="1:7">
      <c r="A2848" t="s">
        <v>643</v>
      </c>
      <c r="C2848" t="str">
        <f>'4M'!$BX$82</f>
        <v>B0356SST_C_SD</v>
      </c>
      <c r="D2848" t="str">
        <f>_xlfn.CONCAT('4M'!$B$58, "-", '4M'!$B$82, "-", '4M'!$V$7, "-", '4M'!$T$6, "-", '4M'!$O$5)</f>
        <v>Other enhancement-Security - SEMD-Sludge disposal-Bioresources-Cumulative expenditure on schemes completed in the report year</v>
      </c>
      <c r="F2848" t="s">
        <v>7182</v>
      </c>
      <c r="G2848">
        <f>'4M'!$V$82</f>
        <v>0</v>
      </c>
    </row>
    <row r="2849" spans="1:7">
      <c r="A2849" t="s">
        <v>643</v>
      </c>
      <c r="C2849" t="str">
        <f>'4M'!$BY$82</f>
        <v>B0356SST_C_TOT</v>
      </c>
      <c r="D2849" t="str">
        <f>_xlfn.CONCAT('4M'!$B$58, "-", '4M'!$B$82, "-", '4M'!$W$6, "-", '4M'!$W$6, "-", '4M'!$O$5)</f>
        <v>Other enhancement-Security - SEMD-Total-Total-Cumulative expenditure on schemes completed in the report year</v>
      </c>
      <c r="F2849" t="s">
        <v>7182</v>
      </c>
      <c r="G2849">
        <f>'4M'!$W$82</f>
        <v>0</v>
      </c>
    </row>
    <row r="2850" spans="1:7">
      <c r="A2850" t="s">
        <v>643</v>
      </c>
      <c r="C2850" t="str">
        <f>'4M'!$BZ$82</f>
        <v>B0399SDT_TE</v>
      </c>
      <c r="D2850" t="str">
        <f>_xlfn.CONCAT('4M'!$B$58, "-", '4M'!$B$82, "-", '4M'!$X$7, "-", '4M'!$X$5, "-", '4M'!$X$5)</f>
        <v>Other enhancement-Security - SEMD-Total-Cumulative expenditure on all schemes to reporting year end-Cumulative expenditure on all schemes to reporting year end</v>
      </c>
      <c r="F2850" t="s">
        <v>7182</v>
      </c>
      <c r="G2850">
        <f>'4M'!$X$82</f>
        <v>0</v>
      </c>
    </row>
    <row r="2851" spans="1:7">
      <c r="A2851" t="s">
        <v>643</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7182</v>
      </c>
      <c r="G2851">
        <f>'4M'!$Y$82</f>
        <v>0</v>
      </c>
    </row>
    <row r="2852" spans="1:7">
      <c r="A2852" t="s">
        <v>643</v>
      </c>
      <c r="C2852" t="str">
        <f>'4M'!$CB$82</f>
        <v>B0399SDT_TC</v>
      </c>
      <c r="D2852" t="str">
        <f>_xlfn.CONCAT('4M'!$B$58, "-", '4M'!$B$82, "-", '4M'!$Z$7, "-", '4M'!$Z$5, "-", '4M'!$Z$5)</f>
        <v>Other enhancement-Security - SEMD-Total-Cumulative allowed expenditure on all schemes 2020-25-Cumulative allowed expenditure on all schemes 2020-25</v>
      </c>
      <c r="F2852" t="s">
        <v>7182</v>
      </c>
      <c r="G2852">
        <f>'4M'!$Z$82</f>
        <v>0</v>
      </c>
    </row>
    <row r="2853" spans="1:7">
      <c r="A2853" t="s">
        <v>643</v>
      </c>
      <c r="C2853" t="str">
        <f>'4M'!$BH$83</f>
        <v>B0357SNC_F</v>
      </c>
      <c r="D2853" t="str">
        <f>_xlfn.CONCAT('4M'!$B$58, "-", '4M'!$B$83, "-", '4M'!$F$7, "-", '4M'!$F$6, "-", '4M'!$F$5)</f>
        <v>Other enhancement-Security - Non-SEMD-Foul-Wastewater network+ -Expenditure in report year</v>
      </c>
      <c r="F2853" t="s">
        <v>7182</v>
      </c>
      <c r="G2853">
        <f>'4M'!$F$83</f>
        <v>0</v>
      </c>
    </row>
    <row r="2854" spans="1:7">
      <c r="A2854" t="s">
        <v>643</v>
      </c>
      <c r="C2854" t="str">
        <f>'4M'!$BI$83</f>
        <v>B0357SNC_SWD</v>
      </c>
      <c r="D2854" t="str">
        <f>_xlfn.CONCAT('4M'!$B$58, "-", '4M'!$B$83, "-", '4M'!$G$7, "-", '4M'!$F$6, "-", '4M'!$F$5)</f>
        <v>Other enhancement-Security - Non-SEMD-Surface water drainage-Wastewater network+ -Expenditure in report year</v>
      </c>
      <c r="F2854" t="s">
        <v>7182</v>
      </c>
      <c r="G2854">
        <f>'4M'!$G$83</f>
        <v>0</v>
      </c>
    </row>
    <row r="2855" spans="1:7">
      <c r="A2855" t="s">
        <v>643</v>
      </c>
      <c r="C2855" t="str">
        <f>'4M'!$BJ$83</f>
        <v>B0357SNC_HD</v>
      </c>
      <c r="D2855" t="str">
        <f>_xlfn.CONCAT('4M'!$B$58, "-", '4M'!$B$83, "-", '4M'!$H$7, "-", '4M'!$F$6, "-", '4M'!$F$5)</f>
        <v>Other enhancement-Security - Non-SEMD-Highway drainage-Wastewater network+ -Expenditure in report year</v>
      </c>
      <c r="F2855" t="s">
        <v>7182</v>
      </c>
      <c r="G2855">
        <f>'4M'!$H$83</f>
        <v>0</v>
      </c>
    </row>
    <row r="2856" spans="1:7">
      <c r="A2856" t="s">
        <v>643</v>
      </c>
      <c r="C2856" t="str">
        <f>'4M'!$BK$83</f>
        <v>B0357SNC_STD</v>
      </c>
      <c r="D2856" t="str">
        <f>_xlfn.CONCAT('4M'!$B$58, "-", '4M'!$B$83, "-", '4M'!$I$7, "-", '4M'!$F$6, "-", '4M'!$F$5)</f>
        <v>Other enhancement-Security - Non-SEMD-Sewage treatment and disposal-Wastewater network+ -Expenditure in report year</v>
      </c>
      <c r="F2856" t="s">
        <v>7182</v>
      </c>
      <c r="G2856">
        <f>'4M'!$I$83</f>
        <v>0</v>
      </c>
    </row>
    <row r="2857" spans="1:7">
      <c r="A2857" t="s">
        <v>643</v>
      </c>
      <c r="C2857" t="str">
        <f>'4M'!$BL$83</f>
        <v>B0357SNC_SLT</v>
      </c>
      <c r="D2857" t="str">
        <f>_xlfn.CONCAT('4M'!$B$58, "-", '4M'!$B$83, "-", '4M'!$J$7, "-", '4M'!$F$6, "-", '4M'!$F$5)</f>
        <v>Other enhancement-Security - Non-SEMD-Sludge liquor treatment-Wastewater network+ -Expenditure in report year</v>
      </c>
      <c r="F2857" t="s">
        <v>7182</v>
      </c>
      <c r="G2857">
        <f>'4M'!$J$83</f>
        <v>0</v>
      </c>
    </row>
    <row r="2858" spans="1:7">
      <c r="A2858" t="s">
        <v>643</v>
      </c>
      <c r="C2858" t="str">
        <f>'4M'!$BM$83</f>
        <v>B0357SNC_STP</v>
      </c>
      <c r="D2858" t="str">
        <f>_xlfn.CONCAT('4M'!$B$58, "-", '4M'!$B$83, "-", '4M'!$K$7, "-", '4M'!$K$6, "-", '4M'!$F$5)</f>
        <v>Other enhancement-Security - Non-SEMD-Sludge transport-Bioresources-Expenditure in report year</v>
      </c>
      <c r="F2858" t="s">
        <v>7182</v>
      </c>
      <c r="G2858">
        <f>'4M'!$K$83</f>
        <v>0</v>
      </c>
    </row>
    <row r="2859" spans="1:7">
      <c r="A2859" t="s">
        <v>643</v>
      </c>
      <c r="C2859" t="str">
        <f>'4M'!$BN$83</f>
        <v>B0357SNC_SDT</v>
      </c>
      <c r="D2859" t="str">
        <f>_xlfn.CONCAT('4M'!$B$58, "-", '4M'!$B$83, "-", '4M'!$L$7, "-", '4M'!$K$6, "-", '4M'!$F$5)</f>
        <v>Other enhancement-Security - Non-SEMD-Sludge treatment-Bioresources-Expenditure in report year</v>
      </c>
      <c r="F2859" t="s">
        <v>7182</v>
      </c>
      <c r="G2859">
        <f>'4M'!$L$83</f>
        <v>0</v>
      </c>
    </row>
    <row r="2860" spans="1:7">
      <c r="A2860" t="s">
        <v>643</v>
      </c>
      <c r="C2860" t="str">
        <f>'4M'!$BO$83</f>
        <v>B0357SNC_SD</v>
      </c>
      <c r="D2860" t="str">
        <f>_xlfn.CONCAT('4M'!$B$58, "-", '4M'!$B$83, "-", '4M'!$M$7, "-", '4M'!$K$6, "-", '4M'!$F$5)</f>
        <v>Other enhancement-Security - Non-SEMD-Sludge disposal-Bioresources-Expenditure in report year</v>
      </c>
      <c r="F2860" t="s">
        <v>7182</v>
      </c>
      <c r="G2860">
        <f>'4M'!$M$83</f>
        <v>0</v>
      </c>
    </row>
    <row r="2861" spans="1:7">
      <c r="A2861" t="s">
        <v>643</v>
      </c>
      <c r="C2861" t="str">
        <f>'4M'!$BP$83</f>
        <v>B0357SNC_TOT</v>
      </c>
      <c r="D2861" t="str">
        <f>_xlfn.CONCAT('4M'!$B$58, "-", '4M'!$B$83, "-", '4M'!$N$6, "-", '4M'!$N$6, "-", '4M'!$F$5)</f>
        <v>Other enhancement-Security - Non-SEMD-Total-Total-Expenditure in report year</v>
      </c>
      <c r="F2861" t="s">
        <v>7182</v>
      </c>
      <c r="G2861">
        <f>'4M'!$N$83</f>
        <v>0</v>
      </c>
    </row>
    <row r="2862" spans="1:7">
      <c r="A2862" t="s">
        <v>643</v>
      </c>
      <c r="C2862" t="str">
        <f>'4M'!$BQ$83</f>
        <v>B0357SNC_C_F</v>
      </c>
      <c r="D2862" t="str">
        <f>_xlfn.CONCAT('4M'!$B$58, "-", '4M'!$B$83, "-", '4M'!$O$7, "-", '4M'!$O$6, "-", '4M'!$O$5)</f>
        <v>Other enhancement-Security - Non-SEMD-Foul-Wastewater network+ -Cumulative expenditure on schemes completed in the report year</v>
      </c>
      <c r="F2862" t="s">
        <v>7182</v>
      </c>
      <c r="G2862">
        <f>'4M'!$O$83</f>
        <v>0</v>
      </c>
    </row>
    <row r="2863" spans="1:7">
      <c r="A2863" t="s">
        <v>643</v>
      </c>
      <c r="C2863" t="str">
        <f>'4M'!$BR$83</f>
        <v>B0357SNC_C_SWD</v>
      </c>
      <c r="D2863" t="str">
        <f>_xlfn.CONCAT('4M'!$B$58, "-", '4M'!$B$83, "-", '4M'!$P$7, "-", '4M'!$O$6, "-", '4M'!$O$5)</f>
        <v>Other enhancement-Security - Non-SEMD-Surface water drainage-Wastewater network+ -Cumulative expenditure on schemes completed in the report year</v>
      </c>
      <c r="F2863" t="s">
        <v>7182</v>
      </c>
      <c r="G2863">
        <f>'4M'!$P$83</f>
        <v>0</v>
      </c>
    </row>
    <row r="2864" spans="1:7">
      <c r="A2864" t="s">
        <v>643</v>
      </c>
      <c r="C2864" t="str">
        <f>'4M'!$BS$83</f>
        <v>B0357SNC_C_HD</v>
      </c>
      <c r="D2864" t="str">
        <f>_xlfn.CONCAT('4M'!$B$58, "-", '4M'!$B$83, "-", '4M'!$Q$7, "-", '4M'!$O$6, "-", '4M'!$O$5)</f>
        <v>Other enhancement-Security - Non-SEMD-Highway drainage-Wastewater network+ -Cumulative expenditure on schemes completed in the report year</v>
      </c>
      <c r="F2864" t="s">
        <v>7182</v>
      </c>
      <c r="G2864">
        <f>'4M'!$Q$83</f>
        <v>0</v>
      </c>
    </row>
    <row r="2865" spans="1:7">
      <c r="A2865" t="s">
        <v>643</v>
      </c>
      <c r="C2865" t="str">
        <f>'4M'!$BT$83</f>
        <v>B0357SNC_C_STD</v>
      </c>
      <c r="D2865" t="str">
        <f>_xlfn.CONCAT('4M'!$B$58, "-", '4M'!$B$83, "-", '4M'!$R$7, "-", '4M'!$O$6, "-", '4M'!$O$5)</f>
        <v>Other enhancement-Security - Non-SEMD-Sewage treatment and disposal-Wastewater network+ -Cumulative expenditure on schemes completed in the report year</v>
      </c>
      <c r="F2865" t="s">
        <v>7182</v>
      </c>
      <c r="G2865">
        <f>'4M'!$R$83</f>
        <v>0</v>
      </c>
    </row>
    <row r="2866" spans="1:7">
      <c r="A2866" t="s">
        <v>643</v>
      </c>
      <c r="C2866" t="str">
        <f>'4M'!$BU$83</f>
        <v>B0357SNC_C_SLT</v>
      </c>
      <c r="D2866" t="str">
        <f>_xlfn.CONCAT('4M'!$B$58, "-", '4M'!$B$83, "-", '4M'!$S$7, "-", '4M'!$O$6, "-", '4M'!$O$5)</f>
        <v>Other enhancement-Security - Non-SEMD-Sludge liquor treatment-Wastewater network+ -Cumulative expenditure on schemes completed in the report year</v>
      </c>
      <c r="F2866" t="s">
        <v>7182</v>
      </c>
      <c r="G2866">
        <f>'4M'!$S$83</f>
        <v>0</v>
      </c>
    </row>
    <row r="2867" spans="1:7">
      <c r="A2867" t="s">
        <v>643</v>
      </c>
      <c r="C2867" t="str">
        <f>'4M'!$BV$83</f>
        <v>B0357SNC_C_STP</v>
      </c>
      <c r="D2867" t="str">
        <f>_xlfn.CONCAT('4M'!$B$58, "-", '4M'!$B$83, "-", '4M'!$T$7, "-", '4M'!$T$6, "-", '4M'!$O$5)</f>
        <v>Other enhancement-Security - Non-SEMD-Sludge transport-Bioresources-Cumulative expenditure on schemes completed in the report year</v>
      </c>
      <c r="F2867" t="s">
        <v>7182</v>
      </c>
      <c r="G2867">
        <f>'4M'!$T$83</f>
        <v>0</v>
      </c>
    </row>
    <row r="2868" spans="1:7">
      <c r="A2868" t="s">
        <v>643</v>
      </c>
      <c r="C2868" t="str">
        <f>'4M'!$BW$83</f>
        <v>B0357SNC_C_SDT</v>
      </c>
      <c r="D2868" t="str">
        <f>_xlfn.CONCAT('4M'!$B$58, "-", '4M'!$B$83, "-", '4M'!$U$7, "-", '4M'!$T$6, "-", '4M'!$O$5)</f>
        <v>Other enhancement-Security - Non-SEMD-Sludge treatment-Bioresources-Cumulative expenditure on schemes completed in the report year</v>
      </c>
      <c r="F2868" t="s">
        <v>7182</v>
      </c>
      <c r="G2868">
        <f>'4M'!$U$83</f>
        <v>0</v>
      </c>
    </row>
    <row r="2869" spans="1:7">
      <c r="A2869" t="s">
        <v>643</v>
      </c>
      <c r="C2869" t="str">
        <f>'4M'!$BX$83</f>
        <v>B0357SNC_C_SD</v>
      </c>
      <c r="D2869" t="str">
        <f>_xlfn.CONCAT('4M'!$B$58, "-", '4M'!$B$83, "-", '4M'!$V$7, "-", '4M'!$T$6, "-", '4M'!$O$5)</f>
        <v>Other enhancement-Security - Non-SEMD-Sludge disposal-Bioresources-Cumulative expenditure on schemes completed in the report year</v>
      </c>
      <c r="F2869" t="s">
        <v>7182</v>
      </c>
      <c r="G2869">
        <f>'4M'!$V$83</f>
        <v>0</v>
      </c>
    </row>
    <row r="2870" spans="1:7">
      <c r="A2870" t="s">
        <v>643</v>
      </c>
      <c r="C2870" t="str">
        <f>'4M'!$BY$83</f>
        <v>B0357SNC_C_TOT</v>
      </c>
      <c r="D2870" t="str">
        <f>_xlfn.CONCAT('4M'!$B$58, "-", '4M'!$B$83, "-", '4M'!$W$6, "-", '4M'!$W$6, "-", '4M'!$O$5)</f>
        <v>Other enhancement-Security - Non-SEMD-Total-Total-Cumulative expenditure on schemes completed in the report year</v>
      </c>
      <c r="F2870" t="s">
        <v>7182</v>
      </c>
      <c r="G2870">
        <f>'4M'!$W$83</f>
        <v>0</v>
      </c>
    </row>
    <row r="2871" spans="1:7">
      <c r="A2871" t="s">
        <v>643</v>
      </c>
      <c r="C2871" t="str">
        <f>'4M'!$BH$84</f>
        <v>B0358SNO_F</v>
      </c>
      <c r="D2871" t="str">
        <f>_xlfn.CONCAT('4M'!$B$58, "-", '4M'!$B$84, "-", '4M'!$F$7, "-", '4M'!$F$6, "-", '4M'!$F$5)</f>
        <v>Other enhancement-Security - Non-SEMD-Foul-Wastewater network+ -Expenditure in report year</v>
      </c>
      <c r="F2871" t="s">
        <v>7182</v>
      </c>
      <c r="G2871">
        <f>'4M'!$F$84</f>
        <v>0.04</v>
      </c>
    </row>
    <row r="2872" spans="1:7">
      <c r="A2872" t="s">
        <v>643</v>
      </c>
      <c r="C2872" t="str">
        <f>'4M'!$BI$84</f>
        <v>B0358SNO_SWD</v>
      </c>
      <c r="D2872" t="str">
        <f>_xlfn.CONCAT('4M'!$B$58, "-", '4M'!$B$84, "-", '4M'!$G$7, "-", '4M'!$F$6, "-", '4M'!$F$5)</f>
        <v>Other enhancement-Security - Non-SEMD-Surface water drainage-Wastewater network+ -Expenditure in report year</v>
      </c>
      <c r="F2872" t="s">
        <v>7182</v>
      </c>
      <c r="G2872">
        <f>'4M'!$G$84</f>
        <v>1E-3</v>
      </c>
    </row>
    <row r="2873" spans="1:7">
      <c r="A2873" t="s">
        <v>643</v>
      </c>
      <c r="C2873" t="str">
        <f>'4M'!$BJ$84</f>
        <v>B0358SNO_HD</v>
      </c>
      <c r="D2873" t="str">
        <f>_xlfn.CONCAT('4M'!$B$58, "-", '4M'!$B$84, "-", '4M'!$H$7, "-", '4M'!$F$6, "-", '4M'!$F$5)</f>
        <v>Other enhancement-Security - Non-SEMD-Highway drainage-Wastewater network+ -Expenditure in report year</v>
      </c>
      <c r="F2873" t="s">
        <v>7182</v>
      </c>
      <c r="G2873">
        <f>'4M'!$H$84</f>
        <v>0</v>
      </c>
    </row>
    <row r="2874" spans="1:7">
      <c r="A2874" t="s">
        <v>643</v>
      </c>
      <c r="C2874" t="str">
        <f>'4M'!$BK$84</f>
        <v>B0358SNO_STD</v>
      </c>
      <c r="D2874" t="str">
        <f>_xlfn.CONCAT('4M'!$B$58, "-", '4M'!$B$84, "-", '4M'!$I$7, "-", '4M'!$F$6, "-", '4M'!$F$5)</f>
        <v>Other enhancement-Security - Non-SEMD-Sewage treatment and disposal-Wastewater network+ -Expenditure in report year</v>
      </c>
      <c r="F2874" t="s">
        <v>7182</v>
      </c>
      <c r="G2874">
        <f>'4M'!$I$84</f>
        <v>4.3999999999999997E-2</v>
      </c>
    </row>
    <row r="2875" spans="1:7">
      <c r="A2875" t="s">
        <v>643</v>
      </c>
      <c r="C2875" t="str">
        <f>'4M'!$BL$84</f>
        <v>B0358SNO_SLT</v>
      </c>
      <c r="D2875" t="str">
        <f>_xlfn.CONCAT('4M'!$B$58, "-", '4M'!$B$84, "-", '4M'!$J$7, "-", '4M'!$F$6, "-", '4M'!$F$5)</f>
        <v>Other enhancement-Security - Non-SEMD-Sludge liquor treatment-Wastewater network+ -Expenditure in report year</v>
      </c>
      <c r="F2875" t="s">
        <v>7182</v>
      </c>
      <c r="G2875">
        <f>'4M'!$J$84</f>
        <v>0</v>
      </c>
    </row>
    <row r="2876" spans="1:7">
      <c r="A2876" t="s">
        <v>643</v>
      </c>
      <c r="C2876" t="str">
        <f>'4M'!$BM$84</f>
        <v>B0358SNO_STP</v>
      </c>
      <c r="D2876" t="str">
        <f>_xlfn.CONCAT('4M'!$B$58, "-", '4M'!$B$84, "-", '4M'!$K$7, "-", '4M'!$K$6, "-", '4M'!$F$5)</f>
        <v>Other enhancement-Security - Non-SEMD-Sludge transport-Bioresources-Expenditure in report year</v>
      </c>
      <c r="F2876" t="s">
        <v>7182</v>
      </c>
      <c r="G2876">
        <f>'4M'!$K$84</f>
        <v>0</v>
      </c>
    </row>
    <row r="2877" spans="1:7">
      <c r="A2877" t="s">
        <v>643</v>
      </c>
      <c r="C2877" t="str">
        <f>'4M'!$BN$84</f>
        <v>B0358SNO_SDT</v>
      </c>
      <c r="D2877" t="str">
        <f>_xlfn.CONCAT('4M'!$B$58, "-", '4M'!$B$84, "-", '4M'!$L$7, "-", '4M'!$K$6, "-", '4M'!$F$5)</f>
        <v>Other enhancement-Security - Non-SEMD-Sludge treatment-Bioresources-Expenditure in report year</v>
      </c>
      <c r="F2877" t="s">
        <v>7182</v>
      </c>
      <c r="G2877">
        <f>'4M'!$L$84</f>
        <v>5.0000000000000001E-3</v>
      </c>
    </row>
    <row r="2878" spans="1:7">
      <c r="A2878" t="s">
        <v>643</v>
      </c>
      <c r="C2878" t="str">
        <f>'4M'!$BO$84</f>
        <v>B0358SNO_SD</v>
      </c>
      <c r="D2878" t="str">
        <f>_xlfn.CONCAT('4M'!$B$58, "-", '4M'!$B$84, "-", '4M'!$M$7, "-", '4M'!$K$6, "-", '4M'!$F$5)</f>
        <v>Other enhancement-Security - Non-SEMD-Sludge disposal-Bioresources-Expenditure in report year</v>
      </c>
      <c r="F2878" t="s">
        <v>7182</v>
      </c>
      <c r="G2878">
        <f>'4M'!$M$84</f>
        <v>0</v>
      </c>
    </row>
    <row r="2879" spans="1:7">
      <c r="A2879" t="s">
        <v>643</v>
      </c>
      <c r="C2879" t="str">
        <f>'4M'!$BP$84</f>
        <v>B0358SNO_TOT</v>
      </c>
      <c r="D2879" t="str">
        <f>_xlfn.CONCAT('4M'!$B$58, "-", '4M'!$B$84, "-", '4M'!$N$6, "-", '4M'!$N$6, "-", '4M'!$F$5)</f>
        <v>Other enhancement-Security - Non-SEMD-Total-Total-Expenditure in report year</v>
      </c>
      <c r="F2879" t="s">
        <v>7182</v>
      </c>
      <c r="G2879">
        <f>'4M'!$N$84</f>
        <v>0.09</v>
      </c>
    </row>
    <row r="2880" spans="1:7">
      <c r="A2880" t="s">
        <v>643</v>
      </c>
      <c r="C2880" t="str">
        <f>'4M'!$BQ$84</f>
        <v>B0358SNO_C_F</v>
      </c>
      <c r="D2880" t="str">
        <f>_xlfn.CONCAT('4M'!$B$58, "-", '4M'!$B$84, "-", '4M'!$O$7, "-", '4M'!$O$6, "-", '4M'!$O$5)</f>
        <v>Other enhancement-Security - Non-SEMD-Foul-Wastewater network+ -Cumulative expenditure on schemes completed in the report year</v>
      </c>
      <c r="F2880" t="s">
        <v>7182</v>
      </c>
      <c r="G2880">
        <f>'4M'!$O$84</f>
        <v>0</v>
      </c>
    </row>
    <row r="2881" spans="1:7">
      <c r="A2881" t="s">
        <v>643</v>
      </c>
      <c r="C2881" t="str">
        <f>'4M'!$BR$84</f>
        <v>B0358SNO_C_SWD</v>
      </c>
      <c r="D2881" t="str">
        <f>_xlfn.CONCAT('4M'!$B$58, "-", '4M'!$B$84, "-", '4M'!$P$7, "-", '4M'!$O$6, "-", '4M'!$O$5)</f>
        <v>Other enhancement-Security - Non-SEMD-Surface water drainage-Wastewater network+ -Cumulative expenditure on schemes completed in the report year</v>
      </c>
      <c r="F2881" t="s">
        <v>7182</v>
      </c>
      <c r="G2881">
        <f>'4M'!$P$84</f>
        <v>0</v>
      </c>
    </row>
    <row r="2882" spans="1:7">
      <c r="A2882" t="s">
        <v>643</v>
      </c>
      <c r="C2882" t="str">
        <f>'4M'!$BS$84</f>
        <v>B0358SNO_C_HD</v>
      </c>
      <c r="D2882" t="str">
        <f>_xlfn.CONCAT('4M'!$B$58, "-", '4M'!$B$84, "-", '4M'!$Q$7, "-", '4M'!$O$6, "-", '4M'!$O$5)</f>
        <v>Other enhancement-Security - Non-SEMD-Highway drainage-Wastewater network+ -Cumulative expenditure on schemes completed in the report year</v>
      </c>
      <c r="F2882" t="s">
        <v>7182</v>
      </c>
      <c r="G2882">
        <f>'4M'!$Q$84</f>
        <v>0</v>
      </c>
    </row>
    <row r="2883" spans="1:7">
      <c r="A2883" t="s">
        <v>643</v>
      </c>
      <c r="C2883" t="str">
        <f>'4M'!$BT$84</f>
        <v>B0358SNO_C_STD</v>
      </c>
      <c r="D2883" t="str">
        <f>_xlfn.CONCAT('4M'!$B$58, "-", '4M'!$B$84, "-", '4M'!$R$7, "-", '4M'!$O$6, "-", '4M'!$O$5)</f>
        <v>Other enhancement-Security - Non-SEMD-Sewage treatment and disposal-Wastewater network+ -Cumulative expenditure on schemes completed in the report year</v>
      </c>
      <c r="F2883" t="s">
        <v>7182</v>
      </c>
      <c r="G2883">
        <f>'4M'!$R$84</f>
        <v>0</v>
      </c>
    </row>
    <row r="2884" spans="1:7">
      <c r="A2884" t="s">
        <v>643</v>
      </c>
      <c r="C2884" t="str">
        <f>'4M'!$BU$84</f>
        <v>B0358SNO_C_SLT</v>
      </c>
      <c r="D2884" t="str">
        <f>_xlfn.CONCAT('4M'!$B$58, "-", '4M'!$B$84, "-", '4M'!$S$7, "-", '4M'!$O$6, "-", '4M'!$O$5)</f>
        <v>Other enhancement-Security - Non-SEMD-Sludge liquor treatment-Wastewater network+ -Cumulative expenditure on schemes completed in the report year</v>
      </c>
      <c r="F2884" t="s">
        <v>7182</v>
      </c>
      <c r="G2884">
        <f>'4M'!$S$84</f>
        <v>0</v>
      </c>
    </row>
    <row r="2885" spans="1:7">
      <c r="A2885" t="s">
        <v>643</v>
      </c>
      <c r="C2885" t="str">
        <f>'4M'!$BV$84</f>
        <v>B0358SNO_C_STP</v>
      </c>
      <c r="D2885" t="str">
        <f>_xlfn.CONCAT('4M'!$B$58, "-", '4M'!$B$84, "-", '4M'!$T$7, "-", '4M'!$T$6, "-", '4M'!$O$5)</f>
        <v>Other enhancement-Security - Non-SEMD-Sludge transport-Bioresources-Cumulative expenditure on schemes completed in the report year</v>
      </c>
      <c r="F2885" t="s">
        <v>7182</v>
      </c>
      <c r="G2885">
        <f>'4M'!$T$84</f>
        <v>0</v>
      </c>
    </row>
    <row r="2886" spans="1:7">
      <c r="A2886" t="s">
        <v>643</v>
      </c>
      <c r="C2886" t="str">
        <f>'4M'!$BW$84</f>
        <v>B0358SNO_C_SDT</v>
      </c>
      <c r="D2886" t="str">
        <f>_xlfn.CONCAT('4M'!$B$58, "-", '4M'!$B$84, "-", '4M'!$U$7, "-", '4M'!$T$6, "-", '4M'!$O$5)</f>
        <v>Other enhancement-Security - Non-SEMD-Sludge treatment-Bioresources-Cumulative expenditure on schemes completed in the report year</v>
      </c>
      <c r="F2886" t="s">
        <v>7182</v>
      </c>
      <c r="G2886">
        <f>'4M'!$U$84</f>
        <v>0</v>
      </c>
    </row>
    <row r="2887" spans="1:7">
      <c r="A2887" t="s">
        <v>643</v>
      </c>
      <c r="C2887" t="str">
        <f>'4M'!$BX$84</f>
        <v>B0358SNO_C_SD</v>
      </c>
      <c r="D2887" t="str">
        <f>_xlfn.CONCAT('4M'!$B$58, "-", '4M'!$B$84, "-", '4M'!$V$7, "-", '4M'!$T$6, "-", '4M'!$O$5)</f>
        <v>Other enhancement-Security - Non-SEMD-Sludge disposal-Bioresources-Cumulative expenditure on schemes completed in the report year</v>
      </c>
      <c r="F2887" t="s">
        <v>7182</v>
      </c>
      <c r="G2887">
        <f>'4M'!$V$84</f>
        <v>0</v>
      </c>
    </row>
    <row r="2888" spans="1:7">
      <c r="A2888" t="s">
        <v>643</v>
      </c>
      <c r="C2888" t="str">
        <f>'4M'!$BY$84</f>
        <v>B0358SNO_C_TOT</v>
      </c>
      <c r="D2888" t="str">
        <f>_xlfn.CONCAT('4M'!$B$58, "-", '4M'!$B$84, "-", '4M'!$W$6, "-", '4M'!$W$6, "-", '4M'!$O$5)</f>
        <v>Other enhancement-Security - Non-SEMD-Total-Total-Cumulative expenditure on schemes completed in the report year</v>
      </c>
      <c r="F2888" t="s">
        <v>7182</v>
      </c>
      <c r="G2888">
        <f>'4M'!$W$84</f>
        <v>0</v>
      </c>
    </row>
    <row r="2889" spans="1:7">
      <c r="A2889" t="s">
        <v>643</v>
      </c>
      <c r="C2889" t="str">
        <f>'4M'!$BH$85</f>
        <v>B0359SNT_F</v>
      </c>
      <c r="D2889" t="str">
        <f>_xlfn.CONCAT('4M'!$B$58, "-", '4M'!$B$85, "-", '4M'!$F$7, "-", '4M'!$F$6, "-", '4M'!$F$5)</f>
        <v>Other enhancement-Security - Non-SEMD-Foul-Wastewater network+ -Expenditure in report year</v>
      </c>
      <c r="F2889" t="s">
        <v>7182</v>
      </c>
      <c r="G2889">
        <f>'4M'!$F$85</f>
        <v>0.04</v>
      </c>
    </row>
    <row r="2890" spans="1:7">
      <c r="A2890" t="s">
        <v>643</v>
      </c>
      <c r="C2890" t="str">
        <f>'4M'!$BI$85</f>
        <v>B0359SNT_SWD</v>
      </c>
      <c r="D2890" t="str">
        <f>_xlfn.CONCAT('4M'!$B$58, "-", '4M'!$B$85, "-", '4M'!$G$7, "-", '4M'!$F$6, "-", '4M'!$F$5)</f>
        <v>Other enhancement-Security - Non-SEMD-Surface water drainage-Wastewater network+ -Expenditure in report year</v>
      </c>
      <c r="F2890" t="s">
        <v>7182</v>
      </c>
      <c r="G2890">
        <f>'4M'!$G$85</f>
        <v>1E-3</v>
      </c>
    </row>
    <row r="2891" spans="1:7">
      <c r="A2891" t="s">
        <v>643</v>
      </c>
      <c r="C2891" t="str">
        <f>'4M'!$BJ$85</f>
        <v>B0359SNT_HD</v>
      </c>
      <c r="D2891" t="str">
        <f>_xlfn.CONCAT('4M'!$B$58, "-", '4M'!$B$85, "-", '4M'!$H$7, "-", '4M'!$F$6, "-", '4M'!$F$5)</f>
        <v>Other enhancement-Security - Non-SEMD-Highway drainage-Wastewater network+ -Expenditure in report year</v>
      </c>
      <c r="F2891" t="s">
        <v>7182</v>
      </c>
      <c r="G2891">
        <f>'4M'!$H$85</f>
        <v>0</v>
      </c>
    </row>
    <row r="2892" spans="1:7">
      <c r="A2892" t="s">
        <v>643</v>
      </c>
      <c r="C2892" t="str">
        <f>'4M'!$BK$85</f>
        <v>B0359SNT_STD</v>
      </c>
      <c r="D2892" t="str">
        <f>_xlfn.CONCAT('4M'!$B$58, "-", '4M'!$B$85, "-", '4M'!$I$7, "-", '4M'!$F$6, "-", '4M'!$F$5)</f>
        <v>Other enhancement-Security - Non-SEMD-Sewage treatment and disposal-Wastewater network+ -Expenditure in report year</v>
      </c>
      <c r="F2892" t="s">
        <v>7182</v>
      </c>
      <c r="G2892">
        <f>'4M'!$I$85</f>
        <v>4.3999999999999997E-2</v>
      </c>
    </row>
    <row r="2893" spans="1:7">
      <c r="A2893" t="s">
        <v>643</v>
      </c>
      <c r="C2893" t="str">
        <f>'4M'!$BL$85</f>
        <v>B0359SNT_SLT</v>
      </c>
      <c r="D2893" t="str">
        <f>_xlfn.CONCAT('4M'!$B$58, "-", '4M'!$B$85, "-", '4M'!$J$7, "-", '4M'!$F$6, "-", '4M'!$F$5)</f>
        <v>Other enhancement-Security - Non-SEMD-Sludge liquor treatment-Wastewater network+ -Expenditure in report year</v>
      </c>
      <c r="F2893" t="s">
        <v>7182</v>
      </c>
      <c r="G2893">
        <f>'4M'!$J$85</f>
        <v>0</v>
      </c>
    </row>
    <row r="2894" spans="1:7">
      <c r="A2894" t="s">
        <v>643</v>
      </c>
      <c r="C2894" t="str">
        <f>'4M'!$BM$85</f>
        <v>B0359SNT_STP</v>
      </c>
      <c r="D2894" t="str">
        <f>_xlfn.CONCAT('4M'!$B$58, "-", '4M'!$B$85, "-", '4M'!$K$7, "-", '4M'!$K$6, "-", '4M'!$F$5)</f>
        <v>Other enhancement-Security - Non-SEMD-Sludge transport-Bioresources-Expenditure in report year</v>
      </c>
      <c r="F2894" t="s">
        <v>7182</v>
      </c>
      <c r="G2894">
        <f>'4M'!$K$85</f>
        <v>0</v>
      </c>
    </row>
    <row r="2895" spans="1:7">
      <c r="A2895" t="s">
        <v>643</v>
      </c>
      <c r="C2895" t="str">
        <f>'4M'!$BN$85</f>
        <v>B0359SNT_SDT</v>
      </c>
      <c r="D2895" t="str">
        <f>_xlfn.CONCAT('4M'!$B$58, "-", '4M'!$B$85, "-", '4M'!$L$7, "-", '4M'!$K$6, "-", '4M'!$F$5)</f>
        <v>Other enhancement-Security - Non-SEMD-Sludge treatment-Bioresources-Expenditure in report year</v>
      </c>
      <c r="F2895" t="s">
        <v>7182</v>
      </c>
      <c r="G2895">
        <f>'4M'!$L$85</f>
        <v>5.0000000000000001E-3</v>
      </c>
    </row>
    <row r="2896" spans="1:7">
      <c r="A2896" t="s">
        <v>643</v>
      </c>
      <c r="C2896" t="str">
        <f>'4M'!$BO$85</f>
        <v>B0359SNT_SD</v>
      </c>
      <c r="D2896" t="str">
        <f>_xlfn.CONCAT('4M'!$B$58, "-", '4M'!$B$85, "-", '4M'!$M$7, "-", '4M'!$K$6, "-", '4M'!$F$5)</f>
        <v>Other enhancement-Security - Non-SEMD-Sludge disposal-Bioresources-Expenditure in report year</v>
      </c>
      <c r="F2896" t="s">
        <v>7182</v>
      </c>
      <c r="G2896">
        <f>'4M'!$M$85</f>
        <v>0</v>
      </c>
    </row>
    <row r="2897" spans="1:7">
      <c r="A2897" t="s">
        <v>643</v>
      </c>
      <c r="C2897" t="str">
        <f>'4M'!$BP$85</f>
        <v>B0359SNT_TOT</v>
      </c>
      <c r="D2897" t="str">
        <f>_xlfn.CONCAT('4M'!$B$58, "-", '4M'!$B$85, "-", '4M'!$N$6, "-", '4M'!$N$6, "-", '4M'!$F$5)</f>
        <v>Other enhancement-Security - Non-SEMD-Total-Total-Expenditure in report year</v>
      </c>
      <c r="F2897" t="s">
        <v>7182</v>
      </c>
      <c r="G2897">
        <f>'4M'!$N$85</f>
        <v>0.09</v>
      </c>
    </row>
    <row r="2898" spans="1:7">
      <c r="A2898" t="s">
        <v>643</v>
      </c>
      <c r="C2898" t="str">
        <f>'4M'!$BQ$85</f>
        <v>B0359SNT_C_F</v>
      </c>
      <c r="D2898" t="str">
        <f>_xlfn.CONCAT('4M'!$B$58, "-", '4M'!$B$85, "-", '4M'!$O$7, "-", '4M'!$O$6, "-", '4M'!$O$5)</f>
        <v>Other enhancement-Security - Non-SEMD-Foul-Wastewater network+ -Cumulative expenditure on schemes completed in the report year</v>
      </c>
      <c r="F2898" t="s">
        <v>7182</v>
      </c>
      <c r="G2898">
        <f>'4M'!$O$85</f>
        <v>0</v>
      </c>
    </row>
    <row r="2899" spans="1:7">
      <c r="A2899" t="s">
        <v>643</v>
      </c>
      <c r="C2899" t="str">
        <f>'4M'!$BR$85</f>
        <v>B0359SNT_C_SWD</v>
      </c>
      <c r="D2899" t="str">
        <f>_xlfn.CONCAT('4M'!$B$58, "-", '4M'!$B$85, "-", '4M'!$P$7, "-", '4M'!$O$6, "-", '4M'!$O$5)</f>
        <v>Other enhancement-Security - Non-SEMD-Surface water drainage-Wastewater network+ -Cumulative expenditure on schemes completed in the report year</v>
      </c>
      <c r="F2899" t="s">
        <v>7182</v>
      </c>
      <c r="G2899">
        <f>'4M'!$P$85</f>
        <v>0</v>
      </c>
    </row>
    <row r="2900" spans="1:7">
      <c r="A2900" t="s">
        <v>643</v>
      </c>
      <c r="C2900" t="str">
        <f>'4M'!$BS$85</f>
        <v>B0359SNT_C_HD</v>
      </c>
      <c r="D2900" t="str">
        <f>_xlfn.CONCAT('4M'!$B$58, "-", '4M'!$B$85, "-", '4M'!$Q$7, "-", '4M'!$O$6, "-", '4M'!$O$5)</f>
        <v>Other enhancement-Security - Non-SEMD-Highway drainage-Wastewater network+ -Cumulative expenditure on schemes completed in the report year</v>
      </c>
      <c r="F2900" t="s">
        <v>7182</v>
      </c>
      <c r="G2900">
        <f>'4M'!$Q$85</f>
        <v>0</v>
      </c>
    </row>
    <row r="2901" spans="1:7">
      <c r="A2901" t="s">
        <v>643</v>
      </c>
      <c r="C2901" t="str">
        <f>'4M'!$BT$85</f>
        <v>B0359SNT_C_STD</v>
      </c>
      <c r="D2901" t="str">
        <f>_xlfn.CONCAT('4M'!$B$58, "-", '4M'!$B$85, "-", '4M'!$R$7, "-", '4M'!$O$6, "-", '4M'!$O$5)</f>
        <v>Other enhancement-Security - Non-SEMD-Sewage treatment and disposal-Wastewater network+ -Cumulative expenditure on schemes completed in the report year</v>
      </c>
      <c r="F2901" t="s">
        <v>7182</v>
      </c>
      <c r="G2901">
        <f>'4M'!$R$85</f>
        <v>0</v>
      </c>
    </row>
    <row r="2902" spans="1:7">
      <c r="A2902" t="s">
        <v>643</v>
      </c>
      <c r="C2902" t="str">
        <f>'4M'!$BU$85</f>
        <v>B0359SNT_C_SLT</v>
      </c>
      <c r="D2902" t="str">
        <f>_xlfn.CONCAT('4M'!$B$58, "-", '4M'!$B$85, "-", '4M'!$S$7, "-", '4M'!$O$6, "-", '4M'!$O$5)</f>
        <v>Other enhancement-Security - Non-SEMD-Sludge liquor treatment-Wastewater network+ -Cumulative expenditure on schemes completed in the report year</v>
      </c>
      <c r="F2902" t="s">
        <v>7182</v>
      </c>
      <c r="G2902">
        <f>'4M'!$S$85</f>
        <v>0</v>
      </c>
    </row>
    <row r="2903" spans="1:7">
      <c r="A2903" t="s">
        <v>643</v>
      </c>
      <c r="C2903" t="str">
        <f>'4M'!$BV$85</f>
        <v>B0359SNT_C_STP</v>
      </c>
      <c r="D2903" t="str">
        <f>_xlfn.CONCAT('4M'!$B$58, "-", '4M'!$B$85, "-", '4M'!$T$7, "-", '4M'!$T$6, "-", '4M'!$O$5)</f>
        <v>Other enhancement-Security - Non-SEMD-Sludge transport-Bioresources-Cumulative expenditure on schemes completed in the report year</v>
      </c>
      <c r="F2903" t="s">
        <v>7182</v>
      </c>
      <c r="G2903">
        <f>'4M'!$T$85</f>
        <v>0</v>
      </c>
    </row>
    <row r="2904" spans="1:7">
      <c r="A2904" t="s">
        <v>643</v>
      </c>
      <c r="C2904" t="str">
        <f>'4M'!$BW$85</f>
        <v>B0359SNT_C_SDT</v>
      </c>
      <c r="D2904" t="str">
        <f>_xlfn.CONCAT('4M'!$B$58, "-", '4M'!$B$85, "-", '4M'!$U$7, "-", '4M'!$T$6, "-", '4M'!$O$5)</f>
        <v>Other enhancement-Security - Non-SEMD-Sludge treatment-Bioresources-Cumulative expenditure on schemes completed in the report year</v>
      </c>
      <c r="F2904" t="s">
        <v>7182</v>
      </c>
      <c r="G2904">
        <f>'4M'!$U$85</f>
        <v>0</v>
      </c>
    </row>
    <row r="2905" spans="1:7">
      <c r="A2905" t="s">
        <v>643</v>
      </c>
      <c r="C2905" t="str">
        <f>'4M'!$BX$85</f>
        <v>B0359SNT_C_SD</v>
      </c>
      <c r="D2905" t="str">
        <f>_xlfn.CONCAT('4M'!$B$58, "-", '4M'!$B$85, "-", '4M'!$V$7, "-", '4M'!$T$6, "-", '4M'!$O$5)</f>
        <v>Other enhancement-Security - Non-SEMD-Sludge disposal-Bioresources-Cumulative expenditure on schemes completed in the report year</v>
      </c>
      <c r="F2905" t="s">
        <v>7182</v>
      </c>
      <c r="G2905">
        <f>'4M'!$V$85</f>
        <v>0</v>
      </c>
    </row>
    <row r="2906" spans="1:7">
      <c r="A2906" t="s">
        <v>643</v>
      </c>
      <c r="C2906" t="str">
        <f>'4M'!$BY$85</f>
        <v>B0359SNT_C_TOT</v>
      </c>
      <c r="D2906" t="str">
        <f>_xlfn.CONCAT('4M'!$B$58, "-", '4M'!$B$85, "-", '4M'!$W$6, "-", '4M'!$W$6, "-", '4M'!$O$5)</f>
        <v>Other enhancement-Security - Non-SEMD-Total-Total-Cumulative expenditure on schemes completed in the report year</v>
      </c>
      <c r="F2906" t="s">
        <v>7182</v>
      </c>
      <c r="G2906">
        <f>'4M'!$W$85</f>
        <v>0</v>
      </c>
    </row>
    <row r="2907" spans="1:7">
      <c r="A2907" t="s">
        <v>643</v>
      </c>
      <c r="C2907" t="str">
        <f>'4M'!$BZ$85</f>
        <v>B0400NSDT_TE</v>
      </c>
      <c r="D2907" t="str">
        <f>_xlfn.CONCAT('4M'!$B$58, "-", '4M'!$B$85, "-", '4M'!$X$7, "-", '4M'!$X$5, "-", '4M'!$X$5)</f>
        <v>Other enhancement-Security - Non-SEMD-Total-Cumulative expenditure on all schemes to reporting year end-Cumulative expenditure on all schemes to reporting year end</v>
      </c>
      <c r="F2907" t="s">
        <v>7182</v>
      </c>
      <c r="G2907">
        <f>'4M'!$X$85</f>
        <v>0.24199999999999999</v>
      </c>
    </row>
    <row r="2908" spans="1:7">
      <c r="A2908" t="s">
        <v>643</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7182</v>
      </c>
      <c r="G2908">
        <f>'4M'!$Y$85</f>
        <v>1.88</v>
      </c>
    </row>
    <row r="2909" spans="1:7">
      <c r="A2909" t="s">
        <v>643</v>
      </c>
      <c r="C2909" t="str">
        <f>'4M'!$CB$85</f>
        <v>B0400NSDT_TC</v>
      </c>
      <c r="D2909" t="str">
        <f>_xlfn.CONCAT('4M'!$B$58, "-", '4M'!$B$85, "-", '4M'!$Z$7, "-", '4M'!$Z$5, "-", '4M'!$Z$5)</f>
        <v>Other enhancement-Security - Non-SEMD-Total-Cumulative allowed expenditure on all schemes 2020-25-Cumulative allowed expenditure on all schemes 2020-25</v>
      </c>
      <c r="F2909" t="s">
        <v>7182</v>
      </c>
      <c r="G2909">
        <f>'4M'!$Z$85</f>
        <v>4.4950000000000001</v>
      </c>
    </row>
    <row r="2910" spans="1:7">
      <c r="A2910" t="s">
        <v>643</v>
      </c>
      <c r="C2910" t="str">
        <f>'4M'!$BH$86</f>
        <v>B0360ADC_F</v>
      </c>
      <c r="D2910" t="str">
        <f>_xlfn.CONCAT('4M'!$B$58, "-", '4M'!$B$86, "-", '4M'!$F$7, "-", '4M'!$F$6, "-", '4M'!$F$5)</f>
        <v>Other enhancement-Additional line 1-Foul-Wastewater network+ -Expenditure in report year</v>
      </c>
      <c r="F2910" t="s">
        <v>7182</v>
      </c>
      <c r="G2910">
        <f>'4M'!$F$86</f>
        <v>0</v>
      </c>
    </row>
    <row r="2911" spans="1:7">
      <c r="A2911" t="s">
        <v>643</v>
      </c>
      <c r="C2911" t="str">
        <f>'4M'!$BI$86</f>
        <v>B0360ADC_SWD</v>
      </c>
      <c r="D2911" t="str">
        <f>_xlfn.CONCAT('4M'!$B$58, "-", '4M'!$B$86, "-", '4M'!$G$7, "-", '4M'!$F$6, "-", '4M'!$F$5)</f>
        <v>Other enhancement-Additional line 1-Surface water drainage-Wastewater network+ -Expenditure in report year</v>
      </c>
      <c r="F2911" t="s">
        <v>7182</v>
      </c>
      <c r="G2911">
        <f>'4M'!$G$86</f>
        <v>0</v>
      </c>
    </row>
    <row r="2912" spans="1:7">
      <c r="A2912" t="s">
        <v>643</v>
      </c>
      <c r="C2912" t="str">
        <f>'4M'!$BJ$86</f>
        <v>B0360ADC_HD</v>
      </c>
      <c r="D2912" t="str">
        <f>_xlfn.CONCAT('4M'!$B$58, "-", '4M'!$B$86, "-", '4M'!$H$7, "-", '4M'!$F$6, "-", '4M'!$F$5)</f>
        <v>Other enhancement-Additional line 1-Highway drainage-Wastewater network+ -Expenditure in report year</v>
      </c>
      <c r="F2912" t="s">
        <v>7182</v>
      </c>
      <c r="G2912">
        <f>'4M'!$H$86</f>
        <v>0</v>
      </c>
    </row>
    <row r="2913" spans="1:7">
      <c r="A2913" t="s">
        <v>643</v>
      </c>
      <c r="C2913" t="str">
        <f>'4M'!$BK$86</f>
        <v>B0360ADC_STD</v>
      </c>
      <c r="D2913" t="str">
        <f>_xlfn.CONCAT('4M'!$B$58, "-", '4M'!$B$86, "-", '4M'!$I$7, "-", '4M'!$F$6, "-", '4M'!$F$5)</f>
        <v>Other enhancement-Additional line 1-Sewage treatment and disposal-Wastewater network+ -Expenditure in report year</v>
      </c>
      <c r="F2913" t="s">
        <v>7182</v>
      </c>
      <c r="G2913">
        <f>'4M'!$I$86</f>
        <v>0</v>
      </c>
    </row>
    <row r="2914" spans="1:7">
      <c r="A2914" t="s">
        <v>643</v>
      </c>
      <c r="C2914" t="str">
        <f>'4M'!$BL$86</f>
        <v>B0360ADC_SLT</v>
      </c>
      <c r="D2914" t="str">
        <f>_xlfn.CONCAT('4M'!$B$58, "-", '4M'!$B$86, "-", '4M'!$J$7, "-", '4M'!$F$6, "-", '4M'!$F$5)</f>
        <v>Other enhancement-Additional line 1-Sludge liquor treatment-Wastewater network+ -Expenditure in report year</v>
      </c>
      <c r="F2914" t="s">
        <v>7182</v>
      </c>
      <c r="G2914">
        <f>'4M'!$J$86</f>
        <v>0</v>
      </c>
    </row>
    <row r="2915" spans="1:7">
      <c r="A2915" t="s">
        <v>643</v>
      </c>
      <c r="C2915" t="str">
        <f>'4M'!$BM$86</f>
        <v>B0360ADC_STP</v>
      </c>
      <c r="D2915" t="str">
        <f>_xlfn.CONCAT('4M'!$B$58, "-", '4M'!$B$86, "-", '4M'!$K$7, "-", '4M'!$K$6, "-", '4M'!$F$5)</f>
        <v>Other enhancement-Additional line 1-Sludge transport-Bioresources-Expenditure in report year</v>
      </c>
      <c r="F2915" t="s">
        <v>7182</v>
      </c>
      <c r="G2915">
        <f>'4M'!$K$86</f>
        <v>0</v>
      </c>
    </row>
    <row r="2916" spans="1:7">
      <c r="A2916" t="s">
        <v>643</v>
      </c>
      <c r="C2916" t="str">
        <f>'4M'!$BN$86</f>
        <v>B0360ADC_SDT</v>
      </c>
      <c r="D2916" t="str">
        <f>_xlfn.CONCAT('4M'!$B$58, "-", '4M'!$B$86, "-", '4M'!$L$7, "-", '4M'!$K$6, "-", '4M'!$F$5)</f>
        <v>Other enhancement-Additional line 1-Sludge treatment-Bioresources-Expenditure in report year</v>
      </c>
      <c r="F2916" t="s">
        <v>7182</v>
      </c>
      <c r="G2916">
        <f>'4M'!$L$86</f>
        <v>0</v>
      </c>
    </row>
    <row r="2917" spans="1:7">
      <c r="A2917" t="s">
        <v>643</v>
      </c>
      <c r="C2917" t="str">
        <f>'4M'!$BO$86</f>
        <v>B0360ADC_SD</v>
      </c>
      <c r="D2917" t="str">
        <f>_xlfn.CONCAT('4M'!$B$58, "-", '4M'!$B$86, "-", '4M'!$M$7, "-", '4M'!$K$6, "-", '4M'!$F$5)</f>
        <v>Other enhancement-Additional line 1-Sludge disposal-Bioresources-Expenditure in report year</v>
      </c>
      <c r="F2917" t="s">
        <v>7182</v>
      </c>
      <c r="G2917">
        <f>'4M'!$M$86</f>
        <v>0</v>
      </c>
    </row>
    <row r="2918" spans="1:7">
      <c r="A2918" t="s">
        <v>643</v>
      </c>
      <c r="C2918" t="str">
        <f>'4M'!$BP$86</f>
        <v>B0360ADC_TOT</v>
      </c>
      <c r="D2918" t="str">
        <f>_xlfn.CONCAT('4M'!$B$58, "-", '4M'!$B$86, "-", '4M'!$N$6, "-", '4M'!$N$6, "-", '4M'!$F$5)</f>
        <v>Other enhancement-Additional line 1-Total-Total-Expenditure in report year</v>
      </c>
      <c r="F2918" t="s">
        <v>7182</v>
      </c>
      <c r="G2918">
        <f>'4M'!$N$86</f>
        <v>0</v>
      </c>
    </row>
    <row r="2919" spans="1:7">
      <c r="A2919" t="s">
        <v>643</v>
      </c>
      <c r="C2919" t="str">
        <f>'4M'!$BZ$86</f>
        <v>B0401AL1C_TE</v>
      </c>
      <c r="D2919" t="str">
        <f>_xlfn.CONCAT('4M'!$B$58, "-", '4M'!$B$86, "-", '4M'!$X$7, "-", '4M'!$X$5, "-", '4M'!$X$5)</f>
        <v>Other enhancement-Additional line 1-Total-Cumulative expenditure on all schemes to reporting year end-Cumulative expenditure on all schemes to reporting year end</v>
      </c>
      <c r="F2919" t="s">
        <v>7182</v>
      </c>
      <c r="G2919">
        <f>'4M'!$X$86</f>
        <v>0</v>
      </c>
    </row>
    <row r="2920" spans="1:7">
      <c r="A2920" t="s">
        <v>643</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7182</v>
      </c>
      <c r="G2920">
        <f>'4M'!$Y$86</f>
        <v>0</v>
      </c>
    </row>
    <row r="2921" spans="1:7">
      <c r="A2921" t="s">
        <v>643</v>
      </c>
      <c r="C2921" t="str">
        <f>'4M'!$CB$86</f>
        <v>B0401AL1C_TC</v>
      </c>
      <c r="D2921" t="str">
        <f>_xlfn.CONCAT('4M'!$B$58, "-", '4M'!$B$86, "-", '4M'!$Z$7, "-", '4M'!$Z$5, "-", '4M'!$Z$5)</f>
        <v>Other enhancement-Additional line 1-Total-Cumulative allowed expenditure on all schemes 2020-25-Cumulative allowed expenditure on all schemes 2020-25</v>
      </c>
      <c r="F2921" t="s">
        <v>7182</v>
      </c>
      <c r="G2921">
        <f>'4M'!$Z$86</f>
        <v>0</v>
      </c>
    </row>
    <row r="2922" spans="1:7">
      <c r="A2922" t="s">
        <v>643</v>
      </c>
      <c r="C2922" t="str">
        <f>'4M'!$BH$87</f>
        <v>B0361ADO_F</v>
      </c>
      <c r="D2922" t="str">
        <f>_xlfn.CONCAT('4M'!$B$58, "-", '4M'!$B$87, "-", '4M'!$F$7, "-", '4M'!$F$6, "-", '4M'!$F$5)</f>
        <v>Other enhancement-Additional line 1-Foul-Wastewater network+ -Expenditure in report year</v>
      </c>
      <c r="F2922" t="s">
        <v>7182</v>
      </c>
      <c r="G2922">
        <f>'4M'!$F$87</f>
        <v>0</v>
      </c>
    </row>
    <row r="2923" spans="1:7">
      <c r="A2923" t="s">
        <v>643</v>
      </c>
      <c r="C2923" t="str">
        <f>'4M'!$BI$87</f>
        <v>B0361ADO_SWD</v>
      </c>
      <c r="D2923" t="str">
        <f>_xlfn.CONCAT('4M'!$B$58, "-", '4M'!$B$87, "-", '4M'!$G$7, "-", '4M'!$F$6, "-", '4M'!$F$5)</f>
        <v>Other enhancement-Additional line 1-Surface water drainage-Wastewater network+ -Expenditure in report year</v>
      </c>
      <c r="F2923" t="s">
        <v>7182</v>
      </c>
      <c r="G2923">
        <f>'4M'!$G$87</f>
        <v>0</v>
      </c>
    </row>
    <row r="2924" spans="1:7">
      <c r="A2924" t="s">
        <v>643</v>
      </c>
      <c r="C2924" t="str">
        <f>'4M'!$BJ$87</f>
        <v>B0361ADO_HD</v>
      </c>
      <c r="D2924" t="str">
        <f>_xlfn.CONCAT('4M'!$B$58, "-", '4M'!$B$87, "-", '4M'!$H$7, "-", '4M'!$F$6, "-", '4M'!$F$5)</f>
        <v>Other enhancement-Additional line 1-Highway drainage-Wastewater network+ -Expenditure in report year</v>
      </c>
      <c r="F2924" t="s">
        <v>7182</v>
      </c>
      <c r="G2924">
        <f>'4M'!$H$87</f>
        <v>0</v>
      </c>
    </row>
    <row r="2925" spans="1:7">
      <c r="A2925" t="s">
        <v>643</v>
      </c>
      <c r="C2925" t="str">
        <f>'4M'!$BK$87</f>
        <v>B0361ADO_STD</v>
      </c>
      <c r="D2925" t="str">
        <f>_xlfn.CONCAT('4M'!$B$58, "-", '4M'!$B$87, "-", '4M'!$I$7, "-", '4M'!$F$6, "-", '4M'!$F$5)</f>
        <v>Other enhancement-Additional line 1-Sewage treatment and disposal-Wastewater network+ -Expenditure in report year</v>
      </c>
      <c r="F2925" t="s">
        <v>7182</v>
      </c>
      <c r="G2925">
        <f>'4M'!$I$87</f>
        <v>0</v>
      </c>
    </row>
    <row r="2926" spans="1:7">
      <c r="A2926" t="s">
        <v>643</v>
      </c>
      <c r="C2926" t="str">
        <f>'4M'!$BL$87</f>
        <v>B0361ADO_SLT</v>
      </c>
      <c r="D2926" t="str">
        <f>_xlfn.CONCAT('4M'!$B$58, "-", '4M'!$B$87, "-", '4M'!$J$7, "-", '4M'!$F$6, "-", '4M'!$F$5)</f>
        <v>Other enhancement-Additional line 1-Sludge liquor treatment-Wastewater network+ -Expenditure in report year</v>
      </c>
      <c r="F2926" t="s">
        <v>7182</v>
      </c>
      <c r="G2926">
        <f>'4M'!$J$87</f>
        <v>0</v>
      </c>
    </row>
    <row r="2927" spans="1:7">
      <c r="A2927" t="s">
        <v>643</v>
      </c>
      <c r="C2927" t="str">
        <f>'4M'!$BM$87</f>
        <v>B0361ADO_STP</v>
      </c>
      <c r="D2927" t="str">
        <f>_xlfn.CONCAT('4M'!$B$58, "-", '4M'!$B$87, "-", '4M'!$K$7, "-", '4M'!$K$6, "-", '4M'!$F$5)</f>
        <v>Other enhancement-Additional line 1-Sludge transport-Bioresources-Expenditure in report year</v>
      </c>
      <c r="F2927" t="s">
        <v>7182</v>
      </c>
      <c r="G2927">
        <f>'4M'!$K$87</f>
        <v>0</v>
      </c>
    </row>
    <row r="2928" spans="1:7">
      <c r="A2928" t="s">
        <v>643</v>
      </c>
      <c r="C2928" t="str">
        <f>'4M'!$BN$87</f>
        <v>B0361ADO_SDT</v>
      </c>
      <c r="D2928" t="str">
        <f>_xlfn.CONCAT('4M'!$B$58, "-", '4M'!$B$87, "-", '4M'!$L$7, "-", '4M'!$K$6, "-", '4M'!$F$5)</f>
        <v>Other enhancement-Additional line 1-Sludge treatment-Bioresources-Expenditure in report year</v>
      </c>
      <c r="F2928" t="s">
        <v>7182</v>
      </c>
      <c r="G2928">
        <f>'4M'!$L$87</f>
        <v>0</v>
      </c>
    </row>
    <row r="2929" spans="1:7">
      <c r="A2929" t="s">
        <v>643</v>
      </c>
      <c r="C2929" t="str">
        <f>'4M'!$BO$87</f>
        <v>B0361ADO_SD</v>
      </c>
      <c r="D2929" t="str">
        <f>_xlfn.CONCAT('4M'!$B$58, "-", '4M'!$B$87, "-", '4M'!$M$7, "-", '4M'!$K$6, "-", '4M'!$F$5)</f>
        <v>Other enhancement-Additional line 1-Sludge disposal-Bioresources-Expenditure in report year</v>
      </c>
      <c r="F2929" t="s">
        <v>7182</v>
      </c>
      <c r="G2929">
        <f>'4M'!$M$87</f>
        <v>0</v>
      </c>
    </row>
    <row r="2930" spans="1:7">
      <c r="A2930" t="s">
        <v>643</v>
      </c>
      <c r="C2930" t="str">
        <f>'4M'!$BP$87</f>
        <v>B0361ADO_TOT</v>
      </c>
      <c r="D2930" t="str">
        <f>_xlfn.CONCAT('4M'!$B$58, "-", '4M'!$B$87, "-", '4M'!$N$6, "-", '4M'!$N$6, "-", '4M'!$F$5)</f>
        <v>Other enhancement-Additional line 1-Total-Total-Expenditure in report year</v>
      </c>
      <c r="F2930" t="s">
        <v>7182</v>
      </c>
      <c r="G2930">
        <f>'4M'!$N$87</f>
        <v>0</v>
      </c>
    </row>
    <row r="2931" spans="1:7">
      <c r="A2931" t="s">
        <v>643</v>
      </c>
      <c r="C2931" t="str">
        <f>'4M'!$BZ$87</f>
        <v>B0402AL1O_TE</v>
      </c>
      <c r="D2931" t="str">
        <f>_xlfn.CONCAT('4M'!$B$58, "-", '4M'!$B$87, "-", '4M'!$X$7, "-", '4M'!$X$5, "-", '4M'!$X$5)</f>
        <v>Other enhancement-Additional line 1-Total-Cumulative expenditure on all schemes to reporting year end-Cumulative expenditure on all schemes to reporting year end</v>
      </c>
      <c r="F2931" t="s">
        <v>7182</v>
      </c>
      <c r="G2931">
        <f>'4M'!$X$87</f>
        <v>0</v>
      </c>
    </row>
    <row r="2932" spans="1:7">
      <c r="A2932" t="s">
        <v>643</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7182</v>
      </c>
      <c r="G2932">
        <f>'4M'!$Y$87</f>
        <v>0</v>
      </c>
    </row>
    <row r="2933" spans="1:7">
      <c r="A2933" t="s">
        <v>643</v>
      </c>
      <c r="C2933" t="str">
        <f>'4M'!$CB$87</f>
        <v>B0402AL1O_TC</v>
      </c>
      <c r="D2933" t="str">
        <f>_xlfn.CONCAT('4M'!$B$58, "-", '4M'!$B$87, "-", '4M'!$Z$7, "-", '4M'!$Z$5, "-", '4M'!$Z$5)</f>
        <v>Other enhancement-Additional line 1-Total-Cumulative allowed expenditure on all schemes 2020-25-Cumulative allowed expenditure on all schemes 2020-25</v>
      </c>
      <c r="F2933" t="s">
        <v>7182</v>
      </c>
      <c r="G2933">
        <f>'4M'!$Z$87</f>
        <v>0</v>
      </c>
    </row>
    <row r="2934" spans="1:7">
      <c r="A2934" t="s">
        <v>643</v>
      </c>
      <c r="C2934" t="str">
        <f>'4M'!$BH$88</f>
        <v>B0362ADC_F</v>
      </c>
      <c r="D2934" t="str">
        <f>_xlfn.CONCAT('4M'!$B$58, "-", '4M'!$B$88, "-", '4M'!$F$7, "-", '4M'!$F$6, "-", '4M'!$F$5)</f>
        <v>Other enhancement-Additional line 2-Foul-Wastewater network+ -Expenditure in report year</v>
      </c>
      <c r="F2934" t="s">
        <v>7182</v>
      </c>
      <c r="G2934">
        <f>'4M'!$F$88</f>
        <v>0</v>
      </c>
    </row>
    <row r="2935" spans="1:7">
      <c r="A2935" t="s">
        <v>643</v>
      </c>
      <c r="C2935" t="str">
        <f>'4M'!$BI$88</f>
        <v>B0362ADC_SWD</v>
      </c>
      <c r="D2935" t="str">
        <f>_xlfn.CONCAT('4M'!$B$58, "-", '4M'!$B$88, "-", '4M'!$G$7, "-", '4M'!$F$6, "-", '4M'!$F$5)</f>
        <v>Other enhancement-Additional line 2-Surface water drainage-Wastewater network+ -Expenditure in report year</v>
      </c>
      <c r="F2935" t="s">
        <v>7182</v>
      </c>
      <c r="G2935">
        <f>'4M'!$G$88</f>
        <v>0</v>
      </c>
    </row>
    <row r="2936" spans="1:7">
      <c r="A2936" t="s">
        <v>643</v>
      </c>
      <c r="C2936" t="str">
        <f>'4M'!$BJ$88</f>
        <v>B0362ADC_HD</v>
      </c>
      <c r="D2936" t="str">
        <f>_xlfn.CONCAT('4M'!$B$58, "-", '4M'!$B$88, "-", '4M'!$H$7, "-", '4M'!$F$6, "-", '4M'!$F$5)</f>
        <v>Other enhancement-Additional line 2-Highway drainage-Wastewater network+ -Expenditure in report year</v>
      </c>
      <c r="F2936" t="s">
        <v>7182</v>
      </c>
      <c r="G2936">
        <f>'4M'!$H$88</f>
        <v>0</v>
      </c>
    </row>
    <row r="2937" spans="1:7">
      <c r="A2937" t="s">
        <v>643</v>
      </c>
      <c r="C2937" t="str">
        <f>'4M'!$BK$88</f>
        <v>B0362ADC_STD</v>
      </c>
      <c r="D2937" t="str">
        <f>_xlfn.CONCAT('4M'!$B$58, "-", '4M'!$B$88, "-", '4M'!$I$7, "-", '4M'!$F$6, "-", '4M'!$F$5)</f>
        <v>Other enhancement-Additional line 2-Sewage treatment and disposal-Wastewater network+ -Expenditure in report year</v>
      </c>
      <c r="F2937" t="s">
        <v>7182</v>
      </c>
      <c r="G2937">
        <f>'4M'!$I$88</f>
        <v>0</v>
      </c>
    </row>
    <row r="2938" spans="1:7">
      <c r="A2938" t="s">
        <v>643</v>
      </c>
      <c r="C2938" t="str">
        <f>'4M'!$BL$88</f>
        <v>B0362ADC_SLT</v>
      </c>
      <c r="D2938" t="str">
        <f>_xlfn.CONCAT('4M'!$B$58, "-", '4M'!$B$88, "-", '4M'!$J$7, "-", '4M'!$F$6, "-", '4M'!$F$5)</f>
        <v>Other enhancement-Additional line 2-Sludge liquor treatment-Wastewater network+ -Expenditure in report year</v>
      </c>
      <c r="F2938" t="s">
        <v>7182</v>
      </c>
      <c r="G2938">
        <f>'4M'!$J$88</f>
        <v>0</v>
      </c>
    </row>
    <row r="2939" spans="1:7">
      <c r="A2939" t="s">
        <v>643</v>
      </c>
      <c r="C2939" t="str">
        <f>'4M'!$BM$88</f>
        <v>B0362ADC_STP</v>
      </c>
      <c r="D2939" t="str">
        <f>_xlfn.CONCAT('4M'!$B$58, "-", '4M'!$B$88, "-", '4M'!$K$7, "-", '4M'!$K$6, "-", '4M'!$F$5)</f>
        <v>Other enhancement-Additional line 2-Sludge transport-Bioresources-Expenditure in report year</v>
      </c>
      <c r="F2939" t="s">
        <v>7182</v>
      </c>
      <c r="G2939">
        <f>'4M'!$K$88</f>
        <v>0</v>
      </c>
    </row>
    <row r="2940" spans="1:7">
      <c r="A2940" t="s">
        <v>643</v>
      </c>
      <c r="C2940" t="str">
        <f>'4M'!$BN$88</f>
        <v>B0362ADC_SDT</v>
      </c>
      <c r="D2940" t="str">
        <f>_xlfn.CONCAT('4M'!$B$58, "-", '4M'!$B$88, "-", '4M'!$L$7, "-", '4M'!$K$6, "-", '4M'!$F$5)</f>
        <v>Other enhancement-Additional line 2-Sludge treatment-Bioresources-Expenditure in report year</v>
      </c>
      <c r="F2940" t="s">
        <v>7182</v>
      </c>
      <c r="G2940">
        <f>'4M'!$L$88</f>
        <v>0</v>
      </c>
    </row>
    <row r="2941" spans="1:7">
      <c r="A2941" t="s">
        <v>643</v>
      </c>
      <c r="C2941" t="str">
        <f>'4M'!$BO$88</f>
        <v>B0362ADC_SD</v>
      </c>
      <c r="D2941" t="str">
        <f>_xlfn.CONCAT('4M'!$B$58, "-", '4M'!$B$88, "-", '4M'!$M$7, "-", '4M'!$K$6, "-", '4M'!$F$5)</f>
        <v>Other enhancement-Additional line 2-Sludge disposal-Bioresources-Expenditure in report year</v>
      </c>
      <c r="F2941" t="s">
        <v>7182</v>
      </c>
      <c r="G2941">
        <f>'4M'!$M$88</f>
        <v>0</v>
      </c>
    </row>
    <row r="2942" spans="1:7">
      <c r="A2942" t="s">
        <v>643</v>
      </c>
      <c r="C2942" t="str">
        <f>'4M'!$BP$88</f>
        <v>B0362ADC_TOT</v>
      </c>
      <c r="D2942" t="str">
        <f>_xlfn.CONCAT('4M'!$B$58, "-", '4M'!$B$88, "-", '4M'!$N$6, "-", '4M'!$N$6, "-", '4M'!$F$5)</f>
        <v>Other enhancement-Additional line 2-Total-Total-Expenditure in report year</v>
      </c>
      <c r="F2942" t="s">
        <v>7182</v>
      </c>
      <c r="G2942">
        <f>'4M'!$N$88</f>
        <v>0</v>
      </c>
    </row>
    <row r="2943" spans="1:7">
      <c r="A2943" t="s">
        <v>643</v>
      </c>
      <c r="C2943" t="str">
        <f>'4M'!$BZ$88</f>
        <v>B0403AL2C_TE</v>
      </c>
      <c r="D2943" t="str">
        <f>_xlfn.CONCAT('4M'!$B$58, "-", '4M'!$B$88, "-", '4M'!$X$7, "-", '4M'!$X$5, "-", '4M'!$X$5)</f>
        <v>Other enhancement-Additional line 2-Total-Cumulative expenditure on all schemes to reporting year end-Cumulative expenditure on all schemes to reporting year end</v>
      </c>
      <c r="F2943" t="s">
        <v>7182</v>
      </c>
      <c r="G2943">
        <f>'4M'!$X$88</f>
        <v>0</v>
      </c>
    </row>
    <row r="2944" spans="1:7">
      <c r="A2944" t="s">
        <v>643</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7182</v>
      </c>
      <c r="G2944">
        <f>'4M'!$Y$88</f>
        <v>0</v>
      </c>
    </row>
    <row r="2945" spans="1:7">
      <c r="A2945" t="s">
        <v>643</v>
      </c>
      <c r="C2945" t="str">
        <f>'4M'!$CB$88</f>
        <v>B0403AL2C_TC</v>
      </c>
      <c r="D2945" t="str">
        <f>_xlfn.CONCAT('4M'!$B$58, "-", '4M'!$B$88, "-", '4M'!$Z$7, "-", '4M'!$Z$5, "-", '4M'!$Z$5)</f>
        <v>Other enhancement-Additional line 2-Total-Cumulative allowed expenditure on all schemes 2020-25-Cumulative allowed expenditure on all schemes 2020-25</v>
      </c>
      <c r="F2945" t="s">
        <v>7182</v>
      </c>
      <c r="G2945">
        <f>'4M'!$Z$88</f>
        <v>0</v>
      </c>
    </row>
    <row r="2946" spans="1:7">
      <c r="A2946" t="s">
        <v>643</v>
      </c>
      <c r="C2946" t="str">
        <f>'4M'!$BH$89</f>
        <v>B0363ADO_F</v>
      </c>
      <c r="D2946" t="str">
        <f>_xlfn.CONCAT('4M'!$B$58, "-", '4M'!$B$89, "-", '4M'!$F$7, "-", '4M'!$F$6, "-", '4M'!$F$5)</f>
        <v>Other enhancement-Additional line 2-Foul-Wastewater network+ -Expenditure in report year</v>
      </c>
      <c r="F2946" t="s">
        <v>7182</v>
      </c>
      <c r="G2946">
        <f>'4M'!$F$89</f>
        <v>0</v>
      </c>
    </row>
    <row r="2947" spans="1:7">
      <c r="A2947" t="s">
        <v>643</v>
      </c>
      <c r="C2947" t="str">
        <f>'4M'!$BI$89</f>
        <v>B0363ADO_SWD</v>
      </c>
      <c r="D2947" t="str">
        <f>_xlfn.CONCAT('4M'!$B$58, "-", '4M'!$B$89, "-", '4M'!$G$7, "-", '4M'!$F$6, "-", '4M'!$F$5)</f>
        <v>Other enhancement-Additional line 2-Surface water drainage-Wastewater network+ -Expenditure in report year</v>
      </c>
      <c r="F2947" t="s">
        <v>7182</v>
      </c>
      <c r="G2947">
        <f>'4M'!$G$89</f>
        <v>0</v>
      </c>
    </row>
    <row r="2948" spans="1:7">
      <c r="A2948" t="s">
        <v>643</v>
      </c>
      <c r="C2948" t="str">
        <f>'4M'!$BJ$89</f>
        <v>B0363ADO_HD</v>
      </c>
      <c r="D2948" t="str">
        <f>_xlfn.CONCAT('4M'!$B$58, "-", '4M'!$B$89, "-", '4M'!$H$7, "-", '4M'!$F$6, "-", '4M'!$F$5)</f>
        <v>Other enhancement-Additional line 2-Highway drainage-Wastewater network+ -Expenditure in report year</v>
      </c>
      <c r="F2948" t="s">
        <v>7182</v>
      </c>
      <c r="G2948">
        <f>'4M'!$H$89</f>
        <v>0</v>
      </c>
    </row>
    <row r="2949" spans="1:7">
      <c r="A2949" t="s">
        <v>643</v>
      </c>
      <c r="C2949" t="str">
        <f>'4M'!$BK$89</f>
        <v>B0363ADO_STD</v>
      </c>
      <c r="D2949" t="str">
        <f>_xlfn.CONCAT('4M'!$B$58, "-", '4M'!$B$89, "-", '4M'!$I$7, "-", '4M'!$F$6, "-", '4M'!$F$5)</f>
        <v>Other enhancement-Additional line 2-Sewage treatment and disposal-Wastewater network+ -Expenditure in report year</v>
      </c>
      <c r="F2949" t="s">
        <v>7182</v>
      </c>
      <c r="G2949">
        <f>'4M'!$I$89</f>
        <v>0</v>
      </c>
    </row>
    <row r="2950" spans="1:7">
      <c r="A2950" t="s">
        <v>643</v>
      </c>
      <c r="C2950" t="str">
        <f>'4M'!$BL$89</f>
        <v>B0363ADO_SLT</v>
      </c>
      <c r="D2950" t="str">
        <f>_xlfn.CONCAT('4M'!$B$58, "-", '4M'!$B$89, "-", '4M'!$J$7, "-", '4M'!$F$6, "-", '4M'!$F$5)</f>
        <v>Other enhancement-Additional line 2-Sludge liquor treatment-Wastewater network+ -Expenditure in report year</v>
      </c>
      <c r="F2950" t="s">
        <v>7182</v>
      </c>
      <c r="G2950">
        <f>'4M'!$J$89</f>
        <v>0</v>
      </c>
    </row>
    <row r="2951" spans="1:7">
      <c r="A2951" t="s">
        <v>643</v>
      </c>
      <c r="C2951" t="str">
        <f>'4M'!$BM$89</f>
        <v>B0363ADO_STP</v>
      </c>
      <c r="D2951" t="str">
        <f>_xlfn.CONCAT('4M'!$B$58, "-", '4M'!$B$89, "-", '4M'!$K$7, "-", '4M'!$K$6, "-", '4M'!$F$5)</f>
        <v>Other enhancement-Additional line 2-Sludge transport-Bioresources-Expenditure in report year</v>
      </c>
      <c r="F2951" t="s">
        <v>7182</v>
      </c>
      <c r="G2951">
        <f>'4M'!$K$89</f>
        <v>0</v>
      </c>
    </row>
    <row r="2952" spans="1:7">
      <c r="A2952" t="s">
        <v>643</v>
      </c>
      <c r="C2952" t="str">
        <f>'4M'!$BN$89</f>
        <v>B0363ADO_SDT</v>
      </c>
      <c r="D2952" t="str">
        <f>_xlfn.CONCAT('4M'!$B$58, "-", '4M'!$B$89, "-", '4M'!$L$7, "-", '4M'!$K$6, "-", '4M'!$F$5)</f>
        <v>Other enhancement-Additional line 2-Sludge treatment-Bioresources-Expenditure in report year</v>
      </c>
      <c r="F2952" t="s">
        <v>7182</v>
      </c>
      <c r="G2952">
        <f>'4M'!$L$89</f>
        <v>0</v>
      </c>
    </row>
    <row r="2953" spans="1:7">
      <c r="A2953" t="s">
        <v>643</v>
      </c>
      <c r="C2953" t="str">
        <f>'4M'!$BO$89</f>
        <v>B0363ADO_SD</v>
      </c>
      <c r="D2953" t="str">
        <f>_xlfn.CONCAT('4M'!$B$58, "-", '4M'!$B$89, "-", '4M'!$M$7, "-", '4M'!$K$6, "-", '4M'!$F$5)</f>
        <v>Other enhancement-Additional line 2-Sludge disposal-Bioresources-Expenditure in report year</v>
      </c>
      <c r="F2953" t="s">
        <v>7182</v>
      </c>
      <c r="G2953">
        <f>'4M'!$M$89</f>
        <v>0</v>
      </c>
    </row>
    <row r="2954" spans="1:7">
      <c r="A2954" t="s">
        <v>643</v>
      </c>
      <c r="C2954" t="str">
        <f>'4M'!$BP$89</f>
        <v>B0363ADO_TOT</v>
      </c>
      <c r="D2954" t="str">
        <f>_xlfn.CONCAT('4M'!$B$58, "-", '4M'!$B$89, "-", '4M'!$N$6, "-", '4M'!$N$6, "-", '4M'!$F$5)</f>
        <v>Other enhancement-Additional line 2-Total-Total-Expenditure in report year</v>
      </c>
      <c r="F2954" t="s">
        <v>7182</v>
      </c>
      <c r="G2954">
        <f>'4M'!$N$89</f>
        <v>0</v>
      </c>
    </row>
    <row r="2955" spans="1:7">
      <c r="A2955" t="s">
        <v>643</v>
      </c>
      <c r="C2955" t="str">
        <f>'4M'!$BZ$89</f>
        <v>B0404AL2O_TE</v>
      </c>
      <c r="D2955" t="str">
        <f>_xlfn.CONCAT('4M'!$B$58, "-", '4M'!$B$89, "-", '4M'!$X$7, "-", '4M'!$X$5, "-", '4M'!$X$5)</f>
        <v>Other enhancement-Additional line 2-Total-Cumulative expenditure on all schemes to reporting year end-Cumulative expenditure on all schemes to reporting year end</v>
      </c>
      <c r="F2955" t="s">
        <v>7182</v>
      </c>
      <c r="G2955">
        <f>'4M'!$X$89</f>
        <v>0</v>
      </c>
    </row>
    <row r="2956" spans="1:7">
      <c r="A2956" t="s">
        <v>643</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7182</v>
      </c>
      <c r="G2956">
        <f>'4M'!$Y$89</f>
        <v>0</v>
      </c>
    </row>
    <row r="2957" spans="1:7">
      <c r="A2957" t="s">
        <v>643</v>
      </c>
      <c r="C2957" t="str">
        <f>'4M'!$CB$89</f>
        <v>B0404AL2O_TC</v>
      </c>
      <c r="D2957" t="str">
        <f>_xlfn.CONCAT('4M'!$B$58, "-", '4M'!$B$89, "-", '4M'!$Z$7, "-", '4M'!$Z$5, "-", '4M'!$Z$5)</f>
        <v>Other enhancement-Additional line 2-Total-Cumulative allowed expenditure on all schemes 2020-25-Cumulative allowed expenditure on all schemes 2020-25</v>
      </c>
      <c r="F2957" t="s">
        <v>7182</v>
      </c>
      <c r="G2957">
        <f>'4M'!$Z$89</f>
        <v>0</v>
      </c>
    </row>
    <row r="2958" spans="1:7">
      <c r="A2958" t="s">
        <v>643</v>
      </c>
      <c r="C2958" t="str">
        <f>'4M'!$BH$90</f>
        <v>B0364ADC_F</v>
      </c>
      <c r="D2958" t="str">
        <f>_xlfn.CONCAT('4M'!$B$58, "-", '4M'!$B$90, "-", '4M'!$F$7, "-", '4M'!$F$6, "-", '4M'!$F$5)</f>
        <v>Other enhancement-Additional line 3-Foul-Wastewater network+ -Expenditure in report year</v>
      </c>
      <c r="F2958" t="s">
        <v>7182</v>
      </c>
      <c r="G2958">
        <f>'4M'!$F$90</f>
        <v>0</v>
      </c>
    </row>
    <row r="2959" spans="1:7">
      <c r="A2959" t="s">
        <v>643</v>
      </c>
      <c r="C2959" t="str">
        <f>'4M'!$BI$90</f>
        <v>B0364ADC_SWD</v>
      </c>
      <c r="D2959" t="str">
        <f>_xlfn.CONCAT('4M'!$B$58, "-", '4M'!$B$90, "-", '4M'!$G$7, "-", '4M'!$F$6, "-", '4M'!$F$5)</f>
        <v>Other enhancement-Additional line 3-Surface water drainage-Wastewater network+ -Expenditure in report year</v>
      </c>
      <c r="F2959" t="s">
        <v>7182</v>
      </c>
      <c r="G2959">
        <f>'4M'!$G$90</f>
        <v>0</v>
      </c>
    </row>
    <row r="2960" spans="1:7">
      <c r="A2960" t="s">
        <v>643</v>
      </c>
      <c r="C2960" t="str">
        <f>'4M'!$BJ$90</f>
        <v>B0364ADC_HD</v>
      </c>
      <c r="D2960" t="str">
        <f>_xlfn.CONCAT('4M'!$B$58, "-", '4M'!$B$90, "-", '4M'!$H$7, "-", '4M'!$F$6, "-", '4M'!$F$5)</f>
        <v>Other enhancement-Additional line 3-Highway drainage-Wastewater network+ -Expenditure in report year</v>
      </c>
      <c r="F2960" t="s">
        <v>7182</v>
      </c>
      <c r="G2960">
        <f>'4M'!$H$90</f>
        <v>0</v>
      </c>
    </row>
    <row r="2961" spans="1:7">
      <c r="A2961" t="s">
        <v>643</v>
      </c>
      <c r="C2961" t="str">
        <f>'4M'!$BK$90</f>
        <v>B0364ADC_STD</v>
      </c>
      <c r="D2961" t="str">
        <f>_xlfn.CONCAT('4M'!$B$58, "-", '4M'!$B$90, "-", '4M'!$I$7, "-", '4M'!$F$6, "-", '4M'!$F$5)</f>
        <v>Other enhancement-Additional line 3-Sewage treatment and disposal-Wastewater network+ -Expenditure in report year</v>
      </c>
      <c r="F2961" t="s">
        <v>7182</v>
      </c>
      <c r="G2961">
        <f>'4M'!$I$90</f>
        <v>0</v>
      </c>
    </row>
    <row r="2962" spans="1:7">
      <c r="A2962" t="s">
        <v>643</v>
      </c>
      <c r="C2962" t="str">
        <f>'4M'!$BL$90</f>
        <v>B0364ADC_SLT</v>
      </c>
      <c r="D2962" t="str">
        <f>_xlfn.CONCAT('4M'!$B$58, "-", '4M'!$B$90, "-", '4M'!$J$7, "-", '4M'!$F$6, "-", '4M'!$F$5)</f>
        <v>Other enhancement-Additional line 3-Sludge liquor treatment-Wastewater network+ -Expenditure in report year</v>
      </c>
      <c r="F2962" t="s">
        <v>7182</v>
      </c>
      <c r="G2962">
        <f>'4M'!$J$90</f>
        <v>0</v>
      </c>
    </row>
    <row r="2963" spans="1:7">
      <c r="A2963" t="s">
        <v>643</v>
      </c>
      <c r="C2963" t="str">
        <f>'4M'!$BM$90</f>
        <v>B0364ADC_STP</v>
      </c>
      <c r="D2963" t="str">
        <f>_xlfn.CONCAT('4M'!$B$58, "-", '4M'!$B$90, "-", '4M'!$K$7, "-", '4M'!$K$6, "-", '4M'!$F$5)</f>
        <v>Other enhancement-Additional line 3-Sludge transport-Bioresources-Expenditure in report year</v>
      </c>
      <c r="F2963" t="s">
        <v>7182</v>
      </c>
      <c r="G2963">
        <f>'4M'!$K$90</f>
        <v>0</v>
      </c>
    </row>
    <row r="2964" spans="1:7">
      <c r="A2964" t="s">
        <v>643</v>
      </c>
      <c r="C2964" t="str">
        <f>'4M'!$BN$90</f>
        <v>B0364ADC_SDT</v>
      </c>
      <c r="D2964" t="str">
        <f>_xlfn.CONCAT('4M'!$B$58, "-", '4M'!$B$90, "-", '4M'!$L$7, "-", '4M'!$K$6, "-", '4M'!$F$5)</f>
        <v>Other enhancement-Additional line 3-Sludge treatment-Bioresources-Expenditure in report year</v>
      </c>
      <c r="F2964" t="s">
        <v>7182</v>
      </c>
      <c r="G2964">
        <f>'4M'!$L$90</f>
        <v>0</v>
      </c>
    </row>
    <row r="2965" spans="1:7">
      <c r="A2965" t="s">
        <v>643</v>
      </c>
      <c r="C2965" t="str">
        <f>'4M'!$BO$90</f>
        <v>B0364ADC_SD</v>
      </c>
      <c r="D2965" t="str">
        <f>_xlfn.CONCAT('4M'!$B$58, "-", '4M'!$B$90, "-", '4M'!$M$7, "-", '4M'!$K$6, "-", '4M'!$F$5)</f>
        <v>Other enhancement-Additional line 3-Sludge disposal-Bioresources-Expenditure in report year</v>
      </c>
      <c r="F2965" t="s">
        <v>7182</v>
      </c>
      <c r="G2965">
        <f>'4M'!$M$90</f>
        <v>0</v>
      </c>
    </row>
    <row r="2966" spans="1:7">
      <c r="A2966" t="s">
        <v>643</v>
      </c>
      <c r="C2966" t="str">
        <f>'4M'!$BP$90</f>
        <v>B0364ADC_TOT</v>
      </c>
      <c r="D2966" t="str">
        <f>_xlfn.CONCAT('4M'!$B$58, "-", '4M'!$B$90, "-", '4M'!$N$6, "-", '4M'!$N$6, "-", '4M'!$F$5)</f>
        <v>Other enhancement-Additional line 3-Total-Total-Expenditure in report year</v>
      </c>
      <c r="F2966" t="s">
        <v>7182</v>
      </c>
      <c r="G2966">
        <f>'4M'!$N$90</f>
        <v>0</v>
      </c>
    </row>
    <row r="2967" spans="1:7">
      <c r="A2967" t="s">
        <v>643</v>
      </c>
      <c r="C2967" t="str">
        <f>'4M'!$BZ$90</f>
        <v>B0405AL3C_TE</v>
      </c>
      <c r="D2967" t="str">
        <f>_xlfn.CONCAT('4M'!$B$58, "-", '4M'!$B$90, "-", '4M'!$X$7, "-", '4M'!$X$5, "-", '4M'!$X$5)</f>
        <v>Other enhancement-Additional line 3-Total-Cumulative expenditure on all schemes to reporting year end-Cumulative expenditure on all schemes to reporting year end</v>
      </c>
      <c r="F2967" t="s">
        <v>7182</v>
      </c>
      <c r="G2967">
        <f>'4M'!$X$90</f>
        <v>0</v>
      </c>
    </row>
    <row r="2968" spans="1:7">
      <c r="A2968" t="s">
        <v>643</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7182</v>
      </c>
      <c r="G2968">
        <f>'4M'!$Y$90</f>
        <v>0</v>
      </c>
    </row>
    <row r="2969" spans="1:7">
      <c r="A2969" t="s">
        <v>643</v>
      </c>
      <c r="C2969" t="str">
        <f>'4M'!$CB$90</f>
        <v>B0405AL3C_TC</v>
      </c>
      <c r="D2969" t="str">
        <f>_xlfn.CONCAT('4M'!$B$58, "-", '4M'!$B$90, "-", '4M'!$Z$7, "-", '4M'!$Z$5, "-", '4M'!$Z$5)</f>
        <v>Other enhancement-Additional line 3-Total-Cumulative allowed expenditure on all schemes 2020-25-Cumulative allowed expenditure on all schemes 2020-25</v>
      </c>
      <c r="F2969" t="s">
        <v>7182</v>
      </c>
      <c r="G2969">
        <f>'4M'!$Z$90</f>
        <v>0</v>
      </c>
    </row>
    <row r="2970" spans="1:7">
      <c r="A2970" t="s">
        <v>643</v>
      </c>
      <c r="C2970" t="str">
        <f>'4M'!$BH$91</f>
        <v>B0365ADO_F</v>
      </c>
      <c r="D2970" t="str">
        <f>_xlfn.CONCAT('4M'!$B$58, "-", '4M'!$B$91, "-", '4M'!$F$7, "-", '4M'!$F$6, "-", '4M'!$F$5)</f>
        <v>Other enhancement-Additional line 3-Foul-Wastewater network+ -Expenditure in report year</v>
      </c>
      <c r="F2970" t="s">
        <v>7182</v>
      </c>
      <c r="G2970">
        <f>'4M'!$F$91</f>
        <v>0</v>
      </c>
    </row>
    <row r="2971" spans="1:7">
      <c r="A2971" t="s">
        <v>643</v>
      </c>
      <c r="C2971" t="str">
        <f>'4M'!$BI$91</f>
        <v>B0365ADO_SWD</v>
      </c>
      <c r="D2971" t="str">
        <f>_xlfn.CONCAT('4M'!$B$58, "-", '4M'!$B$91, "-", '4M'!$G$7, "-", '4M'!$F$6, "-", '4M'!$F$5)</f>
        <v>Other enhancement-Additional line 3-Surface water drainage-Wastewater network+ -Expenditure in report year</v>
      </c>
      <c r="F2971" t="s">
        <v>7182</v>
      </c>
      <c r="G2971">
        <f>'4M'!$G$91</f>
        <v>0</v>
      </c>
    </row>
    <row r="2972" spans="1:7">
      <c r="A2972" t="s">
        <v>643</v>
      </c>
      <c r="C2972" t="str">
        <f>'4M'!$BJ$91</f>
        <v>B0365ADO_HD</v>
      </c>
      <c r="D2972" t="str">
        <f>_xlfn.CONCAT('4M'!$B$58, "-", '4M'!$B$91, "-", '4M'!$H$7, "-", '4M'!$F$6, "-", '4M'!$F$5)</f>
        <v>Other enhancement-Additional line 3-Highway drainage-Wastewater network+ -Expenditure in report year</v>
      </c>
      <c r="F2972" t="s">
        <v>7182</v>
      </c>
      <c r="G2972">
        <f>'4M'!$H$91</f>
        <v>0</v>
      </c>
    </row>
    <row r="2973" spans="1:7">
      <c r="A2973" t="s">
        <v>643</v>
      </c>
      <c r="C2973" t="str">
        <f>'4M'!$BK$91</f>
        <v>B0365ADO_STD</v>
      </c>
      <c r="D2973" t="str">
        <f>_xlfn.CONCAT('4M'!$B$58, "-", '4M'!$B$91, "-", '4M'!$I$7, "-", '4M'!$F$6, "-", '4M'!$F$5)</f>
        <v>Other enhancement-Additional line 3-Sewage treatment and disposal-Wastewater network+ -Expenditure in report year</v>
      </c>
      <c r="F2973" t="s">
        <v>7182</v>
      </c>
      <c r="G2973">
        <f>'4M'!$I$91</f>
        <v>0</v>
      </c>
    </row>
    <row r="2974" spans="1:7">
      <c r="A2974" t="s">
        <v>643</v>
      </c>
      <c r="C2974" t="str">
        <f>'4M'!$BL$91</f>
        <v>B0365ADO_SLT</v>
      </c>
      <c r="D2974" t="str">
        <f>_xlfn.CONCAT('4M'!$B$58, "-", '4M'!$B$91, "-", '4M'!$J$7, "-", '4M'!$F$6, "-", '4M'!$F$5)</f>
        <v>Other enhancement-Additional line 3-Sludge liquor treatment-Wastewater network+ -Expenditure in report year</v>
      </c>
      <c r="F2974" t="s">
        <v>7182</v>
      </c>
      <c r="G2974">
        <f>'4M'!$J$91</f>
        <v>0</v>
      </c>
    </row>
    <row r="2975" spans="1:7">
      <c r="A2975" t="s">
        <v>643</v>
      </c>
      <c r="C2975" t="str">
        <f>'4M'!$BM$91</f>
        <v>B0365ADO_STP</v>
      </c>
      <c r="D2975" t="str">
        <f>_xlfn.CONCAT('4M'!$B$58, "-", '4M'!$B$91, "-", '4M'!$K$7, "-", '4M'!$K$6, "-", '4M'!$F$5)</f>
        <v>Other enhancement-Additional line 3-Sludge transport-Bioresources-Expenditure in report year</v>
      </c>
      <c r="F2975" t="s">
        <v>7182</v>
      </c>
      <c r="G2975">
        <f>'4M'!$K$91</f>
        <v>0</v>
      </c>
    </row>
    <row r="2976" spans="1:7">
      <c r="A2976" t="s">
        <v>643</v>
      </c>
      <c r="C2976" t="str">
        <f>'4M'!$BN$91</f>
        <v>B0365ADO_SDT</v>
      </c>
      <c r="D2976" t="str">
        <f>_xlfn.CONCAT('4M'!$B$58, "-", '4M'!$B$91, "-", '4M'!$L$7, "-", '4M'!$K$6, "-", '4M'!$F$5)</f>
        <v>Other enhancement-Additional line 3-Sludge treatment-Bioresources-Expenditure in report year</v>
      </c>
      <c r="F2976" t="s">
        <v>7182</v>
      </c>
      <c r="G2976">
        <f>'4M'!$L$91</f>
        <v>0</v>
      </c>
    </row>
    <row r="2977" spans="1:7">
      <c r="A2977" t="s">
        <v>643</v>
      </c>
      <c r="C2977" t="str">
        <f>'4M'!$BO$91</f>
        <v>B0365ADO_SD</v>
      </c>
      <c r="D2977" t="str">
        <f>_xlfn.CONCAT('4M'!$B$58, "-", '4M'!$B$91, "-", '4M'!$M$7, "-", '4M'!$K$6, "-", '4M'!$F$5)</f>
        <v>Other enhancement-Additional line 3-Sludge disposal-Bioresources-Expenditure in report year</v>
      </c>
      <c r="F2977" t="s">
        <v>7182</v>
      </c>
      <c r="G2977">
        <f>'4M'!$M$91</f>
        <v>0</v>
      </c>
    </row>
    <row r="2978" spans="1:7">
      <c r="A2978" t="s">
        <v>643</v>
      </c>
      <c r="C2978" t="str">
        <f>'4M'!$BP$91</f>
        <v>B0365ADO_TOT</v>
      </c>
      <c r="D2978" t="str">
        <f>_xlfn.CONCAT('4M'!$B$58, "-", '4M'!$B$91, "-", '4M'!$N$6, "-", '4M'!$N$6, "-", '4M'!$F$5)</f>
        <v>Other enhancement-Additional line 3-Total-Total-Expenditure in report year</v>
      </c>
      <c r="F2978" t="s">
        <v>7182</v>
      </c>
      <c r="G2978">
        <f>'4M'!$N$91</f>
        <v>0</v>
      </c>
    </row>
    <row r="2979" spans="1:7">
      <c r="A2979" t="s">
        <v>643</v>
      </c>
      <c r="C2979" t="str">
        <f>'4M'!$BZ$91</f>
        <v>B0406AL3O_TE</v>
      </c>
      <c r="D2979" t="str">
        <f>_xlfn.CONCAT('4M'!$B$58, "-", '4M'!$B$91, "-", '4M'!$X$7, "-", '4M'!$X$5, "-", '4M'!$X$5)</f>
        <v>Other enhancement-Additional line 3-Total-Cumulative expenditure on all schemes to reporting year end-Cumulative expenditure on all schemes to reporting year end</v>
      </c>
      <c r="F2979" t="s">
        <v>7182</v>
      </c>
      <c r="G2979">
        <f>'4M'!$X$91</f>
        <v>0</v>
      </c>
    </row>
    <row r="2980" spans="1:7">
      <c r="A2980" t="s">
        <v>643</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7182</v>
      </c>
      <c r="G2980">
        <f>'4M'!$Y$91</f>
        <v>0</v>
      </c>
    </row>
    <row r="2981" spans="1:7">
      <c r="A2981" t="s">
        <v>643</v>
      </c>
      <c r="C2981" t="str">
        <f>'4M'!$CB$91</f>
        <v>B0406AL3O_TC</v>
      </c>
      <c r="D2981" t="str">
        <f>_xlfn.CONCAT('4M'!$B$58, "-", '4M'!$B$91, "-", '4M'!$Z$7, "-", '4M'!$Z$5, "-", '4M'!$Z$5)</f>
        <v>Other enhancement-Additional line 3-Total-Cumulative allowed expenditure on all schemes 2020-25-Cumulative allowed expenditure on all schemes 2020-25</v>
      </c>
      <c r="F2981" t="s">
        <v>7182</v>
      </c>
      <c r="G2981">
        <f>'4M'!$Z$91</f>
        <v>0</v>
      </c>
    </row>
    <row r="2982" spans="1:7">
      <c r="A2982" t="s">
        <v>643</v>
      </c>
      <c r="C2982" t="str">
        <f>'4M'!$BH$92</f>
        <v>B0366ADC_F</v>
      </c>
      <c r="D2982" t="str">
        <f>_xlfn.CONCAT('4M'!$B$58, "-", '4M'!$B$92, "-", '4M'!$F$7, "-", '4M'!$F$6, "-", '4M'!$F$5)</f>
        <v>Other enhancement-Additional line 4-Foul-Wastewater network+ -Expenditure in report year</v>
      </c>
      <c r="F2982" t="s">
        <v>7182</v>
      </c>
      <c r="G2982">
        <f>'4M'!$F$92</f>
        <v>0</v>
      </c>
    </row>
    <row r="2983" spans="1:7">
      <c r="A2983" t="s">
        <v>643</v>
      </c>
      <c r="C2983" t="str">
        <f>'4M'!$BI$92</f>
        <v>B0366ADC_SWD</v>
      </c>
      <c r="D2983" t="str">
        <f>_xlfn.CONCAT('4M'!$B$58, "-", '4M'!$B$92, "-", '4M'!$G$7, "-", '4M'!$F$6, "-", '4M'!$F$5)</f>
        <v>Other enhancement-Additional line 4-Surface water drainage-Wastewater network+ -Expenditure in report year</v>
      </c>
      <c r="F2983" t="s">
        <v>7182</v>
      </c>
      <c r="G2983">
        <f>'4M'!$G$92</f>
        <v>0</v>
      </c>
    </row>
    <row r="2984" spans="1:7">
      <c r="A2984" t="s">
        <v>643</v>
      </c>
      <c r="C2984" t="str">
        <f>'4M'!$BJ$92</f>
        <v>B0366ADC_HD</v>
      </c>
      <c r="D2984" t="str">
        <f>_xlfn.CONCAT('4M'!$B$58, "-", '4M'!$B$92, "-", '4M'!$H$7, "-", '4M'!$F$6, "-", '4M'!$F$5)</f>
        <v>Other enhancement-Additional line 4-Highway drainage-Wastewater network+ -Expenditure in report year</v>
      </c>
      <c r="F2984" t="s">
        <v>7182</v>
      </c>
      <c r="G2984">
        <f>'4M'!$H$92</f>
        <v>0</v>
      </c>
    </row>
    <row r="2985" spans="1:7">
      <c r="A2985" t="s">
        <v>643</v>
      </c>
      <c r="C2985" t="str">
        <f>'4M'!$BK$92</f>
        <v>B0366ADC_STD</v>
      </c>
      <c r="D2985" t="str">
        <f>_xlfn.CONCAT('4M'!$B$58, "-", '4M'!$B$92, "-", '4M'!$I$7, "-", '4M'!$F$6, "-", '4M'!$F$5)</f>
        <v>Other enhancement-Additional line 4-Sewage treatment and disposal-Wastewater network+ -Expenditure in report year</v>
      </c>
      <c r="F2985" t="s">
        <v>7182</v>
      </c>
      <c r="G2985">
        <f>'4M'!$I$92</f>
        <v>0</v>
      </c>
    </row>
    <row r="2986" spans="1:7">
      <c r="A2986" t="s">
        <v>643</v>
      </c>
      <c r="C2986" t="str">
        <f>'4M'!$BL$92</f>
        <v>B0366ADC_SLT</v>
      </c>
      <c r="D2986" t="str">
        <f>_xlfn.CONCAT('4M'!$B$58, "-", '4M'!$B$92, "-", '4M'!$J$7, "-", '4M'!$F$6, "-", '4M'!$F$5)</f>
        <v>Other enhancement-Additional line 4-Sludge liquor treatment-Wastewater network+ -Expenditure in report year</v>
      </c>
      <c r="F2986" t="s">
        <v>7182</v>
      </c>
      <c r="G2986">
        <f>'4M'!$J$92</f>
        <v>0</v>
      </c>
    </row>
    <row r="2987" spans="1:7">
      <c r="A2987" t="s">
        <v>643</v>
      </c>
      <c r="C2987" t="str">
        <f>'4M'!$BM$92</f>
        <v>B0366ADC_STP</v>
      </c>
      <c r="D2987" t="str">
        <f>_xlfn.CONCAT('4M'!$B$58, "-", '4M'!$B$92, "-", '4M'!$K$7, "-", '4M'!$K$6, "-", '4M'!$F$5)</f>
        <v>Other enhancement-Additional line 4-Sludge transport-Bioresources-Expenditure in report year</v>
      </c>
      <c r="F2987" t="s">
        <v>7182</v>
      </c>
      <c r="G2987">
        <f>'4M'!$K$92</f>
        <v>0</v>
      </c>
    </row>
    <row r="2988" spans="1:7">
      <c r="A2988" t="s">
        <v>643</v>
      </c>
      <c r="C2988" t="str">
        <f>'4M'!$BN$92</f>
        <v>B0366ADC_SDT</v>
      </c>
      <c r="D2988" t="str">
        <f>_xlfn.CONCAT('4M'!$B$58, "-", '4M'!$B$92, "-", '4M'!$L$7, "-", '4M'!$K$6, "-", '4M'!$F$5)</f>
        <v>Other enhancement-Additional line 4-Sludge treatment-Bioresources-Expenditure in report year</v>
      </c>
      <c r="F2988" t="s">
        <v>7182</v>
      </c>
      <c r="G2988">
        <f>'4M'!$L$92</f>
        <v>0</v>
      </c>
    </row>
    <row r="2989" spans="1:7">
      <c r="A2989" t="s">
        <v>643</v>
      </c>
      <c r="C2989" t="str">
        <f>'4M'!$BO$92</f>
        <v>B0366ADC_SD</v>
      </c>
      <c r="D2989" t="str">
        <f>_xlfn.CONCAT('4M'!$B$58, "-", '4M'!$B$92, "-", '4M'!$M$7, "-", '4M'!$K$6, "-", '4M'!$F$5)</f>
        <v>Other enhancement-Additional line 4-Sludge disposal-Bioresources-Expenditure in report year</v>
      </c>
      <c r="F2989" t="s">
        <v>7182</v>
      </c>
      <c r="G2989">
        <f>'4M'!$M$92</f>
        <v>0</v>
      </c>
    </row>
    <row r="2990" spans="1:7">
      <c r="A2990" t="s">
        <v>643</v>
      </c>
      <c r="C2990" t="str">
        <f>'4M'!$BP$92</f>
        <v>B0366ADC_TOT</v>
      </c>
      <c r="D2990" t="str">
        <f>_xlfn.CONCAT('4M'!$B$58, "-", '4M'!$B$92, "-", '4M'!$N$6, "-", '4M'!$N$6, "-", '4M'!$F$5)</f>
        <v>Other enhancement-Additional line 4-Total-Total-Expenditure in report year</v>
      </c>
      <c r="F2990" t="s">
        <v>7182</v>
      </c>
      <c r="G2990">
        <f>'4M'!$N$92</f>
        <v>0</v>
      </c>
    </row>
    <row r="2991" spans="1:7">
      <c r="A2991" t="s">
        <v>643</v>
      </c>
      <c r="C2991" t="str">
        <f>'4M'!$BZ$92</f>
        <v>B0407AL4C_TE</v>
      </c>
      <c r="D2991" t="str">
        <f>_xlfn.CONCAT('4M'!$B$58, "-", '4M'!$B$92, "-", '4M'!$X$7, "-", '4M'!$X$5, "-", '4M'!$X$5)</f>
        <v>Other enhancement-Additional line 4-Total-Cumulative expenditure on all schemes to reporting year end-Cumulative expenditure on all schemes to reporting year end</v>
      </c>
      <c r="F2991" t="s">
        <v>7182</v>
      </c>
      <c r="G2991">
        <f>'4M'!$X$92</f>
        <v>0</v>
      </c>
    </row>
    <row r="2992" spans="1:7">
      <c r="A2992" t="s">
        <v>643</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7182</v>
      </c>
      <c r="G2992">
        <f>'4M'!$Y$92</f>
        <v>0</v>
      </c>
    </row>
    <row r="2993" spans="1:7">
      <c r="A2993" t="s">
        <v>643</v>
      </c>
      <c r="C2993" t="str">
        <f>'4M'!$CB$92</f>
        <v>B0407AL4C_TC</v>
      </c>
      <c r="D2993" t="str">
        <f>_xlfn.CONCAT('4M'!$B$58, "-", '4M'!$B$92, "-", '4M'!$Z$7, "-", '4M'!$Z$5, "-", '4M'!$Z$5)</f>
        <v>Other enhancement-Additional line 4-Total-Cumulative allowed expenditure on all schemes 2020-25-Cumulative allowed expenditure on all schemes 2020-25</v>
      </c>
      <c r="F2993" t="s">
        <v>7182</v>
      </c>
      <c r="G2993">
        <f>'4M'!$Z$92</f>
        <v>0</v>
      </c>
    </row>
    <row r="2994" spans="1:7">
      <c r="A2994" t="s">
        <v>643</v>
      </c>
      <c r="C2994" t="str">
        <f>'4M'!$BH$93</f>
        <v>B0367ADO_F</v>
      </c>
      <c r="D2994" t="str">
        <f>_xlfn.CONCAT('4M'!$B$58, "-", '4M'!$B$93, "-", '4M'!$F$7, "-", '4M'!$F$6, "-", '4M'!$F$5)</f>
        <v>Other enhancement-Additional line 4-Foul-Wastewater network+ -Expenditure in report year</v>
      </c>
      <c r="F2994" t="s">
        <v>7182</v>
      </c>
      <c r="G2994">
        <f>'4M'!$F$93</f>
        <v>0</v>
      </c>
    </row>
    <row r="2995" spans="1:7">
      <c r="A2995" t="s">
        <v>643</v>
      </c>
      <c r="C2995" t="str">
        <f>'4M'!$BI$93</f>
        <v>B0367ADO_SWD</v>
      </c>
      <c r="D2995" t="str">
        <f>_xlfn.CONCAT('4M'!$B$58, "-", '4M'!$B$93, "-", '4M'!$G$7, "-", '4M'!$F$6, "-", '4M'!$F$5)</f>
        <v>Other enhancement-Additional line 4-Surface water drainage-Wastewater network+ -Expenditure in report year</v>
      </c>
      <c r="F2995" t="s">
        <v>7182</v>
      </c>
      <c r="G2995">
        <f>'4M'!$G$93</f>
        <v>0</v>
      </c>
    </row>
    <row r="2996" spans="1:7">
      <c r="A2996" t="s">
        <v>643</v>
      </c>
      <c r="C2996" t="str">
        <f>'4M'!$BJ$93</f>
        <v>B0367ADO_HD</v>
      </c>
      <c r="D2996" t="str">
        <f>_xlfn.CONCAT('4M'!$B$58, "-", '4M'!$B$93, "-", '4M'!$H$7, "-", '4M'!$F$6, "-", '4M'!$F$5)</f>
        <v>Other enhancement-Additional line 4-Highway drainage-Wastewater network+ -Expenditure in report year</v>
      </c>
      <c r="F2996" t="s">
        <v>7182</v>
      </c>
      <c r="G2996">
        <f>'4M'!$H$93</f>
        <v>0</v>
      </c>
    </row>
    <row r="2997" spans="1:7">
      <c r="A2997" t="s">
        <v>643</v>
      </c>
      <c r="C2997" t="str">
        <f>'4M'!$BK$93</f>
        <v>B0367ADO_STD</v>
      </c>
      <c r="D2997" t="str">
        <f>_xlfn.CONCAT('4M'!$B$58, "-", '4M'!$B$93, "-", '4M'!$I$7, "-", '4M'!$F$6, "-", '4M'!$F$5)</f>
        <v>Other enhancement-Additional line 4-Sewage treatment and disposal-Wastewater network+ -Expenditure in report year</v>
      </c>
      <c r="F2997" t="s">
        <v>7182</v>
      </c>
      <c r="G2997">
        <f>'4M'!$I$93</f>
        <v>0</v>
      </c>
    </row>
    <row r="2998" spans="1:7">
      <c r="A2998" t="s">
        <v>643</v>
      </c>
      <c r="C2998" t="str">
        <f>'4M'!$BL$93</f>
        <v>B0367ADO_SLT</v>
      </c>
      <c r="D2998" t="str">
        <f>_xlfn.CONCAT('4M'!$B$58, "-", '4M'!$B$93, "-", '4M'!$J$7, "-", '4M'!$F$6, "-", '4M'!$F$5)</f>
        <v>Other enhancement-Additional line 4-Sludge liquor treatment-Wastewater network+ -Expenditure in report year</v>
      </c>
      <c r="F2998" t="s">
        <v>7182</v>
      </c>
      <c r="G2998">
        <f>'4M'!$J$93</f>
        <v>0</v>
      </c>
    </row>
    <row r="2999" spans="1:7">
      <c r="A2999" t="s">
        <v>643</v>
      </c>
      <c r="C2999" t="str">
        <f>'4M'!$BM$93</f>
        <v>B0367ADO_STP</v>
      </c>
      <c r="D2999" t="str">
        <f>_xlfn.CONCAT('4M'!$B$58, "-", '4M'!$B$93, "-", '4M'!$K$7, "-", '4M'!$K$6, "-", '4M'!$F$5)</f>
        <v>Other enhancement-Additional line 4-Sludge transport-Bioresources-Expenditure in report year</v>
      </c>
      <c r="F2999" t="s">
        <v>7182</v>
      </c>
      <c r="G2999">
        <f>'4M'!$K$93</f>
        <v>0</v>
      </c>
    </row>
    <row r="3000" spans="1:7">
      <c r="A3000" t="s">
        <v>643</v>
      </c>
      <c r="C3000" t="str">
        <f>'4M'!$BN$93</f>
        <v>B0367ADO_SDT</v>
      </c>
      <c r="D3000" t="str">
        <f>_xlfn.CONCAT('4M'!$B$58, "-", '4M'!$B$93, "-", '4M'!$L$7, "-", '4M'!$K$6, "-", '4M'!$F$5)</f>
        <v>Other enhancement-Additional line 4-Sludge treatment-Bioresources-Expenditure in report year</v>
      </c>
      <c r="F3000" t="s">
        <v>7182</v>
      </c>
      <c r="G3000">
        <f>'4M'!$L$93</f>
        <v>0</v>
      </c>
    </row>
    <row r="3001" spans="1:7">
      <c r="A3001" t="s">
        <v>643</v>
      </c>
      <c r="C3001" t="str">
        <f>'4M'!$BO$93</f>
        <v>B0367ADO_SD</v>
      </c>
      <c r="D3001" t="str">
        <f>_xlfn.CONCAT('4M'!$B$58, "-", '4M'!$B$93, "-", '4M'!$M$7, "-", '4M'!$K$6, "-", '4M'!$F$5)</f>
        <v>Other enhancement-Additional line 4-Sludge disposal-Bioresources-Expenditure in report year</v>
      </c>
      <c r="F3001" t="s">
        <v>7182</v>
      </c>
      <c r="G3001">
        <f>'4M'!$M$93</f>
        <v>0</v>
      </c>
    </row>
    <row r="3002" spans="1:7">
      <c r="A3002" t="s">
        <v>643</v>
      </c>
      <c r="C3002" t="str">
        <f>'4M'!$BP$93</f>
        <v>B0367ADO_TOT</v>
      </c>
      <c r="D3002" t="str">
        <f>_xlfn.CONCAT('4M'!$B$58, "-", '4M'!$B$93, "-", '4M'!$N$6, "-", '4M'!$N$6, "-", '4M'!$F$5)</f>
        <v>Other enhancement-Additional line 4-Total-Total-Expenditure in report year</v>
      </c>
      <c r="F3002" t="s">
        <v>7182</v>
      </c>
      <c r="G3002">
        <f>'4M'!$N$93</f>
        <v>0</v>
      </c>
    </row>
    <row r="3003" spans="1:7">
      <c r="A3003" t="s">
        <v>643</v>
      </c>
      <c r="C3003" t="str">
        <f>'4M'!$BZ$93</f>
        <v>B0408AL4O_TE</v>
      </c>
      <c r="D3003" t="str">
        <f>_xlfn.CONCAT('4M'!$B$58, "-", '4M'!$B$93, "-", '4M'!$X$7, "-", '4M'!$X$5, "-", '4M'!$X$5)</f>
        <v>Other enhancement-Additional line 4-Total-Cumulative expenditure on all schemes to reporting year end-Cumulative expenditure on all schemes to reporting year end</v>
      </c>
      <c r="F3003" t="s">
        <v>7182</v>
      </c>
      <c r="G3003">
        <f>'4M'!$X$93</f>
        <v>0</v>
      </c>
    </row>
    <row r="3004" spans="1:7">
      <c r="A3004" t="s">
        <v>643</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7182</v>
      </c>
      <c r="G3004">
        <f>'4M'!$Y$93</f>
        <v>0</v>
      </c>
    </row>
    <row r="3005" spans="1:7">
      <c r="A3005" t="s">
        <v>643</v>
      </c>
      <c r="C3005" t="str">
        <f>'4M'!$CB$93</f>
        <v>B0408AL4O_TC</v>
      </c>
      <c r="D3005" t="str">
        <f>_xlfn.CONCAT('4M'!$B$58, "-", '4M'!$B$93, "-", '4M'!$Z$7, "-", '4M'!$Z$5, "-", '4M'!$Z$5)</f>
        <v>Other enhancement-Additional line 4-Total-Cumulative allowed expenditure on all schemes 2020-25-Cumulative allowed expenditure on all schemes 2020-25</v>
      </c>
      <c r="F3005" t="s">
        <v>7182</v>
      </c>
      <c r="G3005">
        <f>'4M'!$Z$93</f>
        <v>0</v>
      </c>
    </row>
    <row r="3006" spans="1:7">
      <c r="A3006" t="s">
        <v>643</v>
      </c>
      <c r="C3006" t="str">
        <f>'4M'!$BH$94</f>
        <v>B0368ADC_F</v>
      </c>
      <c r="D3006" t="str">
        <f>_xlfn.CONCAT('4M'!$B$58, "-", '4M'!$B$94, "-", '4M'!$F$7, "-", '4M'!$F$6, "-", '4M'!$F$5)</f>
        <v>Other enhancement-Additional line 5-Foul-Wastewater network+ -Expenditure in report year</v>
      </c>
      <c r="F3006" t="s">
        <v>7182</v>
      </c>
      <c r="G3006">
        <f>'4M'!$F$94</f>
        <v>0</v>
      </c>
    </row>
    <row r="3007" spans="1:7">
      <c r="A3007" t="s">
        <v>643</v>
      </c>
      <c r="C3007" t="str">
        <f>'4M'!$BI$94</f>
        <v>B0368ADC_SWD</v>
      </c>
      <c r="D3007" t="str">
        <f>_xlfn.CONCAT('4M'!$B$58, "-", '4M'!$B$94, "-", '4M'!$G$7, "-", '4M'!$F$6, "-", '4M'!$F$5)</f>
        <v>Other enhancement-Additional line 5-Surface water drainage-Wastewater network+ -Expenditure in report year</v>
      </c>
      <c r="F3007" t="s">
        <v>7182</v>
      </c>
      <c r="G3007">
        <f>'4M'!$G$94</f>
        <v>0</v>
      </c>
    </row>
    <row r="3008" spans="1:7">
      <c r="A3008" t="s">
        <v>643</v>
      </c>
      <c r="C3008" t="str">
        <f>'4M'!$BJ$94</f>
        <v>B0368ADC_HD</v>
      </c>
      <c r="D3008" t="str">
        <f>_xlfn.CONCAT('4M'!$B$58, "-", '4M'!$B$94, "-", '4M'!$H$7, "-", '4M'!$F$6, "-", '4M'!$F$5)</f>
        <v>Other enhancement-Additional line 5-Highway drainage-Wastewater network+ -Expenditure in report year</v>
      </c>
      <c r="F3008" t="s">
        <v>7182</v>
      </c>
      <c r="G3008">
        <f>'4M'!$H$94</f>
        <v>0</v>
      </c>
    </row>
    <row r="3009" spans="1:7">
      <c r="A3009" t="s">
        <v>643</v>
      </c>
      <c r="C3009" t="str">
        <f>'4M'!$BK$94</f>
        <v>B0368ADC_STD</v>
      </c>
      <c r="D3009" t="str">
        <f>_xlfn.CONCAT('4M'!$B$58, "-", '4M'!$B$94, "-", '4M'!$I$7, "-", '4M'!$F$6, "-", '4M'!$F$5)</f>
        <v>Other enhancement-Additional line 5-Sewage treatment and disposal-Wastewater network+ -Expenditure in report year</v>
      </c>
      <c r="F3009" t="s">
        <v>7182</v>
      </c>
      <c r="G3009">
        <f>'4M'!$I$94</f>
        <v>0</v>
      </c>
    </row>
    <row r="3010" spans="1:7">
      <c r="A3010" t="s">
        <v>643</v>
      </c>
      <c r="C3010" t="str">
        <f>'4M'!$BL$94</f>
        <v>B0368ADC_SLT</v>
      </c>
      <c r="D3010" t="str">
        <f>_xlfn.CONCAT('4M'!$B$58, "-", '4M'!$B$94, "-", '4M'!$J$7, "-", '4M'!$F$6, "-", '4M'!$F$5)</f>
        <v>Other enhancement-Additional line 5-Sludge liquor treatment-Wastewater network+ -Expenditure in report year</v>
      </c>
      <c r="F3010" t="s">
        <v>7182</v>
      </c>
      <c r="G3010">
        <f>'4M'!$J$94</f>
        <v>0</v>
      </c>
    </row>
    <row r="3011" spans="1:7">
      <c r="A3011" t="s">
        <v>643</v>
      </c>
      <c r="C3011" t="str">
        <f>'4M'!$BM$94</f>
        <v>B0368ADC_STP</v>
      </c>
      <c r="D3011" t="str">
        <f>_xlfn.CONCAT('4M'!$B$58, "-", '4M'!$B$94, "-", '4M'!$K$7, "-", '4M'!$K$6, "-", '4M'!$F$5)</f>
        <v>Other enhancement-Additional line 5-Sludge transport-Bioresources-Expenditure in report year</v>
      </c>
      <c r="F3011" t="s">
        <v>7182</v>
      </c>
      <c r="G3011">
        <f>'4M'!$K$94</f>
        <v>0</v>
      </c>
    </row>
    <row r="3012" spans="1:7">
      <c r="A3012" t="s">
        <v>643</v>
      </c>
      <c r="C3012" t="str">
        <f>'4M'!$BN$94</f>
        <v>B0368ADC_SDT</v>
      </c>
      <c r="D3012" t="str">
        <f>_xlfn.CONCAT('4M'!$B$58, "-", '4M'!$B$94, "-", '4M'!$L$7, "-", '4M'!$K$6, "-", '4M'!$F$5)</f>
        <v>Other enhancement-Additional line 5-Sludge treatment-Bioresources-Expenditure in report year</v>
      </c>
      <c r="F3012" t="s">
        <v>7182</v>
      </c>
      <c r="G3012">
        <f>'4M'!$L$94</f>
        <v>0</v>
      </c>
    </row>
    <row r="3013" spans="1:7">
      <c r="A3013" t="s">
        <v>643</v>
      </c>
      <c r="C3013" t="str">
        <f>'4M'!$BO$94</f>
        <v>B0368ADC_SD</v>
      </c>
      <c r="D3013" t="str">
        <f>_xlfn.CONCAT('4M'!$B$58, "-", '4M'!$B$94, "-", '4M'!$M$7, "-", '4M'!$K$6, "-", '4M'!$F$5)</f>
        <v>Other enhancement-Additional line 5-Sludge disposal-Bioresources-Expenditure in report year</v>
      </c>
      <c r="F3013" t="s">
        <v>7182</v>
      </c>
      <c r="G3013">
        <f>'4M'!$M$94</f>
        <v>0</v>
      </c>
    </row>
    <row r="3014" spans="1:7">
      <c r="A3014" t="s">
        <v>643</v>
      </c>
      <c r="C3014" t="str">
        <f>'4M'!$BP$94</f>
        <v>B0368ADC_TOT</v>
      </c>
      <c r="D3014" t="str">
        <f>_xlfn.CONCAT('4M'!$B$58, "-", '4M'!$B$94, "-", '4M'!$N$6, "-", '4M'!$N$6, "-", '4M'!$F$5)</f>
        <v>Other enhancement-Additional line 5-Total-Total-Expenditure in report year</v>
      </c>
      <c r="F3014" t="s">
        <v>7182</v>
      </c>
      <c r="G3014">
        <f>'4M'!$N$94</f>
        <v>0</v>
      </c>
    </row>
    <row r="3015" spans="1:7">
      <c r="A3015" t="s">
        <v>643</v>
      </c>
      <c r="C3015" t="str">
        <f>'4M'!$BZ$94</f>
        <v>B0409AL5C_TE</v>
      </c>
      <c r="D3015" t="str">
        <f>_xlfn.CONCAT('4M'!$B$58, "-", '4M'!$B$94, "-", '4M'!$X$7, "-", '4M'!$X$5, "-", '4M'!$X$5)</f>
        <v>Other enhancement-Additional line 5-Total-Cumulative expenditure on all schemes to reporting year end-Cumulative expenditure on all schemes to reporting year end</v>
      </c>
      <c r="F3015" t="s">
        <v>7182</v>
      </c>
      <c r="G3015">
        <f>'4M'!$X$94</f>
        <v>0</v>
      </c>
    </row>
    <row r="3016" spans="1:7">
      <c r="A3016" t="s">
        <v>643</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7182</v>
      </c>
      <c r="G3016">
        <f>'4M'!$Y$94</f>
        <v>0</v>
      </c>
    </row>
    <row r="3017" spans="1:7">
      <c r="A3017" t="s">
        <v>643</v>
      </c>
      <c r="C3017" t="str">
        <f>'4M'!$CB$94</f>
        <v>B0409AL5C_TC</v>
      </c>
      <c r="D3017" t="str">
        <f>_xlfn.CONCAT('4M'!$B$58, "-", '4M'!$B$94, "-", '4M'!$Z$7, "-", '4M'!$Z$5, "-", '4M'!$Z$5)</f>
        <v>Other enhancement-Additional line 5-Total-Cumulative allowed expenditure on all schemes 2020-25-Cumulative allowed expenditure on all schemes 2020-25</v>
      </c>
      <c r="F3017" t="s">
        <v>7182</v>
      </c>
      <c r="G3017">
        <f>'4M'!$Z$94</f>
        <v>0</v>
      </c>
    </row>
    <row r="3018" spans="1:7">
      <c r="A3018" t="s">
        <v>643</v>
      </c>
      <c r="C3018" t="str">
        <f>'4M'!$BH$95</f>
        <v>B0369ADO_F</v>
      </c>
      <c r="D3018" t="str">
        <f>_xlfn.CONCAT('4M'!$B$58, "-", '4M'!$B$95, "-", '4M'!$F$7, "-", '4M'!$F$6, "-", '4M'!$F$5)</f>
        <v>Other enhancement-Additional line 5-Foul-Wastewater network+ -Expenditure in report year</v>
      </c>
      <c r="F3018" t="s">
        <v>7182</v>
      </c>
      <c r="G3018">
        <f>'4M'!$F$95</f>
        <v>0</v>
      </c>
    </row>
    <row r="3019" spans="1:7">
      <c r="A3019" t="s">
        <v>643</v>
      </c>
      <c r="C3019" t="str">
        <f>'4M'!$BI$95</f>
        <v>B0369ADO_SWD</v>
      </c>
      <c r="D3019" t="str">
        <f>_xlfn.CONCAT('4M'!$B$58, "-", '4M'!$B$95, "-", '4M'!$G$7, "-", '4M'!$F$6, "-", '4M'!$F$5)</f>
        <v>Other enhancement-Additional line 5-Surface water drainage-Wastewater network+ -Expenditure in report year</v>
      </c>
      <c r="F3019" t="s">
        <v>7182</v>
      </c>
      <c r="G3019">
        <f>'4M'!$G$95</f>
        <v>0</v>
      </c>
    </row>
    <row r="3020" spans="1:7">
      <c r="A3020" t="s">
        <v>643</v>
      </c>
      <c r="C3020" t="str">
        <f>'4M'!$BJ$95</f>
        <v>B0369ADO_HD</v>
      </c>
      <c r="D3020" t="str">
        <f>_xlfn.CONCAT('4M'!$B$58, "-", '4M'!$B$95, "-", '4M'!$H$7, "-", '4M'!$F$6, "-", '4M'!$F$5)</f>
        <v>Other enhancement-Additional line 5-Highway drainage-Wastewater network+ -Expenditure in report year</v>
      </c>
      <c r="F3020" t="s">
        <v>7182</v>
      </c>
      <c r="G3020">
        <f>'4M'!$H$95</f>
        <v>0</v>
      </c>
    </row>
    <row r="3021" spans="1:7">
      <c r="A3021" t="s">
        <v>643</v>
      </c>
      <c r="C3021" t="str">
        <f>'4M'!$BK$95</f>
        <v>B0369ADO_STD</v>
      </c>
      <c r="D3021" t="str">
        <f>_xlfn.CONCAT('4M'!$B$58, "-", '4M'!$B$95, "-", '4M'!$I$7, "-", '4M'!$F$6, "-", '4M'!$F$5)</f>
        <v>Other enhancement-Additional line 5-Sewage treatment and disposal-Wastewater network+ -Expenditure in report year</v>
      </c>
      <c r="F3021" t="s">
        <v>7182</v>
      </c>
      <c r="G3021">
        <f>'4M'!$I$95</f>
        <v>0</v>
      </c>
    </row>
    <row r="3022" spans="1:7">
      <c r="A3022" t="s">
        <v>643</v>
      </c>
      <c r="C3022" t="str">
        <f>'4M'!$BL$95</f>
        <v>B0369ADO_SLT</v>
      </c>
      <c r="D3022" t="str">
        <f>_xlfn.CONCAT('4M'!$B$58, "-", '4M'!$B$95, "-", '4M'!$J$7, "-", '4M'!$F$6, "-", '4M'!$F$5)</f>
        <v>Other enhancement-Additional line 5-Sludge liquor treatment-Wastewater network+ -Expenditure in report year</v>
      </c>
      <c r="F3022" t="s">
        <v>7182</v>
      </c>
      <c r="G3022">
        <f>'4M'!$J$95</f>
        <v>0</v>
      </c>
    </row>
    <row r="3023" spans="1:7">
      <c r="A3023" t="s">
        <v>643</v>
      </c>
      <c r="C3023" t="str">
        <f>'4M'!$BM$95</f>
        <v>B0369ADO_STP</v>
      </c>
      <c r="D3023" t="str">
        <f>_xlfn.CONCAT('4M'!$B$58, "-", '4M'!$B$95, "-", '4M'!$K$7, "-", '4M'!$K$6, "-", '4M'!$F$5)</f>
        <v>Other enhancement-Additional line 5-Sludge transport-Bioresources-Expenditure in report year</v>
      </c>
      <c r="F3023" t="s">
        <v>7182</v>
      </c>
      <c r="G3023">
        <f>'4M'!$K$95</f>
        <v>0</v>
      </c>
    </row>
    <row r="3024" spans="1:7">
      <c r="A3024" t="s">
        <v>643</v>
      </c>
      <c r="C3024" t="str">
        <f>'4M'!$BN$95</f>
        <v>B0369ADO_SDT</v>
      </c>
      <c r="D3024" t="str">
        <f>_xlfn.CONCAT('4M'!$B$58, "-", '4M'!$B$95, "-", '4M'!$L$7, "-", '4M'!$K$6, "-", '4M'!$F$5)</f>
        <v>Other enhancement-Additional line 5-Sludge treatment-Bioresources-Expenditure in report year</v>
      </c>
      <c r="F3024" t="s">
        <v>7182</v>
      </c>
      <c r="G3024">
        <f>'4M'!$L$95</f>
        <v>0</v>
      </c>
    </row>
    <row r="3025" spans="1:7">
      <c r="A3025" t="s">
        <v>643</v>
      </c>
      <c r="C3025" t="str">
        <f>'4M'!$BO$95</f>
        <v>B0369ADO_SD</v>
      </c>
      <c r="D3025" t="str">
        <f>_xlfn.CONCAT('4M'!$B$58, "-", '4M'!$B$95, "-", '4M'!$M$7, "-", '4M'!$K$6, "-", '4M'!$F$5)</f>
        <v>Other enhancement-Additional line 5-Sludge disposal-Bioresources-Expenditure in report year</v>
      </c>
      <c r="F3025" t="s">
        <v>7182</v>
      </c>
      <c r="G3025">
        <f>'4M'!$M$95</f>
        <v>0</v>
      </c>
    </row>
    <row r="3026" spans="1:7">
      <c r="A3026" t="s">
        <v>643</v>
      </c>
      <c r="C3026" t="str">
        <f>'4M'!$BP$95</f>
        <v>B0369ADO_TOT</v>
      </c>
      <c r="D3026" t="str">
        <f>_xlfn.CONCAT('4M'!$B$58, "-", '4M'!$B$95, "-", '4M'!$N$6, "-", '4M'!$N$6, "-", '4M'!$F$5)</f>
        <v>Other enhancement-Additional line 5-Total-Total-Expenditure in report year</v>
      </c>
      <c r="F3026" t="s">
        <v>7182</v>
      </c>
      <c r="G3026">
        <f>'4M'!$N$95</f>
        <v>0</v>
      </c>
    </row>
    <row r="3027" spans="1:7">
      <c r="A3027" t="s">
        <v>643</v>
      </c>
      <c r="C3027" t="str">
        <f>'4M'!$BZ$95</f>
        <v>B0410AL5O_TE</v>
      </c>
      <c r="D3027" t="str">
        <f>_xlfn.CONCAT('4M'!$B$58, "-", '4M'!$B$95, "-", '4M'!$X$7, "-", '4M'!$X$5, "-", '4M'!$X$5)</f>
        <v>Other enhancement-Additional line 5-Total-Cumulative expenditure on all schemes to reporting year end-Cumulative expenditure on all schemes to reporting year end</v>
      </c>
      <c r="F3027" t="s">
        <v>7182</v>
      </c>
      <c r="G3027">
        <f>'4M'!$X$95</f>
        <v>0</v>
      </c>
    </row>
    <row r="3028" spans="1:7">
      <c r="A3028" t="s">
        <v>643</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7182</v>
      </c>
      <c r="G3028">
        <f>'4M'!$Y$95</f>
        <v>0</v>
      </c>
    </row>
    <row r="3029" spans="1:7">
      <c r="A3029" t="s">
        <v>643</v>
      </c>
      <c r="C3029" t="str">
        <f>'4M'!$CB$95</f>
        <v>B0410AL5O_TC</v>
      </c>
      <c r="D3029" t="str">
        <f>_xlfn.CONCAT('4M'!$B$58, "-", '4M'!$B$95, "-", '4M'!$Z$7, "-", '4M'!$Z$5, "-", '4M'!$Z$5)</f>
        <v>Other enhancement-Additional line 5-Total-Cumulative allowed expenditure on all schemes 2020-25-Cumulative allowed expenditure on all schemes 2020-25</v>
      </c>
      <c r="F3029" t="s">
        <v>7182</v>
      </c>
      <c r="G3029">
        <f>'4M'!$Z$95</f>
        <v>0</v>
      </c>
    </row>
    <row r="3030" spans="1:7">
      <c r="A3030" t="s">
        <v>643</v>
      </c>
      <c r="C3030" t="str">
        <f>'4M'!$BH$96</f>
        <v>B0370TET_F</v>
      </c>
      <c r="D3030" t="str">
        <f>_xlfn.CONCAT('4M'!$B$58, "-", '4M'!$B$96, "-", '4M'!$F$7, "-", '4M'!$F$6, "-", '4M'!$F$5)</f>
        <v>Other enhancement-Total other enhancement expenditure-Foul-Wastewater network+ -Expenditure in report year</v>
      </c>
      <c r="F3030" t="s">
        <v>7182</v>
      </c>
      <c r="G3030">
        <f>'4M'!$F$96</f>
        <v>0.38900000000000001</v>
      </c>
    </row>
    <row r="3031" spans="1:7">
      <c r="A3031" t="s">
        <v>643</v>
      </c>
      <c r="C3031" t="str">
        <f>'4M'!$BI$96</f>
        <v>B0370TET_SWD</v>
      </c>
      <c r="D3031" t="str">
        <f>_xlfn.CONCAT('4M'!$B$58, "-", '4M'!$B$96, "-", '4M'!$G$7, "-", '4M'!$F$6, "-", '4M'!$F$5)</f>
        <v>Other enhancement-Total other enhancement expenditure-Surface water drainage-Wastewater network+ -Expenditure in report year</v>
      </c>
      <c r="F3031" t="s">
        <v>7182</v>
      </c>
      <c r="G3031">
        <f>'4M'!$G$96</f>
        <v>0.58200000000000007</v>
      </c>
    </row>
    <row r="3032" spans="1:7">
      <c r="A3032" t="s">
        <v>643</v>
      </c>
      <c r="C3032" t="str">
        <f>'4M'!$BJ$96</f>
        <v>B0370TET_HD</v>
      </c>
      <c r="D3032" t="str">
        <f>_xlfn.CONCAT('4M'!$B$58, "-", '4M'!$B$96, "-", '4M'!$H$7, "-", '4M'!$F$6, "-", '4M'!$F$5)</f>
        <v>Other enhancement-Total other enhancement expenditure-Highway drainage-Wastewater network+ -Expenditure in report year</v>
      </c>
      <c r="F3032" t="s">
        <v>7182</v>
      </c>
      <c r="G3032">
        <f>'4M'!$H$96</f>
        <v>0.313</v>
      </c>
    </row>
    <row r="3033" spans="1:7">
      <c r="A3033" t="s">
        <v>643</v>
      </c>
      <c r="C3033" t="str">
        <f>'4M'!$BK$96</f>
        <v>B0370TET_STD</v>
      </c>
      <c r="D3033" t="str">
        <f>_xlfn.CONCAT('4M'!$B$58, "-", '4M'!$B$96, "-", '4M'!$I$7, "-", '4M'!$F$6, "-", '4M'!$F$5)</f>
        <v>Other enhancement-Total other enhancement expenditure-Sewage treatment and disposal-Wastewater network+ -Expenditure in report year</v>
      </c>
      <c r="F3033" t="s">
        <v>7182</v>
      </c>
      <c r="G3033">
        <f>'4M'!$I$96</f>
        <v>6.5949999999999998</v>
      </c>
    </row>
    <row r="3034" spans="1:7">
      <c r="A3034" t="s">
        <v>643</v>
      </c>
      <c r="C3034" t="str">
        <f>'4M'!$BL$96</f>
        <v>B0370TET_SLT</v>
      </c>
      <c r="D3034" t="str">
        <f>_xlfn.CONCAT('4M'!$B$58, "-", '4M'!$B$96, "-", '4M'!$J$7, "-", '4M'!$F$6, "-", '4M'!$F$5)</f>
        <v>Other enhancement-Total other enhancement expenditure-Sludge liquor treatment-Wastewater network+ -Expenditure in report year</v>
      </c>
      <c r="F3034" t="s">
        <v>7182</v>
      </c>
      <c r="G3034">
        <f>'4M'!$J$96</f>
        <v>0</v>
      </c>
    </row>
    <row r="3035" spans="1:7">
      <c r="A3035" t="s">
        <v>643</v>
      </c>
      <c r="C3035" t="str">
        <f>'4M'!$BM$96</f>
        <v>B0370TET_STP</v>
      </c>
      <c r="D3035" t="str">
        <f>_xlfn.CONCAT('4M'!$B$58, "-", '4M'!$B$96, "-", '4M'!$K$7, "-", '4M'!$K$6, "-", '4M'!$F$5)</f>
        <v>Other enhancement-Total other enhancement expenditure-Sludge transport-Bioresources-Expenditure in report year</v>
      </c>
      <c r="F3035" t="s">
        <v>7182</v>
      </c>
      <c r="G3035">
        <f>'4M'!$K$96</f>
        <v>0</v>
      </c>
    </row>
    <row r="3036" spans="1:7">
      <c r="A3036" t="s">
        <v>643</v>
      </c>
      <c r="C3036" t="str">
        <f>'4M'!$BN$96</f>
        <v>B0370TET_SDT</v>
      </c>
      <c r="D3036" t="str">
        <f>_xlfn.CONCAT('4M'!$B$58, "-", '4M'!$B$96, "-", '4M'!$L$7, "-", '4M'!$K$6, "-", '4M'!$F$5)</f>
        <v>Other enhancement-Total other enhancement expenditure-Sludge treatment-Bioresources-Expenditure in report year</v>
      </c>
      <c r="F3036" t="s">
        <v>7182</v>
      </c>
      <c r="G3036">
        <f>'4M'!$L$96</f>
        <v>5.0000000000000001E-3</v>
      </c>
    </row>
    <row r="3037" spans="1:7">
      <c r="A3037" t="s">
        <v>643</v>
      </c>
      <c r="C3037" t="str">
        <f>'4M'!$BO$96</f>
        <v>B0370TET_SD</v>
      </c>
      <c r="D3037" t="str">
        <f>_xlfn.CONCAT('4M'!$B$58, "-", '4M'!$B$96, "-", '4M'!$M$7, "-", '4M'!$K$6, "-", '4M'!$F$5)</f>
        <v>Other enhancement-Total other enhancement expenditure-Sludge disposal-Bioresources-Expenditure in report year</v>
      </c>
      <c r="F3037" t="s">
        <v>7182</v>
      </c>
      <c r="G3037">
        <f>'4M'!$M$96</f>
        <v>0</v>
      </c>
    </row>
    <row r="3038" spans="1:7">
      <c r="A3038" t="s">
        <v>643</v>
      </c>
      <c r="C3038" t="str">
        <f>'4M'!$BP$96</f>
        <v>B0370TET_TOT</v>
      </c>
      <c r="D3038" t="str">
        <f>_xlfn.CONCAT('4M'!$B$58, "-", '4M'!$B$96, "-", '4M'!$N$6, "-", '4M'!$N$6, "-", '4M'!$F$5)</f>
        <v>Other enhancement-Total other enhancement expenditure-Total-Total-Expenditure in report year</v>
      </c>
      <c r="F3038" t="s">
        <v>7182</v>
      </c>
      <c r="G3038">
        <f>'4M'!$N$96</f>
        <v>7.8839999999999995</v>
      </c>
    </row>
    <row r="3039" spans="1:7">
      <c r="A3039" t="s">
        <v>643</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7182</v>
      </c>
      <c r="G3039">
        <f>'4M'!$X$96</f>
        <v>4.6820000000000004</v>
      </c>
    </row>
    <row r="3040" spans="1:7">
      <c r="A3040" t="s">
        <v>643</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7182</v>
      </c>
      <c r="G3040">
        <f>'4M'!$Y$96</f>
        <v>20.842999999999996</v>
      </c>
    </row>
    <row r="3041" spans="1:7">
      <c r="A3041" t="s">
        <v>643</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7182</v>
      </c>
      <c r="G3041">
        <f>'4M'!$Z$96</f>
        <v>49.842999999999996</v>
      </c>
    </row>
    <row r="3042" spans="1:7">
      <c r="A3042" t="s">
        <v>643</v>
      </c>
      <c r="C3042" t="str">
        <f>'4M'!$BH$99</f>
        <v>B0371TEC_F</v>
      </c>
      <c r="D3042" t="str">
        <f>_xlfn.CONCAT('4M'!$B$98, "-", '4M'!$B$99, "-", '4M'!$F$7, "-", '4M'!$F$6, "-", '4M'!$F$5)</f>
        <v>Total enhancement-Total enhancement expenditure -Foul-Wastewater network+ -Expenditure in report year</v>
      </c>
      <c r="F3042" t="s">
        <v>7182</v>
      </c>
      <c r="G3042">
        <f>'4M'!$F$99</f>
        <v>0.45800000000000002</v>
      </c>
    </row>
    <row r="3043" spans="1:7">
      <c r="A3043" t="s">
        <v>643</v>
      </c>
      <c r="C3043" t="str">
        <f>'4M'!$BI$99</f>
        <v>B0371TEC_SWD</v>
      </c>
      <c r="D3043" t="str">
        <f>_xlfn.CONCAT('4M'!$B$98, "-", '4M'!$B$99, "-", '4M'!$G$7, "-", '4M'!$F$6, "-", '4M'!$F$5)</f>
        <v>Total enhancement-Total enhancement expenditure -Surface water drainage-Wastewater network+ -Expenditure in report year</v>
      </c>
      <c r="F3043" t="s">
        <v>7182</v>
      </c>
      <c r="G3043">
        <f>'4M'!$G$99</f>
        <v>0.76200000000000001</v>
      </c>
    </row>
    <row r="3044" spans="1:7">
      <c r="A3044" t="s">
        <v>643</v>
      </c>
      <c r="C3044" t="str">
        <f>'4M'!$BJ$99</f>
        <v>B0371TEC_HD</v>
      </c>
      <c r="D3044" t="str">
        <f>_xlfn.CONCAT('4M'!$B$98, "-", '4M'!$B$99, "-", '4M'!$H$7, "-", '4M'!$F$6, "-", '4M'!$F$5)</f>
        <v>Total enhancement-Total enhancement expenditure -Highway drainage-Wastewater network+ -Expenditure in report year</v>
      </c>
      <c r="F3044" t="s">
        <v>7182</v>
      </c>
      <c r="G3044">
        <f>'4M'!$H$99</f>
        <v>0.41000000000000003</v>
      </c>
    </row>
    <row r="3045" spans="1:7">
      <c r="A3045" t="s">
        <v>643</v>
      </c>
      <c r="C3045" t="str">
        <f>'4M'!$BK$99</f>
        <v>B0371TEC_STD</v>
      </c>
      <c r="D3045" t="str">
        <f>_xlfn.CONCAT('4M'!$B$98, "-", '4M'!$B$99, "-", '4M'!$I$7, "-", '4M'!$F$6, "-", '4M'!$F$5)</f>
        <v>Total enhancement-Total enhancement expenditure -Sewage treatment and disposal-Wastewater network+ -Expenditure in report year</v>
      </c>
      <c r="F3045" t="s">
        <v>7182</v>
      </c>
      <c r="G3045">
        <f>'4M'!$I$99</f>
        <v>29.088999999999999</v>
      </c>
    </row>
    <row r="3046" spans="1:7">
      <c r="A3046" t="s">
        <v>643</v>
      </c>
      <c r="C3046" t="str">
        <f>'4M'!$BL$99</f>
        <v>B0371TEC_SLT</v>
      </c>
      <c r="D3046" t="str">
        <f>_xlfn.CONCAT('4M'!$B$98, "-", '4M'!$B$99, "-", '4M'!$J$7, "-", '4M'!$F$6, "-", '4M'!$F$5)</f>
        <v>Total enhancement-Total enhancement expenditure -Sludge liquor treatment-Wastewater network+ -Expenditure in report year</v>
      </c>
      <c r="F3046" t="s">
        <v>7182</v>
      </c>
      <c r="G3046">
        <f>'4M'!$J$99</f>
        <v>0</v>
      </c>
    </row>
    <row r="3047" spans="1:7">
      <c r="A3047" t="s">
        <v>643</v>
      </c>
      <c r="C3047" t="str">
        <f>'4M'!$BM$99</f>
        <v>B0371TEC_STP</v>
      </c>
      <c r="D3047" t="str">
        <f>_xlfn.CONCAT('4M'!$B$98, "-", '4M'!$B$99, "-", '4M'!$K$7, "-", '4M'!$K$6, "-", '4M'!$F$5)</f>
        <v>Total enhancement-Total enhancement expenditure -Sludge transport-Bioresources-Expenditure in report year</v>
      </c>
      <c r="F3047" t="s">
        <v>7182</v>
      </c>
      <c r="G3047">
        <f>'4M'!$K$99</f>
        <v>0</v>
      </c>
    </row>
    <row r="3048" spans="1:7">
      <c r="A3048" t="s">
        <v>643</v>
      </c>
      <c r="C3048" t="str">
        <f>'4M'!$BN$99</f>
        <v>B0371TEC_SDT</v>
      </c>
      <c r="D3048" t="str">
        <f>_xlfn.CONCAT('4M'!$B$98, "-", '4M'!$B$99, "-", '4M'!$L$7, "-", '4M'!$K$6, "-", '4M'!$F$5)</f>
        <v>Total enhancement-Total enhancement expenditure -Sludge treatment-Bioresources-Expenditure in report year</v>
      </c>
      <c r="F3048" t="s">
        <v>7182</v>
      </c>
      <c r="G3048">
        <f>'4M'!$L$99</f>
        <v>0</v>
      </c>
    </row>
    <row r="3049" spans="1:7">
      <c r="A3049" t="s">
        <v>643</v>
      </c>
      <c r="C3049" t="str">
        <f>'4M'!$BO$99</f>
        <v>B0371TEC_SD</v>
      </c>
      <c r="D3049" t="str">
        <f>_xlfn.CONCAT('4M'!$B$98, "-", '4M'!$B$99, "-", '4M'!$M$7, "-", '4M'!$K$6, "-", '4M'!$F$5)</f>
        <v>Total enhancement-Total enhancement expenditure -Sludge disposal-Bioresources-Expenditure in report year</v>
      </c>
      <c r="F3049" t="s">
        <v>7182</v>
      </c>
      <c r="G3049">
        <f>'4M'!$M$99</f>
        <v>0</v>
      </c>
    </row>
    <row r="3050" spans="1:7">
      <c r="A3050" t="s">
        <v>643</v>
      </c>
      <c r="C3050" t="str">
        <f>'4M'!$BP$99</f>
        <v>B0371TEC_TOT</v>
      </c>
      <c r="D3050" t="str">
        <f>_xlfn.CONCAT('4M'!$B$98, "-", '4M'!$B$99, "-", '4M'!$N$6, "-", '4M'!$N$6, "-", '4M'!$F$5)</f>
        <v>Total enhancement-Total enhancement expenditure -Total-Total-Expenditure in report year</v>
      </c>
      <c r="F3050" t="s">
        <v>7182</v>
      </c>
      <c r="G3050">
        <f>'4M'!$N$99</f>
        <v>30.718999999999998</v>
      </c>
    </row>
    <row r="3051" spans="1:7">
      <c r="A3051" t="s">
        <v>643</v>
      </c>
      <c r="C3051" t="str">
        <f>'4M'!$BH$100</f>
        <v>B0372TEO_F</v>
      </c>
      <c r="D3051" t="str">
        <f>_xlfn.CONCAT('4M'!$B$98, "-", '4M'!$B$100, "-", '4M'!$F$7, "-", '4M'!$F$6, "-", '4M'!$F$5)</f>
        <v>Total enhancement-Total enhancement expenditure -Foul-Wastewater network+ -Expenditure in report year</v>
      </c>
      <c r="F3051" t="s">
        <v>7182</v>
      </c>
      <c r="G3051">
        <f>'4M'!$F$100</f>
        <v>0.05</v>
      </c>
    </row>
    <row r="3052" spans="1:7">
      <c r="A3052" t="s">
        <v>643</v>
      </c>
      <c r="C3052" t="str">
        <f>'4M'!$BI$100</f>
        <v>B0372TEO_SWD</v>
      </c>
      <c r="D3052" t="str">
        <f>_xlfn.CONCAT('4M'!$B$98, "-", '4M'!$B$100, "-", '4M'!$G$7, "-", '4M'!$F$6, "-", '4M'!$F$5)</f>
        <v>Total enhancement-Total enhancement expenditure -Surface water drainage-Wastewater network+ -Expenditure in report year</v>
      </c>
      <c r="F3052" t="s">
        <v>7182</v>
      </c>
      <c r="G3052">
        <f>'4M'!$G$100</f>
        <v>1.3000000000000001E-2</v>
      </c>
    </row>
    <row r="3053" spans="1:7">
      <c r="A3053" t="s">
        <v>643</v>
      </c>
      <c r="C3053" t="str">
        <f>'4M'!$BJ$100</f>
        <v>B0372TEO_HD</v>
      </c>
      <c r="D3053" t="str">
        <f>_xlfn.CONCAT('4M'!$B$98, "-", '4M'!$B$100, "-", '4M'!$H$7, "-", '4M'!$F$6, "-", '4M'!$F$5)</f>
        <v>Total enhancement-Total enhancement expenditure -Highway drainage-Wastewater network+ -Expenditure in report year</v>
      </c>
      <c r="F3053" t="s">
        <v>7182</v>
      </c>
      <c r="G3053">
        <f>'4M'!$H$100</f>
        <v>7.0000000000000001E-3</v>
      </c>
    </row>
    <row r="3054" spans="1:7">
      <c r="A3054" t="s">
        <v>643</v>
      </c>
      <c r="C3054" t="str">
        <f>'4M'!$BK$100</f>
        <v>B0372TEO_STD</v>
      </c>
      <c r="D3054" t="str">
        <f>_xlfn.CONCAT('4M'!$B$98, "-", '4M'!$B$100, "-", '4M'!$I$7, "-", '4M'!$F$6, "-", '4M'!$F$5)</f>
        <v>Total enhancement-Total enhancement expenditure -Sewage treatment and disposal-Wastewater network+ -Expenditure in report year</v>
      </c>
      <c r="F3054" t="s">
        <v>7182</v>
      </c>
      <c r="G3054">
        <f>'4M'!$I$100</f>
        <v>0.19400000000000001</v>
      </c>
    </row>
    <row r="3055" spans="1:7">
      <c r="A3055" t="s">
        <v>643</v>
      </c>
      <c r="C3055" t="str">
        <f>'4M'!$BL$100</f>
        <v>B0372TEO_SLT</v>
      </c>
      <c r="D3055" t="str">
        <f>_xlfn.CONCAT('4M'!$B$98, "-", '4M'!$B$100, "-", '4M'!$J$7, "-", '4M'!$F$6, "-", '4M'!$F$5)</f>
        <v>Total enhancement-Total enhancement expenditure -Sludge liquor treatment-Wastewater network+ -Expenditure in report year</v>
      </c>
      <c r="F3055" t="s">
        <v>7182</v>
      </c>
      <c r="G3055">
        <f>'4M'!$J$100</f>
        <v>0</v>
      </c>
    </row>
    <row r="3056" spans="1:7">
      <c r="A3056" t="s">
        <v>643</v>
      </c>
      <c r="C3056" t="str">
        <f>'4M'!$BM$100</f>
        <v>B0372TEO_STP</v>
      </c>
      <c r="D3056" t="str">
        <f>_xlfn.CONCAT('4M'!$B$98, "-", '4M'!$B$100, "-", '4M'!$K$7, "-", '4M'!$K$6, "-", '4M'!$F$5)</f>
        <v>Total enhancement-Total enhancement expenditure -Sludge transport-Bioresources-Expenditure in report year</v>
      </c>
      <c r="F3056" t="s">
        <v>7182</v>
      </c>
      <c r="G3056">
        <f>'4M'!$K$100</f>
        <v>0</v>
      </c>
    </row>
    <row r="3057" spans="1:7">
      <c r="A3057" t="s">
        <v>643</v>
      </c>
      <c r="C3057" t="str">
        <f>'4M'!$BN$100</f>
        <v>B0372TEO_SDT</v>
      </c>
      <c r="D3057" t="str">
        <f>_xlfn.CONCAT('4M'!$B$98, "-", '4M'!$B$100, "-", '4M'!$L$7, "-", '4M'!$K$6, "-", '4M'!$F$5)</f>
        <v>Total enhancement-Total enhancement expenditure -Sludge treatment-Bioresources-Expenditure in report year</v>
      </c>
      <c r="F3057" t="s">
        <v>7182</v>
      </c>
      <c r="G3057">
        <f>'4M'!$L$100</f>
        <v>5.0000000000000001E-3</v>
      </c>
    </row>
    <row r="3058" spans="1:7">
      <c r="A3058" t="s">
        <v>643</v>
      </c>
      <c r="C3058" t="str">
        <f>'4M'!$BO$100</f>
        <v>B0372TEO_SD</v>
      </c>
      <c r="D3058" t="str">
        <f>_xlfn.CONCAT('4M'!$B$98, "-", '4M'!$B$100, "-", '4M'!$M$7, "-", '4M'!$K$6, "-", '4M'!$F$5)</f>
        <v>Total enhancement-Total enhancement expenditure -Sludge disposal-Bioresources-Expenditure in report year</v>
      </c>
      <c r="F3058" t="s">
        <v>7182</v>
      </c>
      <c r="G3058">
        <f>'4M'!$M$100</f>
        <v>0</v>
      </c>
    </row>
    <row r="3059" spans="1:7">
      <c r="A3059" t="s">
        <v>643</v>
      </c>
      <c r="C3059" t="str">
        <f>'4M'!$BP$100</f>
        <v>B0372TEO_TOT</v>
      </c>
      <c r="D3059" t="str">
        <f>_xlfn.CONCAT('4M'!$B$98, "-", '4M'!$B$100, "-", '4M'!$N$6, "-", '4M'!$N$6, "-", '4M'!$F$5)</f>
        <v>Total enhancement-Total enhancement expenditure -Total-Total-Expenditure in report year</v>
      </c>
      <c r="F3059" t="s">
        <v>7182</v>
      </c>
      <c r="G3059">
        <f>'4M'!$N$100</f>
        <v>0.26900000000000002</v>
      </c>
    </row>
    <row r="3060" spans="1:7">
      <c r="A3060" t="s">
        <v>643</v>
      </c>
      <c r="C3060" t="str">
        <f>'4M'!$BH$101</f>
        <v>B0373TET_F</v>
      </c>
      <c r="D3060" t="str">
        <f>_xlfn.CONCAT('4M'!$B$98, "-", '4M'!$B$101, "-", '4M'!$F$7, "-", '4M'!$F$6, "-", '4M'!$F$5)</f>
        <v>Total enhancement-Total enhancement expenditure -Foul-Wastewater network+ -Expenditure in report year</v>
      </c>
      <c r="F3060" t="s">
        <v>7182</v>
      </c>
      <c r="G3060">
        <f>'4M'!$F$101</f>
        <v>0.50800000000000001</v>
      </c>
    </row>
    <row r="3061" spans="1:7">
      <c r="A3061" t="s">
        <v>643</v>
      </c>
      <c r="C3061" t="str">
        <f>'4M'!$BI$101</f>
        <v>B0373TET_SWD</v>
      </c>
      <c r="D3061" t="str">
        <f>_xlfn.CONCAT('4M'!$B$98, "-", '4M'!$B$101, "-", '4M'!$G$7, "-", '4M'!$F$6, "-", '4M'!$F$5)</f>
        <v>Total enhancement-Total enhancement expenditure -Surface water drainage-Wastewater network+ -Expenditure in report year</v>
      </c>
      <c r="F3061" t="s">
        <v>7182</v>
      </c>
      <c r="G3061">
        <f>'4M'!$G$101</f>
        <v>0.77500000000000002</v>
      </c>
    </row>
    <row r="3062" spans="1:7">
      <c r="A3062" t="s">
        <v>643</v>
      </c>
      <c r="C3062" t="str">
        <f>'4M'!$BJ$101</f>
        <v>B0373TET_HD</v>
      </c>
      <c r="D3062" t="str">
        <f>_xlfn.CONCAT('4M'!$B$98, "-", '4M'!$B$101, "-", '4M'!$H$7, "-", '4M'!$F$6, "-", '4M'!$F$5)</f>
        <v>Total enhancement-Total enhancement expenditure -Highway drainage-Wastewater network+ -Expenditure in report year</v>
      </c>
      <c r="F3062" t="s">
        <v>7182</v>
      </c>
      <c r="G3062">
        <f>'4M'!$H$101</f>
        <v>0.41700000000000004</v>
      </c>
    </row>
    <row r="3063" spans="1:7">
      <c r="A3063" t="s">
        <v>643</v>
      </c>
      <c r="C3063" t="str">
        <f>'4M'!$BK$101</f>
        <v>B0373TET_STD</v>
      </c>
      <c r="D3063" t="str">
        <f>_xlfn.CONCAT('4M'!$B$98, "-", '4M'!$B$101, "-", '4M'!$I$7, "-", '4M'!$F$6, "-", '4M'!$F$5)</f>
        <v>Total enhancement-Total enhancement expenditure -Sewage treatment and disposal-Wastewater network+ -Expenditure in report year</v>
      </c>
      <c r="F3063" t="s">
        <v>7182</v>
      </c>
      <c r="G3063">
        <f>'4M'!$I$101</f>
        <v>29.282999999999998</v>
      </c>
    </row>
    <row r="3064" spans="1:7">
      <c r="A3064" t="s">
        <v>643</v>
      </c>
      <c r="C3064" t="str">
        <f>'4M'!$BL$101</f>
        <v>B0373TET_SLT</v>
      </c>
      <c r="D3064" t="str">
        <f>_xlfn.CONCAT('4M'!$B$98, "-", '4M'!$B$101, "-", '4M'!$J$7, "-", '4M'!$F$6, "-", '4M'!$F$5)</f>
        <v>Total enhancement-Total enhancement expenditure -Sludge liquor treatment-Wastewater network+ -Expenditure in report year</v>
      </c>
      <c r="F3064" t="s">
        <v>7182</v>
      </c>
      <c r="G3064">
        <f>'4M'!$J$101</f>
        <v>0</v>
      </c>
    </row>
    <row r="3065" spans="1:7">
      <c r="A3065" t="s">
        <v>643</v>
      </c>
      <c r="C3065" t="str">
        <f>'4M'!$BM$101</f>
        <v>B0373TET_STP</v>
      </c>
      <c r="D3065" t="str">
        <f>_xlfn.CONCAT('4M'!$B$98, "-", '4M'!$B$101, "-", '4M'!$K$7, "-", '4M'!$K$6, "-", '4M'!$F$5)</f>
        <v>Total enhancement-Total enhancement expenditure -Sludge transport-Bioresources-Expenditure in report year</v>
      </c>
      <c r="F3065" t="s">
        <v>7182</v>
      </c>
      <c r="G3065">
        <f>'4M'!$K$101</f>
        <v>0</v>
      </c>
    </row>
    <row r="3066" spans="1:7">
      <c r="A3066" t="s">
        <v>643</v>
      </c>
      <c r="C3066" t="str">
        <f>'4M'!$BN$101</f>
        <v>B0373TET_SDT</v>
      </c>
      <c r="D3066" t="str">
        <f>_xlfn.CONCAT('4M'!$B$98, "-", '4M'!$B$101, "-", '4M'!$L$7, "-", '4M'!$K$6, "-", '4M'!$F$5)</f>
        <v>Total enhancement-Total enhancement expenditure -Sludge treatment-Bioresources-Expenditure in report year</v>
      </c>
      <c r="F3066" t="s">
        <v>7182</v>
      </c>
      <c r="G3066">
        <f>'4M'!$L$101</f>
        <v>5.0000000000000001E-3</v>
      </c>
    </row>
    <row r="3067" spans="1:7">
      <c r="A3067" t="s">
        <v>643</v>
      </c>
      <c r="C3067" t="str">
        <f>'4M'!$BO$101</f>
        <v>B0373TET_SD</v>
      </c>
      <c r="D3067" t="str">
        <f>_xlfn.CONCAT('4M'!$B$98, "-", '4M'!$B$101, "-", '4M'!$M$7, "-", '4M'!$K$6, "-", '4M'!$F$5)</f>
        <v>Total enhancement-Total enhancement expenditure -Sludge disposal-Bioresources-Expenditure in report year</v>
      </c>
      <c r="F3067" t="s">
        <v>7182</v>
      </c>
      <c r="G3067">
        <f>'4M'!$M$101</f>
        <v>0</v>
      </c>
    </row>
    <row r="3068" spans="1:7">
      <c r="A3068" t="s">
        <v>643</v>
      </c>
      <c r="C3068" t="str">
        <f>'4M'!$BP$101</f>
        <v>B0373TET_TOT</v>
      </c>
      <c r="D3068" t="str">
        <f>_xlfn.CONCAT('4M'!$B$98, "-", '4M'!$B$101, "-", '4M'!$N$6, "-", '4M'!$N$6, "-", '4M'!$F$5)</f>
        <v>Total enhancement-Total enhancement expenditure -Total-Total-Expenditure in report year</v>
      </c>
      <c r="F3068" t="s">
        <v>7182</v>
      </c>
      <c r="G3068">
        <f>'4M'!$N$101</f>
        <v>30.987999999999996</v>
      </c>
    </row>
    <row r="3069" spans="1:7">
      <c r="A3069" t="s">
        <v>643</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7182</v>
      </c>
      <c r="G3069">
        <f>'4M'!$X$101</f>
        <v>50.878</v>
      </c>
    </row>
    <row r="3070" spans="1:7">
      <c r="A3070" t="s">
        <v>643</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7182</v>
      </c>
      <c r="G3070">
        <f>'4M'!$Y$101</f>
        <v>90.942999999999984</v>
      </c>
    </row>
    <row r="3071" spans="1:7">
      <c r="A3071" t="s">
        <v>643</v>
      </c>
      <c r="C3071" t="str">
        <f>'4M'!$CB$101</f>
        <v>B0412CDT_TC</v>
      </c>
      <c r="D3071" t="str">
        <f>_xlfn.CONCAT('4M'!$B$98, "-", '4M'!$B$101, "-", '4M'!$Z$7, "-", '4M'!$Z$5, "-", '4M'!$Z$5)</f>
        <v>Total enhancement-Total enhancement expenditure -Total-Cumulative allowed expenditure on all schemes 2020-25-Cumulative allowed expenditure on all schemes 2020-25</v>
      </c>
      <c r="F3071" t="s">
        <v>7182</v>
      </c>
      <c r="G3071">
        <f>'4M'!$Z$101</f>
        <v>217.49</v>
      </c>
    </row>
    <row r="3072" spans="1:7">
      <c r="A3072" t="s">
        <v>646</v>
      </c>
      <c r="C3072" t="str">
        <f>'4P'!$X$8</f>
        <v>BO_3565639</v>
      </c>
      <c r="D3072" t="str">
        <f>_xlfn.CONCAT('4P'!$B$7, "-", '4P'!$B$8, "-", '4P'!$E$5)</f>
        <v>Capex-Capex associated with NSWRA diversions-Water resources</v>
      </c>
      <c r="F3072" t="s">
        <v>7182</v>
      </c>
      <c r="G3072">
        <f>'4P'!$E$8</f>
        <v>0</v>
      </c>
    </row>
    <row r="3073" spans="1:7">
      <c r="A3073" t="s">
        <v>646</v>
      </c>
      <c r="C3073" t="str">
        <f>'4P'!$Y$8</f>
        <v>BO_1264896</v>
      </c>
      <c r="D3073" t="str">
        <f>_xlfn.CONCAT('4P'!$B$7, "-", '4P'!$B$8, "-", '4P'!$F$5)</f>
        <v>Capex-Capex associated with NSWRA diversions-Water network+</v>
      </c>
      <c r="F3073" t="s">
        <v>7182</v>
      </c>
      <c r="G3073">
        <f>'4P'!$F$8</f>
        <v>0.81100000000000005</v>
      </c>
    </row>
    <row r="3074" spans="1:7">
      <c r="A3074" t="s">
        <v>646</v>
      </c>
      <c r="C3074" t="str">
        <f>'4P'!$Z$8</f>
        <v>BO_9629323</v>
      </c>
      <c r="D3074" t="str">
        <f>_xlfn.CONCAT('4P'!$B$7, "-", '4P'!$B$8, "-", '4P'!$G$5)</f>
        <v>Capex-Capex associated with NSWRA diversions-Wastewater network+</v>
      </c>
      <c r="F3074" t="s">
        <v>7182</v>
      </c>
      <c r="G3074">
        <f>'4P'!$G$8</f>
        <v>0</v>
      </c>
    </row>
    <row r="3075" spans="1:7">
      <c r="A3075" t="s">
        <v>646</v>
      </c>
      <c r="C3075" t="str">
        <f>'4P'!$AA$8</f>
        <v>BO_3202505</v>
      </c>
      <c r="D3075" t="str">
        <f>_xlfn.CONCAT('4P'!$B$7, "-", '4P'!$B$8, "-", '4P'!$H$5)</f>
        <v>Capex-Capex associated with NSWRA diversions-Total</v>
      </c>
      <c r="F3075" t="s">
        <v>7182</v>
      </c>
      <c r="G3075">
        <f>'4P'!$H$8</f>
        <v>0.81100000000000005</v>
      </c>
    </row>
    <row r="3076" spans="1:7">
      <c r="A3076" t="s">
        <v>646</v>
      </c>
      <c r="C3076" t="str">
        <f>'4P'!$X$9</f>
        <v>BO_4147187</v>
      </c>
      <c r="D3076" t="str">
        <f>_xlfn.CONCAT('4P'!$B$7, "-", '4P'!$B$9, "-", '4P'!$E$5)</f>
        <v>Capex-Capex associated with other non-price control diversions-Water resources</v>
      </c>
      <c r="F3076" t="s">
        <v>7182</v>
      </c>
      <c r="G3076">
        <f>'4P'!$E$9</f>
        <v>0</v>
      </c>
    </row>
    <row r="3077" spans="1:7">
      <c r="A3077" t="s">
        <v>646</v>
      </c>
      <c r="C3077" t="str">
        <f>'4P'!$Y$9</f>
        <v>BO_9918336</v>
      </c>
      <c r="D3077" t="str">
        <f>_xlfn.CONCAT('4P'!$B$7, "-", '4P'!$B$9, "-", '4P'!$F$5)</f>
        <v>Capex-Capex associated with other non-price control diversions-Water network+</v>
      </c>
      <c r="F3077" t="s">
        <v>7182</v>
      </c>
      <c r="G3077">
        <f>'4P'!$F$9</f>
        <v>0</v>
      </c>
    </row>
    <row r="3078" spans="1:7">
      <c r="A3078" t="s">
        <v>646</v>
      </c>
      <c r="C3078" t="str">
        <f>'4P'!$Z$9</f>
        <v>BO_5414453</v>
      </c>
      <c r="D3078" t="str">
        <f>_xlfn.CONCAT('4P'!$B$7, "-", '4P'!$B$9, "-", '4P'!$G$5)</f>
        <v>Capex-Capex associated with other non-price control diversions-Wastewater network+</v>
      </c>
      <c r="F3078" t="s">
        <v>7182</v>
      </c>
      <c r="G3078">
        <f>'4P'!$G$9</f>
        <v>0</v>
      </c>
    </row>
    <row r="3079" spans="1:7">
      <c r="A3079" t="s">
        <v>646</v>
      </c>
      <c r="C3079" t="str">
        <f>'4P'!$AA$9</f>
        <v>BO_6319722</v>
      </c>
      <c r="D3079" t="str">
        <f>_xlfn.CONCAT('4P'!$B$7, "-", '4P'!$B$9, "-", '4P'!$H$5)</f>
        <v>Capex-Capex associated with other non-price control diversions-Total</v>
      </c>
      <c r="F3079" t="s">
        <v>7182</v>
      </c>
      <c r="G3079">
        <f>'4P'!$H$9</f>
        <v>0</v>
      </c>
    </row>
    <row r="3080" spans="1:7">
      <c r="A3080" t="s">
        <v>646</v>
      </c>
      <c r="C3080" t="str">
        <f>'4P'!$X$10</f>
        <v>BO_5387356</v>
      </c>
      <c r="D3080" t="str">
        <f>_xlfn.CONCAT('4P'!$B$7, "-", '4P'!$B$10, "-", '4P'!$E$5)</f>
        <v>Capex-Other developer services non-price control capex-Water resources</v>
      </c>
      <c r="F3080" t="s">
        <v>7182</v>
      </c>
      <c r="G3080">
        <f>'4P'!$E$10</f>
        <v>0</v>
      </c>
    </row>
    <row r="3081" spans="1:7">
      <c r="A3081" t="s">
        <v>646</v>
      </c>
      <c r="C3081" t="str">
        <f>'4P'!$Y$10</f>
        <v>BO_7193647</v>
      </c>
      <c r="D3081" t="str">
        <f>_xlfn.CONCAT('4P'!$B$7, "-", '4P'!$B$10, "-", '4P'!$F$5)</f>
        <v>Capex-Other developer services non-price control capex-Water network+</v>
      </c>
      <c r="F3081" t="s">
        <v>7182</v>
      </c>
      <c r="G3081">
        <f>'4P'!$F$10</f>
        <v>0</v>
      </c>
    </row>
    <row r="3082" spans="1:7">
      <c r="A3082" t="s">
        <v>646</v>
      </c>
      <c r="C3082" t="str">
        <f>'4P'!$Z$10</f>
        <v>BO_9830945</v>
      </c>
      <c r="D3082" t="str">
        <f>_xlfn.CONCAT('4P'!$B$7, "-", '4P'!$B$10, "-", '4P'!$G$5)</f>
        <v>Capex-Other developer services non-price control capex-Wastewater network+</v>
      </c>
      <c r="F3082" t="s">
        <v>7182</v>
      </c>
      <c r="G3082">
        <f>'4P'!$G$10</f>
        <v>0.23699999999999999</v>
      </c>
    </row>
    <row r="3083" spans="1:7">
      <c r="A3083" t="s">
        <v>646</v>
      </c>
      <c r="C3083" t="str">
        <f>'4P'!$AA$10</f>
        <v>BO_830009</v>
      </c>
      <c r="D3083" t="str">
        <f>_xlfn.CONCAT('4P'!$B$7, "-", '4P'!$B$10, "-", '4P'!$H$5)</f>
        <v>Capex-Other developer services non-price control capex-Total</v>
      </c>
      <c r="F3083" t="s">
        <v>7182</v>
      </c>
      <c r="G3083">
        <f>'4P'!$H$10</f>
        <v>0.23699999999999999</v>
      </c>
    </row>
    <row r="3084" spans="1:7">
      <c r="A3084" t="s">
        <v>646</v>
      </c>
      <c r="C3084" t="str">
        <f>'4P'!$X$11</f>
        <v>BO_2199994</v>
      </c>
      <c r="D3084" t="str">
        <f>_xlfn.CONCAT('4P'!$B$7, "-", '4P'!$B$11, "-", '4P'!$E$5)</f>
        <v>Capex-Developer services non-price control capex-Water resources</v>
      </c>
      <c r="F3084" t="s">
        <v>7182</v>
      </c>
      <c r="G3084">
        <f>'4P'!$E$11</f>
        <v>0</v>
      </c>
    </row>
    <row r="3085" spans="1:7">
      <c r="A3085" t="s">
        <v>646</v>
      </c>
      <c r="C3085" t="str">
        <f>'4P'!$Y$11</f>
        <v>BO_1427238</v>
      </c>
      <c r="D3085" t="str">
        <f>_xlfn.CONCAT('4P'!$B$7, "-", '4P'!$B$11, "-", '4P'!$F$5)</f>
        <v>Capex-Developer services non-price control capex-Water network+</v>
      </c>
      <c r="F3085" t="s">
        <v>7182</v>
      </c>
      <c r="G3085">
        <f>'4P'!$F$11</f>
        <v>0.81100000000000005</v>
      </c>
    </row>
    <row r="3086" spans="1:7">
      <c r="A3086" t="s">
        <v>646</v>
      </c>
      <c r="C3086" t="str">
        <f>'4P'!$Z$11</f>
        <v>BO_6224245</v>
      </c>
      <c r="D3086" t="str">
        <f>_xlfn.CONCAT('4P'!$B$7, "-", '4P'!$B$11, "-", '4P'!$G$5)</f>
        <v>Capex-Developer services non-price control capex-Wastewater network+</v>
      </c>
      <c r="F3086" t="s">
        <v>7182</v>
      </c>
      <c r="G3086">
        <f>'4P'!$G$11</f>
        <v>0.23699999999999999</v>
      </c>
    </row>
    <row r="3087" spans="1:7">
      <c r="A3087" t="s">
        <v>646</v>
      </c>
      <c r="C3087" t="str">
        <f>'4P'!$AA$11</f>
        <v>BO_7667899</v>
      </c>
      <c r="D3087" t="str">
        <f>_xlfn.CONCAT('4P'!$B$7, "-", '4P'!$B$11, "-", '4P'!$H$5)</f>
        <v>Capex-Developer services non-price control capex-Total</v>
      </c>
      <c r="F3087" t="s">
        <v>7182</v>
      </c>
      <c r="G3087">
        <f>'4P'!$H$11</f>
        <v>1.048</v>
      </c>
    </row>
    <row r="3088" spans="1:7">
      <c r="A3088" t="s">
        <v>646</v>
      </c>
      <c r="C3088" t="str">
        <f>'4P'!$X$15</f>
        <v>BO_9585852</v>
      </c>
      <c r="D3088" t="str">
        <f>_xlfn.CONCAT('4P'!$B$14, "-", '4P'!$B$15, "-", '4P'!$E$5)</f>
        <v>Opex-Opex associated with NSWRA diversions-Water resources</v>
      </c>
      <c r="F3088" t="s">
        <v>7182</v>
      </c>
      <c r="G3088">
        <f>'4P'!$E$15</f>
        <v>0</v>
      </c>
    </row>
    <row r="3089" spans="1:7">
      <c r="A3089" t="s">
        <v>646</v>
      </c>
      <c r="C3089" t="str">
        <f>'4P'!$Y$15</f>
        <v>BO_7281714</v>
      </c>
      <c r="D3089" t="str">
        <f>_xlfn.CONCAT('4P'!$B$14, "-", '4P'!$B$15, "-", '4P'!$F$5)</f>
        <v>Opex-Opex associated with NSWRA diversions-Water network+</v>
      </c>
      <c r="F3089" t="s">
        <v>7182</v>
      </c>
      <c r="G3089">
        <f>'4P'!$F$15</f>
        <v>0</v>
      </c>
    </row>
    <row r="3090" spans="1:7">
      <c r="A3090" t="s">
        <v>646</v>
      </c>
      <c r="C3090" t="str">
        <f>'4P'!$Z$15</f>
        <v>BO_4536763</v>
      </c>
      <c r="D3090" t="str">
        <f>_xlfn.CONCAT('4P'!$B$14, "-", '4P'!$B$15, "-", '4P'!$G$5)</f>
        <v>Opex-Opex associated with NSWRA diversions-Wastewater network+</v>
      </c>
      <c r="F3090" t="s">
        <v>7182</v>
      </c>
      <c r="G3090">
        <f>'4P'!$G$15</f>
        <v>0</v>
      </c>
    </row>
    <row r="3091" spans="1:7">
      <c r="A3091" t="s">
        <v>646</v>
      </c>
      <c r="C3091" t="str">
        <f>'4P'!$AA$15</f>
        <v>BO_2093268</v>
      </c>
      <c r="D3091" t="str">
        <f>_xlfn.CONCAT('4P'!$B$14, "-", '4P'!$B$15, "-", '4P'!$H$5)</f>
        <v>Opex-Opex associated with NSWRA diversions-Total</v>
      </c>
      <c r="F3091" t="s">
        <v>7182</v>
      </c>
      <c r="G3091">
        <f>'4P'!$H$15</f>
        <v>0</v>
      </c>
    </row>
    <row r="3092" spans="1:7">
      <c r="A3092" t="s">
        <v>646</v>
      </c>
      <c r="C3092" t="str">
        <f>'4P'!$X$16</f>
        <v>BO_6179285</v>
      </c>
      <c r="D3092" t="str">
        <f>_xlfn.CONCAT('4P'!$B$14, "-", '4P'!$B$16, "-", '4P'!$E$5)</f>
        <v>Opex-Opex associated with other non-price control diversions-Water resources</v>
      </c>
      <c r="F3092" t="s">
        <v>7182</v>
      </c>
      <c r="G3092">
        <f>'4P'!$E$16</f>
        <v>0</v>
      </c>
    </row>
    <row r="3093" spans="1:7">
      <c r="A3093" t="s">
        <v>646</v>
      </c>
      <c r="C3093" t="str">
        <f>'4P'!$Y$16</f>
        <v>BO_9498252</v>
      </c>
      <c r="D3093" t="str">
        <f>_xlfn.CONCAT('4P'!$B$14, "-", '4P'!$B$16, "-", '4P'!$F$5)</f>
        <v>Opex-Opex associated with other non-price control diversions-Water network+</v>
      </c>
      <c r="F3093" t="s">
        <v>7182</v>
      </c>
      <c r="G3093">
        <f>'4P'!$F$16</f>
        <v>0</v>
      </c>
    </row>
    <row r="3094" spans="1:7">
      <c r="A3094" t="s">
        <v>646</v>
      </c>
      <c r="C3094" t="str">
        <f>'4P'!$Z$16</f>
        <v>BO_1871478</v>
      </c>
      <c r="D3094" t="str">
        <f>_xlfn.CONCAT('4P'!$B$14, "-", '4P'!$B$16, "-", '4P'!$G$5)</f>
        <v>Opex-Opex associated with other non-price control diversions-Wastewater network+</v>
      </c>
      <c r="F3094" t="s">
        <v>7182</v>
      </c>
      <c r="G3094">
        <f>'4P'!$G$16</f>
        <v>0</v>
      </c>
    </row>
    <row r="3095" spans="1:7">
      <c r="A3095" t="s">
        <v>646</v>
      </c>
      <c r="C3095" t="str">
        <f>'4P'!$AA$16</f>
        <v>BO_6277603</v>
      </c>
      <c r="D3095" t="str">
        <f>_xlfn.CONCAT('4P'!$B$14, "-", '4P'!$B$16, "-", '4P'!$H$5)</f>
        <v>Opex-Opex associated with other non-price control diversions-Total</v>
      </c>
      <c r="F3095" t="s">
        <v>7182</v>
      </c>
      <c r="G3095">
        <f>'4P'!$H$16</f>
        <v>0</v>
      </c>
    </row>
    <row r="3096" spans="1:7">
      <c r="A3096" t="s">
        <v>646</v>
      </c>
      <c r="C3096" t="str">
        <f>'4P'!$X$17</f>
        <v>BO_9184483</v>
      </c>
      <c r="D3096" t="str">
        <f>_xlfn.CONCAT('4P'!$B$14, "-", '4P'!$B$17, "-", '4P'!$E$5)</f>
        <v>Opex-Other developer services non-price control opex-Water resources</v>
      </c>
      <c r="F3096" t="s">
        <v>7182</v>
      </c>
      <c r="G3096">
        <f>'4P'!$E$17</f>
        <v>0</v>
      </c>
    </row>
    <row r="3097" spans="1:7">
      <c r="A3097" t="s">
        <v>646</v>
      </c>
      <c r="C3097" t="str">
        <f>'4P'!$Y$17</f>
        <v>BO_5755710</v>
      </c>
      <c r="D3097" t="str">
        <f>_xlfn.CONCAT('4P'!$B$14, "-", '4P'!$B$17, "-", '4P'!$F$5)</f>
        <v>Opex-Other developer services non-price control opex-Water network+</v>
      </c>
      <c r="F3097" t="s">
        <v>7182</v>
      </c>
      <c r="G3097">
        <f>'4P'!$F$17</f>
        <v>0</v>
      </c>
    </row>
    <row r="3098" spans="1:7">
      <c r="A3098" t="s">
        <v>646</v>
      </c>
      <c r="C3098" t="str">
        <f>'4P'!$Z$17</f>
        <v>BO_5212384</v>
      </c>
      <c r="D3098" t="str">
        <f>_xlfn.CONCAT('4P'!$B$14, "-", '4P'!$B$17, "-", '4P'!$G$5)</f>
        <v>Opex-Other developer services non-price control opex-Wastewater network+</v>
      </c>
      <c r="F3098" t="s">
        <v>7182</v>
      </c>
      <c r="G3098">
        <f>'4P'!$G$17</f>
        <v>0.23599999999999999</v>
      </c>
    </row>
    <row r="3099" spans="1:7">
      <c r="A3099" t="s">
        <v>646</v>
      </c>
      <c r="C3099" t="str">
        <f>'4P'!$AA$17</f>
        <v>BO_7452980</v>
      </c>
      <c r="D3099" t="str">
        <f>_xlfn.CONCAT('4P'!$B$14, "-", '4P'!$B$17, "-", '4P'!$H$5)</f>
        <v>Opex-Other developer services non-price control opex-Total</v>
      </c>
      <c r="F3099" t="s">
        <v>7182</v>
      </c>
      <c r="G3099">
        <f>'4P'!$H$17</f>
        <v>0.23599999999999999</v>
      </c>
    </row>
    <row r="3100" spans="1:7">
      <c r="A3100" t="s">
        <v>646</v>
      </c>
      <c r="C3100" t="str">
        <f>'4P'!$X$18</f>
        <v>BO_4598752</v>
      </c>
      <c r="D3100" t="str">
        <f>_xlfn.CONCAT('4P'!$B$14, "-", '4P'!$B$18, "-", '4P'!$E$5)</f>
        <v>Opex-Developer services non-price control opex-Water resources</v>
      </c>
      <c r="F3100" t="s">
        <v>7182</v>
      </c>
      <c r="G3100">
        <f>'4P'!$E$18</f>
        <v>0</v>
      </c>
    </row>
    <row r="3101" spans="1:7">
      <c r="A3101" t="s">
        <v>646</v>
      </c>
      <c r="C3101" t="str">
        <f>'4P'!$Y$18</f>
        <v>BO_7036083</v>
      </c>
      <c r="D3101" t="str">
        <f>_xlfn.CONCAT('4P'!$B$14, "-", '4P'!$B$18, "-", '4P'!$F$5)</f>
        <v>Opex-Developer services non-price control opex-Water network+</v>
      </c>
      <c r="F3101" t="s">
        <v>7182</v>
      </c>
      <c r="G3101">
        <f>'4P'!$F$18</f>
        <v>0</v>
      </c>
    </row>
    <row r="3102" spans="1:7">
      <c r="A3102" t="s">
        <v>646</v>
      </c>
      <c r="C3102" t="str">
        <f>'4P'!$Z$18</f>
        <v>BO_2352475</v>
      </c>
      <c r="D3102" t="str">
        <f>_xlfn.CONCAT('4P'!$B$14, "-", '4P'!$B$18, "-", '4P'!$G$5)</f>
        <v>Opex-Developer services non-price control opex-Wastewater network+</v>
      </c>
      <c r="F3102" t="s">
        <v>7182</v>
      </c>
      <c r="G3102">
        <f>'4P'!$G$18</f>
        <v>0.23599999999999999</v>
      </c>
    </row>
    <row r="3103" spans="1:7">
      <c r="A3103" t="s">
        <v>646</v>
      </c>
      <c r="C3103" t="str">
        <f>'4P'!$AA$18</f>
        <v>BO_1332078</v>
      </c>
      <c r="D3103" t="str">
        <f>_xlfn.CONCAT('4P'!$B$14, "-", '4P'!$B$18, "-", '4P'!$H$5)</f>
        <v>Opex-Developer services non-price control opex-Total</v>
      </c>
      <c r="F3103" t="s">
        <v>7182</v>
      </c>
      <c r="G3103">
        <f>'4P'!$H$18</f>
        <v>0.23599999999999999</v>
      </c>
    </row>
    <row r="3104" spans="1:7">
      <c r="A3104" t="s">
        <v>646</v>
      </c>
      <c r="C3104" t="str">
        <f>'4P'!$X$21</f>
        <v>B0008CDNWR</v>
      </c>
      <c r="D3104" t="str">
        <f>_xlfn.CONCAT('4P'!$B$20, "-", '4P'!$B$21, "-", '4P'!$E$5)</f>
        <v>Totex-Costs associated with NSWRA diversions-Water resources</v>
      </c>
      <c r="F3104" t="s">
        <v>7182</v>
      </c>
      <c r="G3104">
        <f>'4P'!$E$21</f>
        <v>0</v>
      </c>
    </row>
    <row r="3105" spans="1:7">
      <c r="A3105" t="s">
        <v>646</v>
      </c>
      <c r="C3105" t="str">
        <f>'4P'!$Y$21</f>
        <v>B0008CDNWNP</v>
      </c>
      <c r="D3105" t="str">
        <f>_xlfn.CONCAT('4P'!$B$20, "-", '4P'!$B$21, "-", '4P'!$F$5)</f>
        <v>Totex-Costs associated with NSWRA diversions-Water network+</v>
      </c>
      <c r="F3105" t="s">
        <v>7182</v>
      </c>
      <c r="G3105">
        <f>'4P'!$F$21</f>
        <v>0.81100000000000005</v>
      </c>
    </row>
    <row r="3106" spans="1:7">
      <c r="A3106" t="s">
        <v>646</v>
      </c>
      <c r="C3106" t="str">
        <f>'4P'!$Z$21</f>
        <v>B0008CDNWWNP</v>
      </c>
      <c r="D3106" t="str">
        <f>_xlfn.CONCAT('4P'!$B$20, "-", '4P'!$B$21, "-", '4P'!$G$5)</f>
        <v>Totex-Costs associated with NSWRA diversions-Wastewater network+</v>
      </c>
      <c r="F3106" t="s">
        <v>7182</v>
      </c>
      <c r="G3106">
        <f>'4P'!$G$21</f>
        <v>0</v>
      </c>
    </row>
    <row r="3107" spans="1:7">
      <c r="A3107" t="s">
        <v>646</v>
      </c>
      <c r="C3107" t="str">
        <f>'4P'!$AA$21</f>
        <v>B0008CDNT</v>
      </c>
      <c r="D3107" t="str">
        <f>_xlfn.CONCAT('4P'!$B$20, "-", '4P'!$B$21, "-", '4P'!$H$5)</f>
        <v>Totex-Costs associated with NSWRA diversions-Total</v>
      </c>
      <c r="F3107" t="s">
        <v>7182</v>
      </c>
      <c r="G3107">
        <f>'4P'!$H$21</f>
        <v>0.81100000000000005</v>
      </c>
    </row>
    <row r="3108" spans="1:7">
      <c r="A3108" t="s">
        <v>646</v>
      </c>
      <c r="C3108" t="str">
        <f>'4P'!$X$22</f>
        <v>B0008CDOWR</v>
      </c>
      <c r="D3108" t="str">
        <f>_xlfn.CONCAT('4P'!$B$20, "-", '4P'!$B$22, "-", '4P'!$E$5)</f>
        <v>Totex-Costs associated with other non-price control diversions-Water resources</v>
      </c>
      <c r="F3108" t="s">
        <v>7182</v>
      </c>
      <c r="G3108">
        <f>'4P'!$E$22</f>
        <v>0</v>
      </c>
    </row>
    <row r="3109" spans="1:7">
      <c r="A3109" t="s">
        <v>646</v>
      </c>
      <c r="C3109" t="str">
        <f>'4P'!$Y$22</f>
        <v>B0008CDOWNP</v>
      </c>
      <c r="D3109" t="str">
        <f>_xlfn.CONCAT('4P'!$B$20, "-", '4P'!$B$22, "-", '4P'!$F$5)</f>
        <v>Totex-Costs associated with other non-price control diversions-Water network+</v>
      </c>
      <c r="F3109" t="s">
        <v>7182</v>
      </c>
      <c r="G3109">
        <f>'4P'!$F$22</f>
        <v>0</v>
      </c>
    </row>
    <row r="3110" spans="1:7">
      <c r="A3110" t="s">
        <v>646</v>
      </c>
      <c r="C3110" t="str">
        <f>'4P'!$Z$22</f>
        <v>B0008CDOWWNP</v>
      </c>
      <c r="D3110" t="str">
        <f>_xlfn.CONCAT('4P'!$B$20, "-", '4P'!$B$22, "-", '4P'!$G$5)</f>
        <v>Totex-Costs associated with other non-price control diversions-Wastewater network+</v>
      </c>
      <c r="F3110" t="s">
        <v>7182</v>
      </c>
      <c r="G3110">
        <f>'4P'!$G$22</f>
        <v>0</v>
      </c>
    </row>
    <row r="3111" spans="1:7">
      <c r="A3111" t="s">
        <v>646</v>
      </c>
      <c r="C3111" t="str">
        <f>'4P'!$AA$22</f>
        <v>B0008CDOT</v>
      </c>
      <c r="D3111" t="str">
        <f>_xlfn.CONCAT('4P'!$B$20, "-", '4P'!$B$22, "-", '4P'!$H$5)</f>
        <v>Totex-Costs associated with other non-price control diversions-Total</v>
      </c>
      <c r="F3111" t="s">
        <v>7182</v>
      </c>
      <c r="G3111">
        <f>'4P'!$H$22</f>
        <v>0</v>
      </c>
    </row>
    <row r="3112" spans="1:7">
      <c r="A3112" t="s">
        <v>646</v>
      </c>
      <c r="C3112" t="str">
        <f>'4P'!$X$23</f>
        <v>B0008ODNWR</v>
      </c>
      <c r="D3112" t="str">
        <f>_xlfn.CONCAT('4P'!$B$20, "-", '4P'!$B$23, "-", '4P'!$E$5)</f>
        <v>Totex-Other developer services non-price control totex-Water resources</v>
      </c>
      <c r="F3112" t="s">
        <v>7182</v>
      </c>
      <c r="G3112">
        <f>'4P'!$E$23</f>
        <v>0</v>
      </c>
    </row>
    <row r="3113" spans="1:7">
      <c r="A3113" t="s">
        <v>646</v>
      </c>
      <c r="C3113" t="str">
        <f>'4P'!$Y$23</f>
        <v>B0008ODNWNP</v>
      </c>
      <c r="D3113" t="str">
        <f>_xlfn.CONCAT('4P'!$B$20, "-", '4P'!$B$23, "-", '4P'!$F$5)</f>
        <v>Totex-Other developer services non-price control totex-Water network+</v>
      </c>
      <c r="F3113" t="s">
        <v>7182</v>
      </c>
      <c r="G3113">
        <f>'4P'!$F$23</f>
        <v>0</v>
      </c>
    </row>
    <row r="3114" spans="1:7">
      <c r="A3114" t="s">
        <v>646</v>
      </c>
      <c r="C3114" t="str">
        <f>'4P'!$Z$23</f>
        <v>B0008ODNWWNP</v>
      </c>
      <c r="D3114" t="str">
        <f>_xlfn.CONCAT('4P'!$B$20, "-", '4P'!$B$23, "-", '4P'!$G$5)</f>
        <v>Totex-Other developer services non-price control totex-Wastewater network+</v>
      </c>
      <c r="F3114" t="s">
        <v>7182</v>
      </c>
      <c r="G3114">
        <f>'4P'!$G$23</f>
        <v>0.47299999999999998</v>
      </c>
    </row>
    <row r="3115" spans="1:7">
      <c r="A3115" t="s">
        <v>646</v>
      </c>
      <c r="C3115" t="str">
        <f>'4P'!$AA$23</f>
        <v>B0008ODNT</v>
      </c>
      <c r="D3115" t="str">
        <f>_xlfn.CONCAT('4P'!$B$20, "-", '4P'!$B$23, "-", '4P'!$H$5)</f>
        <v>Totex-Other developer services non-price control totex-Total</v>
      </c>
      <c r="F3115" t="s">
        <v>7182</v>
      </c>
      <c r="G3115">
        <f>'4P'!$H$23</f>
        <v>0.47299999999999998</v>
      </c>
    </row>
    <row r="3116" spans="1:7">
      <c r="A3116" t="s">
        <v>646</v>
      </c>
      <c r="C3116" t="str">
        <f>'4P'!$X$24</f>
        <v>B0008TENWR</v>
      </c>
      <c r="D3116" t="str">
        <f>_xlfn.CONCAT('4P'!$B$20, "-", '4P'!$B$24, "-", '4P'!$E$5)</f>
        <v>Totex-Developer services non-price control totex-Water resources</v>
      </c>
      <c r="F3116" t="s">
        <v>7182</v>
      </c>
      <c r="G3116">
        <f>'4P'!$E$24</f>
        <v>0</v>
      </c>
    </row>
    <row r="3117" spans="1:7">
      <c r="A3117" t="s">
        <v>646</v>
      </c>
      <c r="C3117" t="str">
        <f>'4P'!$Y$24</f>
        <v>B0008TENWNP</v>
      </c>
      <c r="D3117" t="str">
        <f>_xlfn.CONCAT('4P'!$B$20, "-", '4P'!$B$24, "-", '4P'!$F$5)</f>
        <v>Totex-Developer services non-price control totex-Water network+</v>
      </c>
      <c r="F3117" t="s">
        <v>7182</v>
      </c>
      <c r="G3117">
        <f>'4P'!$F$24</f>
        <v>0.81100000000000005</v>
      </c>
    </row>
    <row r="3118" spans="1:7">
      <c r="A3118" t="s">
        <v>646</v>
      </c>
      <c r="C3118" t="str">
        <f>'4P'!$Z$24</f>
        <v>B0008TENWWNP</v>
      </c>
      <c r="D3118" t="str">
        <f>_xlfn.CONCAT('4P'!$B$20, "-", '4P'!$B$24, "-", '4P'!$G$5)</f>
        <v>Totex-Developer services non-price control totex-Wastewater network+</v>
      </c>
      <c r="F3118" t="s">
        <v>7182</v>
      </c>
      <c r="G3118">
        <f>'4P'!$G$24</f>
        <v>0.47299999999999998</v>
      </c>
    </row>
    <row r="3119" spans="1:7">
      <c r="A3119" t="s">
        <v>646</v>
      </c>
      <c r="C3119" t="str">
        <f>'4P'!$AA$24</f>
        <v>B0008TENT</v>
      </c>
      <c r="D3119" t="str">
        <f>_xlfn.CONCAT('4P'!$B$20, "-", '4P'!$B$24, "-", '4P'!$H$5)</f>
        <v>Totex-Developer services non-price control totex-Total</v>
      </c>
      <c r="F3119" t="s">
        <v>7182</v>
      </c>
      <c r="G3119">
        <f>'4P'!$H$24</f>
        <v>1.284</v>
      </c>
    </row>
    <row r="3120" spans="1:7">
      <c r="A3120" t="s">
        <v>649</v>
      </c>
      <c r="C3120" t="str">
        <f>'4V'!$AE$8</f>
        <v>BO_7701853</v>
      </c>
      <c r="D3120" t="str">
        <f>_xlfn.CONCAT('4V'!$B$8, "-", '4V'!$E$6, "-", '4V'!$E$5)</f>
        <v>Due within one year-Net settled-Derivatives - Analysed by earliest payment date</v>
      </c>
      <c r="F3120" t="s">
        <v>7182</v>
      </c>
      <c r="G3120">
        <f>'4V'!$E$8</f>
        <v>-0.37842177538008798</v>
      </c>
    </row>
    <row r="3121" spans="1:7">
      <c r="A3121" t="s">
        <v>649</v>
      </c>
      <c r="C3121" t="str">
        <f>'4V'!$AF$8</f>
        <v>BO_3457161</v>
      </c>
      <c r="D3121" t="str">
        <f>_xlfn.CONCAT('4V'!$B$8, "-", '4V'!$F$6, "-", '4V'!$E$5)</f>
        <v>Due within one year-Gross Settled outflows-Derivatives - Analysed by earliest payment date</v>
      </c>
      <c r="F3121" t="s">
        <v>7182</v>
      </c>
      <c r="G3121">
        <f>'4V'!$F$8</f>
        <v>0</v>
      </c>
    </row>
    <row r="3122" spans="1:7">
      <c r="A3122" t="s">
        <v>649</v>
      </c>
      <c r="C3122" t="str">
        <f>'4V'!$AG$8</f>
        <v>BO_8136324</v>
      </c>
      <c r="D3122" t="str">
        <f>_xlfn.CONCAT('4V'!$B$8, "-", '4V'!$G$6, "-", '4V'!$E$5)</f>
        <v>Due within one year-Gross Settled inflows-Derivatives - Analysed by earliest payment date</v>
      </c>
      <c r="F3122" t="s">
        <v>7182</v>
      </c>
      <c r="G3122">
        <f>'4V'!$G$8</f>
        <v>0</v>
      </c>
    </row>
    <row r="3123" spans="1:7">
      <c r="A3123" t="s">
        <v>649</v>
      </c>
      <c r="C3123" t="str">
        <f>'4V'!$AH$8</f>
        <v>BO_3060820</v>
      </c>
      <c r="D3123" t="str">
        <f>_xlfn.CONCAT('4V'!$B$8, "-", '4V'!$H$6, "-", '4V'!$E$5)</f>
        <v>Due within one year-Total-Derivatives - Analysed by earliest payment date</v>
      </c>
      <c r="F3123" t="s">
        <v>7182</v>
      </c>
      <c r="G3123">
        <f>'4V'!$H$8</f>
        <v>-0.37842177538008798</v>
      </c>
    </row>
    <row r="3124" spans="1:7">
      <c r="A3124" t="s">
        <v>649</v>
      </c>
      <c r="C3124" t="str">
        <f>'4V'!$AI$8</f>
        <v>BO_3547514</v>
      </c>
      <c r="D3124" t="str">
        <f>_xlfn.CONCAT('4V'!$B$8, "-", '4V'!$I$6, "-", '4V'!$I$5)</f>
        <v>Due within one year-Net settled-Derivatives - Analysed by expected maturity date</v>
      </c>
      <c r="F3124" t="s">
        <v>7182</v>
      </c>
      <c r="G3124">
        <f>'4V'!$I$8</f>
        <v>-0.37842177538008825</v>
      </c>
    </row>
    <row r="3125" spans="1:7">
      <c r="A3125" t="s">
        <v>649</v>
      </c>
      <c r="C3125" t="str">
        <f>'4V'!$AJ$8</f>
        <v>BO_9997315</v>
      </c>
      <c r="D3125" t="str">
        <f>_xlfn.CONCAT('4V'!$B$8, "-", '4V'!$J$6, "-", '4V'!$I$5)</f>
        <v>Due within one year-Gross Settled outflows-Derivatives - Analysed by expected maturity date</v>
      </c>
      <c r="F3125" t="s">
        <v>7182</v>
      </c>
      <c r="G3125">
        <f>'4V'!$J$8</f>
        <v>0</v>
      </c>
    </row>
    <row r="3126" spans="1:7">
      <c r="A3126" t="s">
        <v>649</v>
      </c>
      <c r="C3126" t="str">
        <f>'4V'!$AK$8</f>
        <v>BO_7257873</v>
      </c>
      <c r="D3126" t="str">
        <f>_xlfn.CONCAT('4V'!$B$8, "-", '4V'!$K$6, "-", '4V'!$I$5)</f>
        <v>Due within one year-Gross Settled inflows-Derivatives - Analysed by expected maturity date</v>
      </c>
      <c r="F3126" t="s">
        <v>7182</v>
      </c>
      <c r="G3126">
        <f>'4V'!$K$8</f>
        <v>0</v>
      </c>
    </row>
    <row r="3127" spans="1:7">
      <c r="A3127" t="s">
        <v>649</v>
      </c>
      <c r="C3127" t="str">
        <f>'4V'!$AL$8</f>
        <v>BO_2517472</v>
      </c>
      <c r="D3127" t="str">
        <f>_xlfn.CONCAT('4V'!$B$8, "-", '4V'!$L$6, "-", '4V'!$I$5)</f>
        <v>Due within one year-Total-Derivatives - Analysed by expected maturity date</v>
      </c>
      <c r="F3127" t="s">
        <v>7182</v>
      </c>
      <c r="G3127">
        <f>'4V'!$L$8</f>
        <v>-0.37842177538008825</v>
      </c>
    </row>
    <row r="3128" spans="1:7">
      <c r="A3128" t="s">
        <v>649</v>
      </c>
      <c r="C3128" t="str">
        <f>'4V'!$AE$9</f>
        <v>BO_6297180</v>
      </c>
      <c r="D3128" t="str">
        <f>_xlfn.CONCAT('4V'!$B$9, "-", '4V'!$E$6, "-", '4V'!$E$5)</f>
        <v>Between one and two years-Net settled-Derivatives - Analysed by earliest payment date</v>
      </c>
      <c r="F3128" t="s">
        <v>7182</v>
      </c>
      <c r="G3128">
        <f>'4V'!$E$9</f>
        <v>-8.6250122609122112E-2</v>
      </c>
    </row>
    <row r="3129" spans="1:7">
      <c r="A3129" t="s">
        <v>649</v>
      </c>
      <c r="C3129" t="str">
        <f>'4V'!$AF$9</f>
        <v>BO_8373197</v>
      </c>
      <c r="D3129" t="str">
        <f>_xlfn.CONCAT('4V'!$B$9, "-", '4V'!$F$6, "-", '4V'!$E$5)</f>
        <v>Between one and two years-Gross Settled outflows-Derivatives - Analysed by earliest payment date</v>
      </c>
      <c r="F3129" t="s">
        <v>7182</v>
      </c>
      <c r="G3129">
        <f>'4V'!$F$9</f>
        <v>0</v>
      </c>
    </row>
    <row r="3130" spans="1:7">
      <c r="A3130" t="s">
        <v>649</v>
      </c>
      <c r="C3130" t="str">
        <f>'4V'!$AG$9</f>
        <v>BO_8889688</v>
      </c>
      <c r="D3130" t="str">
        <f>_xlfn.CONCAT('4V'!$B$9, "-", '4V'!$G$6, "-", '4V'!$E$5)</f>
        <v>Between one and two years-Gross Settled inflows-Derivatives - Analysed by earliest payment date</v>
      </c>
      <c r="F3130" t="s">
        <v>7182</v>
      </c>
      <c r="G3130">
        <f>'4V'!$G$9</f>
        <v>0</v>
      </c>
    </row>
    <row r="3131" spans="1:7">
      <c r="A3131" t="s">
        <v>649</v>
      </c>
      <c r="C3131" t="str">
        <f>'4V'!$AH$9</f>
        <v>BO_7043634</v>
      </c>
      <c r="D3131" t="str">
        <f>_xlfn.CONCAT('4V'!$B$9, "-", '4V'!$H$6, "-", '4V'!$E$5)</f>
        <v>Between one and two years-Total-Derivatives - Analysed by earliest payment date</v>
      </c>
      <c r="F3131" t="s">
        <v>7182</v>
      </c>
      <c r="G3131">
        <f>'4V'!$H$9</f>
        <v>-8.6250122609122112E-2</v>
      </c>
    </row>
    <row r="3132" spans="1:7">
      <c r="A3132" t="s">
        <v>649</v>
      </c>
      <c r="C3132" t="str">
        <f>'4V'!$AI$9</f>
        <v>BO_9541232</v>
      </c>
      <c r="D3132" t="str">
        <f>_xlfn.CONCAT('4V'!$B$9, "-", '4V'!$I$6, "-", '4V'!$I$5)</f>
        <v>Between one and two years-Net settled-Derivatives - Analysed by expected maturity date</v>
      </c>
      <c r="F3132" t="s">
        <v>7182</v>
      </c>
      <c r="G3132">
        <f>'4V'!$I$9</f>
        <v>-8.6250122609122112E-2</v>
      </c>
    </row>
    <row r="3133" spans="1:7">
      <c r="A3133" t="s">
        <v>649</v>
      </c>
      <c r="C3133" t="str">
        <f>'4V'!$AJ$9</f>
        <v>BO_7892308</v>
      </c>
      <c r="D3133" t="str">
        <f>_xlfn.CONCAT('4V'!$B$9, "-", '4V'!$J$6, "-", '4V'!$I$5)</f>
        <v>Between one and two years-Gross Settled outflows-Derivatives - Analysed by expected maturity date</v>
      </c>
      <c r="F3133" t="s">
        <v>7182</v>
      </c>
      <c r="G3133">
        <f>'4V'!$J$9</f>
        <v>0</v>
      </c>
    </row>
    <row r="3134" spans="1:7">
      <c r="A3134" t="s">
        <v>649</v>
      </c>
      <c r="C3134" t="str">
        <f>'4V'!$AK$9</f>
        <v>BO_4439389</v>
      </c>
      <c r="D3134" t="str">
        <f>_xlfn.CONCAT('4V'!$B$9, "-", '4V'!$K$6, "-", '4V'!$I$5)</f>
        <v>Between one and two years-Gross Settled inflows-Derivatives - Analysed by expected maturity date</v>
      </c>
      <c r="F3134" t="s">
        <v>7182</v>
      </c>
      <c r="G3134">
        <f>'4V'!$K$9</f>
        <v>0</v>
      </c>
    </row>
    <row r="3135" spans="1:7">
      <c r="A3135" t="s">
        <v>649</v>
      </c>
      <c r="C3135" t="str">
        <f>'4V'!$AL$9</f>
        <v>BO_6335870</v>
      </c>
      <c r="D3135" t="str">
        <f>_xlfn.CONCAT('4V'!$B$9, "-", '4V'!$L$6, "-", '4V'!$I$5)</f>
        <v>Between one and two years-Total-Derivatives - Analysed by expected maturity date</v>
      </c>
      <c r="F3135" t="s">
        <v>7182</v>
      </c>
      <c r="G3135">
        <f>'4V'!$L$9</f>
        <v>-8.6250122609122112E-2</v>
      </c>
    </row>
    <row r="3136" spans="1:7">
      <c r="A3136" t="s">
        <v>649</v>
      </c>
      <c r="C3136" t="str">
        <f>'4V'!$AE$10</f>
        <v>BO_7249875</v>
      </c>
      <c r="D3136" t="str">
        <f>_xlfn.CONCAT('4V'!$B$10, "-", '4V'!$E$6, "-", '4V'!$E$5)</f>
        <v>Between two and three years-Net settled-Derivatives - Analysed by earliest payment date</v>
      </c>
      <c r="F3136" t="s">
        <v>7182</v>
      </c>
      <c r="G3136">
        <f>'4V'!$E$10</f>
        <v>52.607671897989221</v>
      </c>
    </row>
    <row r="3137" spans="1:7">
      <c r="A3137" t="s">
        <v>649</v>
      </c>
      <c r="C3137" t="str">
        <f>'4V'!$AF$10</f>
        <v>BO_5107146</v>
      </c>
      <c r="D3137" t="str">
        <f>_xlfn.CONCAT('4V'!$B$10, "-", '4V'!$F$6, "-", '4V'!$E$5)</f>
        <v>Between two and three years-Gross Settled outflows-Derivatives - Analysed by earliest payment date</v>
      </c>
      <c r="F3137" t="s">
        <v>7182</v>
      </c>
      <c r="G3137">
        <f>'4V'!$F$10</f>
        <v>0</v>
      </c>
    </row>
    <row r="3138" spans="1:7">
      <c r="A3138" t="s">
        <v>649</v>
      </c>
      <c r="C3138" t="str">
        <f>'4V'!$AG$10</f>
        <v>BO_3477611</v>
      </c>
      <c r="D3138" t="str">
        <f>_xlfn.CONCAT('4V'!$B$10, "-", '4V'!$G$6, "-", '4V'!$E$5)</f>
        <v>Between two and three years-Gross Settled inflows-Derivatives - Analysed by earliest payment date</v>
      </c>
      <c r="F3138" t="s">
        <v>7182</v>
      </c>
      <c r="G3138">
        <f>'4V'!$G$10</f>
        <v>0</v>
      </c>
    </row>
    <row r="3139" spans="1:7">
      <c r="A3139" t="s">
        <v>649</v>
      </c>
      <c r="C3139" t="str">
        <f>'4V'!$AH$10</f>
        <v>BO_910768</v>
      </c>
      <c r="D3139" t="str">
        <f>_xlfn.CONCAT('4V'!$B$10, "-", '4V'!$H$6, "-", '4V'!$E$5)</f>
        <v>Between two and three years-Total-Derivatives - Analysed by earliest payment date</v>
      </c>
      <c r="F3139" t="s">
        <v>7182</v>
      </c>
      <c r="G3139">
        <f>'4V'!$H$10</f>
        <v>52.607671897989221</v>
      </c>
    </row>
    <row r="3140" spans="1:7">
      <c r="A3140" t="s">
        <v>649</v>
      </c>
      <c r="C3140" t="str">
        <f>'4V'!$AI$10</f>
        <v>BO_865612</v>
      </c>
      <c r="D3140" t="str">
        <f>_xlfn.CONCAT('4V'!$B$10, "-", '4V'!$I$6, "-", '4V'!$I$5)</f>
        <v>Between two and three years-Net settled-Derivatives - Analysed by expected maturity date</v>
      </c>
      <c r="F3140" t="s">
        <v>7182</v>
      </c>
      <c r="G3140">
        <f>'4V'!$I$10</f>
        <v>52.607671897989221</v>
      </c>
    </row>
    <row r="3141" spans="1:7">
      <c r="A3141" t="s">
        <v>649</v>
      </c>
      <c r="C3141" t="str">
        <f>'4V'!$AJ$10</f>
        <v>BO_6170791</v>
      </c>
      <c r="D3141" t="str">
        <f>_xlfn.CONCAT('4V'!$B$10, "-", '4V'!$J$6, "-", '4V'!$I$5)</f>
        <v>Between two and three years-Gross Settled outflows-Derivatives - Analysed by expected maturity date</v>
      </c>
      <c r="F3141" t="s">
        <v>7182</v>
      </c>
      <c r="G3141">
        <f>'4V'!$J$10</f>
        <v>0</v>
      </c>
    </row>
    <row r="3142" spans="1:7">
      <c r="A3142" t="s">
        <v>649</v>
      </c>
      <c r="C3142" t="str">
        <f>'4V'!$AK$10</f>
        <v>BO_4318504</v>
      </c>
      <c r="D3142" t="str">
        <f>_xlfn.CONCAT('4V'!$B$10, "-", '4V'!$K$6, "-", '4V'!$I$5)</f>
        <v>Between two and three years-Gross Settled inflows-Derivatives - Analysed by expected maturity date</v>
      </c>
      <c r="F3142" t="s">
        <v>7182</v>
      </c>
      <c r="G3142">
        <f>'4V'!$K$10</f>
        <v>0</v>
      </c>
    </row>
    <row r="3143" spans="1:7">
      <c r="A3143" t="s">
        <v>649</v>
      </c>
      <c r="C3143" t="str">
        <f>'4V'!$AL$10</f>
        <v>BO_9629493</v>
      </c>
      <c r="D3143" t="str">
        <f>_xlfn.CONCAT('4V'!$B$10, "-", '4V'!$L$6, "-", '4V'!$I$5)</f>
        <v>Between two and three years-Total-Derivatives - Analysed by expected maturity date</v>
      </c>
      <c r="F3143" t="s">
        <v>7182</v>
      </c>
      <c r="G3143">
        <f>'4V'!$L$10</f>
        <v>52.607671897989221</v>
      </c>
    </row>
    <row r="3144" spans="1:7">
      <c r="A3144" t="s">
        <v>649</v>
      </c>
      <c r="C3144" t="str">
        <f>'4V'!$AE$11</f>
        <v>BO_6972533</v>
      </c>
      <c r="D3144" t="str">
        <f>_xlfn.CONCAT('4V'!$B$11, "-", '4V'!$E$6, "-", '4V'!$E$5)</f>
        <v>Between three and four years-Net settled-Derivatives - Analysed by earliest payment date</v>
      </c>
      <c r="F3144" t="s">
        <v>7182</v>
      </c>
      <c r="G3144">
        <f>'4V'!$E$11</f>
        <v>0</v>
      </c>
    </row>
    <row r="3145" spans="1:7">
      <c r="A3145" t="s">
        <v>649</v>
      </c>
      <c r="C3145" t="str">
        <f>'4V'!$AF$11</f>
        <v>BO_2143456</v>
      </c>
      <c r="D3145" t="str">
        <f>_xlfn.CONCAT('4V'!$B$11, "-", '4V'!$F$6, "-", '4V'!$E$5)</f>
        <v>Between three and four years-Gross Settled outflows-Derivatives - Analysed by earliest payment date</v>
      </c>
      <c r="F3145" t="s">
        <v>7182</v>
      </c>
      <c r="G3145">
        <f>'4V'!$F$11</f>
        <v>0</v>
      </c>
    </row>
    <row r="3146" spans="1:7">
      <c r="A3146" t="s">
        <v>649</v>
      </c>
      <c r="C3146" t="str">
        <f>'4V'!$AG$11</f>
        <v>BO_5016582</v>
      </c>
      <c r="D3146" t="str">
        <f>_xlfn.CONCAT('4V'!$B$11, "-", '4V'!$G$6, "-", '4V'!$E$5)</f>
        <v>Between three and four years-Gross Settled inflows-Derivatives - Analysed by earliest payment date</v>
      </c>
      <c r="F3146" t="s">
        <v>7182</v>
      </c>
      <c r="G3146">
        <f>'4V'!$G$11</f>
        <v>0</v>
      </c>
    </row>
    <row r="3147" spans="1:7">
      <c r="A3147" t="s">
        <v>649</v>
      </c>
      <c r="C3147" t="str">
        <f>'4V'!$AH$11</f>
        <v>BO_8368713</v>
      </c>
      <c r="D3147" t="str">
        <f>_xlfn.CONCAT('4V'!$B$11, "-", '4V'!$H$6, "-", '4V'!$E$5)</f>
        <v>Between three and four years-Total-Derivatives - Analysed by earliest payment date</v>
      </c>
      <c r="F3147" t="s">
        <v>7182</v>
      </c>
      <c r="G3147">
        <f>'4V'!$H$11</f>
        <v>0</v>
      </c>
    </row>
    <row r="3148" spans="1:7">
      <c r="A3148" t="s">
        <v>649</v>
      </c>
      <c r="C3148" t="str">
        <f>'4V'!$AI$11</f>
        <v>BO_8051242</v>
      </c>
      <c r="D3148" t="str">
        <f>_xlfn.CONCAT('4V'!$B$11, "-", '4V'!$I$6, "-", '4V'!$I$5)</f>
        <v>Between three and four years-Net settled-Derivatives - Analysed by expected maturity date</v>
      </c>
      <c r="F3148" t="s">
        <v>7182</v>
      </c>
      <c r="G3148">
        <f>'4V'!$I$11</f>
        <v>0</v>
      </c>
    </row>
    <row r="3149" spans="1:7">
      <c r="A3149" t="s">
        <v>649</v>
      </c>
      <c r="C3149" t="str">
        <f>'4V'!$AJ$11</f>
        <v>BO_9481553</v>
      </c>
      <c r="D3149" t="str">
        <f>_xlfn.CONCAT('4V'!$B$11, "-", '4V'!$J$6, "-", '4V'!$I$5)</f>
        <v>Between three and four years-Gross Settled outflows-Derivatives - Analysed by expected maturity date</v>
      </c>
      <c r="F3149" t="s">
        <v>7182</v>
      </c>
      <c r="G3149">
        <f>'4V'!$J$11</f>
        <v>0</v>
      </c>
    </row>
    <row r="3150" spans="1:7">
      <c r="A3150" t="s">
        <v>649</v>
      </c>
      <c r="C3150" t="str">
        <f>'4V'!$AK$11</f>
        <v>BO_5400569</v>
      </c>
      <c r="D3150" t="str">
        <f>_xlfn.CONCAT('4V'!$B$11, "-", '4V'!$K$6, "-", '4V'!$I$5)</f>
        <v>Between three and four years-Gross Settled inflows-Derivatives - Analysed by expected maturity date</v>
      </c>
      <c r="F3150" t="s">
        <v>7182</v>
      </c>
      <c r="G3150">
        <f>'4V'!$K$11</f>
        <v>0</v>
      </c>
    </row>
    <row r="3151" spans="1:7">
      <c r="A3151" t="s">
        <v>649</v>
      </c>
      <c r="C3151" t="str">
        <f>'4V'!$AL$11</f>
        <v>BO_5709998</v>
      </c>
      <c r="D3151" t="str">
        <f>_xlfn.CONCAT('4V'!$B$11, "-", '4V'!$L$6, "-", '4V'!$I$5)</f>
        <v>Between three and four years-Total-Derivatives - Analysed by expected maturity date</v>
      </c>
      <c r="F3151" t="s">
        <v>7182</v>
      </c>
      <c r="G3151">
        <f>'4V'!$L$11</f>
        <v>0</v>
      </c>
    </row>
    <row r="3152" spans="1:7">
      <c r="A3152" t="s">
        <v>649</v>
      </c>
      <c r="C3152" t="str">
        <f>'4V'!$AE$12</f>
        <v>BO_6374768</v>
      </c>
      <c r="D3152" t="str">
        <f>_xlfn.CONCAT('4V'!$B$12, "-", '4V'!$E$6, "-", '4V'!$E$5)</f>
        <v>Between four and five years-Net settled-Derivatives - Analysed by earliest payment date</v>
      </c>
      <c r="F3152" t="s">
        <v>7182</v>
      </c>
      <c r="G3152">
        <f>'4V'!$E$12</f>
        <v>34.927</v>
      </c>
    </row>
    <row r="3153" spans="1:7">
      <c r="A3153" t="s">
        <v>649</v>
      </c>
      <c r="C3153" t="str">
        <f>'4V'!$AF$12</f>
        <v>BO_9132033</v>
      </c>
      <c r="D3153" t="str">
        <f>_xlfn.CONCAT('4V'!$B$12, "-", '4V'!$F$6, "-", '4V'!$E$5)</f>
        <v>Between four and five years-Gross Settled outflows-Derivatives - Analysed by earliest payment date</v>
      </c>
      <c r="F3153" t="s">
        <v>7182</v>
      </c>
      <c r="G3153">
        <f>'4V'!$F$12</f>
        <v>0</v>
      </c>
    </row>
    <row r="3154" spans="1:7">
      <c r="A3154" t="s">
        <v>649</v>
      </c>
      <c r="C3154" t="str">
        <f>'4V'!$AG$12</f>
        <v>BO_5567373</v>
      </c>
      <c r="D3154" t="str">
        <f>_xlfn.CONCAT('4V'!$B$12, "-", '4V'!$G$6, "-", '4V'!$E$5)</f>
        <v>Between four and five years-Gross Settled inflows-Derivatives - Analysed by earliest payment date</v>
      </c>
      <c r="F3154" t="s">
        <v>7182</v>
      </c>
      <c r="G3154">
        <f>'4V'!$G$12</f>
        <v>0</v>
      </c>
    </row>
    <row r="3155" spans="1:7">
      <c r="A3155" t="s">
        <v>649</v>
      </c>
      <c r="C3155" t="str">
        <f>'4V'!$AH$12</f>
        <v>BO_9725122</v>
      </c>
      <c r="D3155" t="str">
        <f>_xlfn.CONCAT('4V'!$B$12, "-", '4V'!$H$6, "-", '4V'!$E$5)</f>
        <v>Between four and five years-Total-Derivatives - Analysed by earliest payment date</v>
      </c>
      <c r="F3155" t="s">
        <v>7182</v>
      </c>
      <c r="G3155">
        <f>'4V'!$H$12</f>
        <v>34.927</v>
      </c>
    </row>
    <row r="3156" spans="1:7">
      <c r="A3156" t="s">
        <v>649</v>
      </c>
      <c r="C3156" t="str">
        <f>'4V'!$AI$12</f>
        <v>BO_629122</v>
      </c>
      <c r="D3156" t="str">
        <f>_xlfn.CONCAT('4V'!$B$12, "-", '4V'!$I$6, "-", '4V'!$I$5)</f>
        <v>Between four and five years-Net settled-Derivatives - Analysed by expected maturity date</v>
      </c>
      <c r="F3156" t="s">
        <v>7182</v>
      </c>
      <c r="G3156">
        <f>'4V'!$I$12</f>
        <v>34.927</v>
      </c>
    </row>
    <row r="3157" spans="1:7">
      <c r="A3157" t="s">
        <v>649</v>
      </c>
      <c r="C3157" t="str">
        <f>'4V'!$AJ$12</f>
        <v>BO_6232387</v>
      </c>
      <c r="D3157" t="str">
        <f>_xlfn.CONCAT('4V'!$B$12, "-", '4V'!$J$6, "-", '4V'!$I$5)</f>
        <v>Between four and five years-Gross Settled outflows-Derivatives - Analysed by expected maturity date</v>
      </c>
      <c r="F3157" t="s">
        <v>7182</v>
      </c>
      <c r="G3157">
        <f>'4V'!$J$12</f>
        <v>0</v>
      </c>
    </row>
    <row r="3158" spans="1:7">
      <c r="A3158" t="s">
        <v>649</v>
      </c>
      <c r="C3158" t="str">
        <f>'4V'!$AK$12</f>
        <v>BO_2644976</v>
      </c>
      <c r="D3158" t="str">
        <f>_xlfn.CONCAT('4V'!$B$12, "-", '4V'!$K$6, "-", '4V'!$I$5)</f>
        <v>Between four and five years-Gross Settled inflows-Derivatives - Analysed by expected maturity date</v>
      </c>
      <c r="F3158" t="s">
        <v>7182</v>
      </c>
      <c r="G3158">
        <f>'4V'!$K$12</f>
        <v>0</v>
      </c>
    </row>
    <row r="3159" spans="1:7">
      <c r="A3159" t="s">
        <v>649</v>
      </c>
      <c r="C3159" t="str">
        <f>'4V'!$AL$12</f>
        <v>BO_915356</v>
      </c>
      <c r="D3159" t="str">
        <f>_xlfn.CONCAT('4V'!$B$12, "-", '4V'!$L$6, "-", '4V'!$I$5)</f>
        <v>Between four and five years-Total-Derivatives - Analysed by expected maturity date</v>
      </c>
      <c r="F3159" t="s">
        <v>7182</v>
      </c>
      <c r="G3159">
        <f>'4V'!$L$12</f>
        <v>34.927</v>
      </c>
    </row>
    <row r="3160" spans="1:7">
      <c r="A3160" t="s">
        <v>649</v>
      </c>
      <c r="C3160" t="str">
        <f>'4V'!$AE$13</f>
        <v>BO_6348698</v>
      </c>
      <c r="D3160" t="str">
        <f>_xlfn.CONCAT('4V'!$B$13, "-", '4V'!$E$6, "-", '4V'!$E$5)</f>
        <v>After five years-Net settled-Derivatives - Analysed by earliest payment date</v>
      </c>
      <c r="F3160" t="s">
        <v>7182</v>
      </c>
      <c r="G3160">
        <f>'4V'!$E$13</f>
        <v>0</v>
      </c>
    </row>
    <row r="3161" spans="1:7">
      <c r="A3161" t="s">
        <v>649</v>
      </c>
      <c r="C3161" t="str">
        <f>'4V'!$AF$13</f>
        <v>BO_7272747</v>
      </c>
      <c r="D3161" t="str">
        <f>_xlfn.CONCAT('4V'!$B$13, "-", '4V'!$F$6, "-", '4V'!$E$5)</f>
        <v>After five years-Gross Settled outflows-Derivatives - Analysed by earliest payment date</v>
      </c>
      <c r="F3161" t="s">
        <v>7182</v>
      </c>
      <c r="G3161">
        <f>'4V'!$F$13</f>
        <v>0</v>
      </c>
    </row>
    <row r="3162" spans="1:7">
      <c r="A3162" t="s">
        <v>649</v>
      </c>
      <c r="C3162" t="str">
        <f>'4V'!$AG$13</f>
        <v>BO_9525934</v>
      </c>
      <c r="D3162" t="str">
        <f>_xlfn.CONCAT('4V'!$B$13, "-", '4V'!$G$6, "-", '4V'!$E$5)</f>
        <v>After five years-Gross Settled inflows-Derivatives - Analysed by earliest payment date</v>
      </c>
      <c r="F3162" t="s">
        <v>7182</v>
      </c>
      <c r="G3162">
        <f>'4V'!$G$13</f>
        <v>0</v>
      </c>
    </row>
    <row r="3163" spans="1:7">
      <c r="A3163" t="s">
        <v>649</v>
      </c>
      <c r="C3163" t="str">
        <f>'4V'!$AH$13</f>
        <v>BO_2144670</v>
      </c>
      <c r="D3163" t="str">
        <f>_xlfn.CONCAT('4V'!$B$13, "-", '4V'!$H$6, "-", '4V'!$E$5)</f>
        <v>After five years-Total-Derivatives - Analysed by earliest payment date</v>
      </c>
      <c r="F3163" t="s">
        <v>7182</v>
      </c>
      <c r="G3163">
        <f>'4V'!$H$13</f>
        <v>0</v>
      </c>
    </row>
    <row r="3164" spans="1:7">
      <c r="A3164" t="s">
        <v>649</v>
      </c>
      <c r="C3164" t="str">
        <f>'4V'!$AI$13</f>
        <v>BO_6309831</v>
      </c>
      <c r="D3164" t="str">
        <f>_xlfn.CONCAT('4V'!$B$13, "-", '4V'!$I$6, "-", '4V'!$I$5)</f>
        <v>After five years-Net settled-Derivatives - Analysed by expected maturity date</v>
      </c>
      <c r="F3164" t="s">
        <v>7182</v>
      </c>
      <c r="G3164">
        <f>'4V'!$I$13</f>
        <v>0</v>
      </c>
    </row>
    <row r="3165" spans="1:7">
      <c r="A3165" t="s">
        <v>649</v>
      </c>
      <c r="C3165" t="str">
        <f>'4V'!$AJ$13</f>
        <v>BO_327706</v>
      </c>
      <c r="D3165" t="str">
        <f>_xlfn.CONCAT('4V'!$B$13, "-", '4V'!$J$6, "-", '4V'!$I$5)</f>
        <v>After five years-Gross Settled outflows-Derivatives - Analysed by expected maturity date</v>
      </c>
      <c r="F3165" t="s">
        <v>7182</v>
      </c>
      <c r="G3165">
        <f>'4V'!$J$13</f>
        <v>0</v>
      </c>
    </row>
    <row r="3166" spans="1:7">
      <c r="A3166" t="s">
        <v>649</v>
      </c>
      <c r="C3166" t="str">
        <f>'4V'!$AK$13</f>
        <v>BO_5008757</v>
      </c>
      <c r="D3166" t="str">
        <f>_xlfn.CONCAT('4V'!$B$13, "-", '4V'!$K$6, "-", '4V'!$I$5)</f>
        <v>After five years-Gross Settled inflows-Derivatives - Analysed by expected maturity date</v>
      </c>
      <c r="F3166" t="s">
        <v>7182</v>
      </c>
      <c r="G3166">
        <f>'4V'!$K$13</f>
        <v>0</v>
      </c>
    </row>
    <row r="3167" spans="1:7">
      <c r="A3167" t="s">
        <v>649</v>
      </c>
      <c r="C3167" t="str">
        <f>'4V'!$AL$13</f>
        <v>BO_541823</v>
      </c>
      <c r="D3167" t="str">
        <f>_xlfn.CONCAT('4V'!$B$13, "-", '4V'!$L$6, "-", '4V'!$I$5)</f>
        <v>After five years-Total-Derivatives - Analysed by expected maturity date</v>
      </c>
      <c r="F3167" t="s">
        <v>7182</v>
      </c>
      <c r="G3167">
        <f>'4V'!$L$13</f>
        <v>0</v>
      </c>
    </row>
    <row r="3168" spans="1:7">
      <c r="A3168" t="s">
        <v>649</v>
      </c>
      <c r="C3168" t="str">
        <f>'4V'!$AE$14</f>
        <v>BO_8194445</v>
      </c>
      <c r="D3168" t="str">
        <f>_xlfn.CONCAT('4V'!$B$14, "-", '4V'!$E$6, "-", '4V'!$E$5)</f>
        <v>Total-Net settled-Derivatives - Analysed by earliest payment date</v>
      </c>
      <c r="F3168" t="s">
        <v>7182</v>
      </c>
      <c r="G3168">
        <f>'4V'!$E$14</f>
        <v>87.070000000000007</v>
      </c>
    </row>
    <row r="3169" spans="1:7">
      <c r="A3169" t="s">
        <v>649</v>
      </c>
      <c r="C3169" t="str">
        <f>'4V'!$AF$14</f>
        <v>BO_9230060</v>
      </c>
      <c r="D3169" t="str">
        <f>_xlfn.CONCAT('4V'!$B$14, "-", '4V'!$F$6, "-", '4V'!$E$5)</f>
        <v>Total-Gross Settled outflows-Derivatives - Analysed by earliest payment date</v>
      </c>
      <c r="F3169" t="s">
        <v>7182</v>
      </c>
      <c r="G3169">
        <f>'4V'!$F$14</f>
        <v>0</v>
      </c>
    </row>
    <row r="3170" spans="1:7">
      <c r="A3170" t="s">
        <v>649</v>
      </c>
      <c r="C3170" t="str">
        <f>'4V'!$AG$14</f>
        <v>BO_1729200</v>
      </c>
      <c r="D3170" t="str">
        <f>_xlfn.CONCAT('4V'!$B$14, "-", '4V'!$G$6, "-", '4V'!$E$5)</f>
        <v>Total-Gross Settled inflows-Derivatives - Analysed by earliest payment date</v>
      </c>
      <c r="F3170" t="s">
        <v>7182</v>
      </c>
      <c r="G3170">
        <f>'4V'!$G$14</f>
        <v>0</v>
      </c>
    </row>
    <row r="3171" spans="1:7">
      <c r="A3171" t="s">
        <v>649</v>
      </c>
      <c r="C3171" t="str">
        <f>'4V'!$AH$14</f>
        <v>BO_1721411</v>
      </c>
      <c r="D3171" t="str">
        <f>_xlfn.CONCAT('4V'!$B$14, "-", '4V'!$H$6, "-", '4V'!$E$5)</f>
        <v>Total-Total-Derivatives - Analysed by earliest payment date</v>
      </c>
      <c r="F3171" t="s">
        <v>7182</v>
      </c>
      <c r="G3171">
        <f>'4V'!$H$14</f>
        <v>87.070000000000007</v>
      </c>
    </row>
    <row r="3172" spans="1:7">
      <c r="A3172" t="s">
        <v>649</v>
      </c>
      <c r="C3172" t="str">
        <f>'4V'!$AI$14</f>
        <v>BO_2933867</v>
      </c>
      <c r="D3172" t="str">
        <f>_xlfn.CONCAT('4V'!$B$14, "-", '4V'!$I$6, "-", '4V'!$I$5)</f>
        <v>Total-Net settled-Derivatives - Analysed by expected maturity date</v>
      </c>
      <c r="F3172" t="s">
        <v>7182</v>
      </c>
      <c r="G3172">
        <f>'4V'!$I$14</f>
        <v>87.070000000000007</v>
      </c>
    </row>
    <row r="3173" spans="1:7">
      <c r="A3173" t="s">
        <v>649</v>
      </c>
      <c r="C3173" t="str">
        <f>'4V'!$AJ$14</f>
        <v>BO_8926305</v>
      </c>
      <c r="D3173" t="str">
        <f>_xlfn.CONCAT('4V'!$B$14, "-", '4V'!$J$6, "-", '4V'!$I$5)</f>
        <v>Total-Gross Settled outflows-Derivatives - Analysed by expected maturity date</v>
      </c>
      <c r="F3173" t="s">
        <v>7182</v>
      </c>
      <c r="G3173">
        <f>'4V'!$J$14</f>
        <v>0</v>
      </c>
    </row>
    <row r="3174" spans="1:7">
      <c r="A3174" t="s">
        <v>649</v>
      </c>
      <c r="C3174" t="str">
        <f>'4V'!$AK$14</f>
        <v>BO_5670064</v>
      </c>
      <c r="D3174" t="str">
        <f>_xlfn.CONCAT('4V'!$B$14, "-", '4V'!$K$6, "-", '4V'!$I$5)</f>
        <v>Total-Gross Settled inflows-Derivatives - Analysed by expected maturity date</v>
      </c>
      <c r="F3174" t="s">
        <v>7182</v>
      </c>
      <c r="G3174">
        <f>'4V'!$K$14</f>
        <v>0</v>
      </c>
    </row>
    <row r="3175" spans="1:7">
      <c r="A3175" t="s">
        <v>649</v>
      </c>
      <c r="C3175" t="str">
        <f>'4V'!$AL$14</f>
        <v>BO_3634334</v>
      </c>
      <c r="D3175" t="str">
        <f>_xlfn.CONCAT('4V'!$B$14, "-", '4V'!$L$6, "-", '4V'!$I$5)</f>
        <v>Total-Total-Derivatives - Analysed by expected maturity date</v>
      </c>
      <c r="F3175" t="s">
        <v>7182</v>
      </c>
      <c r="G3175">
        <f>'4V'!$L$14</f>
        <v>87.070000000000007</v>
      </c>
    </row>
    <row r="3176" spans="1:7">
      <c r="A3176" t="s">
        <v>650</v>
      </c>
      <c r="C3176" s="2564" t="str">
        <f>'6B'!$R$8</f>
        <v>B0006TWDTIPC</v>
      </c>
      <c r="D3176" t="str">
        <f>_xlfn.CONCAT('6B'!$B$7, "-", '6B'!$B$8, "-", '6B'!$E$5)</f>
        <v>Assets and operations-Total installed power capacity of potable water pumping stations-Input</v>
      </c>
      <c r="F3176" t="s">
        <v>7182</v>
      </c>
      <c r="G3176" s="2564">
        <f>'6B'!$E$8</f>
        <v>42188</v>
      </c>
    </row>
    <row r="3177" spans="1:7">
      <c r="A3177" t="s">
        <v>650</v>
      </c>
      <c r="C3177" t="str">
        <f>'6B'!$R$9</f>
        <v>BN10900CAP</v>
      </c>
      <c r="D3177" t="str">
        <f>_xlfn.CONCAT('6B'!$B$7, "-", '6B'!$B$9, "-", '6B'!$E$5)</f>
        <v>Assets and operations-Total volumetric capacity of service reservoirs-Input</v>
      </c>
      <c r="F3177" t="s">
        <v>7182</v>
      </c>
      <c r="G3177">
        <f>'6B'!$E$9</f>
        <v>2109.1</v>
      </c>
    </row>
    <row r="3178" spans="1:7">
      <c r="A3178" t="s">
        <v>650</v>
      </c>
      <c r="C3178" t="str">
        <f>'6B'!$R$10</f>
        <v>BN11030CAP</v>
      </c>
      <c r="D3178" t="str">
        <f>_xlfn.CONCAT('6B'!$B$7, "-", '6B'!$B$10, "-", '6B'!$E$5)</f>
        <v>Assets and operations-Total volumetric capacity of water towers-Input</v>
      </c>
      <c r="F3178" t="s">
        <v>7182</v>
      </c>
      <c r="G3178">
        <f>'6B'!$E$10</f>
        <v>25.8</v>
      </c>
    </row>
    <row r="3179" spans="1:7">
      <c r="A3179" t="s">
        <v>650</v>
      </c>
      <c r="C3179" s="2556" t="str">
        <f>'6B'!$R$11</f>
        <v>BN2350</v>
      </c>
      <c r="D3179" t="str">
        <f>_xlfn.CONCAT('6B'!$B$7, "-", '6B'!$B$11, "-", '6B'!$E$5)</f>
        <v>Assets and operations-Water delivered (non-potable)-Input</v>
      </c>
      <c r="F3179" t="s">
        <v>7182</v>
      </c>
      <c r="G3179" s="2556">
        <f>'6B'!$E$11</f>
        <v>35.47</v>
      </c>
    </row>
    <row r="3180" spans="1:7">
      <c r="A3180" t="s">
        <v>650</v>
      </c>
      <c r="C3180" s="2556" t="str">
        <f>'6B'!$R$12</f>
        <v>BN2330</v>
      </c>
      <c r="D3180" t="str">
        <f>_xlfn.CONCAT('6B'!$B$7, "-", '6B'!$B$12, "-", '6B'!$E$5)</f>
        <v>Assets and operations-Water delivered (potable)-Input</v>
      </c>
      <c r="F3180" t="s">
        <v>7182</v>
      </c>
      <c r="G3180" s="2556">
        <f>'6B'!$E$12</f>
        <v>1013.5</v>
      </c>
    </row>
    <row r="3181" spans="1:7">
      <c r="A3181" t="s">
        <v>650</v>
      </c>
      <c r="C3181" s="2556" t="str">
        <f>'6B'!$R$13</f>
        <v>BN2000</v>
      </c>
      <c r="D3181" t="str">
        <f>_xlfn.CONCAT('6B'!$B$7, "-", '6B'!$B$13, "-", '6B'!$E$5)</f>
        <v>Assets and operations-Water delivered (billed measured residential properties)-Input</v>
      </c>
      <c r="F3181" t="s">
        <v>7182</v>
      </c>
      <c r="G3181" s="2556">
        <f>'6B'!$E$13</f>
        <v>300.18</v>
      </c>
    </row>
    <row r="3182" spans="1:7">
      <c r="A3182" t="s">
        <v>650</v>
      </c>
      <c r="C3182" s="2556" t="str">
        <f>'6B'!$R$14</f>
        <v>BN2010</v>
      </c>
      <c r="D3182" t="str">
        <f>_xlfn.CONCAT('6B'!$B$7, "-", '6B'!$B$14, "-", '6B'!$E$5)</f>
        <v>Assets and operations-Water delivered (billed measured businesses)-Input</v>
      </c>
      <c r="F3182" t="s">
        <v>7182</v>
      </c>
      <c r="G3182" s="2556">
        <f>'6B'!$E$14</f>
        <v>199.89</v>
      </c>
    </row>
    <row r="3183" spans="1:7">
      <c r="A3183" t="s">
        <v>650</v>
      </c>
      <c r="C3183" t="str">
        <f>'6B'!$R$15</f>
        <v>BN4833</v>
      </c>
      <c r="D3183" t="str">
        <f>_xlfn.CONCAT('6B'!$B$7, "-", '6B'!$B$15, "-", '6B'!$E$5)</f>
        <v>Assets and operations-Proportion of distribution input derived from impounding reservoirs-Input</v>
      </c>
      <c r="F3183" t="s">
        <v>7182</v>
      </c>
      <c r="G3183">
        <f>'6B'!$E$15</f>
        <v>0.251</v>
      </c>
    </row>
    <row r="3184" spans="1:7">
      <c r="A3184" t="s">
        <v>650</v>
      </c>
      <c r="C3184" t="str">
        <f>'6B'!$R$16</f>
        <v>BN4834</v>
      </c>
      <c r="D3184" t="str">
        <f>_xlfn.CONCAT('6B'!$B$7, "-", '6B'!$B$16, "-", '6B'!$E$5)</f>
        <v>Assets and operations-Proportion of distribution input derived from pumped storage reservoirs-Input</v>
      </c>
      <c r="F3184" t="s">
        <v>7182</v>
      </c>
      <c r="G3184">
        <f>'6B'!$E$16</f>
        <v>0.28199999999999997</v>
      </c>
    </row>
    <row r="3185" spans="1:7">
      <c r="A3185" t="s">
        <v>650</v>
      </c>
      <c r="C3185" t="str">
        <f>'6B'!$R$17</f>
        <v>BN4838</v>
      </c>
      <c r="D3185" t="str">
        <f>_xlfn.CONCAT('6B'!$B$7, "-", '6B'!$B$17, "-", '6B'!$E$5)</f>
        <v>Assets and operations-Proportion of distribution input derived from river abstractions-Input</v>
      </c>
      <c r="F3185" t="s">
        <v>7182</v>
      </c>
      <c r="G3185">
        <f>'6B'!$E$17</f>
        <v>0.40200000000000002</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7182</v>
      </c>
      <c r="G3186">
        <f>'6B'!$E$18</f>
        <v>6.5000000000000002E-2</v>
      </c>
    </row>
    <row r="3187" spans="1:7">
      <c r="A3187" t="s">
        <v>650</v>
      </c>
      <c r="C3187" t="str">
        <f>'6B'!$R$19</f>
        <v>BN4846</v>
      </c>
      <c r="D3187" t="str">
        <f>_xlfn.CONCAT('6B'!$B$7, "-", '6B'!$B$19, "-", '6B'!$E$5)</f>
        <v>Assets and operations-Proportion of distribution input derived from artificial recharge (AR) water supply schemes-Input</v>
      </c>
      <c r="F3187" t="s">
        <v>7182</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7182</v>
      </c>
      <c r="G3188">
        <f>'6B'!$E$20</f>
        <v>0</v>
      </c>
    </row>
    <row r="3189" spans="1:7">
      <c r="A3189" t="s">
        <v>650</v>
      </c>
      <c r="C3189" t="str">
        <f>'6B'!$R$21</f>
        <v>BN4854</v>
      </c>
      <c r="D3189" t="str">
        <f>_xlfn.CONCAT('6B'!$B$7, "-", '6B'!$B$21, "-", '6B'!$E$5)</f>
        <v>Assets and operations-Proportion of distribution input derived from saline abstractions-Input</v>
      </c>
      <c r="F3189" t="s">
        <v>7182</v>
      </c>
      <c r="G3189">
        <f>'6B'!$E$21</f>
        <v>0</v>
      </c>
    </row>
    <row r="3190" spans="1:7">
      <c r="A3190" t="s">
        <v>650</v>
      </c>
      <c r="C3190" t="str">
        <f>'6B'!$R$22</f>
        <v>BN4855</v>
      </c>
      <c r="D3190" t="str">
        <f>_xlfn.CONCAT('6B'!$B$7, "-", '6B'!$B$22, "-", '6B'!$E$5)</f>
        <v>Assets and operations-Proportion of distribution input derived from water reuse schemes-Input</v>
      </c>
      <c r="F3190" t="s">
        <v>7182</v>
      </c>
      <c r="G3190">
        <f>'6B'!$E$22</f>
        <v>0</v>
      </c>
    </row>
    <row r="3191" spans="1:7">
      <c r="A3191" t="s">
        <v>650</v>
      </c>
      <c r="C3191" s="2564" t="str">
        <f>'6B'!$R$23</f>
        <v>B0006TWDPIAW</v>
      </c>
      <c r="D3191" t="str">
        <f>_xlfn.CONCAT('6B'!$B$7, "-", '6B'!$B$23, "-", '6B'!$E$5)</f>
        <v>Assets and operations-Total number of potable water pumping stations that pump into and within the treated water distribution system-Input</v>
      </c>
      <c r="F3191" t="s">
        <v>7182</v>
      </c>
      <c r="G3191" s="2564">
        <f>'6B'!$E$23</f>
        <v>307</v>
      </c>
    </row>
    <row r="3192" spans="1:7">
      <c r="A3192" t="s">
        <v>650</v>
      </c>
      <c r="C3192" s="2564" t="str">
        <f>'6B'!$R$24</f>
        <v>B0006TWDDGW</v>
      </c>
      <c r="D3192" t="str">
        <f>_xlfn.CONCAT('6B'!$B$7, "-", '6B'!$B$24, "-", '6B'!$E$5)</f>
        <v>Assets and operations-Number of potable water pumping stations delivering treated groundwater into the treated water distribution system-Input</v>
      </c>
      <c r="F3192" t="s">
        <v>7182</v>
      </c>
      <c r="G3192" s="2564">
        <f>'6B'!$E$24</f>
        <v>29</v>
      </c>
    </row>
    <row r="3193" spans="1:7">
      <c r="A3193" t="s">
        <v>650</v>
      </c>
      <c r="C3193" s="2564" t="str">
        <f>'6B'!$R$25</f>
        <v>B0006TWDDSW</v>
      </c>
      <c r="D3193" t="str">
        <f>_xlfn.CONCAT('6B'!$B$7, "-", '6B'!$B$25, "-", '6B'!$E$5)</f>
        <v>Assets and operations-Number of potable water pumping stations delivering surface water into the treated water distribution system-Input</v>
      </c>
      <c r="F3193" t="s">
        <v>7182</v>
      </c>
      <c r="G3193" s="2564">
        <f>'6B'!$E$25</f>
        <v>19</v>
      </c>
    </row>
    <row r="3194" spans="1:7">
      <c r="A3194" t="s">
        <v>650</v>
      </c>
      <c r="C3194" s="2564" t="str">
        <f>'6B'!$R$26</f>
        <v>B0006TWDREP</v>
      </c>
      <c r="D3194" t="str">
        <f>_xlfn.CONCAT('6B'!$B$7, "-", '6B'!$B$26, "-", '6B'!$E$5)</f>
        <v>Assets and operations-Number of potable water pumping stations that re-pump water already within the treated water distribution system-Input</v>
      </c>
      <c r="F3194" t="s">
        <v>7182</v>
      </c>
      <c r="G3194" s="2564">
        <f>'6B'!$E$26</f>
        <v>259</v>
      </c>
    </row>
    <row r="3195" spans="1:7">
      <c r="A3195" t="s">
        <v>650</v>
      </c>
      <c r="C3195" s="2564" t="str">
        <f>'6B'!$R$27</f>
        <v>B0006TWDPI3</v>
      </c>
      <c r="D3195" t="str">
        <f>_xlfn.CONCAT('6B'!$B$7, "-", '6B'!$B$27, "-", '6B'!$E$5)</f>
        <v>Assets and operations-Number of potable water pumping stations that pump water imported from a 3rd party supply into the treated water distribution system-Input</v>
      </c>
      <c r="F3195" t="s">
        <v>7182</v>
      </c>
      <c r="G3195" s="2564">
        <f>'6B'!$E$27</f>
        <v>0</v>
      </c>
    </row>
    <row r="3196" spans="1:7">
      <c r="A3196" t="s">
        <v>650</v>
      </c>
      <c r="C3196" s="2564" t="str">
        <f>'6B'!$R$28</f>
        <v>BN10990</v>
      </c>
      <c r="D3196" t="str">
        <f>_xlfn.CONCAT('6B'!$B$7, "-", '6B'!$B$28, "-", '6B'!$E$5)</f>
        <v>Assets and operations-Total number of service reservoirs-Input</v>
      </c>
      <c r="F3196" t="s">
        <v>7182</v>
      </c>
      <c r="G3196" s="2564">
        <f>'6B'!$E$28</f>
        <v>304</v>
      </c>
    </row>
    <row r="3197" spans="1:7">
      <c r="A3197" t="s">
        <v>650</v>
      </c>
      <c r="C3197" s="2564" t="str">
        <f>'6B'!$R$29</f>
        <v>BN11090</v>
      </c>
      <c r="D3197" t="str">
        <f>_xlfn.CONCAT('6B'!$B$7, "-", '6B'!$B$29, "-", '6B'!$E$5)</f>
        <v>Assets and operations-Number of water towers-Input</v>
      </c>
      <c r="F3197" t="s">
        <v>7182</v>
      </c>
      <c r="G3197" s="2564">
        <f>'6B'!$E$29</f>
        <v>35</v>
      </c>
    </row>
    <row r="3198" spans="1:7">
      <c r="A3198" t="s">
        <v>650</v>
      </c>
      <c r="C3198" t="str">
        <f>'6B'!$R$30</f>
        <v>B0006TWDEC</v>
      </c>
      <c r="D3198" t="str">
        <f>_xlfn.CONCAT('6B'!$B$7, "-", '6B'!$B$30, "-", '6B'!$E$5)</f>
        <v>Assets and operations-Energy consumption – treated water distribution (MWh)-Input</v>
      </c>
      <c r="F3198" t="s">
        <v>7182</v>
      </c>
      <c r="G3198">
        <f>'6B'!$E$30</f>
        <v>131677.12599999999</v>
      </c>
    </row>
    <row r="3199" spans="1:7">
      <c r="A3199" t="s">
        <v>650</v>
      </c>
      <c r="C3199" s="2556" t="str">
        <f>'6B'!$R$31</f>
        <v>BN4870</v>
      </c>
      <c r="D3199" t="str">
        <f>_xlfn.CONCAT('6B'!$B$7, "-", '6B'!$B$31, "-", '6B'!$E$5)</f>
        <v>Assets and operations-Average pumping head – treated water distribution-Input</v>
      </c>
      <c r="F3199" t="s">
        <v>7182</v>
      </c>
      <c r="G3199" s="2556">
        <f>'6B'!$E$31</f>
        <v>55.09</v>
      </c>
    </row>
    <row r="3200" spans="1:7">
      <c r="A3200" t="s">
        <v>650</v>
      </c>
      <c r="C3200" s="2564" t="str">
        <f>'6B'!$R$32</f>
        <v>B0006TWDTNI</v>
      </c>
      <c r="D3200" t="str">
        <f>_xlfn.CONCAT('6B'!$B$7, "-", '6B'!$B$32, "-", '6B'!$E$5)</f>
        <v>Assets and operations-Total number of treated water distribution imports-Input</v>
      </c>
      <c r="F3200" t="s">
        <v>7182</v>
      </c>
      <c r="G3200" s="2564">
        <f>'6B'!$E$32</f>
        <v>4</v>
      </c>
    </row>
    <row r="3201" spans="1:7">
      <c r="A3201" t="s">
        <v>650</v>
      </c>
      <c r="C3201" s="2556" t="str">
        <f>'6B'!$R$33</f>
        <v>B0006TWDWI3</v>
      </c>
      <c r="D3201" t="str">
        <f>_xlfn.CONCAT('6B'!$B$7, "-", '6B'!$B$33, "-", '6B'!$E$5)</f>
        <v>Assets and operations-Water imported from 3rd parties to treated water distribution systems-Input</v>
      </c>
      <c r="F3201" t="s">
        <v>7182</v>
      </c>
      <c r="G3201" s="2556">
        <f>'6B'!$E$33</f>
        <v>0.94</v>
      </c>
    </row>
    <row r="3202" spans="1:7">
      <c r="A3202" t="s">
        <v>650</v>
      </c>
      <c r="C3202" s="2556" t="str">
        <f>'6B'!$R$34</f>
        <v>B0006TWDTNE</v>
      </c>
      <c r="D3202" t="str">
        <f>_xlfn.CONCAT('6B'!$B$7, "-", '6B'!$B$34, "-", '6B'!$E$5)</f>
        <v>Assets and operations-Total number of treated water distribution exports-Input</v>
      </c>
      <c r="F3202" t="s">
        <v>7182</v>
      </c>
      <c r="G3202" s="2556">
        <f>'6B'!$E$34</f>
        <v>50</v>
      </c>
    </row>
    <row r="3203" spans="1:7">
      <c r="A3203" t="s">
        <v>650</v>
      </c>
      <c r="C3203" s="2556" t="str">
        <f>'6B'!$R$35</f>
        <v>B0006TWDWE3</v>
      </c>
      <c r="D3203" t="str">
        <f>_xlfn.CONCAT('6B'!$B$7, "-", '6B'!$B$35, "-", '6B'!$E$5)</f>
        <v>Assets and operations-Water exported to 3rd parties from treated water distribution systems-Input</v>
      </c>
      <c r="F3203" t="s">
        <v>7182</v>
      </c>
      <c r="G3203" s="2556">
        <f>'6B'!$E$35</f>
        <v>5.46</v>
      </c>
    </row>
    <row r="3204" spans="1:7">
      <c r="A3204" t="s">
        <v>650</v>
      </c>
      <c r="C3204" s="2556" t="str">
        <f>'6B'!$R$36</f>
        <v>BO_6970353</v>
      </c>
      <c r="D3204" t="str">
        <f>_xlfn.CONCAT('6B'!$B$7, "-", '6B'!$B$36, "-", '6B'!$E$5)</f>
        <v>Assets and operations-Peak 7 day rolling average distribution input-Input</v>
      </c>
      <c r="F3204" t="s">
        <v>7182</v>
      </c>
      <c r="G3204" s="2556">
        <f>'6B'!$E$36</f>
        <v>1343.49</v>
      </c>
    </row>
    <row r="3205" spans="1:7">
      <c r="A3205" t="s">
        <v>650</v>
      </c>
      <c r="C3205" s="2556" t="str">
        <f>'6B'!$R$37</f>
        <v>BO_894269</v>
      </c>
      <c r="D3205" t="str">
        <f>_xlfn.CONCAT('6B'!$B$7, "-", '6B'!$B$37, "-", '6B'!$E$5)</f>
        <v>Assets and operations-Peak 7 day rolling average distribution input / annual average distribution input-Input</v>
      </c>
      <c r="F3205" t="s">
        <v>7182</v>
      </c>
      <c r="G3205" s="2570">
        <f>'6B'!$E$37</f>
        <v>1.1574725814372238</v>
      </c>
    </row>
    <row r="3206" spans="1:7">
      <c r="A3206" t="s">
        <v>650</v>
      </c>
      <c r="C3206" s="2564" t="str">
        <f>'6B'!$R$40</f>
        <v>BN2300_A</v>
      </c>
      <c r="D3206" t="str">
        <f>_xlfn.CONCAT('6B'!$B$39, "-", '6B'!$B$40, "-", '6B'!$E$5)</f>
        <v>Water balance - company level-Measured household consumption (excluding supply pipe leakage)-Input</v>
      </c>
      <c r="F3206" t="s">
        <v>7182</v>
      </c>
      <c r="G3206" s="2564">
        <f>'6B'!$E$40</f>
        <v>285.61</v>
      </c>
    </row>
    <row r="3207" spans="1:7">
      <c r="A3207" t="s">
        <v>650</v>
      </c>
      <c r="C3207" t="str">
        <f>'6B'!$R$41</f>
        <v>BN2305_A</v>
      </c>
      <c r="D3207" t="str">
        <f>_xlfn.CONCAT('6B'!$B$39, "-", '6B'!$B$41, "-", '6B'!$E$5)</f>
        <v>Water balance - company level-Unmeasured household consumption (excluding supply pipe leakage)-Input</v>
      </c>
      <c r="F3207" t="s">
        <v>7182</v>
      </c>
      <c r="G3207">
        <f>'6B'!$E$41</f>
        <v>442.23</v>
      </c>
    </row>
    <row r="3208" spans="1:7">
      <c r="A3208" t="s">
        <v>650</v>
      </c>
      <c r="C3208" t="str">
        <f>'6B'!$R$42</f>
        <v>BN2310_A</v>
      </c>
      <c r="D3208" t="str">
        <f>_xlfn.CONCAT('6B'!$B$39, "-", '6B'!$B$42, "-", '6B'!$E$5)</f>
        <v>Water balance - company level-Measured non-household consumption (excluding supply pipe leakage)-Input</v>
      </c>
      <c r="F3208" t="s">
        <v>7182</v>
      </c>
      <c r="G3208">
        <f>'6B'!$E$42</f>
        <v>198.97</v>
      </c>
    </row>
    <row r="3209" spans="1:7">
      <c r="A3209" t="s">
        <v>650</v>
      </c>
      <c r="C3209" s="2556" t="str">
        <f>'6B'!$R$43</f>
        <v>BN2315_A</v>
      </c>
      <c r="D3209" t="str">
        <f>_xlfn.CONCAT('6B'!$B$39, "-", '6B'!$B$43, "-", '6B'!$E$5)</f>
        <v>Water balance - company level-Unmeasured non-household consumption (excluding supply pipe leakage)-Input</v>
      </c>
      <c r="F3209" t="s">
        <v>7182</v>
      </c>
      <c r="G3209" s="2556">
        <f>'6B'!$E$43</f>
        <v>6.04</v>
      </c>
    </row>
    <row r="3210" spans="1:7">
      <c r="A3210" t="s">
        <v>650</v>
      </c>
      <c r="C3210" s="2556" t="str">
        <f>'6B'!$R$44</f>
        <v>BN2345A</v>
      </c>
      <c r="D3210" t="str">
        <f>_xlfn.CONCAT('6B'!$B$39, "-", '6B'!$B$44, "-", '6B'!$E$5)</f>
        <v>Water balance - company level-Total annual leakage-Input</v>
      </c>
      <c r="F3210" t="s">
        <v>7182</v>
      </c>
      <c r="G3210" s="2556">
        <f>'6B'!$E$44</f>
        <v>174.43</v>
      </c>
    </row>
    <row r="3211" spans="1:7">
      <c r="A3211" t="s">
        <v>650</v>
      </c>
      <c r="C3211" s="2556" t="str">
        <f>'6B'!$R$45</f>
        <v>BN2325_A</v>
      </c>
      <c r="D3211" t="str">
        <f>_xlfn.CONCAT('6B'!$B$39, "-", '6B'!$B$45, "-", '6B'!$E$5)</f>
        <v>Water balance - company level-Distribution system operational use-Input</v>
      </c>
      <c r="F3211" t="s">
        <v>7182</v>
      </c>
      <c r="G3211" s="2556">
        <f>'6B'!$E$45</f>
        <v>4.7300000000000004</v>
      </c>
    </row>
    <row r="3212" spans="1:7">
      <c r="A3212" t="s">
        <v>650</v>
      </c>
      <c r="C3212" s="2556" t="str">
        <f>'6B'!$R$46</f>
        <v>BN2327A</v>
      </c>
      <c r="D3212" t="str">
        <f>_xlfn.CONCAT('6B'!$B$39, "-", '6B'!$B$46, "-", '6B'!$E$5)</f>
        <v>Water balance - company level-Water taken unbilled-Input</v>
      </c>
      <c r="F3212" t="s">
        <v>7182</v>
      </c>
      <c r="G3212" s="2556">
        <f>'6B'!$E$46</f>
        <v>37.65</v>
      </c>
    </row>
    <row r="3213" spans="1:7">
      <c r="A3213" t="s">
        <v>650</v>
      </c>
      <c r="C3213" t="str">
        <f>'6B'!$R$47</f>
        <v>BN1000A</v>
      </c>
      <c r="D3213" t="str">
        <f>_xlfn.CONCAT('6B'!$B$39, "-", '6B'!$B$47, "-", '6B'!$E$5)</f>
        <v>Water balance - company level-Distribution input-Input</v>
      </c>
      <c r="F3213" t="s">
        <v>7182</v>
      </c>
      <c r="G3213">
        <f>'6B'!$E$47</f>
        <v>1149.67</v>
      </c>
    </row>
    <row r="3214" spans="1:7">
      <c r="A3214" t="s">
        <v>650</v>
      </c>
      <c r="C3214" t="str">
        <f>'6B'!$R$48</f>
        <v>BN1000PRMA</v>
      </c>
      <c r="D3214" t="str">
        <f>_xlfn.CONCAT('6B'!$B$39, "-", '6B'!$B$48, "-", '6B'!$E$5)</f>
        <v>Water balance - company level-Distribution input (pre-MLE)-Input</v>
      </c>
      <c r="F3214" t="s">
        <v>7182</v>
      </c>
      <c r="G3214">
        <f>'6B'!$E$48</f>
        <v>1160.71</v>
      </c>
    </row>
    <row r="3215" spans="1:7">
      <c r="A3215" t="s">
        <v>650</v>
      </c>
      <c r="C3215" s="2564" t="str">
        <f>'6B'!$R$51</f>
        <v>BN2300_A1</v>
      </c>
      <c r="D3215" t="str">
        <f>_xlfn.CONCAT('6B'!$B$50, "-", '6B'!$B$51, "-", '6B'!$E$5)</f>
        <v>Water balance - region 1 (Northumbrian water)-Measured household consumption (excluding supply pipe leakage)-Input</v>
      </c>
      <c r="F3215" t="s">
        <v>7182</v>
      </c>
      <c r="G3215" s="2564">
        <f>'6B'!$E$51</f>
        <v>123.89</v>
      </c>
    </row>
    <row r="3216" spans="1:7">
      <c r="A3216" t="s">
        <v>650</v>
      </c>
      <c r="C3216" t="str">
        <f>'6B'!$R$52</f>
        <v>BN2305_A1</v>
      </c>
      <c r="D3216" t="str">
        <f>_xlfn.CONCAT('6B'!$B$50, "-", '6B'!$B$52, "-", '6B'!$E$5)</f>
        <v>Water balance - region 1 (Northumbrian water)-Unmeasured household consumption (excluding supply pipe leakage)-Input</v>
      </c>
      <c r="F3216" t="s">
        <v>7182</v>
      </c>
      <c r="G3216">
        <f>'6B'!$E$52</f>
        <v>285.82</v>
      </c>
    </row>
    <row r="3217" spans="1:7">
      <c r="A3217" t="s">
        <v>650</v>
      </c>
      <c r="C3217" t="str">
        <f>'6B'!$R$53</f>
        <v>BN2310_A1</v>
      </c>
      <c r="D3217" t="str">
        <f>_xlfn.CONCAT('6B'!$B$50, "-", '6B'!$B$53, "-", '6B'!$E$5)</f>
        <v>Water balance - region 1 (Northumbrian water)-Measured non-household consumption (excluding supply pipe leakage)-Input</v>
      </c>
      <c r="F3217" t="s">
        <v>7182</v>
      </c>
      <c r="G3217">
        <f>'6B'!$E$53</f>
        <v>127.93</v>
      </c>
    </row>
    <row r="3218" spans="1:7">
      <c r="A3218" t="s">
        <v>650</v>
      </c>
      <c r="C3218" s="2556" t="str">
        <f>'6B'!$R$54</f>
        <v>BN2315_A1</v>
      </c>
      <c r="D3218" t="str">
        <f>_xlfn.CONCAT('6B'!$B$50, "-", '6B'!$B$54, "-", '6B'!$E$5)</f>
        <v>Water balance - region 1 (Northumbrian water)-Unmeasured non-household consumption (excluding supply pipe leakage)-Input</v>
      </c>
      <c r="F3218" t="s">
        <v>7182</v>
      </c>
      <c r="G3218" s="2556">
        <f>'6B'!$E$54</f>
        <v>4.67</v>
      </c>
    </row>
    <row r="3219" spans="1:7">
      <c r="A3219" t="s">
        <v>650</v>
      </c>
      <c r="C3219" s="2556" t="str">
        <f>'6B'!$R$55</f>
        <v>BN2345A1</v>
      </c>
      <c r="D3219" t="str">
        <f>_xlfn.CONCAT('6B'!$B$50, "-", '6B'!$B$55, "-", '6B'!$E$5)</f>
        <v>Water balance - region 1 (Northumbrian water)-Total annual leakage-Input</v>
      </c>
      <c r="F3219" t="s">
        <v>7182</v>
      </c>
      <c r="G3219" s="2556">
        <f>'6B'!$E$55</f>
        <v>118.82</v>
      </c>
    </row>
    <row r="3220" spans="1:7">
      <c r="A3220" t="s">
        <v>650</v>
      </c>
      <c r="C3220" s="2556" t="str">
        <f>'6B'!$R$56</f>
        <v>BN2325_A1</v>
      </c>
      <c r="D3220" t="str">
        <f>_xlfn.CONCAT('6B'!$B$50, "-", '6B'!$B$56, "-", '6B'!$E$5)</f>
        <v>Water balance - region 1 (Northumbrian water)-Distribution system operational use-Input</v>
      </c>
      <c r="F3220" t="s">
        <v>7182</v>
      </c>
      <c r="G3220" s="2556">
        <f>'6B'!$E$56</f>
        <v>1.06</v>
      </c>
    </row>
    <row r="3221" spans="1:7">
      <c r="A3221" t="s">
        <v>650</v>
      </c>
      <c r="C3221" s="2556" t="str">
        <f>'6B'!$R$57</f>
        <v>BN2327A1</v>
      </c>
      <c r="D3221" t="str">
        <f>_xlfn.CONCAT('6B'!$B$50, "-", '6B'!$B$57, "-", '6B'!$E$5)</f>
        <v>Water balance - region 1 (Northumbrian water)-Water taken unbilled-Input</v>
      </c>
      <c r="F3221" t="s">
        <v>7182</v>
      </c>
      <c r="G3221" s="2556">
        <f>'6B'!$E$57</f>
        <v>26.83</v>
      </c>
    </row>
    <row r="3222" spans="1:7">
      <c r="A3222" t="s">
        <v>650</v>
      </c>
      <c r="C3222" t="str">
        <f>'6B'!$R$58</f>
        <v>BN1000A1</v>
      </c>
      <c r="D3222" t="str">
        <f>_xlfn.CONCAT('6B'!$B$50, "-", '6B'!$B$58, "-", '6B'!$E$5)</f>
        <v>Water balance - region 1 (Northumbrian water)-Distribution input-Input</v>
      </c>
      <c r="F3222" t="s">
        <v>7182</v>
      </c>
      <c r="G3222">
        <f>'6B'!$E$58</f>
        <v>689.02</v>
      </c>
    </row>
    <row r="3223" spans="1:7">
      <c r="A3223" t="s">
        <v>650</v>
      </c>
      <c r="C3223" t="str">
        <f>'6B'!$R$59</f>
        <v>BN1000PRM_A1</v>
      </c>
      <c r="D3223" t="str">
        <f>_xlfn.CONCAT('6B'!$B$50, "-", '6B'!$B$59, "-", '6B'!$E$5)</f>
        <v>Water balance - region 1 (Northumbrian water)-Distribution input (pre-MLE)-Input</v>
      </c>
      <c r="F3223" t="s">
        <v>7182</v>
      </c>
      <c r="G3223">
        <f>'6B'!$E$59</f>
        <v>696.75</v>
      </c>
    </row>
    <row r="3224" spans="1:7">
      <c r="A3224" t="s">
        <v>650</v>
      </c>
      <c r="C3224" s="2564" t="str">
        <f>'6B'!$R$62</f>
        <v>BN2300_A2</v>
      </c>
      <c r="D3224" t="str">
        <f>_xlfn.CONCAT('6B'!$B$61, "-", '6B'!$B$62, "-", '6B'!$E$5)</f>
        <v>Water balance - region 2 (Essex &amp; Suffolk water)-Measured household consumption (excluding supply pipe leakage)-Input</v>
      </c>
      <c r="F3224" t="s">
        <v>7182</v>
      </c>
      <c r="G3224" s="2564">
        <f>'6B'!$E$62</f>
        <v>161.72999999999999</v>
      </c>
    </row>
    <row r="3225" spans="1:7">
      <c r="A3225" t="s">
        <v>650</v>
      </c>
      <c r="C3225" t="str">
        <f>'6B'!$R$63</f>
        <v>BN2305_A2</v>
      </c>
      <c r="D3225" t="str">
        <f>_xlfn.CONCAT('6B'!$B$61, "-", '6B'!$B$63, "-", '6B'!$E$5)</f>
        <v>Water balance - region 2 (Essex &amp; Suffolk water)-Unmeasured household consumption (excluding supply pipe leakage)-Input</v>
      </c>
      <c r="F3225" t="s">
        <v>7182</v>
      </c>
      <c r="G3225">
        <f>'6B'!$E$63</f>
        <v>156.41</v>
      </c>
    </row>
    <row r="3226" spans="1:7">
      <c r="A3226" t="s">
        <v>650</v>
      </c>
      <c r="C3226" t="str">
        <f>'6B'!$R$64</f>
        <v>BN2310_A2</v>
      </c>
      <c r="D3226" t="str">
        <f>_xlfn.CONCAT('6B'!$B$61, "-", '6B'!$B$64, "-", '6B'!$E$5)</f>
        <v>Water balance - region 2 (Essex &amp; Suffolk water)-Measured non-household consumption (excluding supply pipe leakage)-Input</v>
      </c>
      <c r="F3226" t="s">
        <v>7182</v>
      </c>
      <c r="G3226">
        <f>'6B'!$E$64</f>
        <v>71.040000000000006</v>
      </c>
    </row>
    <row r="3227" spans="1:7">
      <c r="A3227" t="s">
        <v>650</v>
      </c>
      <c r="C3227" s="2556" t="str">
        <f>'6B'!$R$65</f>
        <v>BN2315_A2</v>
      </c>
      <c r="D3227" t="str">
        <f>_xlfn.CONCAT('6B'!$B$61, "-", '6B'!$B$65, "-", '6B'!$E$5)</f>
        <v>Water balance - region 2 (Essex &amp; Suffolk water)-Unmeasured non-household consumption (excluding supply pipe leakage)-Input</v>
      </c>
      <c r="F3227" t="s">
        <v>7182</v>
      </c>
      <c r="G3227" s="2556">
        <f>'6B'!$E$65</f>
        <v>1.37</v>
      </c>
    </row>
    <row r="3228" spans="1:7">
      <c r="A3228" t="s">
        <v>650</v>
      </c>
      <c r="C3228" s="2556" t="str">
        <f>'6B'!$R$66</f>
        <v>BN2345A2</v>
      </c>
      <c r="D3228" t="str">
        <f>_xlfn.CONCAT('6B'!$B$61, "-", '6B'!$B$66, "-", '6B'!$E$5)</f>
        <v>Water balance - region 2 (Essex &amp; Suffolk water)-Total annual leakage-Input</v>
      </c>
      <c r="F3228" t="s">
        <v>7182</v>
      </c>
      <c r="G3228" s="2556">
        <f>'6B'!$E$66</f>
        <v>55.62</v>
      </c>
    </row>
    <row r="3229" spans="1:7">
      <c r="A3229" t="s">
        <v>650</v>
      </c>
      <c r="C3229" s="2556" t="str">
        <f>'6B'!$R$67</f>
        <v>BN2325_A2</v>
      </c>
      <c r="D3229" t="str">
        <f>_xlfn.CONCAT('6B'!$B$61, "-", '6B'!$B$67, "-", '6B'!$E$5)</f>
        <v>Water balance - region 2 (Essex &amp; Suffolk water)-Distribution system operational use-Input</v>
      </c>
      <c r="F3229" t="s">
        <v>7182</v>
      </c>
      <c r="G3229" s="2556">
        <f>'6B'!$E$67</f>
        <v>3.67</v>
      </c>
    </row>
    <row r="3230" spans="1:7">
      <c r="A3230" t="s">
        <v>650</v>
      </c>
      <c r="C3230" s="2556" t="str">
        <f>'6B'!$R$68</f>
        <v>BN2327A2</v>
      </c>
      <c r="D3230" t="str">
        <f>_xlfn.CONCAT('6B'!$B$61, "-", '6B'!$B$68, "-", '6B'!$E$5)</f>
        <v>Water balance - region 2 (Essex &amp; Suffolk water)-Water taken unbilled-Input</v>
      </c>
      <c r="F3230" t="s">
        <v>7182</v>
      </c>
      <c r="G3230" s="2556">
        <f>'6B'!$E$68</f>
        <v>10.82</v>
      </c>
    </row>
    <row r="3231" spans="1:7">
      <c r="A3231" t="s">
        <v>650</v>
      </c>
      <c r="C3231" t="str">
        <f>'6B'!$R$69</f>
        <v>BN1000A2</v>
      </c>
      <c r="D3231" t="str">
        <f>_xlfn.CONCAT('6B'!$B$61, "-", '6B'!$B$69, "-", '6B'!$E$5)</f>
        <v>Water balance - region 2 (Essex &amp; Suffolk water)-Distribution input-Input</v>
      </c>
      <c r="F3231" t="s">
        <v>7182</v>
      </c>
      <c r="G3231">
        <f>'6B'!$E$69</f>
        <v>460.65</v>
      </c>
    </row>
    <row r="3232" spans="1:7">
      <c r="A3232" t="s">
        <v>650</v>
      </c>
      <c r="C3232" t="str">
        <f>'6B'!$R$70</f>
        <v>BN1000PRM_A2</v>
      </c>
      <c r="D3232" t="str">
        <f>_xlfn.CONCAT('6B'!$B$61, "-", '6B'!$B$70, "-", '6B'!$E$5)</f>
        <v>Water balance - region 2 (Essex &amp; Suffolk water)-Distribution input (pre-MLE)-Input</v>
      </c>
      <c r="F3232" t="s">
        <v>7182</v>
      </c>
      <c r="G3232">
        <f>'6B'!$E$70</f>
        <v>463.96</v>
      </c>
    </row>
    <row r="3233" spans="1:7">
      <c r="A3233" t="s">
        <v>650</v>
      </c>
      <c r="C3233" s="2564" t="str">
        <f>'6B'!$R$73</f>
        <v>BN20020</v>
      </c>
      <c r="D3233" t="str">
        <f>_xlfn.CONCAT('6B'!$B$72, "-", '6B'!$B$73, "-", '6B'!$E$5)</f>
        <v>Components of total leakage (post MLE) - company level-Leakage upstream of DMA-Input</v>
      </c>
      <c r="F3233" t="s">
        <v>7182</v>
      </c>
      <c r="G3233" s="2564">
        <f>'6B'!$E$73</f>
        <v>7.71</v>
      </c>
    </row>
    <row r="3234" spans="1:7">
      <c r="A3234" t="s">
        <v>650</v>
      </c>
      <c r="C3234" t="str">
        <f>'6B'!$R$74</f>
        <v>BN20030</v>
      </c>
      <c r="D3234" t="str">
        <f>_xlfn.CONCAT('6B'!$B$72, "-", '6B'!$B$74, "-", '6B'!$E$5)</f>
        <v>Components of total leakage (post MLE) - company level-Distribution main losses-Input</v>
      </c>
      <c r="F3234" t="s">
        <v>7182</v>
      </c>
      <c r="G3234">
        <f>'6B'!$E$74</f>
        <v>131.44999999999999</v>
      </c>
    </row>
    <row r="3235" spans="1:7">
      <c r="A3235" t="s">
        <v>650</v>
      </c>
      <c r="C3235" t="str">
        <f>'6B'!$R$75</f>
        <v>BN20040</v>
      </c>
      <c r="D3235" t="str">
        <f>_xlfn.CONCAT('6B'!$B$72, "-", '6B'!$B$75, "-", '6B'!$E$5)</f>
        <v>Components of total leakage (post MLE) - company level-Customer supply pipe losses – measured households excluding void properties-Input</v>
      </c>
      <c r="F3235" t="s">
        <v>7182</v>
      </c>
      <c r="G3235">
        <f>'6B'!$E$75</f>
        <v>14.57</v>
      </c>
    </row>
    <row r="3236" spans="1:7">
      <c r="A3236" t="s">
        <v>650</v>
      </c>
      <c r="C3236" s="2556" t="str">
        <f>'6B'!$R$76</f>
        <v>BN20050</v>
      </c>
      <c r="D3236" t="str">
        <f>_xlfn.CONCAT('6B'!$B$72, "-", '6B'!$B$76, "-", '6B'!$E$5)</f>
        <v>Components of total leakage (post MLE) - company level-Customer supply pipe losses – unmeasured households excluding void properties-Input</v>
      </c>
      <c r="F3236" t="s">
        <v>7182</v>
      </c>
      <c r="G3236" s="2556">
        <f>'6B'!$E$76</f>
        <v>24.79</v>
      </c>
    </row>
    <row r="3237" spans="1:7">
      <c r="A3237" t="s">
        <v>650</v>
      </c>
      <c r="C3237" s="2556" t="str">
        <f>'6B'!$R$77</f>
        <v>BN20060</v>
      </c>
      <c r="D3237" t="str">
        <f>_xlfn.CONCAT('6B'!$B$72, "-", '6B'!$B$77, "-", '6B'!$E$5)</f>
        <v>Components of total leakage (post MLE) - company level-Customer supply pipe losses – measured non-households excluding void properties-Input</v>
      </c>
      <c r="F3237" t="s">
        <v>7182</v>
      </c>
      <c r="G3237" s="2556">
        <f>'6B'!$E$77</f>
        <v>0.92</v>
      </c>
    </row>
    <row r="3238" spans="1:7">
      <c r="A3238" t="s">
        <v>650</v>
      </c>
      <c r="C3238" s="2556" t="str">
        <f>'6B'!$R$78</f>
        <v>BN20070</v>
      </c>
      <c r="D3238" t="str">
        <f>_xlfn.CONCAT('6B'!$B$72, "-", '6B'!$B$78, "-", '6B'!$E$5)</f>
        <v>Components of total leakage (post MLE) - company level-Customer supply pipe losses – unmeasured non-households excluding void properties-Input</v>
      </c>
      <c r="F3238" t="s">
        <v>7182</v>
      </c>
      <c r="G3238" s="2556">
        <f>'6B'!$E$78</f>
        <v>0.21</v>
      </c>
    </row>
    <row r="3239" spans="1:7">
      <c r="A3239" t="s">
        <v>650</v>
      </c>
      <c r="C3239" s="2556" t="str">
        <f>'6B'!$R$79</f>
        <v>BN20041</v>
      </c>
      <c r="D3239" t="str">
        <f>_xlfn.CONCAT('6B'!$B$72, "-", '6B'!$B$79, "-", '6B'!$E$5)</f>
        <v>Components of total leakage (post MLE) - company level-Customer supply pipe losses – void measured households-Input</v>
      </c>
      <c r="F3239" t="s">
        <v>7182</v>
      </c>
      <c r="G3239" s="2556">
        <f>'6B'!$E$79</f>
        <v>0.85</v>
      </c>
    </row>
    <row r="3240" spans="1:7">
      <c r="A3240" t="s">
        <v>650</v>
      </c>
      <c r="C3240" t="str">
        <f>'6B'!$R$80</f>
        <v>BN20051</v>
      </c>
      <c r="D3240" t="str">
        <f>_xlfn.CONCAT('6B'!$B$72, "-", '6B'!$B$80, "-", '6B'!$E$5)</f>
        <v>Components of total leakage (post MLE) - company level-Customer supply pipe losses – void unmeasured households-Input</v>
      </c>
      <c r="F3240" t="s">
        <v>7182</v>
      </c>
      <c r="G3240">
        <f>'6B'!$E$80</f>
        <v>1.02</v>
      </c>
    </row>
    <row r="3241" spans="1:7">
      <c r="A3241" t="s">
        <v>650</v>
      </c>
      <c r="C3241" t="str">
        <f>'6B'!$R$81</f>
        <v>BN20061</v>
      </c>
      <c r="D3241" t="str">
        <f>_xlfn.CONCAT('6B'!$B$72, "-", '6B'!$B$81, "-", '6B'!$E$5)</f>
        <v>Components of total leakage (post MLE) - company level-Customer supply pipe losses – void measured non-households-Input</v>
      </c>
      <c r="F3241" t="s">
        <v>7182</v>
      </c>
      <c r="G3241">
        <f>'6B'!$E$81</f>
        <v>0.53</v>
      </c>
    </row>
    <row r="3242" spans="1:7">
      <c r="A3242" t="s">
        <v>650</v>
      </c>
      <c r="C3242" s="2564" t="str">
        <f>'6B'!$R$82</f>
        <v>BN20071</v>
      </c>
      <c r="D3242" t="str">
        <f>_xlfn.CONCAT('6B'!$B$72, "-", '6B'!$B$82, "-", '6B'!$E$5)</f>
        <v>Components of total leakage (post MLE) - company level-Customer supply pipe losses – void unmeasured non-households-Input</v>
      </c>
      <c r="F3242" t="s">
        <v>7182</v>
      </c>
      <c r="G3242" s="2564">
        <f>'6B'!$E$82</f>
        <v>0.11</v>
      </c>
    </row>
    <row r="3243" spans="1:7">
      <c r="A3243" t="s">
        <v>650</v>
      </c>
      <c r="C3243" s="2564" t="str">
        <f>'6B'!$R$85</f>
        <v>BN20020_A</v>
      </c>
      <c r="D3243" t="str">
        <f>_xlfn.CONCAT('6B'!$B$84, "-", '6B'!$B$85, "-", '6B'!$E$5)</f>
        <v>Components of total leakage (post MLE) - region 1-Leakage upstream of DMA-Input</v>
      </c>
      <c r="F3243" t="s">
        <v>7182</v>
      </c>
      <c r="G3243" s="2564">
        <f>'6B'!$E$85</f>
        <v>5.83</v>
      </c>
    </row>
    <row r="3244" spans="1:7">
      <c r="A3244" t="s">
        <v>650</v>
      </c>
      <c r="C3244" t="str">
        <f>'6B'!$R$86</f>
        <v>BN20030_A</v>
      </c>
      <c r="D3244" t="str">
        <f>_xlfn.CONCAT('6B'!$B$84, "-", '6B'!$B$86, "-", '6B'!$E$5)</f>
        <v>Components of total leakage (post MLE) - region 1-Distribution main losses-Input</v>
      </c>
      <c r="F3244" t="s">
        <v>7182</v>
      </c>
      <c r="G3244">
        <f>'6B'!$E$86</f>
        <v>91.84</v>
      </c>
    </row>
    <row r="3245" spans="1:7">
      <c r="A3245" t="s">
        <v>650</v>
      </c>
      <c r="C3245" t="str">
        <f>'6B'!$R$87</f>
        <v>BN20040_A</v>
      </c>
      <c r="D3245" t="str">
        <f>_xlfn.CONCAT('6B'!$B$84, "-", '6B'!$B$87, "-", '6B'!$E$5)</f>
        <v>Components of total leakage (post MLE) - region 1-Customer supply pipe losses – measured households excluding void properties-Input</v>
      </c>
      <c r="F3245" t="s">
        <v>7182</v>
      </c>
      <c r="G3245">
        <f>'6B'!$E$87</f>
        <v>6.75</v>
      </c>
    </row>
    <row r="3246" spans="1:7">
      <c r="A3246" t="s">
        <v>650</v>
      </c>
      <c r="C3246" s="2556" t="str">
        <f>'6B'!$R$88</f>
        <v>BN20050_A</v>
      </c>
      <c r="D3246" t="str">
        <f>_xlfn.CONCAT('6B'!$B$84, "-", '6B'!$B$88, "-", '6B'!$E$5)</f>
        <v>Components of total leakage (post MLE) - region 1-Customer supply pipe losses – unmeasured households excluding void properties-Input</v>
      </c>
      <c r="F3246" t="s">
        <v>7182</v>
      </c>
      <c r="G3246" s="2556">
        <f>'6B'!$E$88</f>
        <v>17.87</v>
      </c>
    </row>
    <row r="3247" spans="1:7">
      <c r="A3247" t="s">
        <v>650</v>
      </c>
      <c r="C3247" s="2556" t="str">
        <f>'6B'!$R$89</f>
        <v>BN20060_A</v>
      </c>
      <c r="D3247" t="str">
        <f>_xlfn.CONCAT('6B'!$B$84, "-", '6B'!$B$89, "-", '6B'!$E$5)</f>
        <v>Components of total leakage (post MLE) - region 1-Customer supply pipe losses – measured non-households excluding void properties-Input</v>
      </c>
      <c r="F3247" t="s">
        <v>7182</v>
      </c>
      <c r="G3247" s="2556">
        <f>'6B'!$E$89</f>
        <v>0.5</v>
      </c>
    </row>
    <row r="3248" spans="1:7">
      <c r="A3248" t="s">
        <v>650</v>
      </c>
      <c r="C3248" s="2556" t="str">
        <f>'6B'!$R$90</f>
        <v>BN20070_A</v>
      </c>
      <c r="D3248" t="str">
        <f>_xlfn.CONCAT('6B'!$B$84, "-", '6B'!$B$90, "-", '6B'!$E$5)</f>
        <v>Components of total leakage (post MLE) - region 1-Customer supply pipe losses – unmeasured non-households excluding void properties-Input</v>
      </c>
      <c r="F3248" t="s">
        <v>7182</v>
      </c>
      <c r="G3248" s="2556">
        <f>'6B'!$E$90</f>
        <v>0.16</v>
      </c>
    </row>
    <row r="3249" spans="1:7">
      <c r="A3249" t="s">
        <v>650</v>
      </c>
      <c r="C3249" s="2556" t="str">
        <f>'6B'!$R$91</f>
        <v>BN20041_A</v>
      </c>
      <c r="D3249" t="str">
        <f>_xlfn.CONCAT('6B'!$B$84, "-", '6B'!$B$91, "-", '6B'!$E$5)</f>
        <v>Components of total leakage (post MLE) - region 1-Customer supply pipe losses – void measured households-Input</v>
      </c>
      <c r="F3249" t="s">
        <v>7182</v>
      </c>
      <c r="G3249" s="2556">
        <f>'6B'!$E$91</f>
        <v>0.48</v>
      </c>
    </row>
    <row r="3250" spans="1:7">
      <c r="A3250" t="s">
        <v>650</v>
      </c>
      <c r="C3250" t="str">
        <f>'6B'!$R$92</f>
        <v>BN20051_A</v>
      </c>
      <c r="D3250" t="str">
        <f>_xlfn.CONCAT('6B'!$B$84, "-", '6B'!$B$92, "-", '6B'!$E$5)</f>
        <v>Components of total leakage (post MLE) - region 1-Customer supply pipe losses – void unmeasured households-Input</v>
      </c>
      <c r="F3250" t="s">
        <v>7182</v>
      </c>
      <c r="G3250">
        <f>'6B'!$E$92</f>
        <v>0.81</v>
      </c>
    </row>
    <row r="3251" spans="1:7">
      <c r="A3251" t="s">
        <v>650</v>
      </c>
      <c r="C3251" t="str">
        <f>'6B'!$R$93</f>
        <v>BN20061_A</v>
      </c>
      <c r="D3251" t="str">
        <f>_xlfn.CONCAT('6B'!$B$84, "-", '6B'!$B$93, "-", '6B'!$E$5)</f>
        <v>Components of total leakage (post MLE) - region 1-Customer supply pipe losses – void measured non-households-Input</v>
      </c>
      <c r="F3251" t="s">
        <v>7182</v>
      </c>
      <c r="G3251">
        <f>'6B'!$E$93</f>
        <v>0.34</v>
      </c>
    </row>
    <row r="3252" spans="1:7">
      <c r="A3252" t="s">
        <v>650</v>
      </c>
      <c r="C3252" s="2564" t="str">
        <f>'6B'!$R$94</f>
        <v>BN20071_A</v>
      </c>
      <c r="D3252" t="str">
        <f>_xlfn.CONCAT('6B'!$B$84, "-", '6B'!$B$94, "-", '6B'!$E$5)</f>
        <v>Components of total leakage (post MLE) - region 1-Customer supply pipe losses – void unmeasured non-households-Input</v>
      </c>
      <c r="F3252" t="s">
        <v>7182</v>
      </c>
      <c r="G3252" s="2564">
        <f>'6B'!$E$94</f>
        <v>0.09</v>
      </c>
    </row>
    <row r="3253" spans="1:7">
      <c r="A3253" t="s">
        <v>650</v>
      </c>
      <c r="C3253" s="2564" t="str">
        <f>'6B'!$R$97</f>
        <v>BN20020_B</v>
      </c>
      <c r="D3253" t="str">
        <f>_xlfn.CONCAT('6B'!$B$96, "-", '6B'!$B$97, "-", '6B'!$E$5)</f>
        <v>Components of total leakage (post MLE) - region 2-Leakage upstream of DMA-Input</v>
      </c>
      <c r="F3253" t="s">
        <v>7182</v>
      </c>
      <c r="G3253" s="2564">
        <f>'6B'!$E$97</f>
        <v>1.88</v>
      </c>
    </row>
    <row r="3254" spans="1:7">
      <c r="A3254" t="s">
        <v>650</v>
      </c>
      <c r="C3254" t="str">
        <f>'6B'!$R$98</f>
        <v>BN20030_B</v>
      </c>
      <c r="D3254" t="str">
        <f>_xlfn.CONCAT('6B'!$B$96, "-", '6B'!$B$98, "-", '6B'!$E$5)</f>
        <v>Components of total leakage (post MLE) - region 2-Distribution main losses-Input</v>
      </c>
      <c r="F3254" t="s">
        <v>7182</v>
      </c>
      <c r="G3254">
        <f>'6B'!$E$98</f>
        <v>39.61</v>
      </c>
    </row>
    <row r="3255" spans="1:7">
      <c r="A3255" t="s">
        <v>650</v>
      </c>
      <c r="C3255" t="str">
        <f>'6B'!$R$99</f>
        <v>BN20040_B</v>
      </c>
      <c r="D3255" t="str">
        <f>_xlfn.CONCAT('6B'!$B$96, "-", '6B'!$B$99, "-", '6B'!$E$5)</f>
        <v>Components of total leakage (post MLE) - region 2-Customer supply pipe losses – measured households excluding void properties-Input</v>
      </c>
      <c r="F3255" t="s">
        <v>7182</v>
      </c>
      <c r="G3255">
        <f>'6B'!$E$99</f>
        <v>7.82</v>
      </c>
    </row>
    <row r="3256" spans="1:7">
      <c r="A3256" t="s">
        <v>650</v>
      </c>
      <c r="C3256" s="2556" t="str">
        <f>'6B'!$R$100</f>
        <v>BN20050_B</v>
      </c>
      <c r="D3256" t="str">
        <f>_xlfn.CONCAT('6B'!$B$96, "-", '6B'!$B$100, "-", '6B'!$E$5)</f>
        <v>Components of total leakage (post MLE) - region 2-Customer supply pipe losses – unmeasured households excluding void properties-Input</v>
      </c>
      <c r="F3256" t="s">
        <v>7182</v>
      </c>
      <c r="G3256" s="2556">
        <f>'6B'!$E$100</f>
        <v>6.92</v>
      </c>
    </row>
    <row r="3257" spans="1:7">
      <c r="A3257" t="s">
        <v>650</v>
      </c>
      <c r="C3257" s="2556" t="str">
        <f>'6B'!$R$101</f>
        <v>BN20060_B</v>
      </c>
      <c r="D3257" t="str">
        <f>_xlfn.CONCAT('6B'!$B$96, "-", '6B'!$B$101, "-", '6B'!$E$5)</f>
        <v>Components of total leakage (post MLE) - region 2-Customer supply pipe losses – measured non-households excluding void properties-Input</v>
      </c>
      <c r="F3257" t="s">
        <v>7182</v>
      </c>
      <c r="G3257" s="2556">
        <f>'6B'!$E$101</f>
        <v>0.42</v>
      </c>
    </row>
    <row r="3258" spans="1:7">
      <c r="A3258" t="s">
        <v>650</v>
      </c>
      <c r="C3258" s="2556" t="str">
        <f>'6B'!$R$102</f>
        <v>BN20070_B</v>
      </c>
      <c r="D3258" t="str">
        <f>_xlfn.CONCAT('6B'!$B$96, "-", '6B'!$B$102, "-", '6B'!$E$5)</f>
        <v>Components of total leakage (post MLE) - region 2-Customer supply pipe losses – unmeasured non-households excluding void properties-Input</v>
      </c>
      <c r="F3258" t="s">
        <v>7182</v>
      </c>
      <c r="G3258" s="2556">
        <f>'6B'!$E$102</f>
        <v>0.05</v>
      </c>
    </row>
    <row r="3259" spans="1:7">
      <c r="A3259" t="s">
        <v>650</v>
      </c>
      <c r="C3259" s="2556" t="str">
        <f>'6B'!$R$103</f>
        <v>BN20041_B</v>
      </c>
      <c r="D3259" t="str">
        <f>_xlfn.CONCAT('6B'!$B$96, "-", '6B'!$B$103, "-", '6B'!$E$5)</f>
        <v>Components of total leakage (post MLE) - region 2-Customer supply pipe losses – void measured households-Input</v>
      </c>
      <c r="F3259" t="s">
        <v>7182</v>
      </c>
      <c r="G3259" s="2556">
        <f>'6B'!$E$103</f>
        <v>0.37</v>
      </c>
    </row>
    <row r="3260" spans="1:7">
      <c r="A3260" t="s">
        <v>650</v>
      </c>
      <c r="C3260" t="str">
        <f>'6B'!$R$104</f>
        <v>BN20051_B</v>
      </c>
      <c r="D3260" t="str">
        <f>_xlfn.CONCAT('6B'!$B$96, "-", '6B'!$B$104, "-", '6B'!$E$5)</f>
        <v>Components of total leakage (post MLE) - region 2-Customer supply pipe losses – void unmeasured households-Input</v>
      </c>
      <c r="F3260" t="s">
        <v>7182</v>
      </c>
      <c r="G3260">
        <f>'6B'!$E$104</f>
        <v>0.21</v>
      </c>
    </row>
    <row r="3261" spans="1:7">
      <c r="A3261" t="s">
        <v>650</v>
      </c>
      <c r="C3261" t="str">
        <f>'6B'!$R$105</f>
        <v>BN20061_B</v>
      </c>
      <c r="D3261" t="str">
        <f>_xlfn.CONCAT('6B'!$B$96, "-", '6B'!$B$105, "-", '6B'!$E$5)</f>
        <v>Components of total leakage (post MLE) - region 2-Customer supply pipe losses – void measured non-households-Input</v>
      </c>
      <c r="F3261" t="s">
        <v>7182</v>
      </c>
      <c r="G3261">
        <f>'6B'!$E$105</f>
        <v>0.19</v>
      </c>
    </row>
    <row r="3262" spans="1:7">
      <c r="A3262" t="s">
        <v>650</v>
      </c>
      <c r="C3262" s="2564" t="str">
        <f>'6B'!$R$106</f>
        <v>BN20071_B</v>
      </c>
      <c r="D3262" t="str">
        <f>_xlfn.CONCAT('6B'!$B$96, "-", '6B'!$B$106, "-", '6B'!$E$5)</f>
        <v>Components of total leakage (post MLE) - region 2-Customer supply pipe losses – void unmeasured non-households-Input</v>
      </c>
      <c r="F3262" t="s">
        <v>7182</v>
      </c>
      <c r="G3262" s="2564">
        <f>'6B'!$E$106</f>
        <v>0.02</v>
      </c>
    </row>
    <row r="3263" spans="1:7">
      <c r="A3263" t="s">
        <v>651</v>
      </c>
      <c r="C3263" t="str">
        <f>'6C'!$R$8</f>
        <v>BN1100</v>
      </c>
      <c r="D3263" t="str">
        <f>_xlfn.CONCAT('6C'!$B$7, "-", '6C'!$B$8, "-", '6C'!$E$5)</f>
        <v>Treated water distribution - mains analysis-Total length of potable mains as at 31 March-Input</v>
      </c>
      <c r="F3263" t="s">
        <v>7182</v>
      </c>
      <c r="G3263">
        <f>'6C'!$E$8</f>
        <v>26450.6</v>
      </c>
    </row>
    <row r="3264" spans="1:7">
      <c r="A3264" t="s">
        <v>651</v>
      </c>
      <c r="C3264" t="str">
        <f>'6C'!$R$9</f>
        <v>BN1204</v>
      </c>
      <c r="D3264" t="str">
        <f>_xlfn.CONCAT('6C'!$B$7, "-", '6C'!$B$9, "-", '6C'!$E$5)</f>
        <v>Treated water distribution - mains analysis-Total length of potable mains relined-Input</v>
      </c>
      <c r="F3264" t="s">
        <v>7182</v>
      </c>
      <c r="G3264">
        <f>'6C'!$E$9</f>
        <v>0</v>
      </c>
    </row>
    <row r="3265" spans="1:7">
      <c r="A3265" t="s">
        <v>651</v>
      </c>
      <c r="C3265" t="str">
        <f>'6C'!$R$10</f>
        <v>BN1200</v>
      </c>
      <c r="D3265" t="str">
        <f>_xlfn.CONCAT('6C'!$B$7, "-", '6C'!$B$10, "-", '6C'!$E$5)</f>
        <v>Treated water distribution - mains analysis-Total length of potable mains renewed-Input</v>
      </c>
      <c r="F3265" t="s">
        <v>7182</v>
      </c>
      <c r="G3265">
        <f>'6C'!$E$10</f>
        <v>26.8</v>
      </c>
    </row>
    <row r="3266" spans="1:7">
      <c r="A3266" t="s">
        <v>651</v>
      </c>
      <c r="C3266" t="str">
        <f>'6C'!$R$11</f>
        <v>BN1208</v>
      </c>
      <c r="D3266" t="str">
        <f>_xlfn.CONCAT('6C'!$B$7, "-", '6C'!$B$11, "-", '6C'!$E$5)</f>
        <v>Treated water distribution - mains analysis-Total length of new potable mains-Input</v>
      </c>
      <c r="F3266" t="s">
        <v>7182</v>
      </c>
      <c r="G3266">
        <f>'6C'!$E$11</f>
        <v>64.2</v>
      </c>
    </row>
    <row r="3267" spans="1:7">
      <c r="A3267" t="s">
        <v>651</v>
      </c>
      <c r="C3267" t="str">
        <f>'6C'!$R$12</f>
        <v>BN14990</v>
      </c>
      <c r="D3267" t="str">
        <f>_xlfn.CONCAT('6C'!$B$7, "-", '6C'!$B$12, "-", '6C'!$E$5)</f>
        <v>Treated water distribution - mains analysis-Total length of potable water mains (≤320mm)-Input</v>
      </c>
      <c r="F3267" t="s">
        <v>7182</v>
      </c>
      <c r="G3267">
        <f>'6C'!$E$12</f>
        <v>24080.400000000001</v>
      </c>
    </row>
    <row r="3268" spans="1:7">
      <c r="A3268" t="s">
        <v>651</v>
      </c>
      <c r="C3268" t="str">
        <f>'6C'!$R$13</f>
        <v>BN14890</v>
      </c>
      <c r="D3268" t="str">
        <f>_xlfn.CONCAT('6C'!$B$7, "-", '6C'!$B$13, "-", '6C'!$E$5)</f>
        <v>Treated water distribution - mains analysis-Total length of potable water mains (&gt;320mm and ≤ 450mm)-Input</v>
      </c>
      <c r="F3268" t="s">
        <v>7182</v>
      </c>
      <c r="G3268">
        <f>'6C'!$E$13</f>
        <v>1099.0999999999999</v>
      </c>
    </row>
    <row r="3269" spans="1:7">
      <c r="A3269" t="s">
        <v>651</v>
      </c>
      <c r="C3269" t="str">
        <f>'6C'!$R$14</f>
        <v>BN14790</v>
      </c>
      <c r="D3269" t="str">
        <f>_xlfn.CONCAT('6C'!$B$7, "-", '6C'!$B$14, "-", '6C'!$E$5)</f>
        <v>Treated water distribution - mains analysis-Total length of potable water mains (&gt;450mm and ≤610mm)-Input</v>
      </c>
      <c r="F3269" t="s">
        <v>7182</v>
      </c>
      <c r="G3269">
        <f>'6C'!$E$14</f>
        <v>405.6</v>
      </c>
    </row>
    <row r="3270" spans="1:7">
      <c r="A3270" t="s">
        <v>651</v>
      </c>
      <c r="C3270" t="str">
        <f>'6C'!$R$15</f>
        <v>BN14690</v>
      </c>
      <c r="D3270" t="str">
        <f>_xlfn.CONCAT('6C'!$B$7, "-", '6C'!$B$15, "-", '6C'!$E$5)</f>
        <v>Treated water distribution - mains analysis-Total length of potable water mains  (&gt; 610mm)-Input</v>
      </c>
      <c r="F3270" t="s">
        <v>7182</v>
      </c>
      <c r="G3270">
        <f>'6C'!$E$15</f>
        <v>865.5</v>
      </c>
    </row>
    <row r="3271" spans="1:7">
      <c r="A3271" t="s">
        <v>651</v>
      </c>
      <c r="C3271" t="str">
        <f>'6C'!$R$18</f>
        <v>BB13000</v>
      </c>
      <c r="D3271" t="str">
        <f>_xlfn.CONCAT('6C'!$B$17, "-", '6C'!$B$18, "-", '6C'!$E$5)</f>
        <v>Treated water distribution - mains age profile-Total length of potable mains laid or structurally refurbished pre-1880-Input</v>
      </c>
      <c r="F3271" t="s">
        <v>7182</v>
      </c>
      <c r="G3271">
        <f>'6C'!$E$18</f>
        <v>24.6</v>
      </c>
    </row>
    <row r="3272" spans="1:7">
      <c r="A3272" t="s">
        <v>651</v>
      </c>
      <c r="C3272" t="str">
        <f>'6C'!$R$19</f>
        <v>BB13010</v>
      </c>
      <c r="D3272" t="str">
        <f>_xlfn.CONCAT('6C'!$B$17, "-", '6C'!$B$19, "-", '6C'!$E$5)</f>
        <v>Treated water distribution - mains age profile-Total length of potable mains laid or structurally refurbished between 1881 and 1900-Input</v>
      </c>
      <c r="F3272" t="s">
        <v>7182</v>
      </c>
      <c r="G3272">
        <f>'6C'!$E$19</f>
        <v>187.9</v>
      </c>
    </row>
    <row r="3273" spans="1:7">
      <c r="A3273" t="s">
        <v>651</v>
      </c>
      <c r="C3273" t="str">
        <f>'6C'!$R$20</f>
        <v>BB13020</v>
      </c>
      <c r="D3273" t="str">
        <f>_xlfn.CONCAT('6C'!$B$17, "-", '6C'!$B$20, "-", '6C'!$E$5)</f>
        <v>Treated water distribution - mains age profile-Total length of potable mains laid or structurally refurbished between 1901 and 1920-Input</v>
      </c>
      <c r="F3273" t="s">
        <v>7182</v>
      </c>
      <c r="G3273">
        <f>'6C'!$E$20</f>
        <v>330.7</v>
      </c>
    </row>
    <row r="3274" spans="1:7">
      <c r="A3274" t="s">
        <v>651</v>
      </c>
      <c r="C3274" t="str">
        <f>'6C'!$R$21</f>
        <v>BB13030</v>
      </c>
      <c r="D3274" t="str">
        <f>_xlfn.CONCAT('6C'!$B$17, "-", '6C'!$B$21, "-", '6C'!$E$5)</f>
        <v>Treated water distribution - mains age profile-Total length of potable mains laid or structurally refurbished between 1921 and 1940-Input</v>
      </c>
      <c r="F3274" t="s">
        <v>7182</v>
      </c>
      <c r="G3274">
        <f>'6C'!$E$21</f>
        <v>2520</v>
      </c>
    </row>
    <row r="3275" spans="1:7">
      <c r="A3275" t="s">
        <v>651</v>
      </c>
      <c r="C3275" t="str">
        <f>'6C'!$R$22</f>
        <v>BB13040</v>
      </c>
      <c r="D3275" t="str">
        <f>_xlfn.CONCAT('6C'!$B$17, "-", '6C'!$B$22, "-", '6C'!$E$5)</f>
        <v>Treated water distribution - mains age profile-Total length of potable mains laid or structurally refurbished between 1941 and 1960-Input</v>
      </c>
      <c r="F3275" t="s">
        <v>7182</v>
      </c>
      <c r="G3275">
        <f>'6C'!$E$22</f>
        <v>3427.2</v>
      </c>
    </row>
    <row r="3276" spans="1:7">
      <c r="A3276" t="s">
        <v>651</v>
      </c>
      <c r="C3276" t="str">
        <f>'6C'!$R$23</f>
        <v>BB13050</v>
      </c>
      <c r="D3276" t="str">
        <f>_xlfn.CONCAT('6C'!$B$17, "-", '6C'!$B$23, "-", '6C'!$E$5)</f>
        <v>Treated water distribution - mains age profile-Total length of potable mains laid or structurally refurbished between 1961 and 1980-Input</v>
      </c>
      <c r="F3276" t="s">
        <v>7182</v>
      </c>
      <c r="G3276">
        <f>'6C'!$E$23</f>
        <v>5288.8</v>
      </c>
    </row>
    <row r="3277" spans="1:7">
      <c r="A3277" t="s">
        <v>651</v>
      </c>
      <c r="C3277" t="str">
        <f>'6C'!$R$24</f>
        <v>BB13060</v>
      </c>
      <c r="D3277" t="str">
        <f>_xlfn.CONCAT('6C'!$B$17, "-", '6C'!$B$24, "-", '6C'!$E$5)</f>
        <v>Treated water distribution - mains age profile-Total length of potable mains laid or structurally refurbished between 1981 and 2000-Input</v>
      </c>
      <c r="F3277" t="s">
        <v>7182</v>
      </c>
      <c r="G3277">
        <f>'6C'!$E$24</f>
        <v>7617.9</v>
      </c>
    </row>
    <row r="3278" spans="1:7">
      <c r="A3278" t="s">
        <v>651</v>
      </c>
      <c r="C3278" t="str">
        <f>'6C'!$R$25</f>
        <v>BB13070</v>
      </c>
      <c r="D3278" t="str">
        <f>_xlfn.CONCAT('6C'!$B$17, "-", '6C'!$B$25, "-", '6C'!$E$5)</f>
        <v>Treated water distribution - mains age profile-Total length of potable mains laid or structurally refurbished between 2001 and 2020-Input</v>
      </c>
      <c r="F3278" t="s">
        <v>7182</v>
      </c>
      <c r="G3278">
        <f>'6C'!$E$25</f>
        <v>6830.7</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7182</v>
      </c>
      <c r="G3279">
        <f>'6C'!$E$26</f>
        <v>222.9</v>
      </c>
    </row>
    <row r="3280" spans="1:7">
      <c r="A3280" t="s">
        <v>651</v>
      </c>
      <c r="C3280" t="str">
        <f>'6C'!$R$29</f>
        <v>BN11600</v>
      </c>
      <c r="D3280" t="str">
        <f>_xlfn.CONCAT('6C'!$B$28, "-", '6C'!$B$29, "-", '6C'!$E$5)</f>
        <v>Communication pipes-Number of lead communication pipes-Input</v>
      </c>
      <c r="F3280" t="s">
        <v>7182</v>
      </c>
      <c r="G3280" s="2564">
        <f>'6C'!$E$29</f>
        <v>541794</v>
      </c>
    </row>
    <row r="3281" spans="1:7">
      <c r="A3281" t="s">
        <v>651</v>
      </c>
      <c r="C3281" t="str">
        <f>'6C'!$R$30</f>
        <v>BN11610</v>
      </c>
      <c r="D3281" t="str">
        <f>_xlfn.CONCAT('6C'!$B$28, "-", '6C'!$B$30, "-", '6C'!$E$5)</f>
        <v>Communication pipes-Number of galvanised iron communication pipes-Input</v>
      </c>
      <c r="F3281" t="s">
        <v>7182</v>
      </c>
      <c r="G3281" s="2564">
        <f>'6C'!$E$30</f>
        <v>51139</v>
      </c>
    </row>
    <row r="3282" spans="1:7">
      <c r="A3282" t="s">
        <v>651</v>
      </c>
      <c r="C3282" t="str">
        <f>'6C'!$R$31</f>
        <v>BN11620</v>
      </c>
      <c r="D3282" t="str">
        <f>_xlfn.CONCAT('6C'!$B$28, "-", '6C'!$B$31, "-", '6C'!$E$5)</f>
        <v>Communication pipes-Number of other communication pipes-Input</v>
      </c>
      <c r="F3282" t="s">
        <v>7182</v>
      </c>
      <c r="G3282" s="2564">
        <f>'6C'!$E$31</f>
        <v>1565328</v>
      </c>
    </row>
    <row r="3283" spans="1:7">
      <c r="A3283" t="s">
        <v>651</v>
      </c>
      <c r="C3283" t="str">
        <f>'6C'!$R$32</f>
        <v>BN1231</v>
      </c>
      <c r="D3283" t="str">
        <f>_xlfn.CONCAT('6C'!$B$28, "-", '6C'!$B$32, "-", '6C'!$E$5)</f>
        <v>Communication pipes-Number of lead communication pipes replaced or relined for water quality-Input</v>
      </c>
      <c r="F3283" t="s">
        <v>7182</v>
      </c>
      <c r="G3283" s="2564">
        <f>'6C'!$E$32</f>
        <v>92</v>
      </c>
    </row>
    <row r="3284" spans="1:7">
      <c r="A3284" t="s">
        <v>651</v>
      </c>
      <c r="C3284" t="str">
        <f>'6C'!$R$35</f>
        <v>SYS03</v>
      </c>
      <c r="D3284" t="str">
        <f>_xlfn.CONCAT('6C'!$B$34, "-", '6C'!$B$35, "-", '6C'!$E$5)</f>
        <v>Other-Company area-Input</v>
      </c>
      <c r="F3284" t="s">
        <v>7182</v>
      </c>
      <c r="G3284" s="2564">
        <f>'6C'!$E$35</f>
        <v>11803</v>
      </c>
    </row>
    <row r="3285" spans="1:7">
      <c r="A3285" t="s">
        <v>651</v>
      </c>
      <c r="C3285" s="2556" t="str">
        <f>'6C'!$R$36</f>
        <v>QEBW0183</v>
      </c>
      <c r="D3285" t="str">
        <f>_xlfn.CONCAT('6C'!$B$34, "-", '6C'!$B$36, "-", '6C'!$E$5)</f>
        <v>Other-Compliance Risk Index-Input</v>
      </c>
      <c r="F3285" t="s">
        <v>7182</v>
      </c>
      <c r="G3285" s="2556">
        <f>'6C'!$E$36</f>
        <v>7.62</v>
      </c>
    </row>
    <row r="3286" spans="1:7">
      <c r="A3286" t="s">
        <v>651</v>
      </c>
      <c r="C3286" t="str">
        <f>'6C'!$R$37</f>
        <v>QEBW0184</v>
      </c>
      <c r="D3286" t="str">
        <f>_xlfn.CONCAT('6C'!$B$34, "-", '6C'!$B$37, "-", '6C'!$E$5)</f>
        <v>Other-Event Risk Index-Input</v>
      </c>
      <c r="F3286" t="s">
        <v>7182</v>
      </c>
      <c r="G3286" s="2564">
        <f>'6C'!$E$37</f>
        <v>167</v>
      </c>
    </row>
    <row r="3287" spans="1:7">
      <c r="A3287" t="s">
        <v>651</v>
      </c>
      <c r="C3287" s="2556" t="str">
        <f>'6C'!$R$38</f>
        <v>BN1004</v>
      </c>
      <c r="D3287" t="str">
        <f>_xlfn.CONCAT('6C'!$B$34, "-", '6C'!$B$38, "-", '6C'!$E$5)</f>
        <v>Other-Properties below reference level at end of year-Input</v>
      </c>
      <c r="F3287" t="s">
        <v>7182</v>
      </c>
      <c r="G3287" s="2556">
        <f>'6C'!$E$38</f>
        <v>2313</v>
      </c>
    </row>
    <row r="3288" spans="1:7">
      <c r="A3288" t="s">
        <v>652</v>
      </c>
      <c r="C3288" t="str">
        <f>'6D'!$W$8</f>
        <v>B1250NMT_BM</v>
      </c>
      <c r="D3288" t="str">
        <f>_xlfn.CONCAT('6D'!$B$7, "-", '6D'!$B$8, "-", '6D'!$E$5)</f>
        <v>Metering activities - Totex expenditure-New optant meter installation for existing customers-Basic meter</v>
      </c>
      <c r="F3288" t="s">
        <v>7182</v>
      </c>
      <c r="G3288">
        <f>'6D'!$E$8</f>
        <v>3.0000000000000001E-3</v>
      </c>
    </row>
    <row r="3289" spans="1:7">
      <c r="A3289" t="s">
        <v>652</v>
      </c>
      <c r="C3289" t="str">
        <f>'6D'!$X$8</f>
        <v>B1250NMT_AMR</v>
      </c>
      <c r="D3289" t="str">
        <f>_xlfn.CONCAT('6D'!$B$7, "-", '6D'!$B$8, "-", '6D'!$F$5)</f>
        <v>Metering activities - Totex expenditure-New optant meter installation for existing customers-AMR meter</v>
      </c>
      <c r="F3289" t="s">
        <v>7182</v>
      </c>
      <c r="G3289">
        <f>'6D'!$F$8</f>
        <v>1E-3</v>
      </c>
    </row>
    <row r="3290" spans="1:7">
      <c r="A3290" t="s">
        <v>652</v>
      </c>
      <c r="C3290" t="str">
        <f>'6D'!$Y$8</f>
        <v>B1250NMT_AMI</v>
      </c>
      <c r="D3290" t="str">
        <f>_xlfn.CONCAT('6D'!$B$7, "-", '6D'!$B$8, "-", '6D'!$G$5)</f>
        <v>Metering activities - Totex expenditure-New optant meter installation for existing customers-AMI meter</v>
      </c>
      <c r="F3290" t="s">
        <v>7182</v>
      </c>
      <c r="G3290">
        <f>'6D'!$G$8</f>
        <v>3.718</v>
      </c>
    </row>
    <row r="3291" spans="1:7">
      <c r="A3291" t="s">
        <v>652</v>
      </c>
      <c r="C3291" t="str">
        <f>'6D'!$W$9</f>
        <v>B1253NMT_BM</v>
      </c>
      <c r="D3291" t="str">
        <f>_xlfn.CONCAT('6D'!$B$7, "-", '6D'!$B$9, "-", '6D'!$E$5)</f>
        <v>Metering activities - Totex expenditure-New selective meter installation for existing customers-Basic meter</v>
      </c>
      <c r="F3291" t="s">
        <v>7182</v>
      </c>
      <c r="G3291">
        <f>'6D'!$E$9</f>
        <v>0</v>
      </c>
    </row>
    <row r="3292" spans="1:7">
      <c r="A3292" t="s">
        <v>652</v>
      </c>
      <c r="C3292" t="str">
        <f>'6D'!$X$9</f>
        <v>B1253NMT_AMR</v>
      </c>
      <c r="D3292" t="str">
        <f>_xlfn.CONCAT('6D'!$B$7, "-", '6D'!$B$9, "-", '6D'!$F$5)</f>
        <v>Metering activities - Totex expenditure-New selective meter installation for existing customers-AMR meter</v>
      </c>
      <c r="F3292" t="s">
        <v>7182</v>
      </c>
      <c r="G3292">
        <f>'6D'!$F$9</f>
        <v>0</v>
      </c>
    </row>
    <row r="3293" spans="1:7">
      <c r="A3293" t="s">
        <v>652</v>
      </c>
      <c r="C3293" t="str">
        <f>'6D'!$Y$9</f>
        <v>B1253NMT_AMI</v>
      </c>
      <c r="D3293" t="str">
        <f>_xlfn.CONCAT('6D'!$B$7, "-", '6D'!$B$9, "-", '6D'!$G$5)</f>
        <v>Metering activities - Totex expenditure-New selective meter installation for existing customers-AMI meter</v>
      </c>
      <c r="F3293" t="s">
        <v>7182</v>
      </c>
      <c r="G3293">
        <f>'6D'!$G$9</f>
        <v>1.01</v>
      </c>
    </row>
    <row r="3294" spans="1:7">
      <c r="A3294" t="s">
        <v>652</v>
      </c>
      <c r="C3294" t="str">
        <f>'6D'!$W$10</f>
        <v>B1256NMT_BM</v>
      </c>
      <c r="D3294" t="str">
        <f>_xlfn.CONCAT('6D'!$B$7, "-", '6D'!$B$10, "-", '6D'!$E$5)</f>
        <v>Metering activities - Totex expenditure-New business meter installation for existing customers-Basic meter</v>
      </c>
      <c r="F3294" t="s">
        <v>7182</v>
      </c>
      <c r="G3294">
        <f>'6D'!$E$10</f>
        <v>1E-3</v>
      </c>
    </row>
    <row r="3295" spans="1:7">
      <c r="A3295" t="s">
        <v>652</v>
      </c>
      <c r="C3295" t="str">
        <f>'6D'!$X$10</f>
        <v>B1256NMT_AMR</v>
      </c>
      <c r="D3295" t="str">
        <f>_xlfn.CONCAT('6D'!$B$7, "-", '6D'!$B$10, "-", '6D'!$F$5)</f>
        <v>Metering activities - Totex expenditure-New business meter installation for existing customers-AMR meter</v>
      </c>
      <c r="F3295" t="s">
        <v>7182</v>
      </c>
      <c r="G3295">
        <f>'6D'!$F$10</f>
        <v>2E-3</v>
      </c>
    </row>
    <row r="3296" spans="1:7">
      <c r="A3296" t="s">
        <v>652</v>
      </c>
      <c r="C3296" t="str">
        <f>'6D'!$Y$10</f>
        <v>B1256NMT_AMI</v>
      </c>
      <c r="D3296" t="str">
        <f>_xlfn.CONCAT('6D'!$B$7, "-", '6D'!$B$10, "-", '6D'!$G$5)</f>
        <v>Metering activities - Totex expenditure-New business meter installation for existing customers-AMI meter</v>
      </c>
      <c r="F3296" t="s">
        <v>7182</v>
      </c>
      <c r="G3296">
        <f>'6D'!$G$10</f>
        <v>4.0000000000000001E-3</v>
      </c>
    </row>
    <row r="3297" spans="1:7">
      <c r="A3297" t="s">
        <v>652</v>
      </c>
      <c r="C3297" t="str">
        <f>'6D'!$W$11</f>
        <v>B0257NMT_BM</v>
      </c>
      <c r="D3297" t="str">
        <f>_xlfn.CONCAT('6D'!$B$7, "-", '6D'!$B$11, "-", '6D'!$E$5)</f>
        <v>Metering activities - Totex expenditure-Residential meters renewed-Basic meter</v>
      </c>
      <c r="F3297" t="s">
        <v>7182</v>
      </c>
      <c r="G3297">
        <f>'6D'!$E$11</f>
        <v>5.0000000000000001E-3</v>
      </c>
    </row>
    <row r="3298" spans="1:7">
      <c r="A3298" t="s">
        <v>652</v>
      </c>
      <c r="C3298" t="str">
        <f>'6D'!$X$11</f>
        <v>B0257NMT_AMR</v>
      </c>
      <c r="D3298" t="str">
        <f>_xlfn.CONCAT('6D'!$B$7, "-", '6D'!$B$11, "-", '6D'!$F$5)</f>
        <v>Metering activities - Totex expenditure-Residential meters renewed-AMR meter</v>
      </c>
      <c r="F3298" t="s">
        <v>7182</v>
      </c>
      <c r="G3298">
        <f>'6D'!$F$11</f>
        <v>0</v>
      </c>
    </row>
    <row r="3299" spans="1:7">
      <c r="A3299" t="s">
        <v>652</v>
      </c>
      <c r="C3299" t="str">
        <f>'6D'!$Y$11</f>
        <v>B0257NMT_AMI</v>
      </c>
      <c r="D3299" t="str">
        <f>_xlfn.CONCAT('6D'!$B$7, "-", '6D'!$B$11, "-", '6D'!$G$5)</f>
        <v>Metering activities - Totex expenditure-Residential meters renewed-AMI meter</v>
      </c>
      <c r="F3299" t="s">
        <v>7182</v>
      </c>
      <c r="G3299">
        <f>'6D'!$G$11</f>
        <v>1.5529999999999999</v>
      </c>
    </row>
    <row r="3300" spans="1:7">
      <c r="A3300" t="s">
        <v>652</v>
      </c>
      <c r="C3300" t="str">
        <f>'6D'!$W$12</f>
        <v>B0258NMT_BM</v>
      </c>
      <c r="D3300" t="str">
        <f>_xlfn.CONCAT('6D'!$B$7, "-", '6D'!$B$12, "-", '6D'!$E$5)</f>
        <v>Metering activities - Totex expenditure-Business meters renewed-Basic meter</v>
      </c>
      <c r="F3300" t="s">
        <v>7182</v>
      </c>
      <c r="G3300">
        <f>'6D'!$E$12</f>
        <v>3.1E-2</v>
      </c>
    </row>
    <row r="3301" spans="1:7">
      <c r="A3301" t="s">
        <v>652</v>
      </c>
      <c r="C3301" t="str">
        <f>'6D'!$X$12</f>
        <v>B0258NMT_AMR</v>
      </c>
      <c r="D3301" t="str">
        <f>_xlfn.CONCAT('6D'!$B$7, "-", '6D'!$B$12, "-", '6D'!$F$5)</f>
        <v>Metering activities - Totex expenditure-Business meters renewed-AMR meter</v>
      </c>
      <c r="F3301" t="s">
        <v>7182</v>
      </c>
      <c r="G3301">
        <f>'6D'!$F$12</f>
        <v>0</v>
      </c>
    </row>
    <row r="3302" spans="1:7">
      <c r="A3302" t="s">
        <v>652</v>
      </c>
      <c r="C3302" t="str">
        <f>'6D'!$Y$12</f>
        <v>B0258NMT_AMI</v>
      </c>
      <c r="D3302" t="str">
        <f>_xlfn.CONCAT('6D'!$B$7, "-", '6D'!$B$12, "-", '6D'!$G$5)</f>
        <v>Metering activities - Totex expenditure-Business meters renewed-AMI meter</v>
      </c>
      <c r="F3302" t="s">
        <v>7182</v>
      </c>
      <c r="G3302">
        <f>'6D'!$G$12</f>
        <v>0.11600000000000001</v>
      </c>
    </row>
    <row r="3303" spans="1:7">
      <c r="A3303" t="s">
        <v>652</v>
      </c>
      <c r="C3303" t="str">
        <f>'6D'!$W$15</f>
        <v>BN11715_BM</v>
      </c>
      <c r="D3303" t="str">
        <f>_xlfn.CONCAT('6D'!$B$14, "-", '6D'!$B$15, "-", '6D'!$E$5)</f>
        <v>Metering activities - Explanatory variables-New optant meters installed for existing customers-Basic meter</v>
      </c>
      <c r="F3303" t="s">
        <v>7182</v>
      </c>
      <c r="G3303">
        <f>'6D'!$E$15</f>
        <v>1.2999999999999999E-2</v>
      </c>
    </row>
    <row r="3304" spans="1:7">
      <c r="A3304" t="s">
        <v>652</v>
      </c>
      <c r="C3304" t="str">
        <f>'6D'!$X$15</f>
        <v>BN11715_AMR</v>
      </c>
      <c r="D3304" t="str">
        <f>_xlfn.CONCAT('6D'!$B$14, "-", '6D'!$B$15, "-", '6D'!$F$5)</f>
        <v>Metering activities - Explanatory variables-New optant meters installed for existing customers-AMR meter</v>
      </c>
      <c r="F3304" t="s">
        <v>7182</v>
      </c>
      <c r="G3304">
        <f>'6D'!$F$15</f>
        <v>7.0000000000000001E-3</v>
      </c>
    </row>
    <row r="3305" spans="1:7">
      <c r="A3305" t="s">
        <v>652</v>
      </c>
      <c r="C3305" t="str">
        <f>'6D'!$Y$15</f>
        <v>BN11715_AMI</v>
      </c>
      <c r="D3305" t="str">
        <f>_xlfn.CONCAT('6D'!$B$14, "-", '6D'!$B$15, "-", '6D'!$G$5)</f>
        <v>Metering activities - Explanatory variables-New optant meters installed for existing customers-AMI meter</v>
      </c>
      <c r="F3305" t="s">
        <v>7182</v>
      </c>
      <c r="G3305">
        <f>'6D'!$G$15</f>
        <v>16.302</v>
      </c>
    </row>
    <row r="3306" spans="1:7">
      <c r="A3306" t="s">
        <v>652</v>
      </c>
      <c r="C3306" t="str">
        <f>'6D'!$W$16</f>
        <v>BN11711_BM</v>
      </c>
      <c r="D3306" t="str">
        <f>_xlfn.CONCAT('6D'!$B$14, "-", '6D'!$B$16, "-", '6D'!$E$5)</f>
        <v>Metering activities - Explanatory variables-New selective meters installed for existing customers-Basic meter</v>
      </c>
      <c r="F3306" t="s">
        <v>7182</v>
      </c>
      <c r="G3306">
        <f>'6D'!$E$16</f>
        <v>1E-3</v>
      </c>
    </row>
    <row r="3307" spans="1:7">
      <c r="A3307" t="s">
        <v>652</v>
      </c>
      <c r="C3307" t="str">
        <f>'6D'!$X$16</f>
        <v>BN11711_AMR</v>
      </c>
      <c r="D3307" t="str">
        <f>_xlfn.CONCAT('6D'!$B$14, "-", '6D'!$B$16, "-", '6D'!$F$5)</f>
        <v>Metering activities - Explanatory variables-New selective meters installed for existing customers-AMR meter</v>
      </c>
      <c r="F3307" t="s">
        <v>7182</v>
      </c>
      <c r="G3307">
        <f>'6D'!$F$16</f>
        <v>0</v>
      </c>
    </row>
    <row r="3308" spans="1:7">
      <c r="A3308" t="s">
        <v>652</v>
      </c>
      <c r="C3308" t="str">
        <f>'6D'!$Y$16</f>
        <v>BN11711_AMI</v>
      </c>
      <c r="D3308" t="str">
        <f>_xlfn.CONCAT('6D'!$B$14, "-", '6D'!$B$16, "-", '6D'!$G$5)</f>
        <v>Metering activities - Explanatory variables-New selective meters installed for existing customers-AMI meter</v>
      </c>
      <c r="F3308" t="s">
        <v>7182</v>
      </c>
      <c r="G3308">
        <f>'6D'!$G$16</f>
        <v>12.805999999999999</v>
      </c>
    </row>
    <row r="3309" spans="1:7">
      <c r="A3309" t="s">
        <v>652</v>
      </c>
      <c r="C3309" t="str">
        <f>'6D'!$W$17</f>
        <v>BN10102_BM</v>
      </c>
      <c r="D3309" t="str">
        <f>_xlfn.CONCAT('6D'!$B$14, "-", '6D'!$B$17, "-", '6D'!$E$5)</f>
        <v>Metering activities - Explanatory variables-New business meters installed for existing customers-Basic meter</v>
      </c>
      <c r="F3309" t="s">
        <v>7182</v>
      </c>
      <c r="G3309">
        <f>'6D'!$E$17</f>
        <v>5.0000000000000001E-3</v>
      </c>
    </row>
    <row r="3310" spans="1:7">
      <c r="A3310" t="s">
        <v>652</v>
      </c>
      <c r="C3310" t="str">
        <f>'6D'!$X$17</f>
        <v>BN10102_AMR</v>
      </c>
      <c r="D3310" t="str">
        <f>_xlfn.CONCAT('6D'!$B$14, "-", '6D'!$B$17, "-", '6D'!$F$5)</f>
        <v>Metering activities - Explanatory variables-New business meters installed for existing customers-AMR meter</v>
      </c>
      <c r="F3310" t="s">
        <v>7182</v>
      </c>
      <c r="G3310">
        <f>'6D'!$F$17</f>
        <v>0</v>
      </c>
    </row>
    <row r="3311" spans="1:7">
      <c r="A3311" t="s">
        <v>652</v>
      </c>
      <c r="C3311" t="str">
        <f>'6D'!$Y$17</f>
        <v>BN10102_AMI</v>
      </c>
      <c r="D3311" t="str">
        <f>_xlfn.CONCAT('6D'!$B$14, "-", '6D'!$B$17, "-", '6D'!$G$5)</f>
        <v>Metering activities - Explanatory variables-New business meters installed for existing customers-AMI meter</v>
      </c>
      <c r="F3311" t="s">
        <v>7182</v>
      </c>
      <c r="G3311">
        <f>'6D'!$G$17</f>
        <v>2.1000000000000001E-2</v>
      </c>
    </row>
    <row r="3312" spans="1:7">
      <c r="A3312" t="s">
        <v>652</v>
      </c>
      <c r="C3312" t="str">
        <f>'6D'!$W$18</f>
        <v>BN01004_BM</v>
      </c>
      <c r="D3312" t="str">
        <f>_xlfn.CONCAT('6D'!$B$14, "-", '6D'!$B$18, "-", '6D'!$E$5)</f>
        <v>Metering activities - Explanatory variables-Residential meters renewed -Basic meter</v>
      </c>
      <c r="F3312" t="s">
        <v>7182</v>
      </c>
      <c r="G3312">
        <f>'6D'!$E$18</f>
        <v>4.4999999999999998E-2</v>
      </c>
    </row>
    <row r="3313" spans="1:7">
      <c r="A3313" t="s">
        <v>652</v>
      </c>
      <c r="C3313" t="str">
        <f>'6D'!$X$18</f>
        <v>BN01004_AMR</v>
      </c>
      <c r="D3313" t="str">
        <f>_xlfn.CONCAT('6D'!$B$14, "-", '6D'!$B$18, "-", '6D'!$F$5)</f>
        <v>Metering activities - Explanatory variables-Residential meters renewed -AMR meter</v>
      </c>
      <c r="F3313" t="s">
        <v>7182</v>
      </c>
      <c r="G3313">
        <f>'6D'!$F$18</f>
        <v>3.0000000000000001E-3</v>
      </c>
    </row>
    <row r="3314" spans="1:7">
      <c r="A3314" t="s">
        <v>652</v>
      </c>
      <c r="C3314" t="str">
        <f>'6D'!$Y$18</f>
        <v>BN01004_AMI</v>
      </c>
      <c r="D3314" t="str">
        <f>_xlfn.CONCAT('6D'!$B$14, "-", '6D'!$B$18, "-", '6D'!$G$5)</f>
        <v>Metering activities - Explanatory variables-Residential meters renewed -AMI meter</v>
      </c>
      <c r="F3314" t="s">
        <v>7182</v>
      </c>
      <c r="G3314">
        <f>'6D'!$G$18</f>
        <v>17.425999999999998</v>
      </c>
    </row>
    <row r="3315" spans="1:7">
      <c r="A3315" t="s">
        <v>652</v>
      </c>
      <c r="C3315" t="str">
        <f>'6D'!$W$19</f>
        <v>BN01005_BM</v>
      </c>
      <c r="D3315" t="str">
        <f>_xlfn.CONCAT('6D'!$B$14, "-", '6D'!$B$19, "-", '6D'!$E$5)</f>
        <v>Metering activities - Explanatory variables-Business meters renewed -Basic meter</v>
      </c>
      <c r="F3315" t="s">
        <v>7182</v>
      </c>
      <c r="G3315">
        <f>'6D'!$E$19</f>
        <v>0.27300000000000002</v>
      </c>
    </row>
    <row r="3316" spans="1:7">
      <c r="A3316" t="s">
        <v>652</v>
      </c>
      <c r="C3316" t="str">
        <f>'6D'!$X$19</f>
        <v>BN01005_AMR</v>
      </c>
      <c r="D3316" t="str">
        <f>_xlfn.CONCAT('6D'!$B$14, "-", '6D'!$B$19, "-", '6D'!$F$5)</f>
        <v>Metering activities - Explanatory variables-Business meters renewed -AMR meter</v>
      </c>
      <c r="F3316" t="s">
        <v>7182</v>
      </c>
      <c r="G3316">
        <f>'6D'!$F$19</f>
        <v>0</v>
      </c>
    </row>
    <row r="3317" spans="1:7">
      <c r="A3317" t="s">
        <v>652</v>
      </c>
      <c r="C3317" t="str">
        <f>'6D'!$Y$19</f>
        <v>BN01005_AMI</v>
      </c>
      <c r="D3317" t="str">
        <f>_xlfn.CONCAT('6D'!$B$14, "-", '6D'!$B$19, "-", '6D'!$G$5)</f>
        <v>Metering activities - Explanatory variables-Business meters renewed -AMI meter</v>
      </c>
      <c r="F3317" t="s">
        <v>7182</v>
      </c>
      <c r="G3317">
        <f>'6D'!$G$19</f>
        <v>1.1539999999999999</v>
      </c>
    </row>
    <row r="3318" spans="1:7">
      <c r="A3318" t="s">
        <v>652</v>
      </c>
      <c r="C3318" t="str">
        <f>'6D'!$X$20</f>
        <v>BO_8328485</v>
      </c>
      <c r="D3318" t="str">
        <f>_xlfn.CONCAT('6D'!$B$14, "-", '6D'!$B$20, "-", '6D'!$F$5)</f>
        <v>Metering activities - Explanatory variables-Replacement of basic meters with smart meters for residential customers-AMR meter</v>
      </c>
      <c r="F3318" t="s">
        <v>7182</v>
      </c>
      <c r="G3318">
        <f>'6D'!$F$20</f>
        <v>1E-3</v>
      </c>
    </row>
    <row r="3319" spans="1:7">
      <c r="A3319" t="s">
        <v>652</v>
      </c>
      <c r="C3319" t="str">
        <f>'6D'!$Y$20</f>
        <v>BO_2369032</v>
      </c>
      <c r="D3319" t="str">
        <f>_xlfn.CONCAT('6D'!$B$14, "-", '6D'!$B$20, "-", '6D'!$G$5)</f>
        <v>Metering activities - Explanatory variables-Replacement of basic meters with smart meters for residential customers-AMI meter</v>
      </c>
      <c r="F3319" t="s">
        <v>7182</v>
      </c>
      <c r="G3319">
        <f>'6D'!$G$20</f>
        <v>15.997</v>
      </c>
    </row>
    <row r="3320" spans="1:7">
      <c r="A3320" t="s">
        <v>652</v>
      </c>
      <c r="C3320" t="str">
        <f>'6D'!$Y$21</f>
        <v>BO_2740287</v>
      </c>
      <c r="D3320" t="str">
        <f>_xlfn.CONCAT('6D'!$B$14, "-", '6D'!$B$21, "-", '6D'!$G$5)</f>
        <v>Metering activities - Explanatory variables-Replacement of AMR meter with AMI meters for residential customers-AMI meter</v>
      </c>
      <c r="F3320" t="s">
        <v>7182</v>
      </c>
      <c r="G3320">
        <f>'6D'!$G$21</f>
        <v>1.1100000000000001</v>
      </c>
    </row>
    <row r="3321" spans="1:7">
      <c r="A3321" t="s">
        <v>652</v>
      </c>
      <c r="C3321" t="str">
        <f>'6D'!$X$22</f>
        <v>BO_1225801</v>
      </c>
      <c r="D3321" t="str">
        <f>_xlfn.CONCAT('6D'!$B$14, "-", '6D'!$B$22, "-", '6D'!$F$5)</f>
        <v>Metering activities - Explanatory variables-Replacement of basic meters with smart meters for business customers-AMR meter</v>
      </c>
      <c r="F3321" t="s">
        <v>7182</v>
      </c>
      <c r="G3321">
        <f>'6D'!$F$22</f>
        <v>0</v>
      </c>
    </row>
    <row r="3322" spans="1:7">
      <c r="A3322" t="s">
        <v>652</v>
      </c>
      <c r="C3322" t="str">
        <f>'6D'!$Y$22</f>
        <v>BO_6841858</v>
      </c>
      <c r="D3322" t="str">
        <f>_xlfn.CONCAT('6D'!$B$14, "-", '6D'!$B$22, "-", '6D'!$G$5)</f>
        <v>Metering activities - Explanatory variables-Replacement of basic meters with smart meters for business customers-AMI meter</v>
      </c>
      <c r="F3322" t="s">
        <v>7182</v>
      </c>
      <c r="G3322">
        <f>'6D'!$G$22</f>
        <v>1.0880000000000001</v>
      </c>
    </row>
    <row r="3323" spans="1:7">
      <c r="A3323" t="s">
        <v>652</v>
      </c>
      <c r="C3323" t="str">
        <f>'6D'!$Y$23</f>
        <v>BO_3766463</v>
      </c>
      <c r="D3323" t="str">
        <f>_xlfn.CONCAT('6D'!$B$14, "-", '6D'!$B$23, "-", '6D'!$G$5)</f>
        <v>Metering activities - Explanatory variables-Replacement of AMR meter with AMI meters for business customers-AMI meter</v>
      </c>
      <c r="F3323" t="s">
        <v>7182</v>
      </c>
      <c r="G3323">
        <f>'6D'!$G$23</f>
        <v>0.02</v>
      </c>
    </row>
    <row r="3324" spans="1:7">
      <c r="A3324" t="s">
        <v>652</v>
      </c>
      <c r="C3324" s="2556" t="str">
        <f>'6D'!$W$24</f>
        <v>BN12001_BM</v>
      </c>
      <c r="D3324" t="str">
        <f>_xlfn.CONCAT('6D'!$B$14, "-", '6D'!$B$24, "-", '6D'!$E$5)</f>
        <v>Metering activities - Explanatory variables-New residential meters installed for existing customers – supply-demand balance benefit-Basic meter</v>
      </c>
      <c r="F3324" t="s">
        <v>7182</v>
      </c>
      <c r="G3324" s="2556">
        <f>'6D'!$E$24</f>
        <v>0</v>
      </c>
    </row>
    <row r="3325" spans="1:7">
      <c r="A3325" t="s">
        <v>652</v>
      </c>
      <c r="C3325" s="2556" t="str">
        <f>'6D'!$X$24</f>
        <v>BN12001_AMR</v>
      </c>
      <c r="D3325" t="str">
        <f>_xlfn.CONCAT('6D'!$B$14, "-", '6D'!$B$24, "-", '6D'!$F$5)</f>
        <v>Metering activities - Explanatory variables-New residential meters installed for existing customers – supply-demand balance benefit-AMR meter</v>
      </c>
      <c r="F3325" t="s">
        <v>7182</v>
      </c>
      <c r="G3325" s="2556">
        <f>'6D'!$F$24</f>
        <v>0</v>
      </c>
    </row>
    <row r="3326" spans="1:7">
      <c r="A3326" t="s">
        <v>652</v>
      </c>
      <c r="C3326" s="2556" t="str">
        <f>'6D'!$Y$24</f>
        <v>BN12001_AMI</v>
      </c>
      <c r="D3326" t="str">
        <f>_xlfn.CONCAT('6D'!$B$14, "-", '6D'!$B$24, "-", '6D'!$G$5)</f>
        <v>Metering activities - Explanatory variables-New residential meters installed for existing customers – supply-demand balance benefit-AMI meter</v>
      </c>
      <c r="F3326" t="s">
        <v>7182</v>
      </c>
      <c r="G3326" s="2556">
        <f>'6D'!$G$24</f>
        <v>1.28</v>
      </c>
    </row>
    <row r="3327" spans="1:7">
      <c r="A3327" t="s">
        <v>652</v>
      </c>
      <c r="C3327" s="2556" t="str">
        <f>'6D'!$W$25</f>
        <v>BN12002_BM</v>
      </c>
      <c r="D3327" t="str">
        <f>_xlfn.CONCAT('6D'!$B$14, "-", '6D'!$B$25, "-", '6D'!$E$5)</f>
        <v>Metering activities - Explanatory variables-New business meters install ed for existing customers – supply-demand balance benefit-Basic meter</v>
      </c>
      <c r="F3327" t="s">
        <v>7182</v>
      </c>
      <c r="G3327" s="2556">
        <f>'6D'!$E$25</f>
        <v>0</v>
      </c>
    </row>
    <row r="3328" spans="1:7">
      <c r="A3328" t="s">
        <v>652</v>
      </c>
      <c r="C3328" s="2556" t="str">
        <f>'6D'!$X$25</f>
        <v>BN12002_AMR</v>
      </c>
      <c r="D3328" t="str">
        <f>_xlfn.CONCAT('6D'!$B$14, "-", '6D'!$B$25, "-", '6D'!$F$5)</f>
        <v>Metering activities - Explanatory variables-New business meters install ed for existing customers – supply-demand balance benefit-AMR meter</v>
      </c>
      <c r="F3328" t="s">
        <v>7182</v>
      </c>
      <c r="G3328" s="2556">
        <f>'6D'!$F$25</f>
        <v>0</v>
      </c>
    </row>
    <row r="3329" spans="1:7">
      <c r="A3329" t="s">
        <v>652</v>
      </c>
      <c r="C3329" s="2556" t="str">
        <f>'6D'!$Y$25</f>
        <v>BN12002_AMI</v>
      </c>
      <c r="D3329" t="str">
        <f>_xlfn.CONCAT('6D'!$B$14, "-", '6D'!$B$25, "-", '6D'!$G$5)</f>
        <v>Metering activities - Explanatory variables-New business meters install ed for existing customers – supply-demand balance benefit-AMI meter</v>
      </c>
      <c r="F3329" t="s">
        <v>7182</v>
      </c>
      <c r="G3329" s="2556">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7182</v>
      </c>
      <c r="G3330">
        <f>'6D'!$F$26</f>
        <v>0</v>
      </c>
    </row>
    <row r="3331" spans="1:7">
      <c r="A3331" t="s">
        <v>652</v>
      </c>
      <c r="C3331" s="2556" t="str">
        <f>'6D'!$Y$26</f>
        <v>BO_3649481</v>
      </c>
      <c r="D3331" t="str">
        <f>_xlfn.CONCAT('6D'!$B$14, "-", '6D'!$B$26, "-", '6D'!$G$5)</f>
        <v>Metering activities - Explanatory variables-Replacement of basic meter with smart meters for residential customers – supply-demand balance benefit-AMI meter</v>
      </c>
      <c r="F3331" t="s">
        <v>7182</v>
      </c>
      <c r="G3331" s="2556">
        <f>'6D'!$G$26</f>
        <v>0.06</v>
      </c>
    </row>
    <row r="3332" spans="1:7">
      <c r="A3332" t="s">
        <v>652</v>
      </c>
      <c r="C3332" s="2556" t="str">
        <f>'6D'!$Y$27</f>
        <v>BO_7507358</v>
      </c>
      <c r="D3332" t="str">
        <f>_xlfn.CONCAT('6D'!$B$14, "-", '6D'!$B$27, "-", '6D'!$G$5)</f>
        <v>Metering activities - Explanatory variables-Replacement of AMR meter with AMI meter for residential customers– supply-demand balance benefit-AMI meter</v>
      </c>
      <c r="F3332" t="s">
        <v>7182</v>
      </c>
      <c r="G3332" s="2556">
        <f>'6D'!$G$27</f>
        <v>0</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7182</v>
      </c>
      <c r="G3333">
        <f>'6D'!$F$28</f>
        <v>0</v>
      </c>
    </row>
    <row r="3334" spans="1:7">
      <c r="A3334" t="s">
        <v>652</v>
      </c>
      <c r="C3334" s="2556" t="str">
        <f>'6D'!$Y$28</f>
        <v>BO_2091351</v>
      </c>
      <c r="D3334" t="str">
        <f>_xlfn.CONCAT('6D'!$B$14, "-", '6D'!$B$28, "-", '6D'!$G$5)</f>
        <v>Metering activities - Explanatory variables-Replacement of basic meter with smart meters for business customers – supply-demand balance benefit-AMI meter</v>
      </c>
      <c r="F3334" t="s">
        <v>7182</v>
      </c>
      <c r="G3334" s="2556">
        <f>'6D'!$G$28</f>
        <v>0</v>
      </c>
    </row>
    <row r="3335" spans="1:7">
      <c r="A3335" t="s">
        <v>652</v>
      </c>
      <c r="C3335" s="2556" t="str">
        <f>'6D'!$Y$29</f>
        <v>BO_591138</v>
      </c>
      <c r="D3335" t="str">
        <f>_xlfn.CONCAT('6D'!$B$14, "-", '6D'!$B$29, "-", '6D'!$G$5)</f>
        <v>Metering activities - Explanatory variables-Replacement of AMR meter with AMI meter for business customers– supply-demand balance benefit-AMI meter</v>
      </c>
      <c r="F3335" t="s">
        <v>7182</v>
      </c>
      <c r="G3335" s="2556">
        <f>'6D'!$G$29</f>
        <v>0</v>
      </c>
    </row>
    <row r="3336" spans="1:7">
      <c r="A3336" t="s">
        <v>652</v>
      </c>
      <c r="C3336" t="str">
        <f>'6D'!$W$30</f>
        <v>BN00101_BM</v>
      </c>
      <c r="D3336" t="str">
        <f>_xlfn.CONCAT('6D'!$B$14, "-", '6D'!$B$30, "-", '6D'!$E$5)</f>
        <v>Metering activities - Explanatory variables-Residential properties - meter penetration-Basic meter</v>
      </c>
      <c r="F3336" t="s">
        <v>7182</v>
      </c>
      <c r="G3336">
        <f>'6D'!$E$30</f>
        <v>45.2</v>
      </c>
    </row>
    <row r="3337" spans="1:7">
      <c r="A3337" t="s">
        <v>652</v>
      </c>
      <c r="C3337" t="str">
        <f>'6D'!$X$30</f>
        <v>BN00101_AMR</v>
      </c>
      <c r="D3337" t="str">
        <f>_xlfn.CONCAT('6D'!$B$14, "-", '6D'!$B$30, "-", '6D'!$F$5)</f>
        <v>Metering activities - Explanatory variables-Residential properties - meter penetration-AMR meter</v>
      </c>
      <c r="F3337" t="s">
        <v>7182</v>
      </c>
      <c r="G3337">
        <f>'6D'!$F$30</f>
        <v>4.5</v>
      </c>
    </row>
    <row r="3338" spans="1:7">
      <c r="A3338" t="s">
        <v>652</v>
      </c>
      <c r="C3338" t="str">
        <f>'6D'!$Y$30</f>
        <v>BN00101_AMI</v>
      </c>
      <c r="D3338" t="str">
        <f>_xlfn.CONCAT('6D'!$B$14, "-", '6D'!$B$30, "-", '6D'!$G$5)</f>
        <v>Metering activities - Explanatory variables-Residential properties - meter penetration-AMI meter</v>
      </c>
      <c r="F3338" t="s">
        <v>7182</v>
      </c>
      <c r="G3338">
        <f>'6D'!$G$30</f>
        <v>3.3</v>
      </c>
    </row>
    <row r="3339" spans="1:7">
      <c r="A3339" t="s">
        <v>652</v>
      </c>
      <c r="C3339" t="str">
        <f>'6D'!$W$33</f>
        <v>BN15500_ML</v>
      </c>
      <c r="D3339" t="str">
        <f>_xlfn.CONCAT('6D'!$B$32, "-", '6D'!$B$33, "-", '6D'!$E$32)</f>
        <v>Leakage activities-Total leakage activity-Maintaining leakage</v>
      </c>
      <c r="F3339" t="s">
        <v>7182</v>
      </c>
      <c r="G3339">
        <f>'6D'!$E$33</f>
        <v>47.122999999999998</v>
      </c>
    </row>
    <row r="3340" spans="1:7">
      <c r="A3340" t="s">
        <v>652</v>
      </c>
      <c r="C3340" t="str">
        <f>'6D'!$X$33</f>
        <v>BN15500_RL</v>
      </c>
      <c r="D3340" t="str">
        <f>_xlfn.CONCAT('6D'!$B$32, "-", '6D'!$B$33, "-", '6D'!$F$32)</f>
        <v>Leakage activities-Total leakage activity-Reducing leakage</v>
      </c>
      <c r="F3340" t="s">
        <v>7182</v>
      </c>
      <c r="G3340">
        <f>'6D'!$F$33</f>
        <v>2.8730000000000002</v>
      </c>
    </row>
    <row r="3341" spans="1:7">
      <c r="A3341" t="s">
        <v>652</v>
      </c>
      <c r="C3341" t="str">
        <f>'6D'!$Y$33</f>
        <v>BN15500_TOT</v>
      </c>
      <c r="D3341" t="str">
        <f>_xlfn.CONCAT('6D'!$B$32, "-", '6D'!$B$33, "-", '6D'!$G$32)</f>
        <v>Leakage activities-Total leakage activity-Total</v>
      </c>
      <c r="F3341" t="s">
        <v>7182</v>
      </c>
      <c r="G3341">
        <f>'6D'!$G$33</f>
        <v>49.995999999999995</v>
      </c>
    </row>
    <row r="3342" spans="1:7">
      <c r="A3342" t="s">
        <v>652</v>
      </c>
      <c r="C3342" s="2556" t="str">
        <f>'6D'!$Y$34</f>
        <v>B0004WNPLI</v>
      </c>
      <c r="D3342" t="str">
        <f>_xlfn.CONCAT('6D'!$B$32, "-", '6D'!$B$34, "-", '6D'!$G$32)</f>
        <v>Leakage activities-Leakage improvements delivering benefits in 2020-25-Total</v>
      </c>
      <c r="F3342" t="s">
        <v>7182</v>
      </c>
      <c r="G3342" s="2556">
        <f>'6D'!$G$34</f>
        <v>15.31</v>
      </c>
    </row>
    <row r="3343" spans="1:7">
      <c r="A3343" t="s">
        <v>652</v>
      </c>
      <c r="C3343" s="2556" t="str">
        <f>'6D'!$W$37</f>
        <v>BN2305</v>
      </c>
      <c r="D3343" t="str">
        <f>_xlfn.CONCAT('6D'!$B$36, "-", '6D'!$B$37, "-", '6D'!$E$32)</f>
        <v>Per capita consumption  (excluding supply pipe leakage)-Per capita consumption (measured)-Maintaining leakage</v>
      </c>
      <c r="F3343" t="s">
        <v>7182</v>
      </c>
      <c r="G3343" s="2556">
        <f>'6D'!$E$37</f>
        <v>137.11000000000001</v>
      </c>
    </row>
    <row r="3344" spans="1:7">
      <c r="A3344" t="s">
        <v>652</v>
      </c>
      <c r="C3344" s="2556" t="str">
        <f>'6D'!$W$38</f>
        <v>BN2304</v>
      </c>
      <c r="D3344" t="str">
        <f>_xlfn.CONCAT('6D'!$B$36, "-", '6D'!$B$38, "-", '6D'!$E$32)</f>
        <v>Per capita consumption  (excluding supply pipe leakage)-Per capita consumption (unmeasured)-Maintaining leakage</v>
      </c>
      <c r="F3344" t="s">
        <v>7182</v>
      </c>
      <c r="G3344" s="2556">
        <f>'6D'!$E$38</f>
        <v>166.93</v>
      </c>
    </row>
    <row r="3345" spans="1:7">
      <c r="A3345" t="s">
        <v>654</v>
      </c>
      <c r="C3345" s="2564" t="str">
        <f>'7D'!$BO$10</f>
        <v>STWD001</v>
      </c>
      <c r="D3345" t="str">
        <f>_xlfn.CONCAT('7D'!$B$9, "-", '7D'!$B$10, "-", '7D'!$E$6, "-", '7D'!$E$6, "-", '7D'!$E$5)</f>
        <v>Load received at sewage treatment works-Load received by STWs in size band 1-Primary-Primary-Treatment categories</v>
      </c>
      <c r="F3345" t="s">
        <v>7182</v>
      </c>
      <c r="G3345" s="2571">
        <f>'7D'!$E$10</f>
        <v>127</v>
      </c>
    </row>
    <row r="3346" spans="1:7">
      <c r="A3346" t="s">
        <v>654</v>
      </c>
      <c r="C3346" s="2564" t="str">
        <f>'7D'!$BP$10</f>
        <v>STWD002</v>
      </c>
      <c r="D3346" t="str">
        <f>_xlfn.CONCAT('7D'!$B$9, "-", '7D'!$B$10, "-", '7D'!$F$7, "-", '7D'!$F$6, "-", '7D'!$E$5)</f>
        <v>Load received at sewage treatment works-Load received by STWs in size band 1-Activated Sludge-Secondary-Treatment categories</v>
      </c>
      <c r="F3346" t="s">
        <v>7182</v>
      </c>
      <c r="G3346" s="2571">
        <f>'7D'!$F$10</f>
        <v>58</v>
      </c>
    </row>
    <row r="3347" spans="1:7">
      <c r="A3347" t="s">
        <v>654</v>
      </c>
      <c r="C3347" s="2564" t="str">
        <f>'7D'!$BQ$10</f>
        <v>STWD003</v>
      </c>
      <c r="D3347" t="str">
        <f>_xlfn.CONCAT('7D'!$B$9, "-", '7D'!$B$10, "-", '7D'!$G$7, "-", '7D'!$F$6, "-", '7D'!$E$5)</f>
        <v>Load received at sewage treatment works-Load received by STWs in size band 1-Biological-Secondary-Treatment categories</v>
      </c>
      <c r="F3347" t="s">
        <v>7182</v>
      </c>
      <c r="G3347" s="2571">
        <f>'7D'!$G$10</f>
        <v>744</v>
      </c>
    </row>
    <row r="3348" spans="1:7">
      <c r="A3348" t="s">
        <v>654</v>
      </c>
      <c r="C3348" s="2564" t="str">
        <f>'7D'!$BR$10</f>
        <v>STWD004</v>
      </c>
      <c r="D3348" t="str">
        <f>_xlfn.CONCAT('7D'!$B$9, "-", '7D'!$B$10, "-", '7D'!$H$7, "-", '7D'!$H$6, "-", '7D'!$E$5)</f>
        <v>Load received at sewage treatment works-Load received by STWs in size band 1-A1-Tertiary-Treatment categories</v>
      </c>
      <c r="F3348" t="s">
        <v>7182</v>
      </c>
      <c r="G3348" s="2571">
        <f>'7D'!$H$10</f>
        <v>0</v>
      </c>
    </row>
    <row r="3349" spans="1:7">
      <c r="A3349" t="s">
        <v>654</v>
      </c>
      <c r="C3349" s="2564" t="str">
        <f>'7D'!$BS$10</f>
        <v>STWD005</v>
      </c>
      <c r="D3349" t="str">
        <f>_xlfn.CONCAT('7D'!$B$9, "-", '7D'!$B$10, "-", '7D'!$I$7, "-", '7D'!$H$6, "-", '7D'!$E$5)</f>
        <v>Load received at sewage treatment works-Load received by STWs in size band 1-A2-Tertiary-Treatment categories</v>
      </c>
      <c r="F3349" t="s">
        <v>7182</v>
      </c>
      <c r="G3349" s="2571">
        <f>'7D'!$I$10</f>
        <v>0</v>
      </c>
    </row>
    <row r="3350" spans="1:7">
      <c r="A3350" t="s">
        <v>654</v>
      </c>
      <c r="C3350" s="2564" t="str">
        <f>'7D'!$BT$10</f>
        <v>STWD006</v>
      </c>
      <c r="D3350" t="str">
        <f>_xlfn.CONCAT('7D'!$B$9, "-", '7D'!$B$10, "-", '7D'!$J$7, "-", '7D'!$H$6, "-", '7D'!$E$5)</f>
        <v>Load received at sewage treatment works-Load received by STWs in size band 1-B1-Tertiary-Treatment categories</v>
      </c>
      <c r="F3350" t="s">
        <v>7182</v>
      </c>
      <c r="G3350" s="2571">
        <f>'7D'!$J$10</f>
        <v>22</v>
      </c>
    </row>
    <row r="3351" spans="1:7">
      <c r="A3351" t="s">
        <v>654</v>
      </c>
      <c r="C3351" s="2564" t="str">
        <f>'7D'!$BU$10</f>
        <v>STWD007</v>
      </c>
      <c r="D3351" t="str">
        <f>_xlfn.CONCAT('7D'!$B$9, "-", '7D'!$B$10, "-", '7D'!$K$7, "-", '7D'!$H$6, "-", '7D'!$E$5)</f>
        <v>Load received at sewage treatment works-Load received by STWs in size band 1-B2-Tertiary-Treatment categories</v>
      </c>
      <c r="F3351" t="s">
        <v>7182</v>
      </c>
      <c r="G3351" s="2571">
        <f>'7D'!$K$10</f>
        <v>0</v>
      </c>
    </row>
    <row r="3352" spans="1:7">
      <c r="A3352" t="s">
        <v>654</v>
      </c>
      <c r="C3352" s="2564" t="str">
        <f>'7D'!$BV$10</f>
        <v>STWD012</v>
      </c>
      <c r="D3352" t="str">
        <f>_xlfn.CONCAT('7D'!$B$9, "-", '7D'!$B$10, "-", '7D'!$L$6, "-", '7D'!$L$6, "-", '7D'!$E$5)</f>
        <v>Load received at sewage treatment works-Load received by STWs in size band 1-Total-Total-Treatment categories</v>
      </c>
      <c r="F3352" t="s">
        <v>7182</v>
      </c>
      <c r="G3352" s="2571">
        <f>'7D'!$L$10</f>
        <v>951</v>
      </c>
    </row>
    <row r="3353" spans="1:7">
      <c r="A3353" t="s">
        <v>654</v>
      </c>
      <c r="C3353" s="2564" t="str">
        <f>'7D'!$BX$10</f>
        <v>STWDP001</v>
      </c>
      <c r="D3353" t="str">
        <f>_xlfn.CONCAT('7D'!$B$9, "-", '7D'!$B$10, "-", '7D'!$N$7, "-", '7D'!$N$6, "-", '7D'!$N$5)</f>
        <v>Load received at sewage treatment works-Load received by STWs in size band 1-&lt;=0.5mg/l-Phosphorus-Treatment works consents</v>
      </c>
      <c r="F3353" t="s">
        <v>7182</v>
      </c>
      <c r="G3353" s="2571">
        <f>'7D'!$N$10</f>
        <v>0</v>
      </c>
    </row>
    <row r="3354" spans="1:7">
      <c r="A3354" t="s">
        <v>654</v>
      </c>
      <c r="C3354" s="2564" t="str">
        <f>'7D'!$BY$10</f>
        <v>STWDP002</v>
      </c>
      <c r="D3354" t="str">
        <f>_xlfn.CONCAT('7D'!$B$9, "-", '7D'!$B$10, "-", '7D'!$O$7, "-", '7D'!$N$6, "-", '7D'!$N$5)</f>
        <v>Load received at sewage treatment works-Load received by STWs in size band 1-&gt;0.5 to &lt;=1mg/l-Phosphorus-Treatment works consents</v>
      </c>
      <c r="F3354" t="s">
        <v>7182</v>
      </c>
      <c r="G3354" s="2571">
        <f>'7D'!$O$10</f>
        <v>0</v>
      </c>
    </row>
    <row r="3355" spans="1:7">
      <c r="A3355" t="s">
        <v>654</v>
      </c>
      <c r="C3355" s="2564" t="str">
        <f>'7D'!$BZ$10</f>
        <v>STWDP003</v>
      </c>
      <c r="D3355" t="str">
        <f>_xlfn.CONCAT('7D'!$B$9, "-", '7D'!$B$10, "-", '7D'!$P$7, "-", '7D'!$N$6, "-", '7D'!$N$5)</f>
        <v>Load received at sewage treatment works-Load received by STWs in size band 1-&gt;1mg/l-Phosphorus-Treatment works consents</v>
      </c>
      <c r="F3355" t="s">
        <v>7182</v>
      </c>
      <c r="G3355" s="2571">
        <f>'7D'!$P$10</f>
        <v>0</v>
      </c>
    </row>
    <row r="3356" spans="1:7">
      <c r="A3356" t="s">
        <v>654</v>
      </c>
      <c r="C3356" s="2564" t="str">
        <f>'7D'!$CA$10</f>
        <v>STWDP004</v>
      </c>
      <c r="D3356" t="str">
        <f>_xlfn.CONCAT('7D'!$B$9, "-", '7D'!$B$10, "-", '7D'!$Q$7, "-", '7D'!$N$6, "-", '7D'!$N$5)</f>
        <v>Load received at sewage treatment works-Load received by STWs in size band 1-No permit-Phosphorus-Treatment works consents</v>
      </c>
      <c r="F3356" t="s">
        <v>7182</v>
      </c>
      <c r="G3356" s="2571">
        <f>'7D'!$Q$10</f>
        <v>951</v>
      </c>
    </row>
    <row r="3357" spans="1:7">
      <c r="A3357" t="s">
        <v>654</v>
      </c>
      <c r="C3357" s="2564" t="str">
        <f>'7D'!$CB$10</f>
        <v>STWDP005</v>
      </c>
      <c r="D3357" t="str">
        <f>_xlfn.CONCAT('7D'!$B$9, "-", '7D'!$B$10, "-", '7D'!$R$7, "-", '7D'!$N$6, "-", '7D'!$N$5)</f>
        <v>Load received at sewage treatment works-Load received by STWs in size band 1-Total-Phosphorus-Treatment works consents</v>
      </c>
      <c r="F3357" t="s">
        <v>7182</v>
      </c>
      <c r="G3357" s="2571">
        <f>'7D'!$R$10</f>
        <v>951</v>
      </c>
    </row>
    <row r="3358" spans="1:7">
      <c r="A3358" t="s">
        <v>654</v>
      </c>
      <c r="C3358" s="2564" t="str">
        <f>'7D'!$CC$10</f>
        <v>STWDB001</v>
      </c>
      <c r="D3358" t="str">
        <f>_xlfn.CONCAT('7D'!$B$9, "-", '7D'!$B$10, "-", '7D'!$S$7, "-", '7D'!$S$6, "-", '7D'!$N$5)</f>
        <v>Load received at sewage treatment works-Load received by STWs in size band 1-&lt;=7mg/l-BOD5-Treatment works consents</v>
      </c>
      <c r="F3358" t="s">
        <v>7182</v>
      </c>
      <c r="G3358" s="2571">
        <f>'7D'!$S$10</f>
        <v>0</v>
      </c>
    </row>
    <row r="3359" spans="1:7">
      <c r="A3359" t="s">
        <v>654</v>
      </c>
      <c r="C3359" s="2564" t="str">
        <f>'7D'!$CD$10</f>
        <v>STWDB002</v>
      </c>
      <c r="D3359" t="str">
        <f>_xlfn.CONCAT('7D'!$B$9, "-", '7D'!$B$10, "-", '7D'!$T$7, "-", '7D'!$S$6, "-", '7D'!$N$5)</f>
        <v>Load received at sewage treatment works-Load received by STWs in size band 1-&gt;7 to &lt;=10mg/l-BOD5-Treatment works consents</v>
      </c>
      <c r="F3359" t="s">
        <v>7182</v>
      </c>
      <c r="G3359" s="2571">
        <f>'7D'!$T$10</f>
        <v>0</v>
      </c>
    </row>
    <row r="3360" spans="1:7">
      <c r="A3360" t="s">
        <v>654</v>
      </c>
      <c r="C3360" s="2564" t="str">
        <f>'7D'!$CE$10</f>
        <v>STWDB003</v>
      </c>
      <c r="D3360" t="str">
        <f>_xlfn.CONCAT('7D'!$B$9, "-", '7D'!$B$10, "-", '7D'!$U$7, "-", '7D'!$S$6, "-", '7D'!$N$5)</f>
        <v>Load received at sewage treatment works-Load received by STWs in size band 1-&gt;10 to &lt;=20mg/l-BOD5-Treatment works consents</v>
      </c>
      <c r="F3360" t="s">
        <v>7182</v>
      </c>
      <c r="G3360" s="2571">
        <f>'7D'!$U$10</f>
        <v>17</v>
      </c>
    </row>
    <row r="3361" spans="1:7">
      <c r="A3361" t="s">
        <v>654</v>
      </c>
      <c r="C3361" s="2564" t="str">
        <f>'7D'!$CF$10</f>
        <v>STWDB004</v>
      </c>
      <c r="D3361" t="str">
        <f>_xlfn.CONCAT('7D'!$B$9, "-", '7D'!$B$10, "-", '7D'!$V$7, "-", '7D'!$S$6, "-", '7D'!$N$5)</f>
        <v>Load received at sewage treatment works-Load received by STWs in size band 1-&gt;20mg/l-BOD5-Treatment works consents</v>
      </c>
      <c r="F3361" t="s">
        <v>7182</v>
      </c>
      <c r="G3361" s="2571">
        <f>'7D'!$V$10</f>
        <v>228</v>
      </c>
    </row>
    <row r="3362" spans="1:7">
      <c r="A3362" t="s">
        <v>654</v>
      </c>
      <c r="C3362" s="2564" t="str">
        <f>'7D'!$CG$10</f>
        <v>STWDB005</v>
      </c>
      <c r="D3362" t="str">
        <f>_xlfn.CONCAT('7D'!$B$9, "-", '7D'!$B$10, "-", '7D'!$W$7, "-", '7D'!$S$6, "-", '7D'!$N$5)</f>
        <v>Load received at sewage treatment works-Load received by STWs in size band 1-No permit-BOD5-Treatment works consents</v>
      </c>
      <c r="F3362" t="s">
        <v>7182</v>
      </c>
      <c r="G3362" s="2571">
        <f>'7D'!$W$10</f>
        <v>706</v>
      </c>
    </row>
    <row r="3363" spans="1:7">
      <c r="A3363" t="s">
        <v>654</v>
      </c>
      <c r="C3363" s="2564" t="str">
        <f>'7D'!$CH$10</f>
        <v>STWDB006</v>
      </c>
      <c r="D3363" t="str">
        <f>_xlfn.CONCAT('7D'!$B$9, "-", '7D'!$B$10, "-", '7D'!$X$7, "-", '7D'!$S$6, "-", '7D'!$N$5)</f>
        <v>Load received at sewage treatment works-Load received by STWs in size band 1-Total-BOD5-Treatment works consents</v>
      </c>
      <c r="F3363" t="s">
        <v>7182</v>
      </c>
      <c r="G3363" s="2571">
        <f>'7D'!$X$10</f>
        <v>951</v>
      </c>
    </row>
    <row r="3364" spans="1:7">
      <c r="A3364" t="s">
        <v>654</v>
      </c>
      <c r="C3364" s="2564" t="str">
        <f>'7D'!$CI$10</f>
        <v>STWDA001</v>
      </c>
      <c r="D3364" t="str">
        <f>_xlfn.CONCAT('7D'!$B$9, "-", '7D'!$B$10, "-", '7D'!$Y$7, "-", '7D'!$Y$6, "-", '7D'!$N$5)</f>
        <v>Load received at sewage treatment works-Load received by STWs in size band 1-&lt;=1mg/l-Ammonia-Treatment works consents</v>
      </c>
      <c r="F3364" t="s">
        <v>7182</v>
      </c>
      <c r="G3364" s="2571">
        <f>'7D'!$Y$10</f>
        <v>0</v>
      </c>
    </row>
    <row r="3365" spans="1:7">
      <c r="A3365" t="s">
        <v>654</v>
      </c>
      <c r="C3365" s="2564" t="str">
        <f>'7D'!$CJ$10</f>
        <v>STWDA002</v>
      </c>
      <c r="D3365" t="str">
        <f>_xlfn.CONCAT('7D'!$B$9, "-", '7D'!$B$10, "-", '7D'!$Z$7, "-", '7D'!$Y$6, "-", '7D'!$N$5)</f>
        <v>Load received at sewage treatment works-Load received by STWs in size band 1-&gt;1 to &lt;=3mg/l-Ammonia-Treatment works consents</v>
      </c>
      <c r="F3365" t="s">
        <v>7182</v>
      </c>
      <c r="G3365" s="2571">
        <f>'7D'!$Z$10</f>
        <v>0</v>
      </c>
    </row>
    <row r="3366" spans="1:7">
      <c r="A3366" t="s">
        <v>654</v>
      </c>
      <c r="C3366" s="2564" t="str">
        <f>'7D'!$CK$10</f>
        <v>STWDA003</v>
      </c>
      <c r="D3366" t="str">
        <f>_xlfn.CONCAT('7D'!$B$9, "-", '7D'!$B$10, "-", '7D'!$AA$7, "-", '7D'!$Y$6, "-", '7D'!$N$5)</f>
        <v>Load received at sewage treatment works-Load received by STWs in size band 1-&gt;3 to &lt;=10mg/l-Ammonia-Treatment works consents</v>
      </c>
      <c r="F3366" t="s">
        <v>7182</v>
      </c>
      <c r="G3366" s="2571">
        <f>'7D'!$AA$10</f>
        <v>0</v>
      </c>
    </row>
    <row r="3367" spans="1:7">
      <c r="A3367" t="s">
        <v>654</v>
      </c>
      <c r="C3367" s="2564" t="str">
        <f>'7D'!$CL$10</f>
        <v>STWDA004</v>
      </c>
      <c r="D3367" t="str">
        <f>_xlfn.CONCAT('7D'!$B$9, "-", '7D'!$B$10, "-", '7D'!$AB$7, "-", '7D'!$Y$6, "-", '7D'!$N$5)</f>
        <v>Load received at sewage treatment works-Load received by STWs in size band 1-&gt;10mg/l-Ammonia-Treatment works consents</v>
      </c>
      <c r="F3367" t="s">
        <v>7182</v>
      </c>
      <c r="G3367" s="2571">
        <f>'7D'!$AB$10</f>
        <v>72</v>
      </c>
    </row>
    <row r="3368" spans="1:7">
      <c r="A3368" t="s">
        <v>654</v>
      </c>
      <c r="C3368" s="2564" t="str">
        <f>'7D'!$CM$10</f>
        <v>STWDA005</v>
      </c>
      <c r="D3368" t="str">
        <f>_xlfn.CONCAT('7D'!$B$9, "-", '7D'!$B$10, "-", '7D'!$AC$7, "-", '7D'!$Y$6, "-", '7D'!$N$5)</f>
        <v>Load received at sewage treatment works-Load received by STWs in size band 1-No permit-Ammonia-Treatment works consents</v>
      </c>
      <c r="F3368" t="s">
        <v>7182</v>
      </c>
      <c r="G3368" s="2571">
        <f>'7D'!$AC$10</f>
        <v>879</v>
      </c>
    </row>
    <row r="3369" spans="1:7">
      <c r="A3369" t="s">
        <v>654</v>
      </c>
      <c r="C3369" s="2564" t="str">
        <f>'7D'!$CN$10</f>
        <v>STWDA006</v>
      </c>
      <c r="D3369" t="str">
        <f>_xlfn.CONCAT('7D'!$B$9, "-", '7D'!$B$10, "-", '7D'!$AD$7, "-", '7D'!$Y$6, "-", '7D'!$N$5)</f>
        <v>Load received at sewage treatment works-Load received by STWs in size band 1-Total-Ammonia-Treatment works consents</v>
      </c>
      <c r="F3369" t="s">
        <v>7182</v>
      </c>
      <c r="G3369" s="2571">
        <f>'7D'!$AD$10</f>
        <v>951</v>
      </c>
    </row>
    <row r="3370" spans="1:7">
      <c r="A3370" t="s">
        <v>654</v>
      </c>
      <c r="C3370" s="2564" t="str">
        <f>'7D'!$BO$11</f>
        <v>STWD015</v>
      </c>
      <c r="D3370" t="str">
        <f>_xlfn.CONCAT('7D'!$B$9, "-", '7D'!$B$11, "-", '7D'!$E$6, "-", '7D'!$E$6, "-", '7D'!$E$5)</f>
        <v>Load received at sewage treatment works-Load received by STWs in size band 2-Primary-Primary-Treatment categories</v>
      </c>
      <c r="F3370" t="s">
        <v>7182</v>
      </c>
      <c r="G3370" s="2571">
        <f>'7D'!$E$11</f>
        <v>0</v>
      </c>
    </row>
    <row r="3371" spans="1:7">
      <c r="A3371" t="s">
        <v>654</v>
      </c>
      <c r="C3371" s="2564" t="str">
        <f>'7D'!$BP$11</f>
        <v>STWD016</v>
      </c>
      <c r="D3371" t="str">
        <f>_xlfn.CONCAT('7D'!$B$9, "-", '7D'!$B$11, "-", '7D'!$F$7, "-", '7D'!$F$6, "-", '7D'!$E$5)</f>
        <v>Load received at sewage treatment works-Load received by STWs in size band 2-Activated Sludge-Secondary-Treatment categories</v>
      </c>
      <c r="F3371" t="s">
        <v>7182</v>
      </c>
      <c r="G3371" s="2571">
        <f>'7D'!$F$11</f>
        <v>0</v>
      </c>
    </row>
    <row r="3372" spans="1:7">
      <c r="A3372" t="s">
        <v>654</v>
      </c>
      <c r="C3372" s="2564" t="str">
        <f>'7D'!$BQ$11</f>
        <v>STWD017</v>
      </c>
      <c r="D3372" t="str">
        <f>_xlfn.CONCAT('7D'!$B$9, "-", '7D'!$B$11, "-", '7D'!$G$7, "-", '7D'!$F$6, "-", '7D'!$E$5)</f>
        <v>Load received at sewage treatment works-Load received by STWs in size band 2-Biological-Secondary-Treatment categories</v>
      </c>
      <c r="F3372" t="s">
        <v>7182</v>
      </c>
      <c r="G3372" s="2571">
        <f>'7D'!$G$11</f>
        <v>403</v>
      </c>
    </row>
    <row r="3373" spans="1:7">
      <c r="A3373" t="s">
        <v>654</v>
      </c>
      <c r="C3373" s="2564" t="str">
        <f>'7D'!$BR$11</f>
        <v>STWD018</v>
      </c>
      <c r="D3373" t="str">
        <f>_xlfn.CONCAT('7D'!$B$9, "-", '7D'!$B$11, "-", '7D'!$H$7, "-", '7D'!$H$6, "-", '7D'!$E$5)</f>
        <v>Load received at sewage treatment works-Load received by STWs in size band 2-A1-Tertiary-Treatment categories</v>
      </c>
      <c r="F3373" t="s">
        <v>7182</v>
      </c>
      <c r="G3373" s="2571">
        <f>'7D'!$H$11</f>
        <v>0</v>
      </c>
    </row>
    <row r="3374" spans="1:7">
      <c r="A3374" t="s">
        <v>654</v>
      </c>
      <c r="C3374" s="2564" t="str">
        <f>'7D'!$BS$11</f>
        <v>STWD019</v>
      </c>
      <c r="D3374" t="str">
        <f>_xlfn.CONCAT('7D'!$B$9, "-", '7D'!$B$11, "-", '7D'!$I$7, "-", '7D'!$H$6, "-", '7D'!$E$5)</f>
        <v>Load received at sewage treatment works-Load received by STWs in size band 2-A2-Tertiary-Treatment categories</v>
      </c>
      <c r="F3374" t="s">
        <v>7182</v>
      </c>
      <c r="G3374" s="2571">
        <f>'7D'!$I$11</f>
        <v>0</v>
      </c>
    </row>
    <row r="3375" spans="1:7">
      <c r="A3375" t="s">
        <v>654</v>
      </c>
      <c r="C3375" s="2564" t="str">
        <f>'7D'!$BT$11</f>
        <v>STWD020</v>
      </c>
      <c r="D3375" t="str">
        <f>_xlfn.CONCAT('7D'!$B$9, "-", '7D'!$B$11, "-", '7D'!$J$7, "-", '7D'!$H$6, "-", '7D'!$E$5)</f>
        <v>Load received at sewage treatment works-Load received by STWs in size band 2-B1-Tertiary-Treatment categories</v>
      </c>
      <c r="F3375" t="s">
        <v>7182</v>
      </c>
      <c r="G3375" s="2571">
        <f>'7D'!$J$11</f>
        <v>0</v>
      </c>
    </row>
    <row r="3376" spans="1:7">
      <c r="A3376" t="s">
        <v>654</v>
      </c>
      <c r="C3376" s="2564" t="str">
        <f>'7D'!$BU$11</f>
        <v>STWD021</v>
      </c>
      <c r="D3376" t="str">
        <f>_xlfn.CONCAT('7D'!$B$9, "-", '7D'!$B$11, "-", '7D'!$K$7, "-", '7D'!$H$6, "-", '7D'!$E$5)</f>
        <v>Load received at sewage treatment works-Load received by STWs in size band 2-B2-Tertiary-Treatment categories</v>
      </c>
      <c r="F3376" t="s">
        <v>7182</v>
      </c>
      <c r="G3376" s="2571">
        <f>'7D'!$K$11</f>
        <v>56</v>
      </c>
    </row>
    <row r="3377" spans="1:7">
      <c r="A3377" t="s">
        <v>654</v>
      </c>
      <c r="C3377" s="2564" t="str">
        <f>'7D'!$BV$11</f>
        <v>STWD026</v>
      </c>
      <c r="D3377" t="str">
        <f>_xlfn.CONCAT('7D'!$B$9, "-", '7D'!$B$11, "-", '7D'!$L$6, "-", '7D'!$L$6, "-", '7D'!$E$5)</f>
        <v>Load received at sewage treatment works-Load received by STWs in size band 2-Total-Total-Treatment categories</v>
      </c>
      <c r="F3377" t="s">
        <v>7182</v>
      </c>
      <c r="G3377" s="2571">
        <f>'7D'!$L$11</f>
        <v>459</v>
      </c>
    </row>
    <row r="3378" spans="1:7">
      <c r="A3378" t="s">
        <v>654</v>
      </c>
      <c r="C3378" s="2564" t="str">
        <f>'7D'!$BX$11</f>
        <v>STWDP015</v>
      </c>
      <c r="D3378" t="str">
        <f>_xlfn.CONCAT('7D'!$B$9, "-", '7D'!$B$11, "-", '7D'!$N$7, "-", '7D'!$N$6, "-", '7D'!$N$5)</f>
        <v>Load received at sewage treatment works-Load received by STWs in size band 2-&lt;=0.5mg/l-Phosphorus-Treatment works consents</v>
      </c>
      <c r="F3378" t="s">
        <v>7182</v>
      </c>
      <c r="G3378" s="2571">
        <f>'7D'!$N$11</f>
        <v>0</v>
      </c>
    </row>
    <row r="3379" spans="1:7">
      <c r="A3379" t="s">
        <v>654</v>
      </c>
      <c r="C3379" s="2564" t="str">
        <f>'7D'!$BY$11</f>
        <v>STWDP016</v>
      </c>
      <c r="D3379" t="str">
        <f>_xlfn.CONCAT('7D'!$B$9, "-", '7D'!$B$11, "-", '7D'!$O$7, "-", '7D'!$N$6, "-", '7D'!$N$5)</f>
        <v>Load received at sewage treatment works-Load received by STWs in size band 2-&gt;0.5 to &lt;=1mg/l-Phosphorus-Treatment works consents</v>
      </c>
      <c r="F3379" t="s">
        <v>7182</v>
      </c>
      <c r="G3379" s="2571">
        <f>'7D'!$O$11</f>
        <v>0</v>
      </c>
    </row>
    <row r="3380" spans="1:7">
      <c r="A3380" t="s">
        <v>654</v>
      </c>
      <c r="C3380" s="2564" t="str">
        <f>'7D'!$BZ$11</f>
        <v>STWDP017</v>
      </c>
      <c r="D3380" t="str">
        <f>_xlfn.CONCAT('7D'!$B$9, "-", '7D'!$B$11, "-", '7D'!$P$7, "-", '7D'!$N$6, "-", '7D'!$N$5)</f>
        <v>Load received at sewage treatment works-Load received by STWs in size band 2-&gt;1mg/l-Phosphorus-Treatment works consents</v>
      </c>
      <c r="F3380" t="s">
        <v>7182</v>
      </c>
      <c r="G3380" s="2571">
        <f>'7D'!$P$11</f>
        <v>0</v>
      </c>
    </row>
    <row r="3381" spans="1:7">
      <c r="A3381" t="s">
        <v>654</v>
      </c>
      <c r="C3381" s="2564" t="str">
        <f>'7D'!$CA$11</f>
        <v>STWDP018</v>
      </c>
      <c r="D3381" t="str">
        <f>_xlfn.CONCAT('7D'!$B$9, "-", '7D'!$B$11, "-", '7D'!$Q$7, "-", '7D'!$N$6, "-", '7D'!$N$5)</f>
        <v>Load received at sewage treatment works-Load received by STWs in size band 2-No permit-Phosphorus-Treatment works consents</v>
      </c>
      <c r="F3381" t="s">
        <v>7182</v>
      </c>
      <c r="G3381" s="2571">
        <f>'7D'!$Q$11</f>
        <v>459</v>
      </c>
    </row>
    <row r="3382" spans="1:7">
      <c r="A3382" t="s">
        <v>654</v>
      </c>
      <c r="C3382" s="2564" t="str">
        <f>'7D'!$CB$11</f>
        <v>STWDP019</v>
      </c>
      <c r="D3382" t="str">
        <f>_xlfn.CONCAT('7D'!$B$9, "-", '7D'!$B$11, "-", '7D'!$R$7, "-", '7D'!$N$6, "-", '7D'!$N$5)</f>
        <v>Load received at sewage treatment works-Load received by STWs in size band 2-Total-Phosphorus-Treatment works consents</v>
      </c>
      <c r="F3382" t="s">
        <v>7182</v>
      </c>
      <c r="G3382" s="2571">
        <f>'7D'!$R$11</f>
        <v>459</v>
      </c>
    </row>
    <row r="3383" spans="1:7">
      <c r="A3383" t="s">
        <v>654</v>
      </c>
      <c r="C3383" s="2564" t="str">
        <f>'7D'!$CC$11</f>
        <v>STWDB015</v>
      </c>
      <c r="D3383" t="str">
        <f>_xlfn.CONCAT('7D'!$B$9, "-", '7D'!$B$11, "-", '7D'!$S$7, "-", '7D'!$S$6, "-", '7D'!$N$5)</f>
        <v>Load received at sewage treatment works-Load received by STWs in size band 2-&lt;=7mg/l-BOD5-Treatment works consents</v>
      </c>
      <c r="F3383" t="s">
        <v>7182</v>
      </c>
      <c r="G3383" s="2571">
        <f>'7D'!$S$11</f>
        <v>0</v>
      </c>
    </row>
    <row r="3384" spans="1:7">
      <c r="A3384" t="s">
        <v>654</v>
      </c>
      <c r="C3384" s="2564" t="str">
        <f>'7D'!$CD$11</f>
        <v>STWDB016</v>
      </c>
      <c r="D3384" t="str">
        <f>_xlfn.CONCAT('7D'!$B$9, "-", '7D'!$B$11, "-", '7D'!$T$7, "-", '7D'!$S$6, "-", '7D'!$N$5)</f>
        <v>Load received at sewage treatment works-Load received by STWs in size band 2-&gt;7 to &lt;=10mg/l-BOD5-Treatment works consents</v>
      </c>
      <c r="F3384" t="s">
        <v>7182</v>
      </c>
      <c r="G3384" s="2571">
        <f>'7D'!$T$11</f>
        <v>0</v>
      </c>
    </row>
    <row r="3385" spans="1:7">
      <c r="A3385" t="s">
        <v>654</v>
      </c>
      <c r="C3385" s="2564" t="str">
        <f>'7D'!$CE$11</f>
        <v>STWDB017</v>
      </c>
      <c r="D3385" t="str">
        <f>_xlfn.CONCAT('7D'!$B$9, "-", '7D'!$B$11, "-", '7D'!$U$7, "-", '7D'!$S$6, "-", '7D'!$N$5)</f>
        <v>Load received at sewage treatment works-Load received by STWs in size band 2-&gt;10 to &lt;=20mg/l-BOD5-Treatment works consents</v>
      </c>
      <c r="F3385" t="s">
        <v>7182</v>
      </c>
      <c r="G3385" s="2571">
        <f>'7D'!$U$11</f>
        <v>46</v>
      </c>
    </row>
    <row r="3386" spans="1:7">
      <c r="A3386" t="s">
        <v>654</v>
      </c>
      <c r="C3386" s="2564" t="str">
        <f>'7D'!$CF$11</f>
        <v>STWDB018</v>
      </c>
      <c r="D3386" t="str">
        <f>_xlfn.CONCAT('7D'!$B$9, "-", '7D'!$B$11, "-", '7D'!$V$7, "-", '7D'!$S$6, "-", '7D'!$N$5)</f>
        <v>Load received at sewage treatment works-Load received by STWs in size band 2-&gt;20mg/l-BOD5-Treatment works consents</v>
      </c>
      <c r="F3386" t="s">
        <v>7182</v>
      </c>
      <c r="G3386" s="2571">
        <f>'7D'!$V$11</f>
        <v>375</v>
      </c>
    </row>
    <row r="3387" spans="1:7">
      <c r="A3387" t="s">
        <v>654</v>
      </c>
      <c r="C3387" s="2564" t="str">
        <f>'7D'!$CG$11</f>
        <v>STWDB019</v>
      </c>
      <c r="D3387" t="str">
        <f>_xlfn.CONCAT('7D'!$B$9, "-", '7D'!$B$11, "-", '7D'!$W$7, "-", '7D'!$S$6, "-", '7D'!$N$5)</f>
        <v>Load received at sewage treatment works-Load received by STWs in size band 2-No permit-BOD5-Treatment works consents</v>
      </c>
      <c r="F3387" t="s">
        <v>7182</v>
      </c>
      <c r="G3387" s="2571">
        <f>'7D'!$W$11</f>
        <v>37</v>
      </c>
    </row>
    <row r="3388" spans="1:7">
      <c r="A3388" t="s">
        <v>654</v>
      </c>
      <c r="C3388" s="2564" t="str">
        <f>'7D'!$CH$11</f>
        <v>STWDB020</v>
      </c>
      <c r="D3388" t="str">
        <f>_xlfn.CONCAT('7D'!$B$9, "-", '7D'!$B$11, "-", '7D'!$X$7, "-", '7D'!$S$6, "-", '7D'!$N$5)</f>
        <v>Load received at sewage treatment works-Load received by STWs in size band 2-Total-BOD5-Treatment works consents</v>
      </c>
      <c r="F3388" t="s">
        <v>7182</v>
      </c>
      <c r="G3388" s="2571">
        <f>'7D'!$X$11</f>
        <v>458</v>
      </c>
    </row>
    <row r="3389" spans="1:7">
      <c r="A3389" t="s">
        <v>654</v>
      </c>
      <c r="C3389" s="2564" t="str">
        <f>'7D'!$CI$11</f>
        <v>STWDA015</v>
      </c>
      <c r="D3389" t="str">
        <f>_xlfn.CONCAT('7D'!$B$9, "-", '7D'!$B$11, "-", '7D'!$Y$7, "-", '7D'!$Y$6, "-", '7D'!$N$5)</f>
        <v>Load received at sewage treatment works-Load received by STWs in size band 2-&lt;=1mg/l-Ammonia-Treatment works consents</v>
      </c>
      <c r="F3389" t="s">
        <v>7182</v>
      </c>
      <c r="G3389" s="2571">
        <f>'7D'!$Y$11</f>
        <v>0</v>
      </c>
    </row>
    <row r="3390" spans="1:7">
      <c r="A3390" t="s">
        <v>654</v>
      </c>
      <c r="C3390" s="2564" t="str">
        <f>'7D'!$CJ$11</f>
        <v>STWDA016</v>
      </c>
      <c r="D3390" t="str">
        <f>_xlfn.CONCAT('7D'!$B$9, "-", '7D'!$B$11, "-", '7D'!$Z$7, "-", '7D'!$Y$6, "-", '7D'!$N$5)</f>
        <v>Load received at sewage treatment works-Load received by STWs in size band 2-&gt;1 to &lt;=3mg/l-Ammonia-Treatment works consents</v>
      </c>
      <c r="F3390" t="s">
        <v>7182</v>
      </c>
      <c r="G3390" s="2571">
        <f>'7D'!$Z$11</f>
        <v>0</v>
      </c>
    </row>
    <row r="3391" spans="1:7">
      <c r="A3391" t="s">
        <v>654</v>
      </c>
      <c r="C3391" s="2564" t="str">
        <f>'7D'!$CK$11</f>
        <v>STWDA017</v>
      </c>
      <c r="D3391" t="str">
        <f>_xlfn.CONCAT('7D'!$B$9, "-", '7D'!$B$11, "-", '7D'!$AA$7, "-", '7D'!$Y$6, "-", '7D'!$N$5)</f>
        <v>Load received at sewage treatment works-Load received by STWs in size band 2-&gt;3 to &lt;=10mg/l-Ammonia-Treatment works consents</v>
      </c>
      <c r="F3391" t="s">
        <v>7182</v>
      </c>
      <c r="G3391" s="2571">
        <f>'7D'!$AA$11</f>
        <v>22</v>
      </c>
    </row>
    <row r="3392" spans="1:7">
      <c r="A3392" t="s">
        <v>654</v>
      </c>
      <c r="C3392" s="2564" t="str">
        <f>'7D'!$CL$11</f>
        <v>STWDA018</v>
      </c>
      <c r="D3392" t="str">
        <f>_xlfn.CONCAT('7D'!$B$9, "-", '7D'!$B$11, "-", '7D'!$AB$7, "-", '7D'!$Y$6, "-", '7D'!$N$5)</f>
        <v>Load received at sewage treatment works-Load received by STWs in size band 2-&gt;10mg/l-Ammonia-Treatment works consents</v>
      </c>
      <c r="F3392" t="s">
        <v>7182</v>
      </c>
      <c r="G3392" s="2571">
        <f>'7D'!$AB$11</f>
        <v>138</v>
      </c>
    </row>
    <row r="3393" spans="1:7">
      <c r="A3393" t="s">
        <v>654</v>
      </c>
      <c r="C3393" s="2564" t="str">
        <f>'7D'!$CM$11</f>
        <v>STWDA019</v>
      </c>
      <c r="D3393" t="str">
        <f>_xlfn.CONCAT('7D'!$B$9, "-", '7D'!$B$11, "-", '7D'!$AC$7, "-", '7D'!$Y$6, "-", '7D'!$N$5)</f>
        <v>Load received at sewage treatment works-Load received by STWs in size band 2-No permit-Ammonia-Treatment works consents</v>
      </c>
      <c r="F3393" t="s">
        <v>7182</v>
      </c>
      <c r="G3393" s="2571">
        <f>'7D'!$AC$11</f>
        <v>298</v>
      </c>
    </row>
    <row r="3394" spans="1:7">
      <c r="A3394" t="s">
        <v>654</v>
      </c>
      <c r="C3394" s="2564" t="str">
        <f>'7D'!$CN$11</f>
        <v>STWDA020</v>
      </c>
      <c r="D3394" t="str">
        <f>_xlfn.CONCAT('7D'!$B$9, "-", '7D'!$B$11, "-", '7D'!$AD$7, "-", '7D'!$Y$6, "-", '7D'!$N$5)</f>
        <v>Load received at sewage treatment works-Load received by STWs in size band 2-Total-Ammonia-Treatment works consents</v>
      </c>
      <c r="F3394" t="s">
        <v>7182</v>
      </c>
      <c r="G3394" s="2571">
        <f>'7D'!$AD$11</f>
        <v>458</v>
      </c>
    </row>
    <row r="3395" spans="1:7">
      <c r="A3395" t="s">
        <v>654</v>
      </c>
      <c r="C3395" s="2564" t="str">
        <f>'7D'!$BO$12</f>
        <v>STWD029</v>
      </c>
      <c r="D3395" t="str">
        <f>_xlfn.CONCAT('7D'!$B$9, "-", '7D'!$B$12, "-", '7D'!$E$6, "-", '7D'!$E$6, "-", '7D'!$E$5)</f>
        <v>Load received at sewage treatment works-Load received by STWs in size band 3-Primary-Primary-Treatment categories</v>
      </c>
      <c r="F3395" t="s">
        <v>7182</v>
      </c>
      <c r="G3395" s="2571">
        <f>'7D'!$E$12</f>
        <v>0</v>
      </c>
    </row>
    <row r="3396" spans="1:7">
      <c r="A3396" t="s">
        <v>654</v>
      </c>
      <c r="C3396" s="2564" t="str">
        <f>'7D'!$BP$12</f>
        <v>STWD030</v>
      </c>
      <c r="D3396" t="str">
        <f>_xlfn.CONCAT('7D'!$B$9, "-", '7D'!$B$12, "-", '7D'!$F$7, "-", '7D'!$F$6, "-", '7D'!$E$5)</f>
        <v>Load received at sewage treatment works-Load received by STWs in size band 3-Activated Sludge-Secondary-Treatment categories</v>
      </c>
      <c r="F3396" t="s">
        <v>7182</v>
      </c>
      <c r="G3396" s="2571">
        <f>'7D'!$F$12</f>
        <v>114</v>
      </c>
    </row>
    <row r="3397" spans="1:7">
      <c r="A3397" t="s">
        <v>654</v>
      </c>
      <c r="C3397" s="2564" t="str">
        <f>'7D'!$BQ$12</f>
        <v>STWD031</v>
      </c>
      <c r="D3397" t="str">
        <f>_xlfn.CONCAT('7D'!$B$9, "-", '7D'!$B$12, "-", '7D'!$G$7, "-", '7D'!$F$6, "-", '7D'!$E$5)</f>
        <v>Load received at sewage treatment works-Load received by STWs in size band 3-Biological-Secondary-Treatment categories</v>
      </c>
      <c r="F3397" t="s">
        <v>7182</v>
      </c>
      <c r="G3397" s="2571">
        <f>'7D'!$G$12</f>
        <v>3090</v>
      </c>
    </row>
    <row r="3398" spans="1:7">
      <c r="A3398" t="s">
        <v>654</v>
      </c>
      <c r="C3398" s="2564" t="str">
        <f>'7D'!$BR$12</f>
        <v>STWD032</v>
      </c>
      <c r="D3398" t="str">
        <f>_xlfn.CONCAT('7D'!$B$9, "-", '7D'!$B$12, "-", '7D'!$H$7, "-", '7D'!$H$6, "-", '7D'!$E$5)</f>
        <v>Load received at sewage treatment works-Load received by STWs in size band 3-A1-Tertiary-Treatment categories</v>
      </c>
      <c r="F3398" t="s">
        <v>7182</v>
      </c>
      <c r="G3398" s="2571">
        <f>'7D'!$H$12</f>
        <v>0</v>
      </c>
    </row>
    <row r="3399" spans="1:7">
      <c r="A3399" t="s">
        <v>654</v>
      </c>
      <c r="C3399" s="2564" t="str">
        <f>'7D'!$BS$12</f>
        <v>STWD033</v>
      </c>
      <c r="D3399" t="str">
        <f>_xlfn.CONCAT('7D'!$B$9, "-", '7D'!$B$12, "-", '7D'!$I$7, "-", '7D'!$H$6, "-", '7D'!$E$5)</f>
        <v>Load received at sewage treatment works-Load received by STWs in size band 3-A2-Tertiary-Treatment categories</v>
      </c>
      <c r="F3399" t="s">
        <v>7182</v>
      </c>
      <c r="G3399" s="2571">
        <f>'7D'!$I$12</f>
        <v>0</v>
      </c>
    </row>
    <row r="3400" spans="1:7">
      <c r="A3400" t="s">
        <v>654</v>
      </c>
      <c r="C3400" s="2564" t="str">
        <f>'7D'!$BT$12</f>
        <v>STWD034</v>
      </c>
      <c r="D3400" t="str">
        <f>_xlfn.CONCAT('7D'!$B$9, "-", '7D'!$B$12, "-", '7D'!$J$7, "-", '7D'!$H$6, "-", '7D'!$E$5)</f>
        <v>Load received at sewage treatment works-Load received by STWs in size band 3-B1-Tertiary-Treatment categories</v>
      </c>
      <c r="F3400" t="s">
        <v>7182</v>
      </c>
      <c r="G3400" s="2571">
        <f>'7D'!$J$12</f>
        <v>0</v>
      </c>
    </row>
    <row r="3401" spans="1:7">
      <c r="A3401" t="s">
        <v>654</v>
      </c>
      <c r="C3401" s="2564" t="str">
        <f>'7D'!$BU$12</f>
        <v>STWD035</v>
      </c>
      <c r="D3401" t="str">
        <f>_xlfn.CONCAT('7D'!$B$9, "-", '7D'!$B$12, "-", '7D'!$K$7, "-", '7D'!$H$6, "-", '7D'!$E$5)</f>
        <v>Load received at sewage treatment works-Load received by STWs in size band 3-B2-Tertiary-Treatment categories</v>
      </c>
      <c r="F3401" t="s">
        <v>7182</v>
      </c>
      <c r="G3401" s="2571">
        <f>'7D'!$K$12</f>
        <v>407</v>
      </c>
    </row>
    <row r="3402" spans="1:7">
      <c r="A3402" t="s">
        <v>654</v>
      </c>
      <c r="C3402" s="2564" t="str">
        <f>'7D'!$BV$12</f>
        <v>STWD040</v>
      </c>
      <c r="D3402" t="str">
        <f>_xlfn.CONCAT('7D'!$B$9, "-", '7D'!$B$12, "-", '7D'!$L$6, "-", '7D'!$L$6, "-", '7D'!$E$5)</f>
        <v>Load received at sewage treatment works-Load received by STWs in size band 3-Total-Total-Treatment categories</v>
      </c>
      <c r="F3402" t="s">
        <v>7182</v>
      </c>
      <c r="G3402" s="2571">
        <f>'7D'!$L$12</f>
        <v>3611</v>
      </c>
    </row>
    <row r="3403" spans="1:7">
      <c r="A3403" t="s">
        <v>654</v>
      </c>
      <c r="C3403" s="2564" t="str">
        <f>'7D'!$BX$12</f>
        <v>STWDP029</v>
      </c>
      <c r="D3403" t="str">
        <f>_xlfn.CONCAT('7D'!$B$9, "-", '7D'!$B$12, "-", '7D'!$N$7, "-", '7D'!$N$6, "-", '7D'!$N$5)</f>
        <v>Load received at sewage treatment works-Load received by STWs in size band 3-&lt;=0.5mg/l-Phosphorus-Treatment works consents</v>
      </c>
      <c r="F3403" t="s">
        <v>7182</v>
      </c>
      <c r="G3403" s="2571">
        <f>'7D'!$N$12</f>
        <v>0</v>
      </c>
    </row>
    <row r="3404" spans="1:7">
      <c r="A3404" t="s">
        <v>654</v>
      </c>
      <c r="C3404" s="2564" t="str">
        <f>'7D'!$BY$12</f>
        <v>STWDP030</v>
      </c>
      <c r="D3404" t="str">
        <f>_xlfn.CONCAT('7D'!$B$9, "-", '7D'!$B$12, "-", '7D'!$O$7, "-", '7D'!$N$6, "-", '7D'!$N$5)</f>
        <v>Load received at sewage treatment works-Load received by STWs in size band 3-&gt;0.5 to &lt;=1mg/l-Phosphorus-Treatment works consents</v>
      </c>
      <c r="F3404" t="s">
        <v>7182</v>
      </c>
      <c r="G3404" s="2571">
        <f>'7D'!$O$12</f>
        <v>285</v>
      </c>
    </row>
    <row r="3405" spans="1:7">
      <c r="A3405" t="s">
        <v>654</v>
      </c>
      <c r="C3405" s="2564" t="str">
        <f>'7D'!$BZ$12</f>
        <v>STWDP031</v>
      </c>
      <c r="D3405" t="str">
        <f>_xlfn.CONCAT('7D'!$B$9, "-", '7D'!$B$12, "-", '7D'!$P$7, "-", '7D'!$N$6, "-", '7D'!$N$5)</f>
        <v>Load received at sewage treatment works-Load received by STWs in size band 3-&gt;1mg/l-Phosphorus-Treatment works consents</v>
      </c>
      <c r="F3405" t="s">
        <v>7182</v>
      </c>
      <c r="G3405" s="2571">
        <f>'7D'!$P$12</f>
        <v>80</v>
      </c>
    </row>
    <row r="3406" spans="1:7">
      <c r="A3406" t="s">
        <v>654</v>
      </c>
      <c r="C3406" s="2564" t="str">
        <f>'7D'!$CA$12</f>
        <v>STWDP032</v>
      </c>
      <c r="D3406" t="str">
        <f>_xlfn.CONCAT('7D'!$B$9, "-", '7D'!$B$12, "-", '7D'!$Q$7, "-", '7D'!$N$6, "-", '7D'!$N$5)</f>
        <v>Load received at sewage treatment works-Load received by STWs in size band 3-No permit-Phosphorus-Treatment works consents</v>
      </c>
      <c r="F3406" t="s">
        <v>7182</v>
      </c>
      <c r="G3406" s="2571">
        <f>'7D'!$Q$12</f>
        <v>3247</v>
      </c>
    </row>
    <row r="3407" spans="1:7">
      <c r="A3407" t="s">
        <v>654</v>
      </c>
      <c r="C3407" s="2564" t="str">
        <f>'7D'!$CB$12</f>
        <v>STWDP033</v>
      </c>
      <c r="D3407" t="str">
        <f>_xlfn.CONCAT('7D'!$B$9, "-", '7D'!$B$12, "-", '7D'!$R$7, "-", '7D'!$N$6, "-", '7D'!$N$5)</f>
        <v>Load received at sewage treatment works-Load received by STWs in size band 3-Total-Phosphorus-Treatment works consents</v>
      </c>
      <c r="F3407" t="s">
        <v>7182</v>
      </c>
      <c r="G3407" s="2571">
        <f>'7D'!$R$12</f>
        <v>3612</v>
      </c>
    </row>
    <row r="3408" spans="1:7">
      <c r="A3408" t="s">
        <v>654</v>
      </c>
      <c r="C3408" s="2564" t="str">
        <f>'7D'!$CC$12</f>
        <v>STWDB029</v>
      </c>
      <c r="D3408" t="str">
        <f>_xlfn.CONCAT('7D'!$B$9, "-", '7D'!$B$12, "-", '7D'!$S$7, "-", '7D'!$S$6, "-", '7D'!$N$5)</f>
        <v>Load received at sewage treatment works-Load received by STWs in size band 3-&lt;=7mg/l-BOD5-Treatment works consents</v>
      </c>
      <c r="F3408" t="s">
        <v>7182</v>
      </c>
      <c r="G3408" s="2571">
        <f>'7D'!$S$12</f>
        <v>0</v>
      </c>
    </row>
    <row r="3409" spans="1:7">
      <c r="A3409" t="s">
        <v>654</v>
      </c>
      <c r="C3409" s="2564" t="str">
        <f>'7D'!$CD$12</f>
        <v>STWDB030</v>
      </c>
      <c r="D3409" t="str">
        <f>_xlfn.CONCAT('7D'!$B$9, "-", '7D'!$B$12, "-", '7D'!$T$7, "-", '7D'!$S$6, "-", '7D'!$N$5)</f>
        <v>Load received at sewage treatment works-Load received by STWs in size band 3-&gt;7 to &lt;=10mg/l-BOD5-Treatment works consents</v>
      </c>
      <c r="F3409" t="s">
        <v>7182</v>
      </c>
      <c r="G3409" s="2571">
        <f>'7D'!$T$12</f>
        <v>0</v>
      </c>
    </row>
    <row r="3410" spans="1:7">
      <c r="A3410" t="s">
        <v>654</v>
      </c>
      <c r="C3410" s="2564" t="str">
        <f>'7D'!$CE$12</f>
        <v>STWDB031</v>
      </c>
      <c r="D3410" t="str">
        <f>_xlfn.CONCAT('7D'!$B$9, "-", '7D'!$B$12, "-", '7D'!$U$7, "-", '7D'!$S$6, "-", '7D'!$N$5)</f>
        <v>Load received at sewage treatment works-Load received by STWs in size band 3-&gt;10 to &lt;=20mg/l-BOD5-Treatment works consents</v>
      </c>
      <c r="F3410" t="s">
        <v>7182</v>
      </c>
      <c r="G3410" s="2571">
        <f>'7D'!$U$12</f>
        <v>596</v>
      </c>
    </row>
    <row r="3411" spans="1:7">
      <c r="A3411" t="s">
        <v>654</v>
      </c>
      <c r="C3411" s="2564" t="str">
        <f>'7D'!$CF$12</f>
        <v>STWDB032</v>
      </c>
      <c r="D3411" t="str">
        <f>_xlfn.CONCAT('7D'!$B$9, "-", '7D'!$B$12, "-", '7D'!$V$7, "-", '7D'!$S$6, "-", '7D'!$N$5)</f>
        <v>Load received at sewage treatment works-Load received by STWs in size band 3-&gt;20mg/l-BOD5-Treatment works consents</v>
      </c>
      <c r="F3411" t="s">
        <v>7182</v>
      </c>
      <c r="G3411" s="2571">
        <f>'7D'!$V$12</f>
        <v>2890</v>
      </c>
    </row>
    <row r="3412" spans="1:7">
      <c r="A3412" t="s">
        <v>654</v>
      </c>
      <c r="C3412" s="2564" t="str">
        <f>'7D'!$CG$12</f>
        <v>STWDB033</v>
      </c>
      <c r="D3412" t="str">
        <f>_xlfn.CONCAT('7D'!$B$9, "-", '7D'!$B$12, "-", '7D'!$W$7, "-", '7D'!$S$6, "-", '7D'!$N$5)</f>
        <v>Load received at sewage treatment works-Load received by STWs in size band 3-No permit-BOD5-Treatment works consents</v>
      </c>
      <c r="F3412" t="s">
        <v>7182</v>
      </c>
      <c r="G3412" s="2571">
        <f>'7D'!$W$12</f>
        <v>125</v>
      </c>
    </row>
    <row r="3413" spans="1:7">
      <c r="A3413" t="s">
        <v>654</v>
      </c>
      <c r="C3413" s="2564" t="str">
        <f>'7D'!$CH$12</f>
        <v>STWDB034</v>
      </c>
      <c r="D3413" t="str">
        <f>_xlfn.CONCAT('7D'!$B$9, "-", '7D'!$B$12, "-", '7D'!$X$7, "-", '7D'!$S$6, "-", '7D'!$N$5)</f>
        <v>Load received at sewage treatment works-Load received by STWs in size band 3-Total-BOD5-Treatment works consents</v>
      </c>
      <c r="F3413" t="s">
        <v>7182</v>
      </c>
      <c r="G3413" s="2571">
        <f>'7D'!$X$12</f>
        <v>3611</v>
      </c>
    </row>
    <row r="3414" spans="1:7">
      <c r="A3414" t="s">
        <v>654</v>
      </c>
      <c r="C3414" s="2564" t="str">
        <f>'7D'!$CI$12</f>
        <v>STWDA029</v>
      </c>
      <c r="D3414" t="str">
        <f>_xlfn.CONCAT('7D'!$B$9, "-", '7D'!$B$12, "-", '7D'!$Y$7, "-", '7D'!$Y$6, "-", '7D'!$N$5)</f>
        <v>Load received at sewage treatment works-Load received by STWs in size band 3-&lt;=1mg/l-Ammonia-Treatment works consents</v>
      </c>
      <c r="F3414" t="s">
        <v>7182</v>
      </c>
      <c r="G3414" s="2571">
        <f>'7D'!$Y$12</f>
        <v>0</v>
      </c>
    </row>
    <row r="3415" spans="1:7">
      <c r="A3415" t="s">
        <v>654</v>
      </c>
      <c r="C3415" s="2564" t="str">
        <f>'7D'!$CJ$12</f>
        <v>STWDA030</v>
      </c>
      <c r="D3415" t="str">
        <f>_xlfn.CONCAT('7D'!$B$9, "-", '7D'!$B$12, "-", '7D'!$Z$7, "-", '7D'!$Y$6, "-", '7D'!$N$5)</f>
        <v>Load received at sewage treatment works-Load received by STWs in size band 3-&gt;1 to &lt;=3mg/l-Ammonia-Treatment works consents</v>
      </c>
      <c r="F3415" t="s">
        <v>7182</v>
      </c>
      <c r="G3415" s="2571">
        <f>'7D'!$Z$12</f>
        <v>0</v>
      </c>
    </row>
    <row r="3416" spans="1:7">
      <c r="A3416" t="s">
        <v>654</v>
      </c>
      <c r="C3416" s="2564" t="str">
        <f>'7D'!$CK$12</f>
        <v>STWDA031</v>
      </c>
      <c r="D3416" t="str">
        <f>_xlfn.CONCAT('7D'!$B$9, "-", '7D'!$B$12, "-", '7D'!$AA$7, "-", '7D'!$Y$6, "-", '7D'!$N$5)</f>
        <v>Load received at sewage treatment works-Load received by STWs in size band 3-&gt;3 to &lt;=10mg/l-Ammonia-Treatment works consents</v>
      </c>
      <c r="F3416" t="s">
        <v>7182</v>
      </c>
      <c r="G3416" s="2571">
        <f>'7D'!$AA$12</f>
        <v>905</v>
      </c>
    </row>
    <row r="3417" spans="1:7">
      <c r="A3417" t="s">
        <v>654</v>
      </c>
      <c r="C3417" s="2564" t="str">
        <f>'7D'!$CL$12</f>
        <v>STWDA032</v>
      </c>
      <c r="D3417" t="str">
        <f>_xlfn.CONCAT('7D'!$B$9, "-", '7D'!$B$12, "-", '7D'!$AB$7, "-", '7D'!$Y$6, "-", '7D'!$N$5)</f>
        <v>Load received at sewage treatment works-Load received by STWs in size band 3-&gt;10mg/l-Ammonia-Treatment works consents</v>
      </c>
      <c r="F3417" t="s">
        <v>7182</v>
      </c>
      <c r="G3417" s="2571">
        <f>'7D'!$AB$12</f>
        <v>1559</v>
      </c>
    </row>
    <row r="3418" spans="1:7">
      <c r="A3418" t="s">
        <v>654</v>
      </c>
      <c r="C3418" s="2564" t="str">
        <f>'7D'!$CM$12</f>
        <v>STWDA033</v>
      </c>
      <c r="D3418" t="str">
        <f>_xlfn.CONCAT('7D'!$B$9, "-", '7D'!$B$12, "-", '7D'!$AC$7, "-", '7D'!$Y$6, "-", '7D'!$N$5)</f>
        <v>Load received at sewage treatment works-Load received by STWs in size band 3-No permit-Ammonia-Treatment works consents</v>
      </c>
      <c r="F3418" t="s">
        <v>7182</v>
      </c>
      <c r="G3418" s="2571">
        <f>'7D'!$AC$12</f>
        <v>1147</v>
      </c>
    </row>
    <row r="3419" spans="1:7">
      <c r="A3419" t="s">
        <v>654</v>
      </c>
      <c r="C3419" s="2564" t="str">
        <f>'7D'!$CN$12</f>
        <v>STWDA034</v>
      </c>
      <c r="D3419" t="str">
        <f>_xlfn.CONCAT('7D'!$B$9, "-", '7D'!$B$12, "-", '7D'!$AD$7, "-", '7D'!$Y$6, "-", '7D'!$N$5)</f>
        <v>Load received at sewage treatment works-Load received by STWs in size band 3-Total-Ammonia-Treatment works consents</v>
      </c>
      <c r="F3419" t="s">
        <v>7182</v>
      </c>
      <c r="G3419" s="2571">
        <f>'7D'!$AD$12</f>
        <v>3611</v>
      </c>
    </row>
    <row r="3420" spans="1:7">
      <c r="A3420" t="s">
        <v>654</v>
      </c>
      <c r="C3420" s="2564" t="str">
        <f>'7D'!$BO$13</f>
        <v>STWD043</v>
      </c>
      <c r="D3420" t="str">
        <f>_xlfn.CONCAT('7D'!$B$9, "-", '7D'!$B$13, "-", '7D'!$E$6, "-", '7D'!$E$6, "-", '7D'!$E$5)</f>
        <v>Load received at sewage treatment works-Load received by STWs in size band 4-Primary-Primary-Treatment categories</v>
      </c>
      <c r="F3420" t="s">
        <v>7182</v>
      </c>
      <c r="G3420" s="2571">
        <f>'7D'!$E$13</f>
        <v>0</v>
      </c>
    </row>
    <row r="3421" spans="1:7">
      <c r="A3421" t="s">
        <v>654</v>
      </c>
      <c r="C3421" s="2564" t="str">
        <f>'7D'!$BP$13</f>
        <v>STWD044</v>
      </c>
      <c r="D3421" t="str">
        <f>_xlfn.CONCAT('7D'!$B$9, "-", '7D'!$B$13, "-", '7D'!$F$7, "-", '7D'!$F$6, "-", '7D'!$E$5)</f>
        <v>Load received at sewage treatment works-Load received by STWs in size band 4-Activated Sludge-Secondary-Treatment categories</v>
      </c>
      <c r="F3421" t="s">
        <v>7182</v>
      </c>
      <c r="G3421" s="2571">
        <f>'7D'!$F$13</f>
        <v>2028</v>
      </c>
    </row>
    <row r="3422" spans="1:7">
      <c r="A3422" t="s">
        <v>654</v>
      </c>
      <c r="C3422" s="2564" t="str">
        <f>'7D'!$BQ$13</f>
        <v>STWD045</v>
      </c>
      <c r="D3422" t="str">
        <f>_xlfn.CONCAT('7D'!$B$9, "-", '7D'!$B$13, "-", '7D'!$G$7, "-", '7D'!$F$6, "-", '7D'!$E$5)</f>
        <v>Load received at sewage treatment works-Load received by STWs in size band 4-Biological-Secondary-Treatment categories</v>
      </c>
      <c r="F3422" t="s">
        <v>7182</v>
      </c>
      <c r="G3422" s="2571">
        <f>'7D'!$G$13</f>
        <v>3882</v>
      </c>
    </row>
    <row r="3423" spans="1:7">
      <c r="A3423" t="s">
        <v>654</v>
      </c>
      <c r="C3423" s="2564" t="str">
        <f>'7D'!$BR$13</f>
        <v>STWD046</v>
      </c>
      <c r="D3423" t="str">
        <f>_xlfn.CONCAT('7D'!$B$9, "-", '7D'!$B$13, "-", '7D'!$H$7, "-", '7D'!$H$6, "-", '7D'!$E$5)</f>
        <v>Load received at sewage treatment works-Load received by STWs in size band 4-A1-Tertiary-Treatment categories</v>
      </c>
      <c r="F3423" t="s">
        <v>7182</v>
      </c>
      <c r="G3423" s="2571">
        <f>'7D'!$H$13</f>
        <v>0</v>
      </c>
    </row>
    <row r="3424" spans="1:7">
      <c r="A3424" t="s">
        <v>654</v>
      </c>
      <c r="C3424" s="2564" t="str">
        <f>'7D'!$BS$13</f>
        <v>STWD047</v>
      </c>
      <c r="D3424" t="str">
        <f>_xlfn.CONCAT('7D'!$B$9, "-", '7D'!$B$13, "-", '7D'!$I$7, "-", '7D'!$H$6, "-", '7D'!$E$5)</f>
        <v>Load received at sewage treatment works-Load received by STWs in size band 4-A2-Tertiary-Treatment categories</v>
      </c>
      <c r="F3424" t="s">
        <v>7182</v>
      </c>
      <c r="G3424" s="2571">
        <f>'7D'!$I$13</f>
        <v>0</v>
      </c>
    </row>
    <row r="3425" spans="1:7">
      <c r="A3425" t="s">
        <v>654</v>
      </c>
      <c r="C3425" s="2564" t="str">
        <f>'7D'!$BT$13</f>
        <v>STWD048</v>
      </c>
      <c r="D3425" t="str">
        <f>_xlfn.CONCAT('7D'!$B$9, "-", '7D'!$B$13, "-", '7D'!$J$7, "-", '7D'!$H$6, "-", '7D'!$E$5)</f>
        <v>Load received at sewage treatment works-Load received by STWs in size band 4-B1-Tertiary-Treatment categories</v>
      </c>
      <c r="F3425" t="s">
        <v>7182</v>
      </c>
      <c r="G3425" s="2571">
        <f>'7D'!$J$13</f>
        <v>2167</v>
      </c>
    </row>
    <row r="3426" spans="1:7">
      <c r="A3426" t="s">
        <v>654</v>
      </c>
      <c r="C3426" s="2564" t="str">
        <f>'7D'!$BU$13</f>
        <v>STWD049</v>
      </c>
      <c r="D3426" t="str">
        <f>_xlfn.CONCAT('7D'!$B$9, "-", '7D'!$B$13, "-", '7D'!$K$7, "-", '7D'!$H$6, "-", '7D'!$E$5)</f>
        <v>Load received at sewage treatment works-Load received by STWs in size band 4-B2-Tertiary-Treatment categories</v>
      </c>
      <c r="F3426" t="s">
        <v>7182</v>
      </c>
      <c r="G3426" s="2571">
        <f>'7D'!$K$13</f>
        <v>1917</v>
      </c>
    </row>
    <row r="3427" spans="1:7">
      <c r="A3427" t="s">
        <v>654</v>
      </c>
      <c r="C3427" s="2564" t="str">
        <f>'7D'!$BV$13</f>
        <v>STWD054</v>
      </c>
      <c r="D3427" t="str">
        <f>_xlfn.CONCAT('7D'!$B$9, "-", '7D'!$B$13, "-", '7D'!$L$6, "-", '7D'!$L$6, "-", '7D'!$E$5)</f>
        <v>Load received at sewage treatment works-Load received by STWs in size band 4-Total-Total-Treatment categories</v>
      </c>
      <c r="F3427" t="s">
        <v>7182</v>
      </c>
      <c r="G3427" s="2571">
        <f>'7D'!$L$13</f>
        <v>9994</v>
      </c>
    </row>
    <row r="3428" spans="1:7">
      <c r="A3428" t="s">
        <v>654</v>
      </c>
      <c r="C3428" s="2564" t="str">
        <f>'7D'!$BX$13</f>
        <v>STWDP043</v>
      </c>
      <c r="D3428" t="str">
        <f>_xlfn.CONCAT('7D'!$B$9, "-", '7D'!$B$13, "-", '7D'!$N$7, "-", '7D'!$N$6, "-", '7D'!$N$5)</f>
        <v>Load received at sewage treatment works-Load received by STWs in size band 4-&lt;=0.5mg/l-Phosphorus-Treatment works consents</v>
      </c>
      <c r="F3428" t="s">
        <v>7182</v>
      </c>
      <c r="G3428" s="2571">
        <f>'7D'!$N$13</f>
        <v>0</v>
      </c>
    </row>
    <row r="3429" spans="1:7">
      <c r="A3429" t="s">
        <v>654</v>
      </c>
      <c r="C3429" s="2564" t="str">
        <f>'7D'!$BY$13</f>
        <v>STWDP044</v>
      </c>
      <c r="D3429" t="str">
        <f>_xlfn.CONCAT('7D'!$B$9, "-", '7D'!$B$13, "-", '7D'!$O$7, "-", '7D'!$N$6, "-", '7D'!$N$5)</f>
        <v>Load received at sewage treatment works-Load received by STWs in size band 4-&gt;0.5 to &lt;=1mg/l-Phosphorus-Treatment works consents</v>
      </c>
      <c r="F3429" t="s">
        <v>7182</v>
      </c>
      <c r="G3429" s="2571">
        <f>'7D'!$O$13</f>
        <v>600</v>
      </c>
    </row>
    <row r="3430" spans="1:7">
      <c r="A3430" t="s">
        <v>654</v>
      </c>
      <c r="C3430" s="2564" t="str">
        <f>'7D'!$BZ$13</f>
        <v>STWDP045</v>
      </c>
      <c r="D3430" t="str">
        <f>_xlfn.CONCAT('7D'!$B$9, "-", '7D'!$B$13, "-", '7D'!$P$7, "-", '7D'!$N$6, "-", '7D'!$N$5)</f>
        <v>Load received at sewage treatment works-Load received by STWs in size band 4-&gt;1mg/l-Phosphorus-Treatment works consents</v>
      </c>
      <c r="F3430" t="s">
        <v>7182</v>
      </c>
      <c r="G3430" s="2571">
        <f>'7D'!$P$13</f>
        <v>1074</v>
      </c>
    </row>
    <row r="3431" spans="1:7">
      <c r="A3431" t="s">
        <v>654</v>
      </c>
      <c r="C3431" s="2564" t="str">
        <f>'7D'!$CA$13</f>
        <v>STWDP046</v>
      </c>
      <c r="D3431" t="str">
        <f>_xlfn.CONCAT('7D'!$B$9, "-", '7D'!$B$13, "-", '7D'!$Q$7, "-", '7D'!$N$6, "-", '7D'!$N$5)</f>
        <v>Load received at sewage treatment works-Load received by STWs in size band 4-No permit-Phosphorus-Treatment works consents</v>
      </c>
      <c r="F3431" t="s">
        <v>7182</v>
      </c>
      <c r="G3431" s="2571">
        <f>'7D'!$Q$13</f>
        <v>8320</v>
      </c>
    </row>
    <row r="3432" spans="1:7">
      <c r="A3432" t="s">
        <v>654</v>
      </c>
      <c r="C3432" s="2564" t="str">
        <f>'7D'!$CB$13</f>
        <v>STWDP047</v>
      </c>
      <c r="D3432" t="str">
        <f>_xlfn.CONCAT('7D'!$B$9, "-", '7D'!$B$13, "-", '7D'!$R$7, "-", '7D'!$N$6, "-", '7D'!$N$5)</f>
        <v>Load received at sewage treatment works-Load received by STWs in size band 4-Total-Phosphorus-Treatment works consents</v>
      </c>
      <c r="F3432" t="s">
        <v>7182</v>
      </c>
      <c r="G3432" s="2571">
        <f>'7D'!$R$13</f>
        <v>9994</v>
      </c>
    </row>
    <row r="3433" spans="1:7">
      <c r="A3433" t="s">
        <v>654</v>
      </c>
      <c r="C3433" s="2564" t="str">
        <f>'7D'!$CC$13</f>
        <v>STWDB043</v>
      </c>
      <c r="D3433" t="str">
        <f>_xlfn.CONCAT('7D'!$B$9, "-", '7D'!$B$13, "-", '7D'!$S$7, "-", '7D'!$S$6, "-", '7D'!$N$5)</f>
        <v>Load received at sewage treatment works-Load received by STWs in size band 4-&lt;=7mg/l-BOD5-Treatment works consents</v>
      </c>
      <c r="F3433" t="s">
        <v>7182</v>
      </c>
      <c r="G3433" s="2571">
        <f>'7D'!$S$13</f>
        <v>0</v>
      </c>
    </row>
    <row r="3434" spans="1:7">
      <c r="A3434" t="s">
        <v>654</v>
      </c>
      <c r="C3434" s="2564" t="str">
        <f>'7D'!$CD$13</f>
        <v>STWDB044</v>
      </c>
      <c r="D3434" t="str">
        <f>_xlfn.CONCAT('7D'!$B$9, "-", '7D'!$B$13, "-", '7D'!$T$7, "-", '7D'!$S$6, "-", '7D'!$N$5)</f>
        <v>Load received at sewage treatment works-Load received by STWs in size band 4-&gt;7 to &lt;=10mg/l-BOD5-Treatment works consents</v>
      </c>
      <c r="F3434" t="s">
        <v>7182</v>
      </c>
      <c r="G3434" s="2571">
        <f>'7D'!$T$13</f>
        <v>1664</v>
      </c>
    </row>
    <row r="3435" spans="1:7">
      <c r="A3435" t="s">
        <v>654</v>
      </c>
      <c r="C3435" s="2564" t="str">
        <f>'7D'!$CE$13</f>
        <v>STWDB045</v>
      </c>
      <c r="D3435" t="str">
        <f>_xlfn.CONCAT('7D'!$B$9, "-", '7D'!$B$13, "-", '7D'!$U$7, "-", '7D'!$S$6, "-", '7D'!$N$5)</f>
        <v>Load received at sewage treatment works-Load received by STWs in size band 4-&gt;10 to &lt;=20mg/l-BOD5-Treatment works consents</v>
      </c>
      <c r="F3435" t="s">
        <v>7182</v>
      </c>
      <c r="G3435" s="2571">
        <f>'7D'!$U$13</f>
        <v>2461</v>
      </c>
    </row>
    <row r="3436" spans="1:7">
      <c r="A3436" t="s">
        <v>654</v>
      </c>
      <c r="C3436" s="2564" t="str">
        <f>'7D'!$CF$13</f>
        <v>STWDB046</v>
      </c>
      <c r="D3436" t="str">
        <f>_xlfn.CONCAT('7D'!$B$9, "-", '7D'!$B$13, "-", '7D'!$V$7, "-", '7D'!$S$6, "-", '7D'!$N$5)</f>
        <v>Load received at sewage treatment works-Load received by STWs in size band 4-&gt;20mg/l-BOD5-Treatment works consents</v>
      </c>
      <c r="F3436" t="s">
        <v>7182</v>
      </c>
      <c r="G3436" s="2571">
        <f>'7D'!$V$13</f>
        <v>5868</v>
      </c>
    </row>
    <row r="3437" spans="1:7">
      <c r="A3437" t="s">
        <v>654</v>
      </c>
      <c r="C3437" s="2564" t="str">
        <f>'7D'!$CG$13</f>
        <v>STWDB047</v>
      </c>
      <c r="D3437" t="str">
        <f>_xlfn.CONCAT('7D'!$B$9, "-", '7D'!$B$13, "-", '7D'!$W$7, "-", '7D'!$S$6, "-", '7D'!$N$5)</f>
        <v>Load received at sewage treatment works-Load received by STWs in size band 4-No permit-BOD5-Treatment works consents</v>
      </c>
      <c r="F3437" t="s">
        <v>7182</v>
      </c>
      <c r="G3437" s="2571">
        <f>'7D'!$W$13</f>
        <v>0</v>
      </c>
    </row>
    <row r="3438" spans="1:7">
      <c r="A3438" t="s">
        <v>654</v>
      </c>
      <c r="C3438" s="2564" t="str">
        <f>'7D'!$CH$13</f>
        <v>STWDB048</v>
      </c>
      <c r="D3438" t="str">
        <f>_xlfn.CONCAT('7D'!$B$9, "-", '7D'!$B$13, "-", '7D'!$X$7, "-", '7D'!$S$6, "-", '7D'!$N$5)</f>
        <v>Load received at sewage treatment works-Load received by STWs in size band 4-Total-BOD5-Treatment works consents</v>
      </c>
      <c r="F3438" t="s">
        <v>7182</v>
      </c>
      <c r="G3438" s="2571">
        <f>'7D'!$X$13</f>
        <v>9993</v>
      </c>
    </row>
    <row r="3439" spans="1:7">
      <c r="A3439" t="s">
        <v>654</v>
      </c>
      <c r="C3439" s="2564" t="str">
        <f>'7D'!$CI$13</f>
        <v>STWDA043</v>
      </c>
      <c r="D3439" t="str">
        <f>_xlfn.CONCAT('7D'!$B$9, "-", '7D'!$B$13, "-", '7D'!$Y$7, "-", '7D'!$Y$6, "-", '7D'!$N$5)</f>
        <v>Load received at sewage treatment works-Load received by STWs in size band 4-&lt;=1mg/l-Ammonia-Treatment works consents</v>
      </c>
      <c r="F3439" t="s">
        <v>7182</v>
      </c>
      <c r="G3439" s="2571">
        <f>'7D'!$Y$13</f>
        <v>0</v>
      </c>
    </row>
    <row r="3440" spans="1:7">
      <c r="A3440" t="s">
        <v>654</v>
      </c>
      <c r="C3440" s="2564" t="str">
        <f>'7D'!$CJ$13</f>
        <v>STWDA044</v>
      </c>
      <c r="D3440" t="str">
        <f>_xlfn.CONCAT('7D'!$B$9, "-", '7D'!$B$13, "-", '7D'!$Z$7, "-", '7D'!$Y$6, "-", '7D'!$N$5)</f>
        <v>Load received at sewage treatment works-Load received by STWs in size band 4-&gt;1 to &lt;=3mg/l-Ammonia-Treatment works consents</v>
      </c>
      <c r="F3440" t="s">
        <v>7182</v>
      </c>
      <c r="G3440" s="2571">
        <f>'7D'!$Z$13</f>
        <v>579</v>
      </c>
    </row>
    <row r="3441" spans="1:7">
      <c r="A3441" t="s">
        <v>654</v>
      </c>
      <c r="C3441" s="2564" t="str">
        <f>'7D'!$CK$13</f>
        <v>STWDA045</v>
      </c>
      <c r="D3441" t="str">
        <f>_xlfn.CONCAT('7D'!$B$9, "-", '7D'!$B$13, "-", '7D'!$AA$7, "-", '7D'!$Y$6, "-", '7D'!$N$5)</f>
        <v>Load received at sewage treatment works-Load received by STWs in size band 4-&gt;3 to &lt;=10mg/l-Ammonia-Treatment works consents</v>
      </c>
      <c r="F3441" t="s">
        <v>7182</v>
      </c>
      <c r="G3441" s="2571">
        <f>'7D'!$AA$13</f>
        <v>3996</v>
      </c>
    </row>
    <row r="3442" spans="1:7">
      <c r="A3442" t="s">
        <v>654</v>
      </c>
      <c r="C3442" s="2564" t="str">
        <f>'7D'!$CL$13</f>
        <v>STWDA046</v>
      </c>
      <c r="D3442" t="str">
        <f>_xlfn.CONCAT('7D'!$B$9, "-", '7D'!$B$13, "-", '7D'!$AB$7, "-", '7D'!$Y$6, "-", '7D'!$N$5)</f>
        <v>Load received at sewage treatment works-Load received by STWs in size band 4-&gt;10mg/l-Ammonia-Treatment works consents</v>
      </c>
      <c r="F3442" t="s">
        <v>7182</v>
      </c>
      <c r="G3442" s="2571">
        <f>'7D'!$AB$13</f>
        <v>2403</v>
      </c>
    </row>
    <row r="3443" spans="1:7">
      <c r="A3443" t="s">
        <v>654</v>
      </c>
      <c r="C3443" s="2564" t="str">
        <f>'7D'!$CM$13</f>
        <v>STWDA047</v>
      </c>
      <c r="D3443" t="str">
        <f>_xlfn.CONCAT('7D'!$B$9, "-", '7D'!$B$13, "-", '7D'!$AC$7, "-", '7D'!$Y$6, "-", '7D'!$N$5)</f>
        <v>Load received at sewage treatment works-Load received by STWs in size band 4-No permit-Ammonia-Treatment works consents</v>
      </c>
      <c r="F3443" t="s">
        <v>7182</v>
      </c>
      <c r="G3443" s="2571">
        <f>'7D'!$AC$13</f>
        <v>3016</v>
      </c>
    </row>
    <row r="3444" spans="1:7">
      <c r="A3444" t="s">
        <v>654</v>
      </c>
      <c r="C3444" s="2564" t="str">
        <f>'7D'!$CN$13</f>
        <v>STWDA048</v>
      </c>
      <c r="D3444" t="str">
        <f>_xlfn.CONCAT('7D'!$B$9, "-", '7D'!$B$13, "-", '7D'!$AD$7, "-", '7D'!$Y$6, "-", '7D'!$N$5)</f>
        <v>Load received at sewage treatment works-Load received by STWs in size band 4-Total-Ammonia-Treatment works consents</v>
      </c>
      <c r="F3444" t="s">
        <v>7182</v>
      </c>
      <c r="G3444" s="2571">
        <f>'7D'!$AD$13</f>
        <v>9994</v>
      </c>
    </row>
    <row r="3445" spans="1:7">
      <c r="A3445" t="s">
        <v>654</v>
      </c>
      <c r="C3445" s="2564" t="str">
        <f>'7D'!$BO$14</f>
        <v>STWD057</v>
      </c>
      <c r="D3445" t="str">
        <f>_xlfn.CONCAT('7D'!$B$9, "-", '7D'!$B$14, "-", '7D'!$E$6, "-", '7D'!$E$6, "-", '7D'!$E$5)</f>
        <v>Load received at sewage treatment works-Load received by STWs in size band 5-Primary-Primary-Treatment categories</v>
      </c>
      <c r="F3445" t="s">
        <v>7182</v>
      </c>
      <c r="G3445" s="2571">
        <f>'7D'!$E$14</f>
        <v>0</v>
      </c>
    </row>
    <row r="3446" spans="1:7">
      <c r="A3446" t="s">
        <v>654</v>
      </c>
      <c r="C3446" s="2564" t="str">
        <f>'7D'!$BP$14</f>
        <v>STWD058</v>
      </c>
      <c r="D3446" t="str">
        <f>_xlfn.CONCAT('7D'!$B$9, "-", '7D'!$B$14, "-", '7D'!$F$7, "-", '7D'!$F$6, "-", '7D'!$E$5)</f>
        <v>Load received at sewage treatment works-Load received by STWs in size band 5-Activated Sludge-Secondary-Treatment categories</v>
      </c>
      <c r="F3446" t="s">
        <v>7182</v>
      </c>
      <c r="G3446" s="2571">
        <f>'7D'!$F$14</f>
        <v>1152</v>
      </c>
    </row>
    <row r="3447" spans="1:7">
      <c r="A3447" t="s">
        <v>654</v>
      </c>
      <c r="C3447" s="2564" t="str">
        <f>'7D'!$BQ$14</f>
        <v>STWD059</v>
      </c>
      <c r="D3447" t="str">
        <f>_xlfn.CONCAT('7D'!$B$9, "-", '7D'!$B$14, "-", '7D'!$G$7, "-", '7D'!$F$6, "-", '7D'!$E$5)</f>
        <v>Load received at sewage treatment works-Load received by STWs in size band 5-Biological-Secondary-Treatment categories</v>
      </c>
      <c r="F3447" t="s">
        <v>7182</v>
      </c>
      <c r="G3447" s="2571">
        <f>'7D'!$G$14</f>
        <v>0</v>
      </c>
    </row>
    <row r="3448" spans="1:7">
      <c r="A3448" t="s">
        <v>654</v>
      </c>
      <c r="C3448" s="2564" t="str">
        <f>'7D'!$BR$14</f>
        <v>STWD060</v>
      </c>
      <c r="D3448" t="str">
        <f>_xlfn.CONCAT('7D'!$B$9, "-", '7D'!$B$14, "-", '7D'!$H$7, "-", '7D'!$H$6, "-", '7D'!$E$5)</f>
        <v>Load received at sewage treatment works-Load received by STWs in size band 5-A1-Tertiary-Treatment categories</v>
      </c>
      <c r="F3448" t="s">
        <v>7182</v>
      </c>
      <c r="G3448" s="2571">
        <f>'7D'!$H$14</f>
        <v>0</v>
      </c>
    </row>
    <row r="3449" spans="1:7">
      <c r="A3449" t="s">
        <v>654</v>
      </c>
      <c r="C3449" s="2564" t="str">
        <f>'7D'!$BS$14</f>
        <v>STWD061</v>
      </c>
      <c r="D3449" t="str">
        <f>_xlfn.CONCAT('7D'!$B$9, "-", '7D'!$B$14, "-", '7D'!$I$7, "-", '7D'!$H$6, "-", '7D'!$E$5)</f>
        <v>Load received at sewage treatment works-Load received by STWs in size band 5-A2-Tertiary-Treatment categories</v>
      </c>
      <c r="F3449" t="s">
        <v>7182</v>
      </c>
      <c r="G3449" s="2571">
        <f>'7D'!$I$14</f>
        <v>3730</v>
      </c>
    </row>
    <row r="3450" spans="1:7">
      <c r="A3450" t="s">
        <v>654</v>
      </c>
      <c r="C3450" s="2564" t="str">
        <f>'7D'!$BT$14</f>
        <v>STWD062</v>
      </c>
      <c r="D3450" t="str">
        <f>_xlfn.CONCAT('7D'!$B$9, "-", '7D'!$B$14, "-", '7D'!$J$7, "-", '7D'!$H$6, "-", '7D'!$E$5)</f>
        <v>Load received at sewage treatment works-Load received by STWs in size band 5-B1-Tertiary-Treatment categories</v>
      </c>
      <c r="F3450" t="s">
        <v>7182</v>
      </c>
      <c r="G3450" s="2571">
        <f>'7D'!$J$14</f>
        <v>1498</v>
      </c>
    </row>
    <row r="3451" spans="1:7">
      <c r="A3451" t="s">
        <v>654</v>
      </c>
      <c r="C3451" s="2564" t="str">
        <f>'7D'!$BU$14</f>
        <v>STWD063</v>
      </c>
      <c r="D3451" t="str">
        <f>_xlfn.CONCAT('7D'!$B$9, "-", '7D'!$B$14, "-", '7D'!$K$7, "-", '7D'!$H$6, "-", '7D'!$E$5)</f>
        <v>Load received at sewage treatment works-Load received by STWs in size band 5-B2-Tertiary-Treatment categories</v>
      </c>
      <c r="F3451" t="s">
        <v>7182</v>
      </c>
      <c r="G3451" s="2571">
        <f>'7D'!$K$14</f>
        <v>5482</v>
      </c>
    </row>
    <row r="3452" spans="1:7">
      <c r="A3452" t="s">
        <v>654</v>
      </c>
      <c r="C3452" s="2564" t="str">
        <f>'7D'!$BV$14</f>
        <v>STWD068</v>
      </c>
      <c r="D3452" t="str">
        <f>_xlfn.CONCAT('7D'!$B$9, "-", '7D'!$B$14, "-", '7D'!$L$6, "-", '7D'!$L$6, "-", '7D'!$E$5)</f>
        <v>Load received at sewage treatment works-Load received by STWs in size band 5-Total-Total-Treatment categories</v>
      </c>
      <c r="F3452" t="s">
        <v>7182</v>
      </c>
      <c r="G3452" s="2571">
        <f>'7D'!$L$14</f>
        <v>11862</v>
      </c>
    </row>
    <row r="3453" spans="1:7">
      <c r="A3453" t="s">
        <v>654</v>
      </c>
      <c r="C3453" s="2564" t="str">
        <f>'7D'!$BX$14</f>
        <v>STWDP057</v>
      </c>
      <c r="D3453" t="str">
        <f>_xlfn.CONCAT('7D'!$B$9, "-", '7D'!$B$14, "-", '7D'!$N$7, "-", '7D'!$N$6, "-", '7D'!$N$5)</f>
        <v>Load received at sewage treatment works-Load received by STWs in size band 5-&lt;=0.5mg/l-Phosphorus-Treatment works consents</v>
      </c>
      <c r="F3453" t="s">
        <v>7182</v>
      </c>
      <c r="G3453" s="2571">
        <f>'7D'!$N$14</f>
        <v>0</v>
      </c>
    </row>
    <row r="3454" spans="1:7">
      <c r="A3454" t="s">
        <v>654</v>
      </c>
      <c r="C3454" s="2564" t="str">
        <f>'7D'!$BY$14</f>
        <v>STWDP058</v>
      </c>
      <c r="D3454" t="str">
        <f>_xlfn.CONCAT('7D'!$B$9, "-", '7D'!$B$14, "-", '7D'!$O$7, "-", '7D'!$N$6, "-", '7D'!$N$5)</f>
        <v>Load received at sewage treatment works-Load received by STWs in size band 5-&gt;0.5 to &lt;=1mg/l-Phosphorus-Treatment works consents</v>
      </c>
      <c r="F3454" t="s">
        <v>7182</v>
      </c>
      <c r="G3454" s="2571">
        <f>'7D'!$O$14</f>
        <v>2083</v>
      </c>
    </row>
    <row r="3455" spans="1:7">
      <c r="A3455" t="s">
        <v>654</v>
      </c>
      <c r="C3455" s="2564" t="str">
        <f>'7D'!$BZ$14</f>
        <v>STWDP059</v>
      </c>
      <c r="D3455" t="str">
        <f>_xlfn.CONCAT('7D'!$B$9, "-", '7D'!$B$14, "-", '7D'!$P$7, "-", '7D'!$N$6, "-", '7D'!$N$5)</f>
        <v>Load received at sewage treatment works-Load received by STWs in size band 5-&gt;1mg/l-Phosphorus-Treatment works consents</v>
      </c>
      <c r="F3455" t="s">
        <v>7182</v>
      </c>
      <c r="G3455" s="2571">
        <f>'7D'!$P$14</f>
        <v>5750</v>
      </c>
    </row>
    <row r="3456" spans="1:7">
      <c r="A3456" t="s">
        <v>654</v>
      </c>
      <c r="C3456" s="2564" t="str">
        <f>'7D'!$CA$14</f>
        <v>STWDP060</v>
      </c>
      <c r="D3456" t="str">
        <f>_xlfn.CONCAT('7D'!$B$9, "-", '7D'!$B$14, "-", '7D'!$Q$7, "-", '7D'!$N$6, "-", '7D'!$N$5)</f>
        <v>Load received at sewage treatment works-Load received by STWs in size band 5-No permit-Phosphorus-Treatment works consents</v>
      </c>
      <c r="F3456" t="s">
        <v>7182</v>
      </c>
      <c r="G3456" s="2571">
        <f>'7D'!$Q$14</f>
        <v>4028</v>
      </c>
    </row>
    <row r="3457" spans="1:7">
      <c r="A3457" t="s">
        <v>654</v>
      </c>
      <c r="C3457" s="2564" t="str">
        <f>'7D'!$CB$14</f>
        <v>STWDP061</v>
      </c>
      <c r="D3457" t="str">
        <f>_xlfn.CONCAT('7D'!$B$9, "-", '7D'!$B$14, "-", '7D'!$R$7, "-", '7D'!$N$6, "-", '7D'!$N$5)</f>
        <v>Load received at sewage treatment works-Load received by STWs in size band 5-Total-Phosphorus-Treatment works consents</v>
      </c>
      <c r="F3457" t="s">
        <v>7182</v>
      </c>
      <c r="G3457" s="2571">
        <f>'7D'!$R$14</f>
        <v>11861</v>
      </c>
    </row>
    <row r="3458" spans="1:7">
      <c r="A3458" t="s">
        <v>654</v>
      </c>
      <c r="C3458" s="2564" t="str">
        <f>'7D'!$CC$14</f>
        <v>STWDB057</v>
      </c>
      <c r="D3458" t="str">
        <f>_xlfn.CONCAT('7D'!$B$9, "-", '7D'!$B$14, "-", '7D'!$S$7, "-", '7D'!$S$6, "-", '7D'!$N$5)</f>
        <v>Load received at sewage treatment works-Load received by STWs in size band 5-&lt;=7mg/l-BOD5-Treatment works consents</v>
      </c>
      <c r="F3458" t="s">
        <v>7182</v>
      </c>
      <c r="G3458" s="2571">
        <f>'7D'!$S$14</f>
        <v>0</v>
      </c>
    </row>
    <row r="3459" spans="1:7">
      <c r="A3459" t="s">
        <v>654</v>
      </c>
      <c r="C3459" s="2564" t="str">
        <f>'7D'!$CD$14</f>
        <v>STWDB058</v>
      </c>
      <c r="D3459" t="str">
        <f>_xlfn.CONCAT('7D'!$B$9, "-", '7D'!$B$14, "-", '7D'!$T$7, "-", '7D'!$S$6, "-", '7D'!$N$5)</f>
        <v>Load received at sewage treatment works-Load received by STWs in size band 5-&gt;7 to &lt;=10mg/l-BOD5-Treatment works consents</v>
      </c>
      <c r="F3459" t="s">
        <v>7182</v>
      </c>
      <c r="G3459" s="2571">
        <f>'7D'!$T$14</f>
        <v>1966</v>
      </c>
    </row>
    <row r="3460" spans="1:7">
      <c r="A3460" t="s">
        <v>654</v>
      </c>
      <c r="C3460" s="2564" t="str">
        <f>'7D'!$CE$14</f>
        <v>STWDB059</v>
      </c>
      <c r="D3460" t="str">
        <f>_xlfn.CONCAT('7D'!$B$9, "-", '7D'!$B$14, "-", '7D'!$U$7, "-", '7D'!$S$6, "-", '7D'!$N$5)</f>
        <v>Load received at sewage treatment works-Load received by STWs in size band 5-&gt;10 to &lt;=20mg/l-BOD5-Treatment works consents</v>
      </c>
      <c r="F3460" t="s">
        <v>7182</v>
      </c>
      <c r="G3460" s="2571">
        <f>'7D'!$U$14</f>
        <v>2469</v>
      </c>
    </row>
    <row r="3461" spans="1:7">
      <c r="A3461" t="s">
        <v>654</v>
      </c>
      <c r="C3461" s="2564" t="str">
        <f>'7D'!$CF$14</f>
        <v>STWDB060</v>
      </c>
      <c r="D3461" t="str">
        <f>_xlfn.CONCAT('7D'!$B$9, "-", '7D'!$B$14, "-", '7D'!$V$7, "-", '7D'!$S$6, "-", '7D'!$N$5)</f>
        <v>Load received at sewage treatment works-Load received by STWs in size band 5-&gt;20mg/l-BOD5-Treatment works consents</v>
      </c>
      <c r="F3461" t="s">
        <v>7182</v>
      </c>
      <c r="G3461" s="2571">
        <f>'7D'!$V$14</f>
        <v>7427</v>
      </c>
    </row>
    <row r="3462" spans="1:7">
      <c r="A3462" t="s">
        <v>654</v>
      </c>
      <c r="C3462" s="2564" t="str">
        <f>'7D'!$CG$14</f>
        <v>STWDB061</v>
      </c>
      <c r="D3462" t="str">
        <f>_xlfn.CONCAT('7D'!$B$9, "-", '7D'!$B$14, "-", '7D'!$W$7, "-", '7D'!$S$6, "-", '7D'!$N$5)</f>
        <v>Load received at sewage treatment works-Load received by STWs in size band 5-No permit-BOD5-Treatment works consents</v>
      </c>
      <c r="F3462" t="s">
        <v>7182</v>
      </c>
      <c r="G3462" s="2571">
        <f>'7D'!$W$14</f>
        <v>0</v>
      </c>
    </row>
    <row r="3463" spans="1:7">
      <c r="A3463" t="s">
        <v>654</v>
      </c>
      <c r="C3463" s="2564" t="str">
        <f>'7D'!$CH$14</f>
        <v>STWDB062</v>
      </c>
      <c r="D3463" t="str">
        <f>_xlfn.CONCAT('7D'!$B$9, "-", '7D'!$B$14, "-", '7D'!$X$7, "-", '7D'!$S$6, "-", '7D'!$N$5)</f>
        <v>Load received at sewage treatment works-Load received by STWs in size band 5-Total-BOD5-Treatment works consents</v>
      </c>
      <c r="F3463" t="s">
        <v>7182</v>
      </c>
      <c r="G3463" s="2571">
        <f>'7D'!$X$14</f>
        <v>11862</v>
      </c>
    </row>
    <row r="3464" spans="1:7">
      <c r="A3464" t="s">
        <v>654</v>
      </c>
      <c r="C3464" s="2564" t="str">
        <f>'7D'!$CI$14</f>
        <v>STWDA057</v>
      </c>
      <c r="D3464" t="str">
        <f>_xlfn.CONCAT('7D'!$B$9, "-", '7D'!$B$14, "-", '7D'!$Y$7, "-", '7D'!$Y$6, "-", '7D'!$N$5)</f>
        <v>Load received at sewage treatment works-Load received by STWs in size band 5-&lt;=1mg/l-Ammonia-Treatment works consents</v>
      </c>
      <c r="F3464" t="s">
        <v>7182</v>
      </c>
      <c r="G3464" s="2571">
        <f>'7D'!$Y$14</f>
        <v>0</v>
      </c>
    </row>
    <row r="3465" spans="1:7">
      <c r="A3465" t="s">
        <v>654</v>
      </c>
      <c r="C3465" s="2564" t="str">
        <f>'7D'!$CJ$14</f>
        <v>STWDA058</v>
      </c>
      <c r="D3465" t="str">
        <f>_xlfn.CONCAT('7D'!$B$9, "-", '7D'!$B$14, "-", '7D'!$Z$7, "-", '7D'!$Y$6, "-", '7D'!$N$5)</f>
        <v>Load received at sewage treatment works-Load received by STWs in size band 5-&gt;1 to &lt;=3mg/l-Ammonia-Treatment works consents</v>
      </c>
      <c r="F3465" t="s">
        <v>7182</v>
      </c>
      <c r="G3465" s="2571">
        <f>'7D'!$Z$14</f>
        <v>2083</v>
      </c>
    </row>
    <row r="3466" spans="1:7">
      <c r="A3466" t="s">
        <v>654</v>
      </c>
      <c r="C3466" s="2564" t="str">
        <f>'7D'!$CK$14</f>
        <v>STWDA059</v>
      </c>
      <c r="D3466" t="str">
        <f>_xlfn.CONCAT('7D'!$B$9, "-", '7D'!$B$14, "-", '7D'!$AA$7, "-", '7D'!$Y$6, "-", '7D'!$N$5)</f>
        <v>Load received at sewage treatment works-Load received by STWs in size band 5-&gt;3 to &lt;=10mg/l-Ammonia-Treatment works consents</v>
      </c>
      <c r="F3466" t="s">
        <v>7182</v>
      </c>
      <c r="G3466" s="2571">
        <f>'7D'!$AA$14</f>
        <v>1752</v>
      </c>
    </row>
    <row r="3467" spans="1:7">
      <c r="A3467" t="s">
        <v>654</v>
      </c>
      <c r="C3467" s="2564" t="str">
        <f>'7D'!$CL$14</f>
        <v>STWDA060</v>
      </c>
      <c r="D3467" t="str">
        <f>_xlfn.CONCAT('7D'!$B$9, "-", '7D'!$B$14, "-", '7D'!$AB$7, "-", '7D'!$Y$6, "-", '7D'!$N$5)</f>
        <v>Load received at sewage treatment works-Load received by STWs in size band 5-&gt;10mg/l-Ammonia-Treatment works consents</v>
      </c>
      <c r="F3467" t="s">
        <v>7182</v>
      </c>
      <c r="G3467" s="2571">
        <f>'7D'!$AB$14</f>
        <v>4841</v>
      </c>
    </row>
    <row r="3468" spans="1:7">
      <c r="A3468" t="s">
        <v>654</v>
      </c>
      <c r="C3468" s="2564" t="str">
        <f>'7D'!$CM$14</f>
        <v>STWDA061</v>
      </c>
      <c r="D3468" t="str">
        <f>_xlfn.CONCAT('7D'!$B$9, "-", '7D'!$B$14, "-", '7D'!$AC$7, "-", '7D'!$Y$6, "-", '7D'!$N$5)</f>
        <v>Load received at sewage treatment works-Load received by STWs in size band 5-No permit-Ammonia-Treatment works consents</v>
      </c>
      <c r="F3468" t="s">
        <v>7182</v>
      </c>
      <c r="G3468" s="2571">
        <f>'7D'!$AC$14</f>
        <v>3186</v>
      </c>
    </row>
    <row r="3469" spans="1:7">
      <c r="A3469" t="s">
        <v>654</v>
      </c>
      <c r="C3469" s="2564" t="str">
        <f>'7D'!$CN$14</f>
        <v>STWDA062</v>
      </c>
      <c r="D3469" t="str">
        <f>_xlfn.CONCAT('7D'!$B$9, "-", '7D'!$B$14, "-", '7D'!$AD$7, "-", '7D'!$Y$6, "-", '7D'!$N$5)</f>
        <v>Load received at sewage treatment works-Load received by STWs in size band 5-Total-Ammonia-Treatment works consents</v>
      </c>
      <c r="F3469" t="s">
        <v>7182</v>
      </c>
      <c r="G3469" s="2571">
        <f>'7D'!$AD$14</f>
        <v>11862</v>
      </c>
    </row>
    <row r="3470" spans="1:7">
      <c r="A3470" t="s">
        <v>654</v>
      </c>
      <c r="C3470" s="2564" t="str">
        <f>'7D'!$BO$15</f>
        <v>STWD101</v>
      </c>
      <c r="D3470" t="str">
        <f>_xlfn.CONCAT('7D'!$B$9, "-", '7D'!$B$15, "-", '7D'!$E$6, "-", '7D'!$E$6, "-", '7D'!$E$5)</f>
        <v>Load received at sewage treatment works-Load received by STWs above size band 5-Primary-Primary-Treatment categories</v>
      </c>
      <c r="F3470" t="s">
        <v>7182</v>
      </c>
      <c r="G3470" s="2571">
        <f>'7D'!$E$15</f>
        <v>0</v>
      </c>
    </row>
    <row r="3471" spans="1:7">
      <c r="A3471" t="s">
        <v>654</v>
      </c>
      <c r="C3471" s="2564" t="str">
        <f>'7D'!$BP$15</f>
        <v>STWD102</v>
      </c>
      <c r="D3471" t="str">
        <f>_xlfn.CONCAT('7D'!$B$9, "-", '7D'!$B$15, "-", '7D'!$F$7, "-", '7D'!$F$6, "-", '7D'!$E$5)</f>
        <v>Load received at sewage treatment works-Load received by STWs above size band 5-Activated Sludge-Secondary-Treatment categories</v>
      </c>
      <c r="F3471" t="s">
        <v>7182</v>
      </c>
      <c r="G3471" s="2571">
        <f>'7D'!$F$15</f>
        <v>18672</v>
      </c>
    </row>
    <row r="3472" spans="1:7">
      <c r="A3472" t="s">
        <v>654</v>
      </c>
      <c r="C3472" s="2564" t="str">
        <f>'7D'!$BQ$15</f>
        <v>STWD103</v>
      </c>
      <c r="D3472" t="str">
        <f>_xlfn.CONCAT('7D'!$B$9, "-", '7D'!$B$15, "-", '7D'!$G$7, "-", '7D'!$F$6, "-", '7D'!$E$5)</f>
        <v>Load received at sewage treatment works-Load received by STWs above size band 5-Biological-Secondary-Treatment categories</v>
      </c>
      <c r="F3472" t="s">
        <v>7182</v>
      </c>
      <c r="G3472" s="2571">
        <f>'7D'!$G$15</f>
        <v>4603</v>
      </c>
    </row>
    <row r="3473" spans="1:7">
      <c r="A3473" t="s">
        <v>654</v>
      </c>
      <c r="C3473" s="2564" t="str">
        <f>'7D'!$BR$15</f>
        <v>STWD104</v>
      </c>
      <c r="D3473" t="str">
        <f>_xlfn.CONCAT('7D'!$B$9, "-", '7D'!$B$15, "-", '7D'!$H$7, "-", '7D'!$H$6, "-", '7D'!$E$5)</f>
        <v>Load received at sewage treatment works-Load received by STWs above size band 5-A1-Tertiary-Treatment categories</v>
      </c>
      <c r="F3473" t="s">
        <v>7182</v>
      </c>
      <c r="G3473" s="2571">
        <f>'7D'!$H$15</f>
        <v>0</v>
      </c>
    </row>
    <row r="3474" spans="1:7">
      <c r="A3474" t="s">
        <v>654</v>
      </c>
      <c r="C3474" s="2564" t="str">
        <f>'7D'!$BS$15</f>
        <v>STWD105</v>
      </c>
      <c r="D3474" t="str">
        <f>_xlfn.CONCAT('7D'!$B$9, "-", '7D'!$B$15, "-", '7D'!$I$7, "-", '7D'!$H$6, "-", '7D'!$E$5)</f>
        <v>Load received at sewage treatment works-Load received by STWs above size band 5-A2-Tertiary-Treatment categories</v>
      </c>
      <c r="F3474" t="s">
        <v>7182</v>
      </c>
      <c r="G3474" s="2571">
        <f>'7D'!$I$15</f>
        <v>120788</v>
      </c>
    </row>
    <row r="3475" spans="1:7">
      <c r="A3475" t="s">
        <v>654</v>
      </c>
      <c r="C3475" s="2564" t="str">
        <f>'7D'!$BT$15</f>
        <v>STWD106</v>
      </c>
      <c r="D3475" t="str">
        <f>_xlfn.CONCAT('7D'!$B$9, "-", '7D'!$B$15, "-", '7D'!$J$7, "-", '7D'!$H$6, "-", '7D'!$E$5)</f>
        <v>Load received at sewage treatment works-Load received by STWs above size band 5-B1-Tertiary-Treatment categories</v>
      </c>
      <c r="F3475" t="s">
        <v>7182</v>
      </c>
      <c r="G3475" s="2571">
        <f>'7D'!$J$15</f>
        <v>0</v>
      </c>
    </row>
    <row r="3476" spans="1:7">
      <c r="A3476" t="s">
        <v>654</v>
      </c>
      <c r="C3476" s="2564" t="str">
        <f>'7D'!$BU$15</f>
        <v>STWD107</v>
      </c>
      <c r="D3476" t="str">
        <f>_xlfn.CONCAT('7D'!$B$9, "-", '7D'!$B$15, "-", '7D'!$K$7, "-", '7D'!$H$6, "-", '7D'!$E$5)</f>
        <v>Load received at sewage treatment works-Load received by STWs above size band 5-B2-Tertiary-Treatment categories</v>
      </c>
      <c r="F3476" t="s">
        <v>7182</v>
      </c>
      <c r="G3476" s="2571">
        <f>'7D'!$K$15</f>
        <v>7697</v>
      </c>
    </row>
    <row r="3477" spans="1:7">
      <c r="A3477" t="s">
        <v>654</v>
      </c>
      <c r="C3477" s="2564" t="str">
        <f>'7D'!$BV$15</f>
        <v>STWD108</v>
      </c>
      <c r="D3477" t="str">
        <f>_xlfn.CONCAT('7D'!$B$9, "-", '7D'!$B$15, "-", '7D'!$L$6, "-", '7D'!$L$6, "-", '7D'!$E$5)</f>
        <v>Load received at sewage treatment works-Load received by STWs above size band 5-Total-Total-Treatment categories</v>
      </c>
      <c r="F3477" t="s">
        <v>7182</v>
      </c>
      <c r="G3477" s="2571">
        <f>'7D'!$L$15</f>
        <v>151760</v>
      </c>
    </row>
    <row r="3478" spans="1:7">
      <c r="A3478" t="s">
        <v>654</v>
      </c>
      <c r="C3478" s="2564" t="str">
        <f>'7D'!$BX$15</f>
        <v>STWDP101</v>
      </c>
      <c r="D3478" t="str">
        <f>_xlfn.CONCAT('7D'!$B$9, "-", '7D'!$B$15, "-", '7D'!$N$7, "-", '7D'!$N$6, "-", '7D'!$N$5)</f>
        <v>Load received at sewage treatment works-Load received by STWs above size band 5-&lt;=0.5mg/l-Phosphorus-Treatment works consents</v>
      </c>
      <c r="F3478" t="s">
        <v>7182</v>
      </c>
      <c r="G3478" s="2571">
        <f>'7D'!$N$15</f>
        <v>0</v>
      </c>
    </row>
    <row r="3479" spans="1:7">
      <c r="A3479" t="s">
        <v>654</v>
      </c>
      <c r="C3479" s="2564" t="str">
        <f>'7D'!$BY$15</f>
        <v>STWDP102</v>
      </c>
      <c r="D3479" t="str">
        <f>_xlfn.CONCAT('7D'!$B$9, "-", '7D'!$B$15, "-", '7D'!$O$7, "-", '7D'!$N$6, "-", '7D'!$N$5)</f>
        <v>Load received at sewage treatment works-Load received by STWs above size band 5-&gt;0.5 to &lt;=1mg/l-Phosphorus-Treatment works consents</v>
      </c>
      <c r="F3479" t="s">
        <v>7182</v>
      </c>
      <c r="G3479" s="2571">
        <f>'7D'!$O$15</f>
        <v>2182</v>
      </c>
    </row>
    <row r="3480" spans="1:7">
      <c r="A3480" t="s">
        <v>654</v>
      </c>
      <c r="C3480" s="2564" t="str">
        <f>'7D'!$BZ$15</f>
        <v>STWDP103</v>
      </c>
      <c r="D3480" t="str">
        <f>_xlfn.CONCAT('7D'!$B$9, "-", '7D'!$B$15, "-", '7D'!$P$7, "-", '7D'!$N$6, "-", '7D'!$N$5)</f>
        <v>Load received at sewage treatment works-Load received by STWs above size band 5-&gt;1mg/l-Phosphorus-Treatment works consents</v>
      </c>
      <c r="F3480" t="s">
        <v>7182</v>
      </c>
      <c r="G3480" s="2571">
        <f>'7D'!$P$15</f>
        <v>10056</v>
      </c>
    </row>
    <row r="3481" spans="1:7">
      <c r="A3481" t="s">
        <v>654</v>
      </c>
      <c r="C3481" s="2564" t="str">
        <f>'7D'!$CA$15</f>
        <v>STWDP104</v>
      </c>
      <c r="D3481" t="str">
        <f>_xlfn.CONCAT('7D'!$B$9, "-", '7D'!$B$15, "-", '7D'!$Q$7, "-", '7D'!$N$6, "-", '7D'!$N$5)</f>
        <v>Load received at sewage treatment works-Load received by STWs above size band 5-No permit-Phosphorus-Treatment works consents</v>
      </c>
      <c r="F3481" t="s">
        <v>7182</v>
      </c>
      <c r="G3481" s="2571">
        <f>'7D'!$Q$15</f>
        <v>139522</v>
      </c>
    </row>
    <row r="3482" spans="1:7">
      <c r="A3482" t="s">
        <v>654</v>
      </c>
      <c r="C3482" s="2564" t="str">
        <f>'7D'!$CB$15</f>
        <v>STWDP105</v>
      </c>
      <c r="D3482" t="str">
        <f>_xlfn.CONCAT('7D'!$B$9, "-", '7D'!$B$15, "-", '7D'!$R$7, "-", '7D'!$N$6, "-", '7D'!$N$5)</f>
        <v>Load received at sewage treatment works-Load received by STWs above size band 5-Total-Phosphorus-Treatment works consents</v>
      </c>
      <c r="F3482" t="s">
        <v>7182</v>
      </c>
      <c r="G3482" s="2571">
        <f>'7D'!$R$15</f>
        <v>151760</v>
      </c>
    </row>
    <row r="3483" spans="1:7">
      <c r="A3483" t="s">
        <v>654</v>
      </c>
      <c r="C3483" s="2564" t="str">
        <f>'7D'!$CC$15</f>
        <v>STWDB101</v>
      </c>
      <c r="D3483" t="str">
        <f>_xlfn.CONCAT('7D'!$B$9, "-", '7D'!$B$15, "-", '7D'!$S$7, "-", '7D'!$S$6, "-", '7D'!$N$5)</f>
        <v>Load received at sewage treatment works-Load received by STWs above size band 5-&lt;=7mg/l-BOD5-Treatment works consents</v>
      </c>
      <c r="F3483" t="s">
        <v>7182</v>
      </c>
      <c r="G3483" s="2571">
        <f>'7D'!$S$15</f>
        <v>0</v>
      </c>
    </row>
    <row r="3484" spans="1:7">
      <c r="A3484" t="s">
        <v>654</v>
      </c>
      <c r="C3484" s="2564" t="str">
        <f>'7D'!$CD$15</f>
        <v>STWDB102</v>
      </c>
      <c r="D3484" t="str">
        <f>_xlfn.CONCAT('7D'!$B$9, "-", '7D'!$B$15, "-", '7D'!$T$7, "-", '7D'!$S$6, "-", '7D'!$N$5)</f>
        <v>Load received at sewage treatment works-Load received by STWs above size band 5-&gt;7 to &lt;=10mg/l-BOD5-Treatment works consents</v>
      </c>
      <c r="F3484" t="s">
        <v>7182</v>
      </c>
      <c r="G3484" s="2571">
        <f>'7D'!$T$15</f>
        <v>2182</v>
      </c>
    </row>
    <row r="3485" spans="1:7">
      <c r="A3485" t="s">
        <v>654</v>
      </c>
      <c r="C3485" s="2564" t="str">
        <f>'7D'!$CE$15</f>
        <v>STWDB103</v>
      </c>
      <c r="D3485" t="str">
        <f>_xlfn.CONCAT('7D'!$B$9, "-", '7D'!$B$15, "-", '7D'!$U$7, "-", '7D'!$S$6, "-", '7D'!$N$5)</f>
        <v>Load received at sewage treatment works-Load received by STWs above size band 5-&gt;10 to &lt;=20mg/l-BOD5-Treatment works consents</v>
      </c>
      <c r="F3485" t="s">
        <v>7182</v>
      </c>
      <c r="G3485" s="2571">
        <f>'7D'!$U$15</f>
        <v>4470</v>
      </c>
    </row>
    <row r="3486" spans="1:7">
      <c r="A3486" t="s">
        <v>654</v>
      </c>
      <c r="C3486" s="2564" t="str">
        <f>'7D'!$CF$15</f>
        <v>STWDB104</v>
      </c>
      <c r="D3486" t="str">
        <f>_xlfn.CONCAT('7D'!$B$9, "-", '7D'!$B$15, "-", '7D'!$V$7, "-", '7D'!$S$6, "-", '7D'!$N$5)</f>
        <v>Load received at sewage treatment works-Load received by STWs above size band 5-&gt;20mg/l-BOD5-Treatment works consents</v>
      </c>
      <c r="F3486" t="s">
        <v>7182</v>
      </c>
      <c r="G3486" s="2571">
        <f>'7D'!$V$15</f>
        <v>145109</v>
      </c>
    </row>
    <row r="3487" spans="1:7">
      <c r="A3487" t="s">
        <v>654</v>
      </c>
      <c r="C3487" s="2564" t="str">
        <f>'7D'!$CG$15</f>
        <v>STWDB105</v>
      </c>
      <c r="D3487" t="str">
        <f>_xlfn.CONCAT('7D'!$B$9, "-", '7D'!$B$15, "-", '7D'!$W$7, "-", '7D'!$S$6, "-", '7D'!$N$5)</f>
        <v>Load received at sewage treatment works-Load received by STWs above size band 5-No permit-BOD5-Treatment works consents</v>
      </c>
      <c r="F3487" t="s">
        <v>7182</v>
      </c>
      <c r="G3487" s="2571">
        <f>'7D'!$W$15</f>
        <v>0</v>
      </c>
    </row>
    <row r="3488" spans="1:7">
      <c r="A3488" t="s">
        <v>654</v>
      </c>
      <c r="C3488" s="2564" t="str">
        <f>'7D'!$CH$15</f>
        <v>STWDB106</v>
      </c>
      <c r="D3488" t="str">
        <f>_xlfn.CONCAT('7D'!$B$9, "-", '7D'!$B$15, "-", '7D'!$X$7, "-", '7D'!$S$6, "-", '7D'!$N$5)</f>
        <v>Load received at sewage treatment works-Load received by STWs above size band 5-Total-BOD5-Treatment works consents</v>
      </c>
      <c r="F3488" t="s">
        <v>7182</v>
      </c>
      <c r="G3488" s="2571">
        <f>'7D'!$X$15</f>
        <v>151761</v>
      </c>
    </row>
    <row r="3489" spans="1:7">
      <c r="A3489" t="s">
        <v>654</v>
      </c>
      <c r="C3489" s="2564" t="str">
        <f>'7D'!$CI$15</f>
        <v>STWDA101</v>
      </c>
      <c r="D3489" t="str">
        <f>_xlfn.CONCAT('7D'!$B$9, "-", '7D'!$B$15, "-", '7D'!$Y$7, "-", '7D'!$Y$6, "-", '7D'!$N$5)</f>
        <v>Load received at sewage treatment works-Load received by STWs above size band 5-&lt;=1mg/l-Ammonia-Treatment works consents</v>
      </c>
      <c r="F3489" t="s">
        <v>7182</v>
      </c>
      <c r="G3489" s="2571">
        <f>'7D'!$Y$15</f>
        <v>0</v>
      </c>
    </row>
    <row r="3490" spans="1:7">
      <c r="A3490" t="s">
        <v>654</v>
      </c>
      <c r="C3490" s="2564" t="str">
        <f>'7D'!$CJ$15</f>
        <v>STWDA102</v>
      </c>
      <c r="D3490" t="str">
        <f>_xlfn.CONCAT('7D'!$B$9, "-", '7D'!$B$15, "-", '7D'!$Z$7, "-", '7D'!$Y$6, "-", '7D'!$N$5)</f>
        <v>Load received at sewage treatment works-Load received by STWs above size band 5-&gt;1 to &lt;=3mg/l-Ammonia-Treatment works consents</v>
      </c>
      <c r="F3490" t="s">
        <v>7182</v>
      </c>
      <c r="G3490" s="2571">
        <f>'7D'!$Z$15</f>
        <v>2359</v>
      </c>
    </row>
    <row r="3491" spans="1:7">
      <c r="A3491" t="s">
        <v>654</v>
      </c>
      <c r="C3491" s="2564" t="str">
        <f>'7D'!$CK$15</f>
        <v>STWDA103</v>
      </c>
      <c r="D3491" t="str">
        <f>_xlfn.CONCAT('7D'!$B$9, "-", '7D'!$B$15, "-", '7D'!$AA$7, "-", '7D'!$Y$6, "-", '7D'!$N$5)</f>
        <v>Load received at sewage treatment works-Load received by STWs above size band 5-&gt;3 to &lt;=10mg/l-Ammonia-Treatment works consents</v>
      </c>
      <c r="F3491" t="s">
        <v>7182</v>
      </c>
      <c r="G3491" s="2571">
        <f>'7D'!$AA$15</f>
        <v>9911</v>
      </c>
    </row>
    <row r="3492" spans="1:7">
      <c r="A3492" t="s">
        <v>654</v>
      </c>
      <c r="C3492" s="2564" t="str">
        <f>'7D'!$CL$15</f>
        <v>STWDA104</v>
      </c>
      <c r="D3492" t="str">
        <f>_xlfn.CONCAT('7D'!$B$9, "-", '7D'!$B$15, "-", '7D'!$AB$7, "-", '7D'!$Y$6, "-", '7D'!$N$5)</f>
        <v>Load received at sewage treatment works-Load received by STWs above size band 5-&gt;10mg/l-Ammonia-Treatment works consents</v>
      </c>
      <c r="F3492" t="s">
        <v>7182</v>
      </c>
      <c r="G3492" s="2571">
        <f>'7D'!$AB$15</f>
        <v>41796</v>
      </c>
    </row>
    <row r="3493" spans="1:7">
      <c r="A3493" t="s">
        <v>654</v>
      </c>
      <c r="C3493" s="2564" t="str">
        <f>'7D'!$CM$15</f>
        <v>STWDA105</v>
      </c>
      <c r="D3493" t="str">
        <f>_xlfn.CONCAT('7D'!$B$9, "-", '7D'!$B$15, "-", '7D'!$AC$7, "-", '7D'!$Y$6, "-", '7D'!$N$5)</f>
        <v>Load received at sewage treatment works-Load received by STWs above size band 5-No permit-Ammonia-Treatment works consents</v>
      </c>
      <c r="F3493" t="s">
        <v>7182</v>
      </c>
      <c r="G3493" s="2571">
        <f>'7D'!$AC$15</f>
        <v>97695</v>
      </c>
    </row>
    <row r="3494" spans="1:7">
      <c r="A3494" t="s">
        <v>654</v>
      </c>
      <c r="C3494" s="2564" t="str">
        <f>'7D'!$CN$15</f>
        <v>STWDA106</v>
      </c>
      <c r="D3494" t="str">
        <f>_xlfn.CONCAT('7D'!$B$9, "-", '7D'!$B$15, "-", '7D'!$AD$7, "-", '7D'!$Y$6, "-", '7D'!$N$5)</f>
        <v>Load received at sewage treatment works-Load received by STWs above size band 5-Total-Ammonia-Treatment works consents</v>
      </c>
      <c r="F3494" t="s">
        <v>7182</v>
      </c>
      <c r="G3494" s="2571">
        <f>'7D'!$AD$15</f>
        <v>151761</v>
      </c>
    </row>
    <row r="3495" spans="1:7">
      <c r="A3495" t="s">
        <v>654</v>
      </c>
      <c r="C3495" s="2564" t="str">
        <f>'7D'!$BO$16</f>
        <v>STWD121</v>
      </c>
      <c r="D3495" t="str">
        <f>_xlfn.CONCAT('7D'!$B$9, "-", '7D'!$B$16, "-", '7D'!$E$6, "-", '7D'!$E$6, "-", '7D'!$E$5)</f>
        <v>Load received at sewage treatment works-Total load received-Primary-Primary-Treatment categories</v>
      </c>
      <c r="F3495" t="s">
        <v>7182</v>
      </c>
      <c r="G3495" s="2571">
        <f>'7D'!$E$16</f>
        <v>127</v>
      </c>
    </row>
    <row r="3496" spans="1:7">
      <c r="A3496" t="s">
        <v>654</v>
      </c>
      <c r="C3496" s="2564" t="str">
        <f>'7D'!$BP$16</f>
        <v>STWD122</v>
      </c>
      <c r="D3496" t="str">
        <f>_xlfn.CONCAT('7D'!$B$9, "-", '7D'!$B$16, "-", '7D'!$F$7, "-", '7D'!$F$6, "-", '7D'!$E$5)</f>
        <v>Load received at sewage treatment works-Total load received-Activated Sludge-Secondary-Treatment categories</v>
      </c>
      <c r="F3496" t="s">
        <v>7182</v>
      </c>
      <c r="G3496" s="2571">
        <f>'7D'!$F$16</f>
        <v>22024</v>
      </c>
    </row>
    <row r="3497" spans="1:7">
      <c r="A3497" t="s">
        <v>654</v>
      </c>
      <c r="C3497" s="2564" t="str">
        <f>'7D'!$BQ$16</f>
        <v>STWD123</v>
      </c>
      <c r="D3497" t="str">
        <f>_xlfn.CONCAT('7D'!$B$9, "-", '7D'!$B$16, "-", '7D'!$G$7, "-", '7D'!$F$6, "-", '7D'!$E$5)</f>
        <v>Load received at sewage treatment works-Total load received-Biological-Secondary-Treatment categories</v>
      </c>
      <c r="F3497" t="s">
        <v>7182</v>
      </c>
      <c r="G3497" s="2571">
        <f>'7D'!$G$16</f>
        <v>12722</v>
      </c>
    </row>
    <row r="3498" spans="1:7">
      <c r="A3498" t="s">
        <v>654</v>
      </c>
      <c r="C3498" s="2564" t="str">
        <f>'7D'!$BR$16</f>
        <v>STWD124</v>
      </c>
      <c r="D3498" t="str">
        <f>_xlfn.CONCAT('7D'!$B$9, "-", '7D'!$B$16, "-", '7D'!$H$7, "-", '7D'!$H$6, "-", '7D'!$E$5)</f>
        <v>Load received at sewage treatment works-Total load received-A1-Tertiary-Treatment categories</v>
      </c>
      <c r="F3498" t="s">
        <v>7182</v>
      </c>
      <c r="G3498" s="2571">
        <f>'7D'!$H$16</f>
        <v>0</v>
      </c>
    </row>
    <row r="3499" spans="1:7">
      <c r="A3499" t="s">
        <v>654</v>
      </c>
      <c r="C3499" s="2564" t="str">
        <f>'7D'!$BS$16</f>
        <v>STWD125</v>
      </c>
      <c r="D3499" t="str">
        <f>_xlfn.CONCAT('7D'!$B$9, "-", '7D'!$B$16, "-", '7D'!$I$7, "-", '7D'!$H$6, "-", '7D'!$E$5)</f>
        <v>Load received at sewage treatment works-Total load received-A2-Tertiary-Treatment categories</v>
      </c>
      <c r="F3499" t="s">
        <v>7182</v>
      </c>
      <c r="G3499" s="2571">
        <f>'7D'!$I$16</f>
        <v>124518</v>
      </c>
    </row>
    <row r="3500" spans="1:7">
      <c r="A3500" t="s">
        <v>654</v>
      </c>
      <c r="C3500" s="2564" t="str">
        <f>'7D'!$BT$16</f>
        <v>STWD126</v>
      </c>
      <c r="D3500" t="str">
        <f>_xlfn.CONCAT('7D'!$B$9, "-", '7D'!$B$16, "-", '7D'!$J$7, "-", '7D'!$H$6, "-", '7D'!$E$5)</f>
        <v>Load received at sewage treatment works-Total load received-B1-Tertiary-Treatment categories</v>
      </c>
      <c r="F3500" t="s">
        <v>7182</v>
      </c>
      <c r="G3500" s="2571">
        <f>'7D'!$J$16</f>
        <v>3687</v>
      </c>
    </row>
    <row r="3501" spans="1:7">
      <c r="A3501" t="s">
        <v>654</v>
      </c>
      <c r="C3501" s="2564" t="str">
        <f>'7D'!$BU$16</f>
        <v>STWD127</v>
      </c>
      <c r="D3501" t="str">
        <f>_xlfn.CONCAT('7D'!$B$9, "-", '7D'!$B$16, "-", '7D'!$K$7, "-", '7D'!$H$6, "-", '7D'!$E$5)</f>
        <v>Load received at sewage treatment works-Total load received-B2-Tertiary-Treatment categories</v>
      </c>
      <c r="F3501" t="s">
        <v>7182</v>
      </c>
      <c r="G3501" s="2571">
        <f>'7D'!$K$16</f>
        <v>15559</v>
      </c>
    </row>
    <row r="3502" spans="1:7">
      <c r="A3502" t="s">
        <v>654</v>
      </c>
      <c r="C3502" s="2564" t="str">
        <f>'7D'!$BV$16</f>
        <v>STWD128</v>
      </c>
      <c r="D3502" t="str">
        <f>_xlfn.CONCAT('7D'!$B$9, "-", '7D'!$B$16, "-", '7D'!$L$6, "-", '7D'!$L$6, "-", '7D'!$E$5)</f>
        <v>Load received at sewage treatment works-Total load received-Total-Total-Treatment categories</v>
      </c>
      <c r="F3502" t="s">
        <v>7182</v>
      </c>
      <c r="G3502" s="2571">
        <f>'7D'!$L$16</f>
        <v>178637</v>
      </c>
    </row>
    <row r="3503" spans="1:7">
      <c r="A3503" t="s">
        <v>654</v>
      </c>
      <c r="C3503" s="2564" t="str">
        <f>'7D'!$BX$16</f>
        <v>STWDP121</v>
      </c>
      <c r="D3503" t="str">
        <f>_xlfn.CONCAT('7D'!$B$9, "-", '7D'!$B$16, "-", '7D'!$N$7, "-", '7D'!$N$6, "-", '7D'!$N$5)</f>
        <v>Load received at sewage treatment works-Total load received-&lt;=0.5mg/l-Phosphorus-Treatment works consents</v>
      </c>
      <c r="F3503" t="s">
        <v>7182</v>
      </c>
      <c r="G3503" s="2571">
        <f>'7D'!$N$16</f>
        <v>0</v>
      </c>
    </row>
    <row r="3504" spans="1:7">
      <c r="A3504" t="s">
        <v>654</v>
      </c>
      <c r="C3504" s="2564" t="str">
        <f>'7D'!$BY$16</f>
        <v>STWDP122</v>
      </c>
      <c r="D3504" t="str">
        <f>_xlfn.CONCAT('7D'!$B$9, "-", '7D'!$B$16, "-", '7D'!$O$7, "-", '7D'!$N$6, "-", '7D'!$N$5)</f>
        <v>Load received at sewage treatment works-Total load received-&gt;0.5 to &lt;=1mg/l-Phosphorus-Treatment works consents</v>
      </c>
      <c r="F3504" t="s">
        <v>7182</v>
      </c>
      <c r="G3504" s="2571">
        <f>'7D'!$O$16</f>
        <v>5150</v>
      </c>
    </row>
    <row r="3505" spans="1:7">
      <c r="A3505" t="s">
        <v>654</v>
      </c>
      <c r="C3505" s="2564" t="str">
        <f>'7D'!$BZ$16</f>
        <v>STWDP123</v>
      </c>
      <c r="D3505" t="str">
        <f>_xlfn.CONCAT('7D'!$B$9, "-", '7D'!$B$16, "-", '7D'!$P$7, "-", '7D'!$N$6, "-", '7D'!$N$5)</f>
        <v>Load received at sewage treatment works-Total load received-&gt;1mg/l-Phosphorus-Treatment works consents</v>
      </c>
      <c r="F3505" t="s">
        <v>7182</v>
      </c>
      <c r="G3505" s="2571">
        <f>'7D'!$P$16</f>
        <v>16960</v>
      </c>
    </row>
    <row r="3506" spans="1:7">
      <c r="A3506" t="s">
        <v>654</v>
      </c>
      <c r="C3506" s="2564" t="str">
        <f>'7D'!$CA$16</f>
        <v>STWDP124</v>
      </c>
      <c r="D3506" t="str">
        <f>_xlfn.CONCAT('7D'!$B$9, "-", '7D'!$B$16, "-", '7D'!$Q$7, "-", '7D'!$N$6, "-", '7D'!$N$5)</f>
        <v>Load received at sewage treatment works-Total load received-No permit-Phosphorus-Treatment works consents</v>
      </c>
      <c r="F3506" t="s">
        <v>7182</v>
      </c>
      <c r="G3506" s="2571">
        <f>'7D'!$Q$16</f>
        <v>156527</v>
      </c>
    </row>
    <row r="3507" spans="1:7">
      <c r="A3507" t="s">
        <v>654</v>
      </c>
      <c r="C3507" s="2564" t="str">
        <f>'7D'!$CB$16</f>
        <v>STWDP125</v>
      </c>
      <c r="D3507" t="str">
        <f>_xlfn.CONCAT('7D'!$B$9, "-", '7D'!$B$16, "-", '7D'!$R$7, "-", '7D'!$N$6, "-", '7D'!$N$5)</f>
        <v>Load received at sewage treatment works-Total load received-Total-Phosphorus-Treatment works consents</v>
      </c>
      <c r="F3507" t="s">
        <v>7182</v>
      </c>
      <c r="G3507" s="2571">
        <f>'7D'!$R$16</f>
        <v>178637</v>
      </c>
    </row>
    <row r="3508" spans="1:7">
      <c r="A3508" t="s">
        <v>654</v>
      </c>
      <c r="C3508" s="2564" t="str">
        <f>'7D'!$CC$16</f>
        <v>STWDB121</v>
      </c>
      <c r="D3508" t="str">
        <f>_xlfn.CONCAT('7D'!$B$9, "-", '7D'!$B$16, "-", '7D'!$S$7, "-", '7D'!$S$6, "-", '7D'!$N$5)</f>
        <v>Load received at sewage treatment works-Total load received-&lt;=7mg/l-BOD5-Treatment works consents</v>
      </c>
      <c r="F3508" t="s">
        <v>7182</v>
      </c>
      <c r="G3508" s="2571">
        <f>'7D'!$S$16</f>
        <v>0</v>
      </c>
    </row>
    <row r="3509" spans="1:7">
      <c r="A3509" t="s">
        <v>654</v>
      </c>
      <c r="C3509" s="2564" t="str">
        <f>'7D'!$CD$16</f>
        <v>STWDB122</v>
      </c>
      <c r="D3509" t="str">
        <f>_xlfn.CONCAT('7D'!$B$9, "-", '7D'!$B$16, "-", '7D'!$T$7, "-", '7D'!$S$6, "-", '7D'!$N$5)</f>
        <v>Load received at sewage treatment works-Total load received-&gt;7 to &lt;=10mg/l-BOD5-Treatment works consents</v>
      </c>
      <c r="F3509" t="s">
        <v>7182</v>
      </c>
      <c r="G3509" s="2571">
        <f>'7D'!$T$16</f>
        <v>5812</v>
      </c>
    </row>
    <row r="3510" spans="1:7">
      <c r="A3510" t="s">
        <v>654</v>
      </c>
      <c r="C3510" s="2564" t="str">
        <f>'7D'!$CE$16</f>
        <v>STWDB123</v>
      </c>
      <c r="D3510" t="str">
        <f>_xlfn.CONCAT('7D'!$B$9, "-", '7D'!$B$16, "-", '7D'!$U$7, "-", '7D'!$S$6, "-", '7D'!$N$5)</f>
        <v>Load received at sewage treatment works-Total load received-&gt;10 to &lt;=20mg/l-BOD5-Treatment works consents</v>
      </c>
      <c r="F3510" t="s">
        <v>7182</v>
      </c>
      <c r="G3510" s="2571">
        <f>'7D'!$U$16</f>
        <v>10059</v>
      </c>
    </row>
    <row r="3511" spans="1:7">
      <c r="A3511" t="s">
        <v>654</v>
      </c>
      <c r="C3511" s="2564" t="str">
        <f>'7D'!$CF$16</f>
        <v>STWDB124</v>
      </c>
      <c r="D3511" t="str">
        <f>_xlfn.CONCAT('7D'!$B$9, "-", '7D'!$B$16, "-", '7D'!$V$7, "-", '7D'!$S$6, "-", '7D'!$N$5)</f>
        <v>Load received at sewage treatment works-Total load received-&gt;20mg/l-BOD5-Treatment works consents</v>
      </c>
      <c r="F3511" t="s">
        <v>7182</v>
      </c>
      <c r="G3511" s="2571">
        <f>'7D'!$V$16</f>
        <v>161897</v>
      </c>
    </row>
    <row r="3512" spans="1:7">
      <c r="A3512" t="s">
        <v>654</v>
      </c>
      <c r="C3512" s="2564" t="str">
        <f>'7D'!$CG$16</f>
        <v>STWDB125</v>
      </c>
      <c r="D3512" t="str">
        <f>_xlfn.CONCAT('7D'!$B$9, "-", '7D'!$B$16, "-", '7D'!$W$7, "-", '7D'!$S$6, "-", '7D'!$N$5)</f>
        <v>Load received at sewage treatment works-Total load received-No permit-BOD5-Treatment works consents</v>
      </c>
      <c r="F3512" t="s">
        <v>7182</v>
      </c>
      <c r="G3512" s="2571">
        <f>'7D'!$W$16</f>
        <v>868</v>
      </c>
    </row>
    <row r="3513" spans="1:7">
      <c r="A3513" t="s">
        <v>654</v>
      </c>
      <c r="C3513" s="2564" t="str">
        <f>'7D'!$CH$16</f>
        <v>STWDB126</v>
      </c>
      <c r="D3513" t="str">
        <f>_xlfn.CONCAT('7D'!$B$9, "-", '7D'!$B$16, "-", '7D'!$X$7, "-", '7D'!$S$6, "-", '7D'!$N$5)</f>
        <v>Load received at sewage treatment works-Total load received-Total-BOD5-Treatment works consents</v>
      </c>
      <c r="F3513" t="s">
        <v>7182</v>
      </c>
      <c r="G3513" s="2571">
        <f>'7D'!$X$16</f>
        <v>178636</v>
      </c>
    </row>
    <row r="3514" spans="1:7">
      <c r="A3514" t="s">
        <v>654</v>
      </c>
      <c r="C3514" s="2564" t="str">
        <f>'7D'!$CI$16</f>
        <v>STWDA121</v>
      </c>
      <c r="D3514" t="str">
        <f>_xlfn.CONCAT('7D'!$B$9, "-", '7D'!$B$16, "-", '7D'!$Y$7, "-", '7D'!$Y$6, "-", '7D'!$N$5)</f>
        <v>Load received at sewage treatment works-Total load received-&lt;=1mg/l-Ammonia-Treatment works consents</v>
      </c>
      <c r="F3514" t="s">
        <v>7182</v>
      </c>
      <c r="G3514" s="2571">
        <f>'7D'!$Y$16</f>
        <v>0</v>
      </c>
    </row>
    <row r="3515" spans="1:7">
      <c r="A3515" t="s">
        <v>654</v>
      </c>
      <c r="C3515" s="2564" t="str">
        <f>'7D'!$CJ$16</f>
        <v>STWDA122</v>
      </c>
      <c r="D3515" t="str">
        <f>_xlfn.CONCAT('7D'!$B$9, "-", '7D'!$B$16, "-", '7D'!$Z$7, "-", '7D'!$Y$6, "-", '7D'!$N$5)</f>
        <v>Load received at sewage treatment works-Total load received-&gt;1 to &lt;=3mg/l-Ammonia-Treatment works consents</v>
      </c>
      <c r="F3515" t="s">
        <v>7182</v>
      </c>
      <c r="G3515" s="2571">
        <f>'7D'!$Z$16</f>
        <v>5021</v>
      </c>
    </row>
    <row r="3516" spans="1:7">
      <c r="A3516" t="s">
        <v>654</v>
      </c>
      <c r="C3516" s="2564" t="str">
        <f>'7D'!$CK$16</f>
        <v>STWDA123</v>
      </c>
      <c r="D3516" t="str">
        <f>_xlfn.CONCAT('7D'!$B$9, "-", '7D'!$B$16, "-", '7D'!$AA$7, "-", '7D'!$Y$6, "-", '7D'!$N$5)</f>
        <v>Load received at sewage treatment works-Total load received-&gt;3 to &lt;=10mg/l-Ammonia-Treatment works consents</v>
      </c>
      <c r="F3516" t="s">
        <v>7182</v>
      </c>
      <c r="G3516" s="2571">
        <f>'7D'!$AA$16</f>
        <v>16586</v>
      </c>
    </row>
    <row r="3517" spans="1:7">
      <c r="A3517" t="s">
        <v>654</v>
      </c>
      <c r="C3517" s="2564" t="str">
        <f>'7D'!$CL$16</f>
        <v>STWDA124</v>
      </c>
      <c r="D3517" t="str">
        <f>_xlfn.CONCAT('7D'!$B$9, "-", '7D'!$B$16, "-", '7D'!$AB$7, "-", '7D'!$Y$6, "-", '7D'!$N$5)</f>
        <v>Load received at sewage treatment works-Total load received-&gt;10mg/l-Ammonia-Treatment works consents</v>
      </c>
      <c r="F3517" t="s">
        <v>7182</v>
      </c>
      <c r="G3517" s="2571">
        <f>'7D'!$AB$16</f>
        <v>50809</v>
      </c>
    </row>
    <row r="3518" spans="1:7">
      <c r="A3518" t="s">
        <v>654</v>
      </c>
      <c r="C3518" s="2564" t="str">
        <f>'7D'!$CM$16</f>
        <v>STWDA125</v>
      </c>
      <c r="D3518" t="str">
        <f>_xlfn.CONCAT('7D'!$B$9, "-", '7D'!$B$16, "-", '7D'!$AC$7, "-", '7D'!$Y$6, "-", '7D'!$N$5)</f>
        <v>Load received at sewage treatment works-Total load received-No permit-Ammonia-Treatment works consents</v>
      </c>
      <c r="F3518" t="s">
        <v>7182</v>
      </c>
      <c r="G3518" s="2571">
        <f>'7D'!$AC$16</f>
        <v>106221</v>
      </c>
    </row>
    <row r="3519" spans="1:7">
      <c r="A3519" t="s">
        <v>654</v>
      </c>
      <c r="C3519" s="2564" t="str">
        <f>'7D'!$CN$16</f>
        <v>STWDA126</v>
      </c>
      <c r="D3519" t="str">
        <f>_xlfn.CONCAT('7D'!$B$9, "-", '7D'!$B$16, "-", '7D'!$AD$7, "-", '7D'!$Y$6, "-", '7D'!$N$5)</f>
        <v>Load received at sewage treatment works-Total load received-Total-Ammonia-Treatment works consents</v>
      </c>
      <c r="F3519" t="s">
        <v>7182</v>
      </c>
      <c r="G3519" s="2571">
        <f>'7D'!$AD$16</f>
        <v>178637</v>
      </c>
    </row>
    <row r="3520" spans="1:7">
      <c r="A3520" t="s">
        <v>654</v>
      </c>
      <c r="C3520" s="2564" t="str">
        <f>'7D'!$BV$17</f>
        <v>STWD130</v>
      </c>
      <c r="D3520" t="str">
        <f>_xlfn.CONCAT('7D'!$B$9, "-", '7D'!$B$17, "-", '7D'!$L$6, "-", '7D'!$L$6, "-", '7D'!$E$5)</f>
        <v>Load received at sewage treatment works-Load received from trade effluent customers at treatment works -Total-Total-Treatment categories</v>
      </c>
      <c r="F3520" t="s">
        <v>7182</v>
      </c>
      <c r="G3520" s="2571">
        <f>'7D'!$L$17</f>
        <v>9070</v>
      </c>
    </row>
    <row r="3521" spans="1:7">
      <c r="A3521" t="s">
        <v>654</v>
      </c>
      <c r="C3521" t="str">
        <f>'7D'!$BO$20</f>
        <v>STWC001</v>
      </c>
      <c r="D3521" t="str">
        <f>_xlfn.CONCAT('7D'!$B$19, "-", '7D'!$B$20, "-", '7D'!$E$6, "-", '7D'!$E$6, "-", '7D'!$E$5)</f>
        <v>Number of sewage treatment works-STWs in size band 1-Primary-Primary-Treatment categories</v>
      </c>
      <c r="F3521" t="s">
        <v>7182</v>
      </c>
      <c r="G3521" s="2571">
        <f>'7D'!$E$20</f>
        <v>90</v>
      </c>
    </row>
    <row r="3522" spans="1:7">
      <c r="A3522" t="s">
        <v>654</v>
      </c>
      <c r="C3522" t="str">
        <f>'7D'!$BP$20</f>
        <v>STWC002</v>
      </c>
      <c r="D3522" t="str">
        <f>_xlfn.CONCAT('7D'!$B$19, "-", '7D'!$B$20, "-", '7D'!$F$7, "-", '7D'!$F$6, "-", '7D'!$E$5)</f>
        <v>Number of sewage treatment works-STWs in size band 1-Activated Sludge-Secondary-Treatment categories</v>
      </c>
      <c r="F3522" t="s">
        <v>7182</v>
      </c>
      <c r="G3522" s="2571">
        <f>'7D'!$F$20</f>
        <v>10</v>
      </c>
    </row>
    <row r="3523" spans="1:7">
      <c r="A3523" t="s">
        <v>654</v>
      </c>
      <c r="C3523" t="str">
        <f>'7D'!$BQ$20</f>
        <v>STWC003</v>
      </c>
      <c r="D3523" t="str">
        <f>_xlfn.CONCAT('7D'!$B$19, "-", '7D'!$B$20, "-", '7D'!$G$7, "-", '7D'!$F$6, "-", '7D'!$E$5)</f>
        <v>Number of sewage treatment works-STWs in size band 1-Biological-Secondary-Treatment categories</v>
      </c>
      <c r="F3523" t="s">
        <v>7182</v>
      </c>
      <c r="G3523" s="2571">
        <f>'7D'!$G$20</f>
        <v>172</v>
      </c>
    </row>
    <row r="3524" spans="1:7">
      <c r="A3524" t="s">
        <v>654</v>
      </c>
      <c r="C3524" t="str">
        <f>'7D'!$BR$20</f>
        <v>STWC004</v>
      </c>
      <c r="D3524" t="str">
        <f>_xlfn.CONCAT('7D'!$B$19, "-", '7D'!$B$20, "-", '7D'!$H$7, "-", '7D'!$H$6, "-", '7D'!$E$5)</f>
        <v>Number of sewage treatment works-STWs in size band 1-A1-Tertiary-Treatment categories</v>
      </c>
      <c r="F3524" t="s">
        <v>7182</v>
      </c>
      <c r="G3524" s="2571">
        <f>'7D'!$H$20</f>
        <v>0</v>
      </c>
    </row>
    <row r="3525" spans="1:7">
      <c r="A3525" t="s">
        <v>654</v>
      </c>
      <c r="C3525" t="str">
        <f>'7D'!$BS$20</f>
        <v>STWC005</v>
      </c>
      <c r="D3525" t="str">
        <f>_xlfn.CONCAT('7D'!$B$19, "-", '7D'!$B$20, "-", '7D'!$I$7, "-", '7D'!$H$6, "-", '7D'!$E$5)</f>
        <v>Number of sewage treatment works-STWs in size band 1-A2-Tertiary-Treatment categories</v>
      </c>
      <c r="F3525" t="s">
        <v>7182</v>
      </c>
      <c r="G3525" s="2571">
        <f>'7D'!$I$20</f>
        <v>0</v>
      </c>
    </row>
    <row r="3526" spans="1:7">
      <c r="A3526" t="s">
        <v>654</v>
      </c>
      <c r="C3526" t="str">
        <f>'7D'!$BT$20</f>
        <v>STWC006</v>
      </c>
      <c r="D3526" t="str">
        <f>_xlfn.CONCAT('7D'!$B$19, "-", '7D'!$B$20, "-", '7D'!$J$7, "-", '7D'!$H$6, "-", '7D'!$E$5)</f>
        <v>Number of sewage treatment works-STWs in size band 1-B1-Tertiary-Treatment categories</v>
      </c>
      <c r="F3526" t="s">
        <v>7182</v>
      </c>
      <c r="G3526" s="2571">
        <f>'7D'!$J$20</f>
        <v>2</v>
      </c>
    </row>
    <row r="3527" spans="1:7">
      <c r="A3527" t="s">
        <v>654</v>
      </c>
      <c r="C3527" t="str">
        <f>'7D'!$BU$20</f>
        <v>STWC007</v>
      </c>
      <c r="D3527" t="str">
        <f>_xlfn.CONCAT('7D'!$B$19, "-", '7D'!$B$20, "-", '7D'!$K$7, "-", '7D'!$H$6, "-", '7D'!$E$5)</f>
        <v>Number of sewage treatment works-STWs in size band 1-B2-Tertiary-Treatment categories</v>
      </c>
      <c r="F3527" t="s">
        <v>7182</v>
      </c>
      <c r="G3527" s="2571">
        <f>'7D'!$K$20</f>
        <v>0</v>
      </c>
    </row>
    <row r="3528" spans="1:7">
      <c r="A3528" t="s">
        <v>654</v>
      </c>
      <c r="C3528" s="2564" t="str">
        <f>'7D'!$BV$20</f>
        <v>STWC108</v>
      </c>
      <c r="D3528" t="str">
        <f>_xlfn.CONCAT('7D'!$B$19, "-", '7D'!$B$20, "-", '7D'!$L$6, "-", '7D'!$L$6, "-", '7D'!$E$5)</f>
        <v>Number of sewage treatment works-STWs in size band 1-Total-Total-Treatment categories</v>
      </c>
      <c r="F3528" t="s">
        <v>7182</v>
      </c>
      <c r="G3528" s="2571">
        <f>'7D'!$L$20</f>
        <v>274</v>
      </c>
    </row>
    <row r="3529" spans="1:7">
      <c r="A3529" t="s">
        <v>654</v>
      </c>
      <c r="C3529" t="str">
        <f>'7D'!$BX$20</f>
        <v>STWCP001</v>
      </c>
      <c r="D3529" t="str">
        <f>_xlfn.CONCAT('7D'!$B$19, "-", '7D'!$B$20, "-", '7D'!$N$7, "-", '7D'!$N$6, "-", '7D'!$N$5)</f>
        <v>Number of sewage treatment works-STWs in size band 1-&lt;=0.5mg/l-Phosphorus-Treatment works consents</v>
      </c>
      <c r="F3529" t="s">
        <v>7182</v>
      </c>
      <c r="G3529" s="2571">
        <f>'7D'!$N$20</f>
        <v>0</v>
      </c>
    </row>
    <row r="3530" spans="1:7">
      <c r="A3530" t="s">
        <v>654</v>
      </c>
      <c r="C3530" t="str">
        <f>'7D'!$BY$20</f>
        <v>STWCP002</v>
      </c>
      <c r="D3530" t="str">
        <f>_xlfn.CONCAT('7D'!$B$19, "-", '7D'!$B$20, "-", '7D'!$O$7, "-", '7D'!$N$6, "-", '7D'!$N$5)</f>
        <v>Number of sewage treatment works-STWs in size band 1-&gt;0.5 to &lt;=1mg/l-Phosphorus-Treatment works consents</v>
      </c>
      <c r="F3530" t="s">
        <v>7182</v>
      </c>
      <c r="G3530" s="2571">
        <f>'7D'!$O$20</f>
        <v>0</v>
      </c>
    </row>
    <row r="3531" spans="1:7">
      <c r="A3531" t="s">
        <v>654</v>
      </c>
      <c r="C3531" t="str">
        <f>'7D'!$BZ$20</f>
        <v>STWCP003</v>
      </c>
      <c r="D3531" t="str">
        <f>_xlfn.CONCAT('7D'!$B$19, "-", '7D'!$B$20, "-", '7D'!$P$7, "-", '7D'!$N$6, "-", '7D'!$N$5)</f>
        <v>Number of sewage treatment works-STWs in size band 1-&gt;1mg/l-Phosphorus-Treatment works consents</v>
      </c>
      <c r="F3531" t="s">
        <v>7182</v>
      </c>
      <c r="G3531" s="2571">
        <f>'7D'!$P$20</f>
        <v>0</v>
      </c>
    </row>
    <row r="3532" spans="1:7">
      <c r="A3532" t="s">
        <v>654</v>
      </c>
      <c r="C3532" t="str">
        <f>'7D'!$CA$20</f>
        <v>STWCP004</v>
      </c>
      <c r="D3532" t="str">
        <f>_xlfn.CONCAT('7D'!$B$19, "-", '7D'!$B$20, "-", '7D'!$Q$7, "-", '7D'!$N$6, "-", '7D'!$N$5)</f>
        <v>Number of sewage treatment works-STWs in size band 1-No permit-Phosphorus-Treatment works consents</v>
      </c>
      <c r="F3532" t="s">
        <v>7182</v>
      </c>
      <c r="G3532" s="2571">
        <f>'7D'!$Q$20</f>
        <v>274</v>
      </c>
    </row>
    <row r="3533" spans="1:7">
      <c r="A3533" t="s">
        <v>654</v>
      </c>
      <c r="C3533" s="2564" t="str">
        <f>'7D'!$CB$20</f>
        <v>STWCP005</v>
      </c>
      <c r="D3533" t="str">
        <f>_xlfn.CONCAT('7D'!$B$19, "-", '7D'!$B$20, "-", '7D'!$R$7, "-", '7D'!$N$6, "-", '7D'!$N$5)</f>
        <v>Number of sewage treatment works-STWs in size band 1-Total-Phosphorus-Treatment works consents</v>
      </c>
      <c r="F3533" t="s">
        <v>7182</v>
      </c>
      <c r="G3533" s="2571">
        <f>'7D'!$R$20</f>
        <v>274</v>
      </c>
    </row>
    <row r="3534" spans="1:7">
      <c r="A3534" t="s">
        <v>654</v>
      </c>
      <c r="C3534" t="str">
        <f>'7D'!$CC$20</f>
        <v>STWCB001</v>
      </c>
      <c r="D3534" t="str">
        <f>_xlfn.CONCAT('7D'!$B$19, "-", '7D'!$B$20, "-", '7D'!$S$7, "-", '7D'!$S$6, "-", '7D'!$N$5)</f>
        <v>Number of sewage treatment works-STWs in size band 1-&lt;=7mg/l-BOD5-Treatment works consents</v>
      </c>
      <c r="F3534" t="s">
        <v>7182</v>
      </c>
      <c r="G3534" s="2571">
        <f>'7D'!$S$20</f>
        <v>0</v>
      </c>
    </row>
    <row r="3535" spans="1:7">
      <c r="A3535" t="s">
        <v>654</v>
      </c>
      <c r="C3535" t="str">
        <f>'7D'!$CD$20</f>
        <v>STWCB002</v>
      </c>
      <c r="D3535" t="str">
        <f>_xlfn.CONCAT('7D'!$B$19, "-", '7D'!$B$20, "-", '7D'!$T$7, "-", '7D'!$S$6, "-", '7D'!$N$5)</f>
        <v>Number of sewage treatment works-STWs in size band 1-&gt;7 to &lt;=10mg/l-BOD5-Treatment works consents</v>
      </c>
      <c r="F3535" t="s">
        <v>7182</v>
      </c>
      <c r="G3535" s="2571">
        <f>'7D'!$T$20</f>
        <v>0</v>
      </c>
    </row>
    <row r="3536" spans="1:7">
      <c r="A3536" t="s">
        <v>654</v>
      </c>
      <c r="C3536" t="str">
        <f>'7D'!$CE$20</f>
        <v>STWCB003</v>
      </c>
      <c r="D3536" t="str">
        <f>_xlfn.CONCAT('7D'!$B$19, "-", '7D'!$B$20, "-", '7D'!$U$7, "-", '7D'!$S$6, "-", '7D'!$N$5)</f>
        <v>Number of sewage treatment works-STWs in size band 1-&gt;10 to &lt;=20mg/l-BOD5-Treatment works consents</v>
      </c>
      <c r="F3536" t="s">
        <v>7182</v>
      </c>
      <c r="G3536" s="2571">
        <f>'7D'!$U$20</f>
        <v>2</v>
      </c>
    </row>
    <row r="3537" spans="1:7">
      <c r="A3537" t="s">
        <v>654</v>
      </c>
      <c r="C3537" t="str">
        <f>'7D'!$CF$20</f>
        <v>STWCB004</v>
      </c>
      <c r="D3537" t="str">
        <f>_xlfn.CONCAT('7D'!$B$19, "-", '7D'!$B$20, "-", '7D'!$V$7, "-", '7D'!$S$6, "-", '7D'!$N$5)</f>
        <v>Number of sewage treatment works-STWs in size band 1-&gt;20mg/l-BOD5-Treatment works consents</v>
      </c>
      <c r="F3537" t="s">
        <v>7182</v>
      </c>
      <c r="G3537" s="2571">
        <f>'7D'!$V$20</f>
        <v>22</v>
      </c>
    </row>
    <row r="3538" spans="1:7">
      <c r="A3538" t="s">
        <v>654</v>
      </c>
      <c r="C3538" t="str">
        <f>'7D'!$CG$20</f>
        <v>STWCB005</v>
      </c>
      <c r="D3538" t="str">
        <f>_xlfn.CONCAT('7D'!$B$19, "-", '7D'!$B$20, "-", '7D'!$W$7, "-", '7D'!$S$6, "-", '7D'!$N$5)</f>
        <v>Number of sewage treatment works-STWs in size band 1-No permit-BOD5-Treatment works consents</v>
      </c>
      <c r="F3538" t="s">
        <v>7182</v>
      </c>
      <c r="G3538" s="2571">
        <f>'7D'!$W$20</f>
        <v>250</v>
      </c>
    </row>
    <row r="3539" spans="1:7">
      <c r="A3539" t="s">
        <v>654</v>
      </c>
      <c r="C3539" s="2564" t="str">
        <f>'7D'!$CH$20</f>
        <v>STWCB006</v>
      </c>
      <c r="D3539" t="str">
        <f>_xlfn.CONCAT('7D'!$B$19, "-", '7D'!$B$20, "-", '7D'!$X$7, "-", '7D'!$S$6, "-", '7D'!$N$5)</f>
        <v>Number of sewage treatment works-STWs in size band 1-Total-BOD5-Treatment works consents</v>
      </c>
      <c r="F3539" t="s">
        <v>7182</v>
      </c>
      <c r="G3539" s="2571">
        <f>'7D'!$X$20</f>
        <v>274</v>
      </c>
    </row>
    <row r="3540" spans="1:7">
      <c r="A3540" t="s">
        <v>654</v>
      </c>
      <c r="C3540" t="str">
        <f>'7D'!$CI$20</f>
        <v>STWCA001</v>
      </c>
      <c r="D3540" t="str">
        <f>_xlfn.CONCAT('7D'!$B$19, "-", '7D'!$B$20, "-", '7D'!$Y$7, "-", '7D'!$Y$6, "-", '7D'!$N$5)</f>
        <v>Number of sewage treatment works-STWs in size band 1-&lt;=1mg/l-Ammonia-Treatment works consents</v>
      </c>
      <c r="F3540" t="s">
        <v>7182</v>
      </c>
      <c r="G3540" s="2571">
        <f>'7D'!$Y$20</f>
        <v>0</v>
      </c>
    </row>
    <row r="3541" spans="1:7">
      <c r="A3541" t="s">
        <v>654</v>
      </c>
      <c r="C3541" t="str">
        <f>'7D'!$CJ$20</f>
        <v>STWCA002</v>
      </c>
      <c r="D3541" t="str">
        <f>_xlfn.CONCAT('7D'!$B$19, "-", '7D'!$B$20, "-", '7D'!$Z$7, "-", '7D'!$Y$6, "-", '7D'!$N$5)</f>
        <v>Number of sewage treatment works-STWs in size band 1-&gt;1 to &lt;=3mg/l-Ammonia-Treatment works consents</v>
      </c>
      <c r="F3541" t="s">
        <v>7182</v>
      </c>
      <c r="G3541" s="2571">
        <f>'7D'!$Z$20</f>
        <v>0</v>
      </c>
    </row>
    <row r="3542" spans="1:7">
      <c r="A3542" t="s">
        <v>654</v>
      </c>
      <c r="C3542" t="str">
        <f>'7D'!$CK$20</f>
        <v>STWCA003</v>
      </c>
      <c r="D3542" t="str">
        <f>_xlfn.CONCAT('7D'!$B$19, "-", '7D'!$B$20, "-", '7D'!$AA$7, "-", '7D'!$Y$6, "-", '7D'!$N$5)</f>
        <v>Number of sewage treatment works-STWs in size band 1-&gt;3 to &lt;=10mg/l-Ammonia-Treatment works consents</v>
      </c>
      <c r="F3542" t="s">
        <v>7182</v>
      </c>
      <c r="G3542" s="2571">
        <f>'7D'!$AA$20</f>
        <v>0</v>
      </c>
    </row>
    <row r="3543" spans="1:7">
      <c r="A3543" t="s">
        <v>654</v>
      </c>
      <c r="C3543" t="str">
        <f>'7D'!$CL$20</f>
        <v>STWCA004</v>
      </c>
      <c r="D3543" t="str">
        <f>_xlfn.CONCAT('7D'!$B$19, "-", '7D'!$B$20, "-", '7D'!$AB$7, "-", '7D'!$Y$6, "-", '7D'!$N$5)</f>
        <v>Number of sewage treatment works-STWs in size band 1-&gt;10mg/l-Ammonia-Treatment works consents</v>
      </c>
      <c r="F3543" t="s">
        <v>7182</v>
      </c>
      <c r="G3543" s="2571">
        <f>'7D'!$AB$20</f>
        <v>8</v>
      </c>
    </row>
    <row r="3544" spans="1:7">
      <c r="A3544" t="s">
        <v>654</v>
      </c>
      <c r="C3544" t="str">
        <f>'7D'!$CM$20</f>
        <v>STWCA005</v>
      </c>
      <c r="D3544" t="str">
        <f>_xlfn.CONCAT('7D'!$B$19, "-", '7D'!$B$20, "-", '7D'!$AC$7, "-", '7D'!$Y$6, "-", '7D'!$N$5)</f>
        <v>Number of sewage treatment works-STWs in size band 1-No permit-Ammonia-Treatment works consents</v>
      </c>
      <c r="F3544" t="s">
        <v>7182</v>
      </c>
      <c r="G3544" s="2571">
        <f>'7D'!$AC$20</f>
        <v>266</v>
      </c>
    </row>
    <row r="3545" spans="1:7">
      <c r="A3545" t="s">
        <v>654</v>
      </c>
      <c r="C3545" s="2564" t="str">
        <f>'7D'!$CN$20</f>
        <v>STWCA006</v>
      </c>
      <c r="D3545" t="str">
        <f>_xlfn.CONCAT('7D'!$B$19, "-", '7D'!$B$20, "-", '7D'!$AD$7, "-", '7D'!$Y$6, "-", '7D'!$N$5)</f>
        <v>Number of sewage treatment works-STWs in size band 1-Total-Ammonia-Treatment works consents</v>
      </c>
      <c r="F3545" t="s">
        <v>7182</v>
      </c>
      <c r="G3545" s="2571">
        <f>'7D'!$AD$20</f>
        <v>274</v>
      </c>
    </row>
    <row r="3546" spans="1:7">
      <c r="A3546" t="s">
        <v>654</v>
      </c>
      <c r="C3546" t="str">
        <f>'7D'!$BO$21</f>
        <v>STWC015</v>
      </c>
      <c r="D3546" t="str">
        <f>_xlfn.CONCAT('7D'!$B$19, "-", '7D'!$B$21, "-", '7D'!$E$6, "-", '7D'!$E$6, "-", '7D'!$E$5)</f>
        <v>Number of sewage treatment works-STWs in size band 2-Primary-Primary-Treatment categories</v>
      </c>
      <c r="F3546" t="s">
        <v>7182</v>
      </c>
      <c r="G3546" s="2571">
        <f>'7D'!$E$21</f>
        <v>0</v>
      </c>
    </row>
    <row r="3547" spans="1:7">
      <c r="A3547" t="s">
        <v>654</v>
      </c>
      <c r="C3547" t="str">
        <f>'7D'!$BP$21</f>
        <v>STWC016</v>
      </c>
      <c r="D3547" t="str">
        <f>_xlfn.CONCAT('7D'!$B$19, "-", '7D'!$B$21, "-", '7D'!$F$7, "-", '7D'!$F$6, "-", '7D'!$E$5)</f>
        <v>Number of sewage treatment works-STWs in size band 2-Activated Sludge-Secondary-Treatment categories</v>
      </c>
      <c r="F3547" t="s">
        <v>7182</v>
      </c>
      <c r="G3547" s="2571">
        <f>'7D'!$F$21</f>
        <v>0</v>
      </c>
    </row>
    <row r="3548" spans="1:7">
      <c r="A3548" t="s">
        <v>654</v>
      </c>
      <c r="C3548" t="str">
        <f>'7D'!$BQ$21</f>
        <v>STWC017</v>
      </c>
      <c r="D3548" t="str">
        <f>_xlfn.CONCAT('7D'!$B$19, "-", '7D'!$B$21, "-", '7D'!$G$7, "-", '7D'!$F$6, "-", '7D'!$E$5)</f>
        <v>Number of sewage treatment works-STWs in size band 2-Biological-Secondary-Treatment categories</v>
      </c>
      <c r="F3548" t="s">
        <v>7182</v>
      </c>
      <c r="G3548" s="2571">
        <f>'7D'!$G$21</f>
        <v>20</v>
      </c>
    </row>
    <row r="3549" spans="1:7">
      <c r="A3549" t="s">
        <v>654</v>
      </c>
      <c r="C3549" t="str">
        <f>'7D'!$BR$21</f>
        <v>STWC018</v>
      </c>
      <c r="D3549" t="str">
        <f>_xlfn.CONCAT('7D'!$B$19, "-", '7D'!$B$21, "-", '7D'!$H$7, "-", '7D'!$H$6, "-", '7D'!$E$5)</f>
        <v>Number of sewage treatment works-STWs in size band 2-A1-Tertiary-Treatment categories</v>
      </c>
      <c r="F3549" t="s">
        <v>7182</v>
      </c>
      <c r="G3549" s="2571">
        <f>'7D'!$H$21</f>
        <v>0</v>
      </c>
    </row>
    <row r="3550" spans="1:7">
      <c r="A3550" t="s">
        <v>654</v>
      </c>
      <c r="C3550" t="str">
        <f>'7D'!$BS$21</f>
        <v>STWC019</v>
      </c>
      <c r="D3550" t="str">
        <f>_xlfn.CONCAT('7D'!$B$19, "-", '7D'!$B$21, "-", '7D'!$I$7, "-", '7D'!$H$6, "-", '7D'!$E$5)</f>
        <v>Number of sewage treatment works-STWs in size band 2-A2-Tertiary-Treatment categories</v>
      </c>
      <c r="F3550" t="s">
        <v>7182</v>
      </c>
      <c r="G3550" s="2571">
        <f>'7D'!$I$21</f>
        <v>0</v>
      </c>
    </row>
    <row r="3551" spans="1:7">
      <c r="A3551" t="s">
        <v>654</v>
      </c>
      <c r="C3551" t="str">
        <f>'7D'!$BT$21</f>
        <v>STWC020</v>
      </c>
      <c r="D3551" t="str">
        <f>_xlfn.CONCAT('7D'!$B$19, "-", '7D'!$B$21, "-", '7D'!$J$7, "-", '7D'!$H$6, "-", '7D'!$E$5)</f>
        <v>Number of sewage treatment works-STWs in size band 2-B1-Tertiary-Treatment categories</v>
      </c>
      <c r="F3551" t="s">
        <v>7182</v>
      </c>
      <c r="G3551" s="2571">
        <f>'7D'!$J$21</f>
        <v>0</v>
      </c>
    </row>
    <row r="3552" spans="1:7">
      <c r="A3552" t="s">
        <v>654</v>
      </c>
      <c r="C3552" t="str">
        <f>'7D'!$BU$21</f>
        <v>STWC021</v>
      </c>
      <c r="D3552" t="str">
        <f>_xlfn.CONCAT('7D'!$B$19, "-", '7D'!$B$21, "-", '7D'!$K$7, "-", '7D'!$H$6, "-", '7D'!$E$5)</f>
        <v>Number of sewage treatment works-STWs in size band 2-B2-Tertiary-Treatment categories</v>
      </c>
      <c r="F3552" t="s">
        <v>7182</v>
      </c>
      <c r="G3552" s="2571">
        <f>'7D'!$K$21</f>
        <v>2</v>
      </c>
    </row>
    <row r="3553" spans="1:7">
      <c r="A3553" t="s">
        <v>654</v>
      </c>
      <c r="C3553" s="2564" t="str">
        <f>'7D'!$BV$21</f>
        <v>STWC109</v>
      </c>
      <c r="D3553" t="str">
        <f>_xlfn.CONCAT('7D'!$B$19, "-", '7D'!$B$21, "-", '7D'!$L$6, "-", '7D'!$L$6, "-", '7D'!$E$5)</f>
        <v>Number of sewage treatment works-STWs in size band 2-Total-Total-Treatment categories</v>
      </c>
      <c r="F3553" t="s">
        <v>7182</v>
      </c>
      <c r="G3553" s="2571">
        <f>'7D'!$L$21</f>
        <v>22</v>
      </c>
    </row>
    <row r="3554" spans="1:7">
      <c r="A3554" t="s">
        <v>654</v>
      </c>
      <c r="C3554" t="str">
        <f>'7D'!$BX$21</f>
        <v>STWCP015</v>
      </c>
      <c r="D3554" t="str">
        <f>_xlfn.CONCAT('7D'!$B$19, "-", '7D'!$B$21, "-", '7D'!$N$7, "-", '7D'!$N$6, "-", '7D'!$N$5)</f>
        <v>Number of sewage treatment works-STWs in size band 2-&lt;=0.5mg/l-Phosphorus-Treatment works consents</v>
      </c>
      <c r="F3554" t="s">
        <v>7182</v>
      </c>
      <c r="G3554" s="2571">
        <f>'7D'!$N$21</f>
        <v>0</v>
      </c>
    </row>
    <row r="3555" spans="1:7">
      <c r="A3555" t="s">
        <v>654</v>
      </c>
      <c r="C3555" t="str">
        <f>'7D'!$BY$21</f>
        <v>STWCP016</v>
      </c>
      <c r="D3555" t="str">
        <f>_xlfn.CONCAT('7D'!$B$19, "-", '7D'!$B$21, "-", '7D'!$O$7, "-", '7D'!$N$6, "-", '7D'!$N$5)</f>
        <v>Number of sewage treatment works-STWs in size band 2-&gt;0.5 to &lt;=1mg/l-Phosphorus-Treatment works consents</v>
      </c>
      <c r="F3555" t="s">
        <v>7182</v>
      </c>
      <c r="G3555" s="2571">
        <f>'7D'!$O$21</f>
        <v>0</v>
      </c>
    </row>
    <row r="3556" spans="1:7">
      <c r="A3556" t="s">
        <v>654</v>
      </c>
      <c r="C3556" t="str">
        <f>'7D'!$BZ$21</f>
        <v>STWCP017</v>
      </c>
      <c r="D3556" t="str">
        <f>_xlfn.CONCAT('7D'!$B$19, "-", '7D'!$B$21, "-", '7D'!$P$7, "-", '7D'!$N$6, "-", '7D'!$N$5)</f>
        <v>Number of sewage treatment works-STWs in size band 2-&gt;1mg/l-Phosphorus-Treatment works consents</v>
      </c>
      <c r="F3556" t="s">
        <v>7182</v>
      </c>
      <c r="G3556" s="2571">
        <f>'7D'!$P$21</f>
        <v>0</v>
      </c>
    </row>
    <row r="3557" spans="1:7">
      <c r="A3557" t="s">
        <v>654</v>
      </c>
      <c r="C3557" t="str">
        <f>'7D'!$CA$21</f>
        <v>STWCP018</v>
      </c>
      <c r="D3557" t="str">
        <f>_xlfn.CONCAT('7D'!$B$19, "-", '7D'!$B$21, "-", '7D'!$Q$7, "-", '7D'!$N$6, "-", '7D'!$N$5)</f>
        <v>Number of sewage treatment works-STWs in size band 2-No permit-Phosphorus-Treatment works consents</v>
      </c>
      <c r="F3557" t="s">
        <v>7182</v>
      </c>
      <c r="G3557" s="2571">
        <f>'7D'!$Q$21</f>
        <v>22</v>
      </c>
    </row>
    <row r="3558" spans="1:7">
      <c r="A3558" t="s">
        <v>654</v>
      </c>
      <c r="C3558" s="2564" t="str">
        <f>'7D'!$CB$21</f>
        <v>STWCP019</v>
      </c>
      <c r="D3558" t="str">
        <f>_xlfn.CONCAT('7D'!$B$19, "-", '7D'!$B$21, "-", '7D'!$R$7, "-", '7D'!$N$6, "-", '7D'!$N$5)</f>
        <v>Number of sewage treatment works-STWs in size band 2-Total-Phosphorus-Treatment works consents</v>
      </c>
      <c r="F3558" t="s">
        <v>7182</v>
      </c>
      <c r="G3558" s="2571">
        <f>'7D'!$R$21</f>
        <v>22</v>
      </c>
    </row>
    <row r="3559" spans="1:7">
      <c r="A3559" t="s">
        <v>654</v>
      </c>
      <c r="C3559" t="str">
        <f>'7D'!$CC$21</f>
        <v>STWCB015</v>
      </c>
      <c r="D3559" t="str">
        <f>_xlfn.CONCAT('7D'!$B$19, "-", '7D'!$B$21, "-", '7D'!$S$7, "-", '7D'!$S$6, "-", '7D'!$N$5)</f>
        <v>Number of sewage treatment works-STWs in size band 2-&lt;=7mg/l-BOD5-Treatment works consents</v>
      </c>
      <c r="F3559" t="s">
        <v>7182</v>
      </c>
      <c r="G3559" s="2571">
        <f>'7D'!$S$21</f>
        <v>0</v>
      </c>
    </row>
    <row r="3560" spans="1:7">
      <c r="A3560" t="s">
        <v>654</v>
      </c>
      <c r="C3560" t="str">
        <f>'7D'!$CD$21</f>
        <v>STWCB016</v>
      </c>
      <c r="D3560" t="str">
        <f>_xlfn.CONCAT('7D'!$B$19, "-", '7D'!$B$21, "-", '7D'!$T$7, "-", '7D'!$S$6, "-", '7D'!$N$5)</f>
        <v>Number of sewage treatment works-STWs in size band 2-&gt;7 to &lt;=10mg/l-BOD5-Treatment works consents</v>
      </c>
      <c r="F3560" t="s">
        <v>7182</v>
      </c>
      <c r="G3560" s="2571">
        <f>'7D'!$T$21</f>
        <v>0</v>
      </c>
    </row>
    <row r="3561" spans="1:7">
      <c r="A3561" t="s">
        <v>654</v>
      </c>
      <c r="C3561" t="str">
        <f>'7D'!$CE$21</f>
        <v>STWCB017</v>
      </c>
      <c r="D3561" t="str">
        <f>_xlfn.CONCAT('7D'!$B$19, "-", '7D'!$B$21, "-", '7D'!$U$7, "-", '7D'!$S$6, "-", '7D'!$N$5)</f>
        <v>Number of sewage treatment works-STWs in size band 2-&gt;10 to &lt;=20mg/l-BOD5-Treatment works consents</v>
      </c>
      <c r="F3561" t="s">
        <v>7182</v>
      </c>
      <c r="G3561" s="2571">
        <f>'7D'!$U$21</f>
        <v>2</v>
      </c>
    </row>
    <row r="3562" spans="1:7">
      <c r="A3562" t="s">
        <v>654</v>
      </c>
      <c r="C3562" t="str">
        <f>'7D'!$CF$21</f>
        <v>STWCB018</v>
      </c>
      <c r="D3562" t="str">
        <f>_xlfn.CONCAT('7D'!$B$19, "-", '7D'!$B$21, "-", '7D'!$V$7, "-", '7D'!$S$6, "-", '7D'!$N$5)</f>
        <v>Number of sewage treatment works-STWs in size band 2-&gt;20mg/l-BOD5-Treatment works consents</v>
      </c>
      <c r="F3562" t="s">
        <v>7182</v>
      </c>
      <c r="G3562" s="2571">
        <f>'7D'!$V$21</f>
        <v>18</v>
      </c>
    </row>
    <row r="3563" spans="1:7">
      <c r="A3563" t="s">
        <v>654</v>
      </c>
      <c r="C3563" t="str">
        <f>'7D'!$CG$21</f>
        <v>STWCB019</v>
      </c>
      <c r="D3563" t="str">
        <f>_xlfn.CONCAT('7D'!$B$19, "-", '7D'!$B$21, "-", '7D'!$W$7, "-", '7D'!$S$6, "-", '7D'!$N$5)</f>
        <v>Number of sewage treatment works-STWs in size band 2-No permit-BOD5-Treatment works consents</v>
      </c>
      <c r="F3563" t="s">
        <v>7182</v>
      </c>
      <c r="G3563" s="2571">
        <f>'7D'!$W$21</f>
        <v>2</v>
      </c>
    </row>
    <row r="3564" spans="1:7">
      <c r="A3564" t="s">
        <v>654</v>
      </c>
      <c r="C3564" s="2564" t="str">
        <f>'7D'!$CH$21</f>
        <v>STWCB020</v>
      </c>
      <c r="D3564" t="str">
        <f>_xlfn.CONCAT('7D'!$B$19, "-", '7D'!$B$21, "-", '7D'!$X$7, "-", '7D'!$S$6, "-", '7D'!$N$5)</f>
        <v>Number of sewage treatment works-STWs in size band 2-Total-BOD5-Treatment works consents</v>
      </c>
      <c r="F3564" t="s">
        <v>7182</v>
      </c>
      <c r="G3564" s="2571">
        <f>'7D'!$X$21</f>
        <v>22</v>
      </c>
    </row>
    <row r="3565" spans="1:7">
      <c r="A3565" t="s">
        <v>654</v>
      </c>
      <c r="C3565" t="str">
        <f>'7D'!$CI$21</f>
        <v>STWCA015</v>
      </c>
      <c r="D3565" t="str">
        <f>_xlfn.CONCAT('7D'!$B$19, "-", '7D'!$B$21, "-", '7D'!$Y$7, "-", '7D'!$Y$6, "-", '7D'!$N$5)</f>
        <v>Number of sewage treatment works-STWs in size band 2-&lt;=1mg/l-Ammonia-Treatment works consents</v>
      </c>
      <c r="F3565" t="s">
        <v>7182</v>
      </c>
      <c r="G3565" s="2571">
        <f>'7D'!$Y$21</f>
        <v>0</v>
      </c>
    </row>
    <row r="3566" spans="1:7">
      <c r="A3566" t="s">
        <v>654</v>
      </c>
      <c r="C3566" t="str">
        <f>'7D'!$CJ$21</f>
        <v>STWCA016</v>
      </c>
      <c r="D3566" t="str">
        <f>_xlfn.CONCAT('7D'!$B$19, "-", '7D'!$B$21, "-", '7D'!$Z$7, "-", '7D'!$Y$6, "-", '7D'!$N$5)</f>
        <v>Number of sewage treatment works-STWs in size band 2-&gt;1 to &lt;=3mg/l-Ammonia-Treatment works consents</v>
      </c>
      <c r="F3566" t="s">
        <v>7182</v>
      </c>
      <c r="G3566" s="2571">
        <f>'7D'!$Z$21</f>
        <v>0</v>
      </c>
    </row>
    <row r="3567" spans="1:7">
      <c r="A3567" t="s">
        <v>654</v>
      </c>
      <c r="C3567" t="str">
        <f>'7D'!$CK$21</f>
        <v>STWCA017</v>
      </c>
      <c r="D3567" t="str">
        <f>_xlfn.CONCAT('7D'!$B$19, "-", '7D'!$B$21, "-", '7D'!$AA$7, "-", '7D'!$Y$6, "-", '7D'!$N$5)</f>
        <v>Number of sewage treatment works-STWs in size band 2-&gt;3 to &lt;=10mg/l-Ammonia-Treatment works consents</v>
      </c>
      <c r="F3567" t="s">
        <v>7182</v>
      </c>
      <c r="G3567" s="2571">
        <f>'7D'!$AA$21</f>
        <v>1</v>
      </c>
    </row>
    <row r="3568" spans="1:7">
      <c r="A3568" t="s">
        <v>654</v>
      </c>
      <c r="C3568" t="str">
        <f>'7D'!$CL$21</f>
        <v>STWCA018</v>
      </c>
      <c r="D3568" t="str">
        <f>_xlfn.CONCAT('7D'!$B$19, "-", '7D'!$B$21, "-", '7D'!$AB$7, "-", '7D'!$Y$6, "-", '7D'!$N$5)</f>
        <v>Number of sewage treatment works-STWs in size band 2-&gt;10mg/l-Ammonia-Treatment works consents</v>
      </c>
      <c r="F3568" t="s">
        <v>7182</v>
      </c>
      <c r="G3568" s="2571">
        <f>'7D'!$AB$21</f>
        <v>7</v>
      </c>
    </row>
    <row r="3569" spans="1:7">
      <c r="A3569" t="s">
        <v>654</v>
      </c>
      <c r="C3569" t="str">
        <f>'7D'!$CM$21</f>
        <v>STWCA019</v>
      </c>
      <c r="D3569" t="str">
        <f>_xlfn.CONCAT('7D'!$B$19, "-", '7D'!$B$21, "-", '7D'!$AC$7, "-", '7D'!$Y$6, "-", '7D'!$N$5)</f>
        <v>Number of sewage treatment works-STWs in size band 2-No permit-Ammonia-Treatment works consents</v>
      </c>
      <c r="F3569" t="s">
        <v>7182</v>
      </c>
      <c r="G3569" s="2571">
        <f>'7D'!$AC$21</f>
        <v>14</v>
      </c>
    </row>
    <row r="3570" spans="1:7">
      <c r="A3570" t="s">
        <v>654</v>
      </c>
      <c r="C3570" s="2564" t="str">
        <f>'7D'!$CN$21</f>
        <v>STWCA020</v>
      </c>
      <c r="D3570" t="str">
        <f>_xlfn.CONCAT('7D'!$B$19, "-", '7D'!$B$21, "-", '7D'!$AD$7, "-", '7D'!$Y$6, "-", '7D'!$N$5)</f>
        <v>Number of sewage treatment works-STWs in size band 2-Total-Ammonia-Treatment works consents</v>
      </c>
      <c r="F3570" t="s">
        <v>7182</v>
      </c>
      <c r="G3570" s="2571">
        <f>'7D'!$AD$21</f>
        <v>22</v>
      </c>
    </row>
    <row r="3571" spans="1:7">
      <c r="A3571" t="s">
        <v>654</v>
      </c>
      <c r="C3571" t="str">
        <f>'7D'!$BO$22</f>
        <v>STWC029</v>
      </c>
      <c r="D3571" t="str">
        <f>_xlfn.CONCAT('7D'!$B$19, "-", '7D'!$B$22, "-", '7D'!$E$6, "-", '7D'!$E$6, "-", '7D'!$E$5)</f>
        <v>Number of sewage treatment works-STWs in size band 3-Primary-Primary-Treatment categories</v>
      </c>
      <c r="F3571" t="s">
        <v>7182</v>
      </c>
      <c r="G3571" s="2571">
        <f>'7D'!$E$22</f>
        <v>0</v>
      </c>
    </row>
    <row r="3572" spans="1:7">
      <c r="A3572" t="s">
        <v>654</v>
      </c>
      <c r="C3572" t="str">
        <f>'7D'!$BP$22</f>
        <v>STWC030</v>
      </c>
      <c r="D3572" t="str">
        <f>_xlfn.CONCAT('7D'!$B$19, "-", '7D'!$B$22, "-", '7D'!$F$7, "-", '7D'!$F$6, "-", '7D'!$E$5)</f>
        <v>Number of sewage treatment works-STWs in size band 3-Activated Sludge-Secondary-Treatment categories</v>
      </c>
      <c r="F3572" t="s">
        <v>7182</v>
      </c>
      <c r="G3572" s="2571">
        <f>'7D'!$F$22</f>
        <v>1</v>
      </c>
    </row>
    <row r="3573" spans="1:7">
      <c r="A3573" t="s">
        <v>654</v>
      </c>
      <c r="C3573" t="str">
        <f>'7D'!$BQ$22</f>
        <v>STWC031</v>
      </c>
      <c r="D3573" t="str">
        <f>_xlfn.CONCAT('7D'!$B$19, "-", '7D'!$B$22, "-", '7D'!$G$7, "-", '7D'!$F$6, "-", '7D'!$E$5)</f>
        <v>Number of sewage treatment works-STWs in size band 3-Biological-Secondary-Treatment categories</v>
      </c>
      <c r="F3573" t="s">
        <v>7182</v>
      </c>
      <c r="G3573" s="2571">
        <f>'7D'!$G$22</f>
        <v>48</v>
      </c>
    </row>
    <row r="3574" spans="1:7">
      <c r="A3574" t="s">
        <v>654</v>
      </c>
      <c r="C3574" t="str">
        <f>'7D'!$BR$22</f>
        <v>STWC032</v>
      </c>
      <c r="D3574" t="str">
        <f>_xlfn.CONCAT('7D'!$B$19, "-", '7D'!$B$22, "-", '7D'!$H$7, "-", '7D'!$H$6, "-", '7D'!$E$5)</f>
        <v>Number of sewage treatment works-STWs in size band 3-A1-Tertiary-Treatment categories</v>
      </c>
      <c r="F3574" t="s">
        <v>7182</v>
      </c>
      <c r="G3574" s="2571">
        <f>'7D'!$H$22</f>
        <v>0</v>
      </c>
    </row>
    <row r="3575" spans="1:7">
      <c r="A3575" t="s">
        <v>654</v>
      </c>
      <c r="C3575" t="str">
        <f>'7D'!$BS$22</f>
        <v>STWC033</v>
      </c>
      <c r="D3575" t="str">
        <f>_xlfn.CONCAT('7D'!$B$19, "-", '7D'!$B$22, "-", '7D'!$I$7, "-", '7D'!$H$6, "-", '7D'!$E$5)</f>
        <v>Number of sewage treatment works-STWs in size band 3-A2-Tertiary-Treatment categories</v>
      </c>
      <c r="F3575" t="s">
        <v>7182</v>
      </c>
      <c r="G3575" s="2571">
        <f>'7D'!$I$22</f>
        <v>0</v>
      </c>
    </row>
    <row r="3576" spans="1:7">
      <c r="A3576" t="s">
        <v>654</v>
      </c>
      <c r="C3576" t="str">
        <f>'7D'!$BT$22</f>
        <v>STWC034</v>
      </c>
      <c r="D3576" t="str">
        <f>_xlfn.CONCAT('7D'!$B$19, "-", '7D'!$B$22, "-", '7D'!$J$7, "-", '7D'!$H$6, "-", '7D'!$E$5)</f>
        <v>Number of sewage treatment works-STWs in size band 3-B1-Tertiary-Treatment categories</v>
      </c>
      <c r="F3576" t="s">
        <v>7182</v>
      </c>
      <c r="G3576" s="2571">
        <f>'7D'!$J$22</f>
        <v>0</v>
      </c>
    </row>
    <row r="3577" spans="1:7">
      <c r="A3577" t="s">
        <v>654</v>
      </c>
      <c r="C3577" t="str">
        <f>'7D'!$BU$22</f>
        <v>STWC035</v>
      </c>
      <c r="D3577" t="str">
        <f>_xlfn.CONCAT('7D'!$B$19, "-", '7D'!$B$22, "-", '7D'!$K$7, "-", '7D'!$H$6, "-", '7D'!$E$5)</f>
        <v>Number of sewage treatment works-STWs in size band 3-B2-Tertiary-Treatment categories</v>
      </c>
      <c r="F3577" t="s">
        <v>7182</v>
      </c>
      <c r="G3577" s="2571">
        <f>'7D'!$K$22</f>
        <v>5</v>
      </c>
    </row>
    <row r="3578" spans="1:7">
      <c r="A3578" t="s">
        <v>654</v>
      </c>
      <c r="C3578" s="2564" t="str">
        <f>'7D'!$BV$22</f>
        <v>STWC110</v>
      </c>
      <c r="D3578" t="str">
        <f>_xlfn.CONCAT('7D'!$B$19, "-", '7D'!$B$22, "-", '7D'!$L$6, "-", '7D'!$L$6, "-", '7D'!$E$5)</f>
        <v>Number of sewage treatment works-STWs in size band 3-Total-Total-Treatment categories</v>
      </c>
      <c r="F3578" t="s">
        <v>7182</v>
      </c>
      <c r="G3578" s="2571">
        <f>'7D'!$L$22</f>
        <v>54</v>
      </c>
    </row>
    <row r="3579" spans="1:7">
      <c r="A3579" t="s">
        <v>654</v>
      </c>
      <c r="C3579" t="str">
        <f>'7D'!$BX$22</f>
        <v>STWCP029</v>
      </c>
      <c r="D3579" t="str">
        <f>_xlfn.CONCAT('7D'!$B$19, "-", '7D'!$B$22, "-", '7D'!$N$7, "-", '7D'!$N$6, "-", '7D'!$N$5)</f>
        <v>Number of sewage treatment works-STWs in size band 3-&lt;=0.5mg/l-Phosphorus-Treatment works consents</v>
      </c>
      <c r="F3579" t="s">
        <v>7182</v>
      </c>
      <c r="G3579" s="2571">
        <f>'7D'!$N$22</f>
        <v>0</v>
      </c>
    </row>
    <row r="3580" spans="1:7">
      <c r="A3580" t="s">
        <v>654</v>
      </c>
      <c r="C3580" t="str">
        <f>'7D'!$BY$22</f>
        <v>STWCP030</v>
      </c>
      <c r="D3580" t="str">
        <f>_xlfn.CONCAT('7D'!$B$19, "-", '7D'!$B$22, "-", '7D'!$O$7, "-", '7D'!$N$6, "-", '7D'!$N$5)</f>
        <v>Number of sewage treatment works-STWs in size band 3-&gt;0.5 to &lt;=1mg/l-Phosphorus-Treatment works consents</v>
      </c>
      <c r="F3580" t="s">
        <v>7182</v>
      </c>
      <c r="G3580" s="2571">
        <f>'7D'!$O$22</f>
        <v>3</v>
      </c>
    </row>
    <row r="3581" spans="1:7">
      <c r="A3581" t="s">
        <v>654</v>
      </c>
      <c r="C3581" t="str">
        <f>'7D'!$BZ$22</f>
        <v>STWCP031</v>
      </c>
      <c r="D3581" t="str">
        <f>_xlfn.CONCAT('7D'!$B$19, "-", '7D'!$B$22, "-", '7D'!$P$7, "-", '7D'!$N$6, "-", '7D'!$N$5)</f>
        <v>Number of sewage treatment works-STWs in size band 3-&gt;1mg/l-Phosphorus-Treatment works consents</v>
      </c>
      <c r="F3581" t="s">
        <v>7182</v>
      </c>
      <c r="G3581" s="2571">
        <f>'7D'!$P$22</f>
        <v>1</v>
      </c>
    </row>
    <row r="3582" spans="1:7">
      <c r="A3582" t="s">
        <v>654</v>
      </c>
      <c r="C3582" t="str">
        <f>'7D'!$CA$22</f>
        <v>STWCP032</v>
      </c>
      <c r="D3582" t="str">
        <f>_xlfn.CONCAT('7D'!$B$19, "-", '7D'!$B$22, "-", '7D'!$Q$7, "-", '7D'!$N$6, "-", '7D'!$N$5)</f>
        <v>Number of sewage treatment works-STWs in size band 3-No permit-Phosphorus-Treatment works consents</v>
      </c>
      <c r="F3582" t="s">
        <v>7182</v>
      </c>
      <c r="G3582" s="2571">
        <f>'7D'!$Q$22</f>
        <v>50</v>
      </c>
    </row>
    <row r="3583" spans="1:7">
      <c r="A3583" t="s">
        <v>654</v>
      </c>
      <c r="C3583" s="2564" t="str">
        <f>'7D'!$CB$22</f>
        <v>STWCP033</v>
      </c>
      <c r="D3583" t="str">
        <f>_xlfn.CONCAT('7D'!$B$19, "-", '7D'!$B$22, "-", '7D'!$R$7, "-", '7D'!$N$6, "-", '7D'!$N$5)</f>
        <v>Number of sewage treatment works-STWs in size band 3-Total-Phosphorus-Treatment works consents</v>
      </c>
      <c r="F3583" t="s">
        <v>7182</v>
      </c>
      <c r="G3583" s="2571">
        <f>'7D'!$R$22</f>
        <v>54</v>
      </c>
    </row>
    <row r="3584" spans="1:7">
      <c r="A3584" t="s">
        <v>654</v>
      </c>
      <c r="C3584" t="str">
        <f>'7D'!$CC$22</f>
        <v>STWCB029</v>
      </c>
      <c r="D3584" t="str">
        <f>_xlfn.CONCAT('7D'!$B$19, "-", '7D'!$B$22, "-", '7D'!$S$7, "-", '7D'!$S$6, "-", '7D'!$N$5)</f>
        <v>Number of sewage treatment works-STWs in size band 3-&lt;=7mg/l-BOD5-Treatment works consents</v>
      </c>
      <c r="F3584" t="s">
        <v>7182</v>
      </c>
      <c r="G3584" s="2571">
        <f>'7D'!$S$22</f>
        <v>0</v>
      </c>
    </row>
    <row r="3585" spans="1:7">
      <c r="A3585" t="s">
        <v>654</v>
      </c>
      <c r="C3585" t="str">
        <f>'7D'!$CD$22</f>
        <v>STWCB030</v>
      </c>
      <c r="D3585" t="str">
        <f>_xlfn.CONCAT('7D'!$B$19, "-", '7D'!$B$22, "-", '7D'!$T$7, "-", '7D'!$S$6, "-", '7D'!$N$5)</f>
        <v>Number of sewage treatment works-STWs in size band 3-&gt;7 to &lt;=10mg/l-BOD5-Treatment works consents</v>
      </c>
      <c r="F3585" t="s">
        <v>7182</v>
      </c>
      <c r="G3585" s="2571">
        <f>'7D'!$T$22</f>
        <v>0</v>
      </c>
    </row>
    <row r="3586" spans="1:7">
      <c r="A3586" t="s">
        <v>654</v>
      </c>
      <c r="C3586" t="str">
        <f>'7D'!$CE$22</f>
        <v>STWCB031</v>
      </c>
      <c r="D3586" t="str">
        <f>_xlfn.CONCAT('7D'!$B$19, "-", '7D'!$B$22, "-", '7D'!$U$7, "-", '7D'!$S$6, "-", '7D'!$N$5)</f>
        <v>Number of sewage treatment works-STWs in size band 3-&gt;10 to &lt;=20mg/l-BOD5-Treatment works consents</v>
      </c>
      <c r="F3586" t="s">
        <v>7182</v>
      </c>
      <c r="G3586" s="2571">
        <f>'7D'!$U$22</f>
        <v>9</v>
      </c>
    </row>
    <row r="3587" spans="1:7">
      <c r="A3587" t="s">
        <v>654</v>
      </c>
      <c r="C3587" t="str">
        <f>'7D'!$CF$22</f>
        <v>STWCB032</v>
      </c>
      <c r="D3587" t="str">
        <f>_xlfn.CONCAT('7D'!$B$19, "-", '7D'!$B$22, "-", '7D'!$V$7, "-", '7D'!$S$6, "-", '7D'!$N$5)</f>
        <v>Number of sewage treatment works-STWs in size band 3-&gt;20mg/l-BOD5-Treatment works consents</v>
      </c>
      <c r="F3587" t="s">
        <v>7182</v>
      </c>
      <c r="G3587" s="2571">
        <f>'7D'!$V$22</f>
        <v>43</v>
      </c>
    </row>
    <row r="3588" spans="1:7">
      <c r="A3588" t="s">
        <v>654</v>
      </c>
      <c r="C3588" t="str">
        <f>'7D'!$CG$22</f>
        <v>STWCB033</v>
      </c>
      <c r="D3588" t="str">
        <f>_xlfn.CONCAT('7D'!$B$19, "-", '7D'!$B$22, "-", '7D'!$W$7, "-", '7D'!$S$6, "-", '7D'!$N$5)</f>
        <v>Number of sewage treatment works-STWs in size band 3-No permit-BOD5-Treatment works consents</v>
      </c>
      <c r="F3588" t="s">
        <v>7182</v>
      </c>
      <c r="G3588" s="2571">
        <f>'7D'!$W$22</f>
        <v>2</v>
      </c>
    </row>
    <row r="3589" spans="1:7">
      <c r="A3589" t="s">
        <v>654</v>
      </c>
      <c r="C3589" s="2564" t="str">
        <f>'7D'!$CH$22</f>
        <v>STWCB034</v>
      </c>
      <c r="D3589" t="str">
        <f>_xlfn.CONCAT('7D'!$B$19, "-", '7D'!$B$22, "-", '7D'!$X$7, "-", '7D'!$S$6, "-", '7D'!$N$5)</f>
        <v>Number of sewage treatment works-STWs in size band 3-Total-BOD5-Treatment works consents</v>
      </c>
      <c r="F3589" t="s">
        <v>7182</v>
      </c>
      <c r="G3589" s="2571">
        <f>'7D'!$X$22</f>
        <v>54</v>
      </c>
    </row>
    <row r="3590" spans="1:7">
      <c r="A3590" t="s">
        <v>654</v>
      </c>
      <c r="C3590" t="str">
        <f>'7D'!$CI$22</f>
        <v>STWCA029</v>
      </c>
      <c r="D3590" t="str">
        <f>_xlfn.CONCAT('7D'!$B$19, "-", '7D'!$B$22, "-", '7D'!$Y$7, "-", '7D'!$Y$6, "-", '7D'!$N$5)</f>
        <v>Number of sewage treatment works-STWs in size band 3-&lt;=1mg/l-Ammonia-Treatment works consents</v>
      </c>
      <c r="F3590" t="s">
        <v>7182</v>
      </c>
      <c r="G3590" s="2571">
        <f>'7D'!$Y$22</f>
        <v>0</v>
      </c>
    </row>
    <row r="3591" spans="1:7">
      <c r="A3591" t="s">
        <v>654</v>
      </c>
      <c r="C3591" t="str">
        <f>'7D'!$CJ$22</f>
        <v>STWCA030</v>
      </c>
      <c r="D3591" t="str">
        <f>_xlfn.CONCAT('7D'!$B$19, "-", '7D'!$B$22, "-", '7D'!$Z$7, "-", '7D'!$Y$6, "-", '7D'!$N$5)</f>
        <v>Number of sewage treatment works-STWs in size band 3-&gt;1 to &lt;=3mg/l-Ammonia-Treatment works consents</v>
      </c>
      <c r="F3591" t="s">
        <v>7182</v>
      </c>
      <c r="G3591" s="2571">
        <f>'7D'!$Z$22</f>
        <v>0</v>
      </c>
    </row>
    <row r="3592" spans="1:7">
      <c r="A3592" t="s">
        <v>654</v>
      </c>
      <c r="C3592" t="str">
        <f>'7D'!$CK$22</f>
        <v>STWCA031</v>
      </c>
      <c r="D3592" t="str">
        <f>_xlfn.CONCAT('7D'!$B$19, "-", '7D'!$B$22, "-", '7D'!$AA$7, "-", '7D'!$Y$6, "-", '7D'!$N$5)</f>
        <v>Number of sewage treatment works-STWs in size band 3-&gt;3 to &lt;=10mg/l-Ammonia-Treatment works consents</v>
      </c>
      <c r="F3592" t="s">
        <v>7182</v>
      </c>
      <c r="G3592" s="2571">
        <f>'7D'!$AA$22</f>
        <v>16</v>
      </c>
    </row>
    <row r="3593" spans="1:7">
      <c r="A3593" t="s">
        <v>654</v>
      </c>
      <c r="C3593" t="str">
        <f>'7D'!$CL$22</f>
        <v>STWCA032</v>
      </c>
      <c r="D3593" t="str">
        <f>_xlfn.CONCAT('7D'!$B$19, "-", '7D'!$B$22, "-", '7D'!$AB$7, "-", '7D'!$Y$6, "-", '7D'!$N$5)</f>
        <v>Number of sewage treatment works-STWs in size band 3-&gt;10mg/l-Ammonia-Treatment works consents</v>
      </c>
      <c r="F3593" t="s">
        <v>7182</v>
      </c>
      <c r="G3593" s="2571">
        <f>'7D'!$AB$22</f>
        <v>22</v>
      </c>
    </row>
    <row r="3594" spans="1:7">
      <c r="A3594" t="s">
        <v>654</v>
      </c>
      <c r="C3594" t="str">
        <f>'7D'!$CM$22</f>
        <v>STWCA033</v>
      </c>
      <c r="D3594" t="str">
        <f>_xlfn.CONCAT('7D'!$B$19, "-", '7D'!$B$22, "-", '7D'!$AC$7, "-", '7D'!$Y$6, "-", '7D'!$N$5)</f>
        <v>Number of sewage treatment works-STWs in size band 3-No permit-Ammonia-Treatment works consents</v>
      </c>
      <c r="F3594" t="s">
        <v>7182</v>
      </c>
      <c r="G3594" s="2571">
        <f>'7D'!$AC$22</f>
        <v>16</v>
      </c>
    </row>
    <row r="3595" spans="1:7">
      <c r="A3595" t="s">
        <v>654</v>
      </c>
      <c r="C3595" s="2564" t="str">
        <f>'7D'!$CN$22</f>
        <v>STWCA034</v>
      </c>
      <c r="D3595" t="str">
        <f>_xlfn.CONCAT('7D'!$B$19, "-", '7D'!$B$22, "-", '7D'!$AD$7, "-", '7D'!$Y$6, "-", '7D'!$N$5)</f>
        <v>Number of sewage treatment works-STWs in size band 3-Total-Ammonia-Treatment works consents</v>
      </c>
      <c r="F3595" t="s">
        <v>7182</v>
      </c>
      <c r="G3595" s="2571">
        <f>'7D'!$AD$22</f>
        <v>54</v>
      </c>
    </row>
    <row r="3596" spans="1:7">
      <c r="A3596" t="s">
        <v>654</v>
      </c>
      <c r="C3596" t="str">
        <f>'7D'!$BO$23</f>
        <v>STWC043</v>
      </c>
      <c r="D3596" t="str">
        <f>_xlfn.CONCAT('7D'!$B$19, "-", '7D'!$B$23, "-", '7D'!$E$6, "-", '7D'!$E$6, "-", '7D'!$E$5)</f>
        <v>Number of sewage treatment works-STWs in size band 4-Primary-Primary-Treatment categories</v>
      </c>
      <c r="F3596" t="s">
        <v>7182</v>
      </c>
      <c r="G3596" s="2571">
        <f>'7D'!$E$23</f>
        <v>0</v>
      </c>
    </row>
    <row r="3597" spans="1:7">
      <c r="A3597" t="s">
        <v>654</v>
      </c>
      <c r="C3597" t="str">
        <f>'7D'!$BP$23</f>
        <v>STWC044</v>
      </c>
      <c r="D3597" t="str">
        <f>_xlfn.CONCAT('7D'!$B$19, "-", '7D'!$B$23, "-", '7D'!$F$7, "-", '7D'!$F$6, "-", '7D'!$E$5)</f>
        <v>Number of sewage treatment works-STWs in size band 4-Activated Sludge-Secondary-Treatment categories</v>
      </c>
      <c r="F3597" t="s">
        <v>7182</v>
      </c>
      <c r="G3597" s="2571">
        <f>'7D'!$F$23</f>
        <v>4</v>
      </c>
    </row>
    <row r="3598" spans="1:7">
      <c r="A3598" t="s">
        <v>654</v>
      </c>
      <c r="C3598" t="str">
        <f>'7D'!$BQ$23</f>
        <v>STWC045</v>
      </c>
      <c r="D3598" t="str">
        <f>_xlfn.CONCAT('7D'!$B$19, "-", '7D'!$B$23, "-", '7D'!$G$7, "-", '7D'!$F$6, "-", '7D'!$E$5)</f>
        <v>Number of sewage treatment works-STWs in size band 4-Biological-Secondary-Treatment categories</v>
      </c>
      <c r="F3598" t="s">
        <v>7182</v>
      </c>
      <c r="G3598" s="2571">
        <f>'7D'!$G$23</f>
        <v>13</v>
      </c>
    </row>
    <row r="3599" spans="1:7">
      <c r="A3599" t="s">
        <v>654</v>
      </c>
      <c r="C3599" t="str">
        <f>'7D'!$BR$23</f>
        <v>STWC046</v>
      </c>
      <c r="D3599" t="str">
        <f>_xlfn.CONCAT('7D'!$B$19, "-", '7D'!$B$23, "-", '7D'!$H$7, "-", '7D'!$H$6, "-", '7D'!$E$5)</f>
        <v>Number of sewage treatment works-STWs in size band 4-A1-Tertiary-Treatment categories</v>
      </c>
      <c r="F3599" t="s">
        <v>7182</v>
      </c>
      <c r="G3599" s="2571">
        <f>'7D'!$H$23</f>
        <v>0</v>
      </c>
    </row>
    <row r="3600" spans="1:7">
      <c r="A3600" t="s">
        <v>654</v>
      </c>
      <c r="C3600" t="str">
        <f>'7D'!$BS$23</f>
        <v>STWC047</v>
      </c>
      <c r="D3600" t="str">
        <f>_xlfn.CONCAT('7D'!$B$19, "-", '7D'!$B$23, "-", '7D'!$I$7, "-", '7D'!$H$6, "-", '7D'!$E$5)</f>
        <v>Number of sewage treatment works-STWs in size band 4-A2-Tertiary-Treatment categories</v>
      </c>
      <c r="F3600" t="s">
        <v>7182</v>
      </c>
      <c r="G3600" s="2571">
        <f>'7D'!$I$23</f>
        <v>0</v>
      </c>
    </row>
    <row r="3601" spans="1:7">
      <c r="A3601" t="s">
        <v>654</v>
      </c>
      <c r="C3601" t="str">
        <f>'7D'!$BT$23</f>
        <v>STWC048</v>
      </c>
      <c r="D3601" t="str">
        <f>_xlfn.CONCAT('7D'!$B$19, "-", '7D'!$B$23, "-", '7D'!$J$7, "-", '7D'!$H$6, "-", '7D'!$E$5)</f>
        <v>Number of sewage treatment works-STWs in size band 4-B1-Tertiary-Treatment categories</v>
      </c>
      <c r="F3601" t="s">
        <v>7182</v>
      </c>
      <c r="G3601" s="2571">
        <f>'7D'!$J$23</f>
        <v>9</v>
      </c>
    </row>
    <row r="3602" spans="1:7">
      <c r="A3602" t="s">
        <v>654</v>
      </c>
      <c r="C3602" t="str">
        <f>'7D'!$BU$23</f>
        <v>STWC049</v>
      </c>
      <c r="D3602" t="str">
        <f>_xlfn.CONCAT('7D'!$B$19, "-", '7D'!$B$23, "-", '7D'!$K$7, "-", '7D'!$H$6, "-", '7D'!$E$5)</f>
        <v>Number of sewage treatment works-STWs in size band 4-B2-Tertiary-Treatment categories</v>
      </c>
      <c r="F3602" t="s">
        <v>7182</v>
      </c>
      <c r="G3602" s="2571">
        <f>'7D'!$K$23</f>
        <v>7</v>
      </c>
    </row>
    <row r="3603" spans="1:7">
      <c r="A3603" t="s">
        <v>654</v>
      </c>
      <c r="C3603" s="2564" t="str">
        <f>'7D'!$BV$23</f>
        <v>STWC111</v>
      </c>
      <c r="D3603" t="str">
        <f>_xlfn.CONCAT('7D'!$B$19, "-", '7D'!$B$23, "-", '7D'!$L$6, "-", '7D'!$L$6, "-", '7D'!$E$5)</f>
        <v>Number of sewage treatment works-STWs in size band 4-Total-Total-Treatment categories</v>
      </c>
      <c r="F3603" t="s">
        <v>7182</v>
      </c>
      <c r="G3603" s="2571">
        <f>'7D'!$L$23</f>
        <v>33</v>
      </c>
    </row>
    <row r="3604" spans="1:7">
      <c r="A3604" t="s">
        <v>654</v>
      </c>
      <c r="C3604" t="str">
        <f>'7D'!$BX$23</f>
        <v>STWCP043</v>
      </c>
      <c r="D3604" t="str">
        <f>_xlfn.CONCAT('7D'!$B$19, "-", '7D'!$B$23, "-", '7D'!$N$7, "-", '7D'!$N$6, "-", '7D'!$N$5)</f>
        <v>Number of sewage treatment works-STWs in size band 4-&lt;=0.5mg/l-Phosphorus-Treatment works consents</v>
      </c>
      <c r="F3604" t="s">
        <v>7182</v>
      </c>
      <c r="G3604" s="2571">
        <f>'7D'!$N$23</f>
        <v>0</v>
      </c>
    </row>
    <row r="3605" spans="1:7">
      <c r="A3605" t="s">
        <v>654</v>
      </c>
      <c r="C3605" t="str">
        <f>'7D'!$BY$23</f>
        <v>STWCP044</v>
      </c>
      <c r="D3605" t="str">
        <f>_xlfn.CONCAT('7D'!$B$19, "-", '7D'!$B$23, "-", '7D'!$O$7, "-", '7D'!$N$6, "-", '7D'!$N$5)</f>
        <v>Number of sewage treatment works-STWs in size band 4-&gt;0.5 to &lt;=1mg/l-Phosphorus-Treatment works consents</v>
      </c>
      <c r="F3605" t="s">
        <v>7182</v>
      </c>
      <c r="G3605" s="2571">
        <f>'7D'!$O$23</f>
        <v>2</v>
      </c>
    </row>
    <row r="3606" spans="1:7">
      <c r="A3606" t="s">
        <v>654</v>
      </c>
      <c r="C3606" t="str">
        <f>'7D'!$BZ$23</f>
        <v>STWCP045</v>
      </c>
      <c r="D3606" t="str">
        <f>_xlfn.CONCAT('7D'!$B$19, "-", '7D'!$B$23, "-", '7D'!$P$7, "-", '7D'!$N$6, "-", '7D'!$N$5)</f>
        <v>Number of sewage treatment works-STWs in size band 4-&gt;1mg/l-Phosphorus-Treatment works consents</v>
      </c>
      <c r="F3606" t="s">
        <v>7182</v>
      </c>
      <c r="G3606" s="2571">
        <f>'7D'!$P$23</f>
        <v>3</v>
      </c>
    </row>
    <row r="3607" spans="1:7">
      <c r="A3607" t="s">
        <v>654</v>
      </c>
      <c r="C3607" t="str">
        <f>'7D'!$CA$23</f>
        <v>STWCP046</v>
      </c>
      <c r="D3607" t="str">
        <f>_xlfn.CONCAT('7D'!$B$19, "-", '7D'!$B$23, "-", '7D'!$Q$7, "-", '7D'!$N$6, "-", '7D'!$N$5)</f>
        <v>Number of sewage treatment works-STWs in size band 4-No permit-Phosphorus-Treatment works consents</v>
      </c>
      <c r="F3607" t="s">
        <v>7182</v>
      </c>
      <c r="G3607" s="2571">
        <f>'7D'!$Q$23</f>
        <v>28</v>
      </c>
    </row>
    <row r="3608" spans="1:7">
      <c r="A3608" t="s">
        <v>654</v>
      </c>
      <c r="C3608" s="2564" t="str">
        <f>'7D'!$CB$23</f>
        <v>STWCP047</v>
      </c>
      <c r="D3608" t="str">
        <f>_xlfn.CONCAT('7D'!$B$19, "-", '7D'!$B$23, "-", '7D'!$R$7, "-", '7D'!$N$6, "-", '7D'!$N$5)</f>
        <v>Number of sewage treatment works-STWs in size band 4-Total-Phosphorus-Treatment works consents</v>
      </c>
      <c r="F3608" t="s">
        <v>7182</v>
      </c>
      <c r="G3608" s="2571">
        <f>'7D'!$R$23</f>
        <v>33</v>
      </c>
    </row>
    <row r="3609" spans="1:7">
      <c r="A3609" t="s">
        <v>654</v>
      </c>
      <c r="C3609" t="str">
        <f>'7D'!$CC$23</f>
        <v>STWCB043</v>
      </c>
      <c r="D3609" t="str">
        <f>_xlfn.CONCAT('7D'!$B$19, "-", '7D'!$B$23, "-", '7D'!$S$7, "-", '7D'!$S$6, "-", '7D'!$N$5)</f>
        <v>Number of sewage treatment works-STWs in size band 4-&lt;=7mg/l-BOD5-Treatment works consents</v>
      </c>
      <c r="F3609" t="s">
        <v>7182</v>
      </c>
      <c r="G3609" s="2571">
        <f>'7D'!$S$23</f>
        <v>0</v>
      </c>
    </row>
    <row r="3610" spans="1:7">
      <c r="A3610" t="s">
        <v>654</v>
      </c>
      <c r="C3610" t="str">
        <f>'7D'!$CD$23</f>
        <v>STWCB044</v>
      </c>
      <c r="D3610" t="str">
        <f>_xlfn.CONCAT('7D'!$B$19, "-", '7D'!$B$23, "-", '7D'!$T$7, "-", '7D'!$S$6, "-", '7D'!$N$5)</f>
        <v>Number of sewage treatment works-STWs in size band 4-&gt;7 to &lt;=10mg/l-BOD5-Treatment works consents</v>
      </c>
      <c r="F3610" t="s">
        <v>7182</v>
      </c>
      <c r="G3610" s="2571">
        <f>'7D'!$T$23</f>
        <v>6</v>
      </c>
    </row>
    <row r="3611" spans="1:7">
      <c r="A3611" t="s">
        <v>654</v>
      </c>
      <c r="C3611" t="str">
        <f>'7D'!$CE$23</f>
        <v>STWCB045</v>
      </c>
      <c r="D3611" t="str">
        <f>_xlfn.CONCAT('7D'!$B$19, "-", '7D'!$B$23, "-", '7D'!$U$7, "-", '7D'!$S$6, "-", '7D'!$N$5)</f>
        <v>Number of sewage treatment works-STWs in size band 4-&gt;10 to &lt;=20mg/l-BOD5-Treatment works consents</v>
      </c>
      <c r="F3611" t="s">
        <v>7182</v>
      </c>
      <c r="G3611" s="2571">
        <f>'7D'!$U$23</f>
        <v>9</v>
      </c>
    </row>
    <row r="3612" spans="1:7">
      <c r="A3612" t="s">
        <v>654</v>
      </c>
      <c r="C3612" t="str">
        <f>'7D'!$CF$23</f>
        <v>STWCB046</v>
      </c>
      <c r="D3612" t="str">
        <f>_xlfn.CONCAT('7D'!$B$19, "-", '7D'!$B$23, "-", '7D'!$V$7, "-", '7D'!$S$6, "-", '7D'!$N$5)</f>
        <v>Number of sewage treatment works-STWs in size band 4-&gt;20mg/l-BOD5-Treatment works consents</v>
      </c>
      <c r="F3612" t="s">
        <v>7182</v>
      </c>
      <c r="G3612" s="2571">
        <f>'7D'!$V$23</f>
        <v>18</v>
      </c>
    </row>
    <row r="3613" spans="1:7">
      <c r="A3613" t="s">
        <v>654</v>
      </c>
      <c r="C3613" t="str">
        <f>'7D'!$CG$23</f>
        <v>STWCB047</v>
      </c>
      <c r="D3613" t="str">
        <f>_xlfn.CONCAT('7D'!$B$19, "-", '7D'!$B$23, "-", '7D'!$W$7, "-", '7D'!$S$6, "-", '7D'!$N$5)</f>
        <v>Number of sewage treatment works-STWs in size band 4-No permit-BOD5-Treatment works consents</v>
      </c>
      <c r="F3613" t="s">
        <v>7182</v>
      </c>
      <c r="G3613" s="2571">
        <f>'7D'!$W$23</f>
        <v>0</v>
      </c>
    </row>
    <row r="3614" spans="1:7">
      <c r="A3614" t="s">
        <v>654</v>
      </c>
      <c r="C3614" s="2564" t="str">
        <f>'7D'!$CH$23</f>
        <v>STWCB048</v>
      </c>
      <c r="D3614" t="str">
        <f>_xlfn.CONCAT('7D'!$B$19, "-", '7D'!$B$23, "-", '7D'!$X$7, "-", '7D'!$S$6, "-", '7D'!$N$5)</f>
        <v>Number of sewage treatment works-STWs in size band 4-Total-BOD5-Treatment works consents</v>
      </c>
      <c r="F3614" t="s">
        <v>7182</v>
      </c>
      <c r="G3614" s="2571">
        <f>'7D'!$X$23</f>
        <v>33</v>
      </c>
    </row>
    <row r="3615" spans="1:7">
      <c r="A3615" t="s">
        <v>654</v>
      </c>
      <c r="C3615" t="str">
        <f>'7D'!$CI$23</f>
        <v>STWCA043</v>
      </c>
      <c r="D3615" t="str">
        <f>_xlfn.CONCAT('7D'!$B$19, "-", '7D'!$B$23, "-", '7D'!$Y$7, "-", '7D'!$Y$6, "-", '7D'!$N$5)</f>
        <v>Number of sewage treatment works-STWs in size band 4-&lt;=1mg/l-Ammonia-Treatment works consents</v>
      </c>
      <c r="F3615" t="s">
        <v>7182</v>
      </c>
      <c r="G3615" s="2571">
        <f>'7D'!$Y$23</f>
        <v>0</v>
      </c>
    </row>
    <row r="3616" spans="1:7">
      <c r="A3616" t="s">
        <v>654</v>
      </c>
      <c r="C3616" t="str">
        <f>'7D'!$CJ$23</f>
        <v>STWCA044</v>
      </c>
      <c r="D3616" t="str">
        <f>_xlfn.CONCAT('7D'!$B$19, "-", '7D'!$B$23, "-", '7D'!$Z$7, "-", '7D'!$Y$6, "-", '7D'!$N$5)</f>
        <v>Number of sewage treatment works-STWs in size band 4-&gt;1 to &lt;=3mg/l-Ammonia-Treatment works consents</v>
      </c>
      <c r="F3616" t="s">
        <v>7182</v>
      </c>
      <c r="G3616" s="2571">
        <f>'7D'!$Z$23</f>
        <v>2</v>
      </c>
    </row>
    <row r="3617" spans="1:7">
      <c r="A3617" t="s">
        <v>654</v>
      </c>
      <c r="C3617" t="str">
        <f>'7D'!$CK$23</f>
        <v>STWCA045</v>
      </c>
      <c r="D3617" t="str">
        <f>_xlfn.CONCAT('7D'!$B$19, "-", '7D'!$B$23, "-", '7D'!$AA$7, "-", '7D'!$Y$6, "-", '7D'!$N$5)</f>
        <v>Number of sewage treatment works-STWs in size band 4-&gt;3 to &lt;=10mg/l-Ammonia-Treatment works consents</v>
      </c>
      <c r="F3617" t="s">
        <v>7182</v>
      </c>
      <c r="G3617" s="2571">
        <f>'7D'!$AA$23</f>
        <v>17</v>
      </c>
    </row>
    <row r="3618" spans="1:7">
      <c r="A3618" t="s">
        <v>654</v>
      </c>
      <c r="C3618" t="str">
        <f>'7D'!$CL$23</f>
        <v>STWCA046</v>
      </c>
      <c r="D3618" t="str">
        <f>_xlfn.CONCAT('7D'!$B$19, "-", '7D'!$B$23, "-", '7D'!$AB$7, "-", '7D'!$Y$6, "-", '7D'!$N$5)</f>
        <v>Number of sewage treatment works-STWs in size band 4-&gt;10mg/l-Ammonia-Treatment works consents</v>
      </c>
      <c r="F3618" t="s">
        <v>7182</v>
      </c>
      <c r="G3618" s="2571">
        <f>'7D'!$AB$23</f>
        <v>7</v>
      </c>
    </row>
    <row r="3619" spans="1:7">
      <c r="A3619" t="s">
        <v>654</v>
      </c>
      <c r="C3619" t="str">
        <f>'7D'!$CM$23</f>
        <v>STWCA047</v>
      </c>
      <c r="D3619" t="str">
        <f>_xlfn.CONCAT('7D'!$B$19, "-", '7D'!$B$23, "-", '7D'!$AC$7, "-", '7D'!$Y$6, "-", '7D'!$N$5)</f>
        <v>Number of sewage treatment works-STWs in size band 4-No permit-Ammonia-Treatment works consents</v>
      </c>
      <c r="F3619" t="s">
        <v>7182</v>
      </c>
      <c r="G3619" s="2571">
        <f>'7D'!$AC$23</f>
        <v>7</v>
      </c>
    </row>
    <row r="3620" spans="1:7">
      <c r="A3620" t="s">
        <v>654</v>
      </c>
      <c r="C3620" s="2564" t="str">
        <f>'7D'!$CN$23</f>
        <v>STWCA048</v>
      </c>
      <c r="D3620" t="str">
        <f>_xlfn.CONCAT('7D'!$B$19, "-", '7D'!$B$23, "-", '7D'!$AD$7, "-", '7D'!$Y$6, "-", '7D'!$N$5)</f>
        <v>Number of sewage treatment works-STWs in size band 4-Total-Ammonia-Treatment works consents</v>
      </c>
      <c r="F3620" t="s">
        <v>7182</v>
      </c>
      <c r="G3620" s="2571">
        <f>'7D'!$AD$23</f>
        <v>33</v>
      </c>
    </row>
    <row r="3621" spans="1:7">
      <c r="A3621" t="s">
        <v>654</v>
      </c>
      <c r="C3621" t="str">
        <f>'7D'!$BO$24</f>
        <v>STWC057</v>
      </c>
      <c r="D3621" t="str">
        <f>_xlfn.CONCAT('7D'!$B$19, "-", '7D'!$B$24, "-", '7D'!$E$6, "-", '7D'!$E$6, "-", '7D'!$E$5)</f>
        <v>Number of sewage treatment works-STWs in size band 5-Primary-Primary-Treatment categories</v>
      </c>
      <c r="F3621" t="s">
        <v>7182</v>
      </c>
      <c r="G3621" s="2571">
        <f>'7D'!$E$24</f>
        <v>0</v>
      </c>
    </row>
    <row r="3622" spans="1:7">
      <c r="A3622" t="s">
        <v>654</v>
      </c>
      <c r="C3622" t="str">
        <f>'7D'!$BP$24</f>
        <v>STWC058</v>
      </c>
      <c r="D3622" t="str">
        <f>_xlfn.CONCAT('7D'!$B$19, "-", '7D'!$B$24, "-", '7D'!$F$7, "-", '7D'!$F$6, "-", '7D'!$E$5)</f>
        <v>Number of sewage treatment works-STWs in size band 5-Activated Sludge-Secondary-Treatment categories</v>
      </c>
      <c r="F3622" t="s">
        <v>7182</v>
      </c>
      <c r="G3622" s="2571">
        <f>'7D'!$F$24</f>
        <v>1</v>
      </c>
    </row>
    <row r="3623" spans="1:7">
      <c r="A3623" t="s">
        <v>654</v>
      </c>
      <c r="C3623" t="str">
        <f>'7D'!$BQ$24</f>
        <v>STWC059</v>
      </c>
      <c r="D3623" t="str">
        <f>_xlfn.CONCAT('7D'!$B$19, "-", '7D'!$B$24, "-", '7D'!$G$7, "-", '7D'!$F$6, "-", '7D'!$E$5)</f>
        <v>Number of sewage treatment works-STWs in size band 5-Biological-Secondary-Treatment categories</v>
      </c>
      <c r="F3623" t="s">
        <v>7182</v>
      </c>
      <c r="G3623" s="2571">
        <f>'7D'!$G$24</f>
        <v>0</v>
      </c>
    </row>
    <row r="3624" spans="1:7">
      <c r="A3624" t="s">
        <v>654</v>
      </c>
      <c r="C3624" t="str">
        <f>'7D'!$BR$24</f>
        <v>STWC060</v>
      </c>
      <c r="D3624" t="str">
        <f>_xlfn.CONCAT('7D'!$B$19, "-", '7D'!$B$24, "-", '7D'!$H$7, "-", '7D'!$H$6, "-", '7D'!$E$5)</f>
        <v>Number of sewage treatment works-STWs in size band 5-A1-Tertiary-Treatment categories</v>
      </c>
      <c r="F3624" t="s">
        <v>7182</v>
      </c>
      <c r="G3624" s="2571">
        <f>'7D'!$H$24</f>
        <v>0</v>
      </c>
    </row>
    <row r="3625" spans="1:7">
      <c r="A3625" t="s">
        <v>654</v>
      </c>
      <c r="C3625" t="str">
        <f>'7D'!$BS$24</f>
        <v>STWC061</v>
      </c>
      <c r="D3625" t="str">
        <f>_xlfn.CONCAT('7D'!$B$19, "-", '7D'!$B$24, "-", '7D'!$I$7, "-", '7D'!$H$6, "-", '7D'!$E$5)</f>
        <v>Number of sewage treatment works-STWs in size band 5-A2-Tertiary-Treatment categories</v>
      </c>
      <c r="F3625" t="s">
        <v>7182</v>
      </c>
      <c r="G3625" s="2571">
        <f>'7D'!$I$24</f>
        <v>3</v>
      </c>
    </row>
    <row r="3626" spans="1:7">
      <c r="A3626" t="s">
        <v>654</v>
      </c>
      <c r="C3626" t="str">
        <f>'7D'!$BT$24</f>
        <v>STWC062</v>
      </c>
      <c r="D3626" t="str">
        <f>_xlfn.CONCAT('7D'!$B$19, "-", '7D'!$B$24, "-", '7D'!$J$7, "-", '7D'!$H$6, "-", '7D'!$E$5)</f>
        <v>Number of sewage treatment works-STWs in size band 5-B1-Tertiary-Treatment categories</v>
      </c>
      <c r="F3626" t="s">
        <v>7182</v>
      </c>
      <c r="G3626" s="2571">
        <f>'7D'!$J$24</f>
        <v>1</v>
      </c>
    </row>
    <row r="3627" spans="1:7">
      <c r="A3627" t="s">
        <v>654</v>
      </c>
      <c r="C3627" t="str">
        <f>'7D'!$BU$24</f>
        <v>STWC063</v>
      </c>
      <c r="D3627" t="str">
        <f>_xlfn.CONCAT('7D'!$B$19, "-", '7D'!$B$24, "-", '7D'!$K$7, "-", '7D'!$H$6, "-", '7D'!$E$5)</f>
        <v>Number of sewage treatment works-STWs in size band 5-B2-Tertiary-Treatment categories</v>
      </c>
      <c r="F3627" t="s">
        <v>7182</v>
      </c>
      <c r="G3627" s="2571">
        <f>'7D'!$K$24</f>
        <v>6</v>
      </c>
    </row>
    <row r="3628" spans="1:7">
      <c r="A3628" t="s">
        <v>654</v>
      </c>
      <c r="C3628" s="2564" t="str">
        <f>'7D'!$BV$24</f>
        <v>STWC112</v>
      </c>
      <c r="D3628" t="str">
        <f>_xlfn.CONCAT('7D'!$B$19, "-", '7D'!$B$24, "-", '7D'!$L$6, "-", '7D'!$L$6, "-", '7D'!$E$5)</f>
        <v>Number of sewage treatment works-STWs in size band 5-Total-Total-Treatment categories</v>
      </c>
      <c r="F3628" t="s">
        <v>7182</v>
      </c>
      <c r="G3628" s="2571">
        <f>'7D'!$L$24</f>
        <v>11</v>
      </c>
    </row>
    <row r="3629" spans="1:7">
      <c r="A3629" t="s">
        <v>654</v>
      </c>
      <c r="C3629" t="str">
        <f>'7D'!$BX$24</f>
        <v>STWCP057</v>
      </c>
      <c r="D3629" t="str">
        <f>_xlfn.CONCAT('7D'!$B$19, "-", '7D'!$B$24, "-", '7D'!$N$7, "-", '7D'!$N$6, "-", '7D'!$N$5)</f>
        <v>Number of sewage treatment works-STWs in size band 5-&lt;=0.5mg/l-Phosphorus-Treatment works consents</v>
      </c>
      <c r="F3629" t="s">
        <v>7182</v>
      </c>
      <c r="G3629" s="2571">
        <f>'7D'!$N$24</f>
        <v>0</v>
      </c>
    </row>
    <row r="3630" spans="1:7">
      <c r="A3630" t="s">
        <v>654</v>
      </c>
      <c r="C3630" t="str">
        <f>'7D'!$BY$24</f>
        <v>STWCP058</v>
      </c>
      <c r="D3630" t="str">
        <f>_xlfn.CONCAT('7D'!$B$19, "-", '7D'!$B$24, "-", '7D'!$O$7, "-", '7D'!$N$6, "-", '7D'!$N$5)</f>
        <v>Number of sewage treatment works-STWs in size band 5-&gt;0.5 to &lt;=1mg/l-Phosphorus-Treatment works consents</v>
      </c>
      <c r="F3630" t="s">
        <v>7182</v>
      </c>
      <c r="G3630" s="2571">
        <f>'7D'!$O$24</f>
        <v>2</v>
      </c>
    </row>
    <row r="3631" spans="1:7">
      <c r="A3631" t="s">
        <v>654</v>
      </c>
      <c r="C3631" t="str">
        <f>'7D'!$BZ$24</f>
        <v>STWCP059</v>
      </c>
      <c r="D3631" t="str">
        <f>_xlfn.CONCAT('7D'!$B$19, "-", '7D'!$B$24, "-", '7D'!$P$7, "-", '7D'!$N$6, "-", '7D'!$N$5)</f>
        <v>Number of sewage treatment works-STWs in size band 5-&gt;1mg/l-Phosphorus-Treatment works consents</v>
      </c>
      <c r="F3631" t="s">
        <v>7182</v>
      </c>
      <c r="G3631" s="2571">
        <f>'7D'!$P$24</f>
        <v>6</v>
      </c>
    </row>
    <row r="3632" spans="1:7">
      <c r="A3632" t="s">
        <v>654</v>
      </c>
      <c r="C3632" t="str">
        <f>'7D'!$CA$24</f>
        <v>STWCP060</v>
      </c>
      <c r="D3632" t="str">
        <f>_xlfn.CONCAT('7D'!$B$19, "-", '7D'!$B$24, "-", '7D'!$Q$7, "-", '7D'!$N$6, "-", '7D'!$N$5)</f>
        <v>Number of sewage treatment works-STWs in size band 5-No permit-Phosphorus-Treatment works consents</v>
      </c>
      <c r="F3632" t="s">
        <v>7182</v>
      </c>
      <c r="G3632" s="2571">
        <f>'7D'!$Q$24</f>
        <v>3</v>
      </c>
    </row>
    <row r="3633" spans="1:7">
      <c r="A3633" t="s">
        <v>654</v>
      </c>
      <c r="C3633" s="2564" t="str">
        <f>'7D'!$CB$24</f>
        <v>STWCP061</v>
      </c>
      <c r="D3633" t="str">
        <f>_xlfn.CONCAT('7D'!$B$19, "-", '7D'!$B$24, "-", '7D'!$R$7, "-", '7D'!$N$6, "-", '7D'!$N$5)</f>
        <v>Number of sewage treatment works-STWs in size band 5-Total-Phosphorus-Treatment works consents</v>
      </c>
      <c r="F3633" t="s">
        <v>7182</v>
      </c>
      <c r="G3633" s="2571">
        <f>'7D'!$R$24</f>
        <v>11</v>
      </c>
    </row>
    <row r="3634" spans="1:7">
      <c r="A3634" t="s">
        <v>654</v>
      </c>
      <c r="C3634" t="str">
        <f>'7D'!$CC$24</f>
        <v>STWCB057</v>
      </c>
      <c r="D3634" t="str">
        <f>_xlfn.CONCAT('7D'!$B$19, "-", '7D'!$B$24, "-", '7D'!$S$7, "-", '7D'!$S$6, "-", '7D'!$N$5)</f>
        <v>Number of sewage treatment works-STWs in size band 5-&lt;=7mg/l-BOD5-Treatment works consents</v>
      </c>
      <c r="F3634" t="s">
        <v>7182</v>
      </c>
      <c r="G3634" s="2571">
        <f>'7D'!$S$24</f>
        <v>0</v>
      </c>
    </row>
    <row r="3635" spans="1:7">
      <c r="A3635" t="s">
        <v>654</v>
      </c>
      <c r="C3635" t="str">
        <f>'7D'!$CD$24</f>
        <v>STWCB058</v>
      </c>
      <c r="D3635" t="str">
        <f>_xlfn.CONCAT('7D'!$B$19, "-", '7D'!$B$24, "-", '7D'!$T$7, "-", '7D'!$S$6, "-", '7D'!$N$5)</f>
        <v>Number of sewage treatment works-STWs in size band 5-&gt;7 to &lt;=10mg/l-BOD5-Treatment works consents</v>
      </c>
      <c r="F3635" t="s">
        <v>7182</v>
      </c>
      <c r="G3635" s="2571">
        <f>'7D'!$T$24</f>
        <v>2</v>
      </c>
    </row>
    <row r="3636" spans="1:7">
      <c r="A3636" t="s">
        <v>654</v>
      </c>
      <c r="C3636" t="str">
        <f>'7D'!$CE$24</f>
        <v>STWCB059</v>
      </c>
      <c r="D3636" t="str">
        <f>_xlfn.CONCAT('7D'!$B$19, "-", '7D'!$B$24, "-", '7D'!$U$7, "-", '7D'!$S$6, "-", '7D'!$N$5)</f>
        <v>Number of sewage treatment works-STWs in size band 5-&gt;10 to &lt;=20mg/l-BOD5-Treatment works consents</v>
      </c>
      <c r="F3636" t="s">
        <v>7182</v>
      </c>
      <c r="G3636" s="2571">
        <f>'7D'!$U$24</f>
        <v>2</v>
      </c>
    </row>
    <row r="3637" spans="1:7">
      <c r="A3637" t="s">
        <v>654</v>
      </c>
      <c r="C3637" t="str">
        <f>'7D'!$CF$24</f>
        <v>STWCB060</v>
      </c>
      <c r="D3637" t="str">
        <f>_xlfn.CONCAT('7D'!$B$19, "-", '7D'!$B$24, "-", '7D'!$V$7, "-", '7D'!$S$6, "-", '7D'!$N$5)</f>
        <v>Number of sewage treatment works-STWs in size band 5-&gt;20mg/l-BOD5-Treatment works consents</v>
      </c>
      <c r="F3637" t="s">
        <v>7182</v>
      </c>
      <c r="G3637" s="2571">
        <f>'7D'!$V$24</f>
        <v>7</v>
      </c>
    </row>
    <row r="3638" spans="1:7">
      <c r="A3638" t="s">
        <v>654</v>
      </c>
      <c r="C3638" t="str">
        <f>'7D'!$CG$24</f>
        <v>STWCB061</v>
      </c>
      <c r="D3638" t="str">
        <f>_xlfn.CONCAT('7D'!$B$19, "-", '7D'!$B$24, "-", '7D'!$W$7, "-", '7D'!$S$6, "-", '7D'!$N$5)</f>
        <v>Number of sewage treatment works-STWs in size band 5-No permit-BOD5-Treatment works consents</v>
      </c>
      <c r="F3638" t="s">
        <v>7182</v>
      </c>
      <c r="G3638" s="2571">
        <f>'7D'!$W$24</f>
        <v>0</v>
      </c>
    </row>
    <row r="3639" spans="1:7">
      <c r="A3639" t="s">
        <v>654</v>
      </c>
      <c r="C3639" s="2564" t="str">
        <f>'7D'!$CH$24</f>
        <v>STWCB062</v>
      </c>
      <c r="D3639" t="str">
        <f>_xlfn.CONCAT('7D'!$B$19, "-", '7D'!$B$24, "-", '7D'!$X$7, "-", '7D'!$S$6, "-", '7D'!$N$5)</f>
        <v>Number of sewage treatment works-STWs in size band 5-Total-BOD5-Treatment works consents</v>
      </c>
      <c r="F3639" t="s">
        <v>7182</v>
      </c>
      <c r="G3639" s="2571">
        <f>'7D'!$X$24</f>
        <v>11</v>
      </c>
    </row>
    <row r="3640" spans="1:7">
      <c r="A3640" t="s">
        <v>654</v>
      </c>
      <c r="C3640" t="str">
        <f>'7D'!$CI$24</f>
        <v>STWCA057</v>
      </c>
      <c r="D3640" t="str">
        <f>_xlfn.CONCAT('7D'!$B$19, "-", '7D'!$B$24, "-", '7D'!$Y$7, "-", '7D'!$Y$6, "-", '7D'!$N$5)</f>
        <v>Number of sewage treatment works-STWs in size band 5-&lt;=1mg/l-Ammonia-Treatment works consents</v>
      </c>
      <c r="F3640" t="s">
        <v>7182</v>
      </c>
      <c r="G3640" s="2571">
        <f>'7D'!$Y$24</f>
        <v>0</v>
      </c>
    </row>
    <row r="3641" spans="1:7">
      <c r="A3641" t="s">
        <v>654</v>
      </c>
      <c r="C3641" t="str">
        <f>'7D'!$CJ$24</f>
        <v>STWCA058</v>
      </c>
      <c r="D3641" t="str">
        <f>_xlfn.CONCAT('7D'!$B$19, "-", '7D'!$B$24, "-", '7D'!$Z$7, "-", '7D'!$Y$6, "-", '7D'!$N$5)</f>
        <v>Number of sewage treatment works-STWs in size band 5-&gt;1 to &lt;=3mg/l-Ammonia-Treatment works consents</v>
      </c>
      <c r="F3641" t="s">
        <v>7182</v>
      </c>
      <c r="G3641" s="2571">
        <f>'7D'!$Z$24</f>
        <v>2</v>
      </c>
    </row>
    <row r="3642" spans="1:7">
      <c r="A3642" t="s">
        <v>654</v>
      </c>
      <c r="C3642" t="str">
        <f>'7D'!$CK$24</f>
        <v>STWCA059</v>
      </c>
      <c r="D3642" t="str">
        <f>_xlfn.CONCAT('7D'!$B$19, "-", '7D'!$B$24, "-", '7D'!$AA$7, "-", '7D'!$Y$6, "-", '7D'!$N$5)</f>
        <v>Number of sewage treatment works-STWs in size band 5-&gt;3 to &lt;=10mg/l-Ammonia-Treatment works consents</v>
      </c>
      <c r="F3642" t="s">
        <v>7182</v>
      </c>
      <c r="G3642" s="2571">
        <f>'7D'!$AA$24</f>
        <v>2</v>
      </c>
    </row>
    <row r="3643" spans="1:7">
      <c r="A3643" t="s">
        <v>654</v>
      </c>
      <c r="C3643" t="str">
        <f>'7D'!$CL$24</f>
        <v>STWCA060</v>
      </c>
      <c r="D3643" t="str">
        <f>_xlfn.CONCAT('7D'!$B$19, "-", '7D'!$B$24, "-", '7D'!$AB$7, "-", '7D'!$Y$6, "-", '7D'!$N$5)</f>
        <v>Number of sewage treatment works-STWs in size band 5-&gt;10mg/l-Ammonia-Treatment works consents</v>
      </c>
      <c r="F3643" t="s">
        <v>7182</v>
      </c>
      <c r="G3643" s="2571">
        <f>'7D'!$AB$24</f>
        <v>4</v>
      </c>
    </row>
    <row r="3644" spans="1:7">
      <c r="A3644" t="s">
        <v>654</v>
      </c>
      <c r="C3644" t="str">
        <f>'7D'!$CM$24</f>
        <v>STWCA061</v>
      </c>
      <c r="D3644" t="str">
        <f>_xlfn.CONCAT('7D'!$B$19, "-", '7D'!$B$24, "-", '7D'!$AC$7, "-", '7D'!$Y$6, "-", '7D'!$N$5)</f>
        <v>Number of sewage treatment works-STWs in size band 5-No permit-Ammonia-Treatment works consents</v>
      </c>
      <c r="F3644" t="s">
        <v>7182</v>
      </c>
      <c r="G3644" s="2571">
        <f>'7D'!$AC$24</f>
        <v>3</v>
      </c>
    </row>
    <row r="3645" spans="1:7">
      <c r="A3645" t="s">
        <v>654</v>
      </c>
      <c r="C3645" s="2564" t="str">
        <f>'7D'!$CN$24</f>
        <v>STWCA062</v>
      </c>
      <c r="D3645" t="str">
        <f>_xlfn.CONCAT('7D'!$B$19, "-", '7D'!$B$24, "-", '7D'!$AD$7, "-", '7D'!$Y$6, "-", '7D'!$N$5)</f>
        <v>Number of sewage treatment works-STWs in size band 5-Total-Ammonia-Treatment works consents</v>
      </c>
      <c r="F3645" t="s">
        <v>7182</v>
      </c>
      <c r="G3645" s="2571">
        <f>'7D'!$AD$24</f>
        <v>11</v>
      </c>
    </row>
    <row r="3646" spans="1:7">
      <c r="A3646" t="s">
        <v>654</v>
      </c>
      <c r="C3646" t="str">
        <f>'7D'!$BO$25</f>
        <v>STWC101</v>
      </c>
      <c r="D3646" t="str">
        <f>_xlfn.CONCAT('7D'!$B$19, "-", '7D'!$B$25, "-", '7D'!$E$6, "-", '7D'!$E$6, "-", '7D'!$E$5)</f>
        <v>Number of sewage treatment works-STWs above size band 5-Primary-Primary-Treatment categories</v>
      </c>
      <c r="F3646" t="s">
        <v>7182</v>
      </c>
      <c r="G3646" s="2571">
        <f>'7D'!$E$25</f>
        <v>0</v>
      </c>
    </row>
    <row r="3647" spans="1:7">
      <c r="A3647" t="s">
        <v>654</v>
      </c>
      <c r="C3647" t="str">
        <f>'7D'!$BP$25</f>
        <v>STWC102</v>
      </c>
      <c r="D3647" t="str">
        <f>_xlfn.CONCAT('7D'!$B$19, "-", '7D'!$B$25, "-", '7D'!$F$7, "-", '7D'!$F$6, "-", '7D'!$E$5)</f>
        <v>Number of sewage treatment works-STWs above size band 5-Activated Sludge-Secondary-Treatment categories</v>
      </c>
      <c r="F3647" t="s">
        <v>7182</v>
      </c>
      <c r="G3647" s="2571">
        <f>'7D'!$F$25</f>
        <v>7</v>
      </c>
    </row>
    <row r="3648" spans="1:7">
      <c r="A3648" t="s">
        <v>654</v>
      </c>
      <c r="C3648" t="str">
        <f>'7D'!$BQ$25</f>
        <v>STWC103</v>
      </c>
      <c r="D3648" t="str">
        <f>_xlfn.CONCAT('7D'!$B$19, "-", '7D'!$B$25, "-", '7D'!$G$7, "-", '7D'!$F$6, "-", '7D'!$E$5)</f>
        <v>Number of sewage treatment works-STWs above size band 5-Biological-Secondary-Treatment categories</v>
      </c>
      <c r="F3648" t="s">
        <v>7182</v>
      </c>
      <c r="G3648" s="2571">
        <f>'7D'!$G$25</f>
        <v>1</v>
      </c>
    </row>
    <row r="3649" spans="1:7">
      <c r="A3649" t="s">
        <v>654</v>
      </c>
      <c r="C3649" t="str">
        <f>'7D'!$BR$25</f>
        <v>STWC104</v>
      </c>
      <c r="D3649" t="str">
        <f>_xlfn.CONCAT('7D'!$B$19, "-", '7D'!$B$25, "-", '7D'!$H$7, "-", '7D'!$H$6, "-", '7D'!$E$5)</f>
        <v>Number of sewage treatment works-STWs above size band 5-A1-Tertiary-Treatment categories</v>
      </c>
      <c r="F3649" t="s">
        <v>7182</v>
      </c>
      <c r="G3649" s="2571">
        <f>'7D'!$H$25</f>
        <v>0</v>
      </c>
    </row>
    <row r="3650" spans="1:7">
      <c r="A3650" t="s">
        <v>654</v>
      </c>
      <c r="C3650" t="str">
        <f>'7D'!$BS$25</f>
        <v>STWC105</v>
      </c>
      <c r="D3650" t="str">
        <f>_xlfn.CONCAT('7D'!$B$19, "-", '7D'!$B$25, "-", '7D'!$I$7, "-", '7D'!$H$6, "-", '7D'!$E$5)</f>
        <v>Number of sewage treatment works-STWs above size band 5-A2-Tertiary-Treatment categories</v>
      </c>
      <c r="F3650" t="s">
        <v>7182</v>
      </c>
      <c r="G3650" s="2571">
        <f>'7D'!$I$25</f>
        <v>7</v>
      </c>
    </row>
    <row r="3651" spans="1:7">
      <c r="A3651" t="s">
        <v>654</v>
      </c>
      <c r="C3651" t="str">
        <f>'7D'!$BT$25</f>
        <v>STWC106</v>
      </c>
      <c r="D3651" t="str">
        <f>_xlfn.CONCAT('7D'!$B$19, "-", '7D'!$B$25, "-", '7D'!$J$7, "-", '7D'!$H$6, "-", '7D'!$E$5)</f>
        <v>Number of sewage treatment works-STWs above size band 5-B1-Tertiary-Treatment categories</v>
      </c>
      <c r="F3651" t="s">
        <v>7182</v>
      </c>
      <c r="G3651" s="2571">
        <f>'7D'!$J$25</f>
        <v>0</v>
      </c>
    </row>
    <row r="3652" spans="1:7">
      <c r="A3652" t="s">
        <v>654</v>
      </c>
      <c r="C3652" t="str">
        <f>'7D'!$BU$25</f>
        <v>STWC107</v>
      </c>
      <c r="D3652" t="str">
        <f>_xlfn.CONCAT('7D'!$B$19, "-", '7D'!$B$25, "-", '7D'!$K$7, "-", '7D'!$H$6, "-", '7D'!$E$5)</f>
        <v>Number of sewage treatment works-STWs above size band 5-B2-Tertiary-Treatment categories</v>
      </c>
      <c r="F3652" t="s">
        <v>7182</v>
      </c>
      <c r="G3652" s="2571">
        <f>'7D'!$K$25</f>
        <v>4</v>
      </c>
    </row>
    <row r="3653" spans="1:7">
      <c r="A3653" t="s">
        <v>654</v>
      </c>
      <c r="C3653" s="2564" t="str">
        <f>'7D'!$BV$25</f>
        <v>STWC114</v>
      </c>
      <c r="D3653" t="str">
        <f>_xlfn.CONCAT('7D'!$B$19, "-", '7D'!$B$25, "-", '7D'!$L$6, "-", '7D'!$L$6, "-", '7D'!$E$5)</f>
        <v>Number of sewage treatment works-STWs above size band 5-Total-Total-Treatment categories</v>
      </c>
      <c r="F3653" t="s">
        <v>7182</v>
      </c>
      <c r="G3653" s="2571">
        <f>'7D'!$L$25</f>
        <v>19</v>
      </c>
    </row>
    <row r="3654" spans="1:7">
      <c r="A3654" t="s">
        <v>654</v>
      </c>
      <c r="C3654" t="str">
        <f>'7D'!$BX$25</f>
        <v>STWCP101</v>
      </c>
      <c r="D3654" t="str">
        <f>_xlfn.CONCAT('7D'!$B$19, "-", '7D'!$B$25, "-", '7D'!$N$7, "-", '7D'!$N$6, "-", '7D'!$N$5)</f>
        <v>Number of sewage treatment works-STWs above size band 5-&lt;=0.5mg/l-Phosphorus-Treatment works consents</v>
      </c>
      <c r="F3654" t="s">
        <v>7182</v>
      </c>
      <c r="G3654" s="2571">
        <f>'7D'!$N$25</f>
        <v>0</v>
      </c>
    </row>
    <row r="3655" spans="1:7">
      <c r="A3655" t="s">
        <v>654</v>
      </c>
      <c r="C3655" t="str">
        <f>'7D'!$BY$25</f>
        <v>STWCP102</v>
      </c>
      <c r="D3655" t="str">
        <f>_xlfn.CONCAT('7D'!$B$19, "-", '7D'!$B$25, "-", '7D'!$O$7, "-", '7D'!$N$6, "-", '7D'!$N$5)</f>
        <v>Number of sewage treatment works-STWs above size band 5-&gt;0.5 to &lt;=1mg/l-Phosphorus-Treatment works consents</v>
      </c>
      <c r="F3655" t="s">
        <v>7182</v>
      </c>
      <c r="G3655" s="2571">
        <f>'7D'!$O$25</f>
        <v>1</v>
      </c>
    </row>
    <row r="3656" spans="1:7">
      <c r="A3656" t="s">
        <v>654</v>
      </c>
      <c r="C3656" t="str">
        <f>'7D'!$BZ$25</f>
        <v>STWCP103</v>
      </c>
      <c r="D3656" t="str">
        <f>_xlfn.CONCAT('7D'!$B$19, "-", '7D'!$B$25, "-", '7D'!$P$7, "-", '7D'!$N$6, "-", '7D'!$N$5)</f>
        <v>Number of sewage treatment works-STWs above size band 5-&gt;1mg/l-Phosphorus-Treatment works consents</v>
      </c>
      <c r="F3656" t="s">
        <v>7182</v>
      </c>
      <c r="G3656" s="2571">
        <f>'7D'!$P$25</f>
        <v>5</v>
      </c>
    </row>
    <row r="3657" spans="1:7">
      <c r="A3657" t="s">
        <v>654</v>
      </c>
      <c r="C3657" t="str">
        <f>'7D'!$CA$25</f>
        <v>STWCP104</v>
      </c>
      <c r="D3657" t="str">
        <f>_xlfn.CONCAT('7D'!$B$19, "-", '7D'!$B$25, "-", '7D'!$Q$7, "-", '7D'!$N$6, "-", '7D'!$N$5)</f>
        <v>Number of sewage treatment works-STWs above size band 5-No permit-Phosphorus-Treatment works consents</v>
      </c>
      <c r="F3657" t="s">
        <v>7182</v>
      </c>
      <c r="G3657" s="2571">
        <f>'7D'!$Q$25</f>
        <v>13</v>
      </c>
    </row>
    <row r="3658" spans="1:7">
      <c r="A3658" t="s">
        <v>654</v>
      </c>
      <c r="C3658" s="2564" t="str">
        <f>'7D'!$CB$25</f>
        <v>STWCP105</v>
      </c>
      <c r="D3658" t="str">
        <f>_xlfn.CONCAT('7D'!$B$19, "-", '7D'!$B$25, "-", '7D'!$R$7, "-", '7D'!$N$6, "-", '7D'!$N$5)</f>
        <v>Number of sewage treatment works-STWs above size band 5-Total-Phosphorus-Treatment works consents</v>
      </c>
      <c r="F3658" t="s">
        <v>7182</v>
      </c>
      <c r="G3658" s="2571">
        <f>'7D'!$R$25</f>
        <v>19</v>
      </c>
    </row>
    <row r="3659" spans="1:7">
      <c r="A3659" t="s">
        <v>654</v>
      </c>
      <c r="C3659" t="str">
        <f>'7D'!$CC$25</f>
        <v>STWCB101</v>
      </c>
      <c r="D3659" t="str">
        <f>_xlfn.CONCAT('7D'!$B$19, "-", '7D'!$B$25, "-", '7D'!$S$7, "-", '7D'!$S$6, "-", '7D'!$N$5)</f>
        <v>Number of sewage treatment works-STWs above size band 5-&lt;=7mg/l-BOD5-Treatment works consents</v>
      </c>
      <c r="F3659" t="s">
        <v>7182</v>
      </c>
      <c r="G3659" s="2571">
        <f>'7D'!$S$25</f>
        <v>0</v>
      </c>
    </row>
    <row r="3660" spans="1:7">
      <c r="A3660" t="s">
        <v>654</v>
      </c>
      <c r="C3660" t="str">
        <f>'7D'!$CD$25</f>
        <v>STWCB102</v>
      </c>
      <c r="D3660" t="str">
        <f>_xlfn.CONCAT('7D'!$B$19, "-", '7D'!$B$25, "-", '7D'!$T$7, "-", '7D'!$S$6, "-", '7D'!$N$5)</f>
        <v>Number of sewage treatment works-STWs above size band 5-&gt;7 to &lt;=10mg/l-BOD5-Treatment works consents</v>
      </c>
      <c r="F3660" t="s">
        <v>7182</v>
      </c>
      <c r="G3660" s="2571">
        <f>'7D'!$T$25</f>
        <v>1</v>
      </c>
    </row>
    <row r="3661" spans="1:7">
      <c r="A3661" t="s">
        <v>654</v>
      </c>
      <c r="C3661" t="str">
        <f>'7D'!$CE$25</f>
        <v>STWCB103</v>
      </c>
      <c r="D3661" t="str">
        <f>_xlfn.CONCAT('7D'!$B$19, "-", '7D'!$B$25, "-", '7D'!$U$7, "-", '7D'!$S$6, "-", '7D'!$N$5)</f>
        <v>Number of sewage treatment works-STWs above size band 5-&gt;10 to &lt;=20mg/l-BOD5-Treatment works consents</v>
      </c>
      <c r="F3661" t="s">
        <v>7182</v>
      </c>
      <c r="G3661" s="2571">
        <f>'7D'!$U$25</f>
        <v>2</v>
      </c>
    </row>
    <row r="3662" spans="1:7">
      <c r="A3662" t="s">
        <v>654</v>
      </c>
      <c r="C3662" t="str">
        <f>'7D'!$CF$25</f>
        <v>STWCB104</v>
      </c>
      <c r="D3662" t="str">
        <f>_xlfn.CONCAT('7D'!$B$19, "-", '7D'!$B$25, "-", '7D'!$V$7, "-", '7D'!$S$6, "-", '7D'!$N$5)</f>
        <v>Number of sewage treatment works-STWs above size band 5-&gt;20mg/l-BOD5-Treatment works consents</v>
      </c>
      <c r="F3662" t="s">
        <v>7182</v>
      </c>
      <c r="G3662" s="2571">
        <f>'7D'!$V$25</f>
        <v>16</v>
      </c>
    </row>
    <row r="3663" spans="1:7">
      <c r="A3663" t="s">
        <v>654</v>
      </c>
      <c r="C3663" t="str">
        <f>'7D'!$CG$25</f>
        <v>STWCB105</v>
      </c>
      <c r="D3663" t="str">
        <f>_xlfn.CONCAT('7D'!$B$19, "-", '7D'!$B$25, "-", '7D'!$W$7, "-", '7D'!$S$6, "-", '7D'!$N$5)</f>
        <v>Number of sewage treatment works-STWs above size band 5-No permit-BOD5-Treatment works consents</v>
      </c>
      <c r="F3663" t="s">
        <v>7182</v>
      </c>
      <c r="G3663" s="2571">
        <f>'7D'!$W$25</f>
        <v>0</v>
      </c>
    </row>
    <row r="3664" spans="1:7">
      <c r="A3664" t="s">
        <v>654</v>
      </c>
      <c r="C3664" s="2564" t="str">
        <f>'7D'!$CH$25</f>
        <v>STWCB106</v>
      </c>
      <c r="D3664" t="str">
        <f>_xlfn.CONCAT('7D'!$B$19, "-", '7D'!$B$25, "-", '7D'!$X$7, "-", '7D'!$S$6, "-", '7D'!$N$5)</f>
        <v>Number of sewage treatment works-STWs above size band 5-Total-BOD5-Treatment works consents</v>
      </c>
      <c r="F3664" t="s">
        <v>7182</v>
      </c>
      <c r="G3664" s="2571">
        <f>'7D'!$X$25</f>
        <v>19</v>
      </c>
    </row>
    <row r="3665" spans="1:7">
      <c r="A3665" t="s">
        <v>654</v>
      </c>
      <c r="C3665" t="str">
        <f>'7D'!$CI$25</f>
        <v>STWCA101</v>
      </c>
      <c r="D3665" t="str">
        <f>_xlfn.CONCAT('7D'!$B$19, "-", '7D'!$B$25, "-", '7D'!$Y$7, "-", '7D'!$Y$6, "-", '7D'!$N$5)</f>
        <v>Number of sewage treatment works-STWs above size band 5-&lt;=1mg/l-Ammonia-Treatment works consents</v>
      </c>
      <c r="F3665" t="s">
        <v>7182</v>
      </c>
      <c r="G3665" s="2571">
        <f>'7D'!$Y$25</f>
        <v>0</v>
      </c>
    </row>
    <row r="3666" spans="1:7">
      <c r="A3666" t="s">
        <v>654</v>
      </c>
      <c r="C3666" t="str">
        <f>'7D'!$CJ$25</f>
        <v>STWCA102</v>
      </c>
      <c r="D3666" t="str">
        <f>_xlfn.CONCAT('7D'!$B$19, "-", '7D'!$B$25, "-", '7D'!$Z$7, "-", '7D'!$Y$6, "-", '7D'!$N$5)</f>
        <v>Number of sewage treatment works-STWs above size band 5-&gt;1 to &lt;=3mg/l-Ammonia-Treatment works consents</v>
      </c>
      <c r="F3666" t="s">
        <v>7182</v>
      </c>
      <c r="G3666" s="2571">
        <f>'7D'!$Z$25</f>
        <v>1</v>
      </c>
    </row>
    <row r="3667" spans="1:7">
      <c r="A3667" t="s">
        <v>654</v>
      </c>
      <c r="C3667" t="str">
        <f>'7D'!$CK$25</f>
        <v>STWCA103</v>
      </c>
      <c r="D3667" t="str">
        <f>_xlfn.CONCAT('7D'!$B$19, "-", '7D'!$B$25, "-", '7D'!$AA$7, "-", '7D'!$Y$6, "-", '7D'!$N$5)</f>
        <v>Number of sewage treatment works-STWs above size band 5-&gt;3 to &lt;=10mg/l-Ammonia-Treatment works consents</v>
      </c>
      <c r="F3667" t="s">
        <v>7182</v>
      </c>
      <c r="G3667" s="2571">
        <f>'7D'!$AA$25</f>
        <v>5</v>
      </c>
    </row>
    <row r="3668" spans="1:7">
      <c r="A3668" t="s">
        <v>654</v>
      </c>
      <c r="C3668" t="str">
        <f>'7D'!$CL$25</f>
        <v>STWCA104</v>
      </c>
      <c r="D3668" t="str">
        <f>_xlfn.CONCAT('7D'!$B$19, "-", '7D'!$B$25, "-", '7D'!$AB$7, "-", '7D'!$Y$6, "-", '7D'!$N$5)</f>
        <v>Number of sewage treatment works-STWs above size band 5-&gt;10mg/l-Ammonia-Treatment works consents</v>
      </c>
      <c r="F3668" t="s">
        <v>7182</v>
      </c>
      <c r="G3668" s="2571">
        <f>'7D'!$AB$25</f>
        <v>3</v>
      </c>
    </row>
    <row r="3669" spans="1:7">
      <c r="A3669" t="s">
        <v>654</v>
      </c>
      <c r="C3669" t="str">
        <f>'7D'!$CM$25</f>
        <v>STWCA105</v>
      </c>
      <c r="D3669" t="str">
        <f>_xlfn.CONCAT('7D'!$B$19, "-", '7D'!$B$25, "-", '7D'!$AC$7, "-", '7D'!$Y$6, "-", '7D'!$N$5)</f>
        <v>Number of sewage treatment works-STWs above size band 5-No permit-Ammonia-Treatment works consents</v>
      </c>
      <c r="F3669" t="s">
        <v>7182</v>
      </c>
      <c r="G3669" s="2571">
        <f>'7D'!$AC$25</f>
        <v>10</v>
      </c>
    </row>
    <row r="3670" spans="1:7">
      <c r="A3670" t="s">
        <v>654</v>
      </c>
      <c r="C3670" s="2564" t="str">
        <f>'7D'!$CN$25</f>
        <v>STWCA106</v>
      </c>
      <c r="D3670" t="str">
        <f>_xlfn.CONCAT('7D'!$B$19, "-", '7D'!$B$25, "-", '7D'!$AD$7, "-", '7D'!$Y$6, "-", '7D'!$N$5)</f>
        <v>Number of sewage treatment works-STWs above size band 5-Total-Ammonia-Treatment works consents</v>
      </c>
      <c r="F3670" t="s">
        <v>7182</v>
      </c>
      <c r="G3670" s="2571">
        <f>'7D'!$AD$25</f>
        <v>19</v>
      </c>
    </row>
    <row r="3671" spans="1:7">
      <c r="A3671" t="s">
        <v>654</v>
      </c>
      <c r="C3671" s="2564" t="str">
        <f>'7D'!$BO$26</f>
        <v>STWC121</v>
      </c>
      <c r="D3671" t="str">
        <f>_xlfn.CONCAT('7D'!$B$19, "-", '7D'!$B$26, "-", '7D'!$E$6, "-", '7D'!$E$6, "-", '7D'!$E$5)</f>
        <v>Number of sewage treatment works-Total number of works-Primary-Primary-Treatment categories</v>
      </c>
      <c r="F3671" t="s">
        <v>7182</v>
      </c>
      <c r="G3671" s="2571">
        <f>'7D'!$E$26</f>
        <v>90</v>
      </c>
    </row>
    <row r="3672" spans="1:7">
      <c r="A3672" t="s">
        <v>654</v>
      </c>
      <c r="C3672" s="2564" t="str">
        <f>'7D'!$BP$26</f>
        <v>STWC122</v>
      </c>
      <c r="D3672" t="str">
        <f>_xlfn.CONCAT('7D'!$B$19, "-", '7D'!$B$26, "-", '7D'!$F$7, "-", '7D'!$F$6, "-", '7D'!$E$5)</f>
        <v>Number of sewage treatment works-Total number of works-Activated Sludge-Secondary-Treatment categories</v>
      </c>
      <c r="F3672" t="s">
        <v>7182</v>
      </c>
      <c r="G3672" s="2571">
        <f>'7D'!$F$26</f>
        <v>23</v>
      </c>
    </row>
    <row r="3673" spans="1:7">
      <c r="A3673" t="s">
        <v>654</v>
      </c>
      <c r="C3673" s="2564" t="str">
        <f>'7D'!$BQ$26</f>
        <v>STWC123</v>
      </c>
      <c r="D3673" t="str">
        <f>_xlfn.CONCAT('7D'!$B$19, "-", '7D'!$B$26, "-", '7D'!$G$7, "-", '7D'!$F$6, "-", '7D'!$E$5)</f>
        <v>Number of sewage treatment works-Total number of works-Biological-Secondary-Treatment categories</v>
      </c>
      <c r="F3673" t="s">
        <v>7182</v>
      </c>
      <c r="G3673" s="2571">
        <f>'7D'!$G$26</f>
        <v>254</v>
      </c>
    </row>
    <row r="3674" spans="1:7">
      <c r="A3674" t="s">
        <v>654</v>
      </c>
      <c r="C3674" s="2564" t="str">
        <f>'7D'!$BR$26</f>
        <v>STWC124</v>
      </c>
      <c r="D3674" t="str">
        <f>_xlfn.CONCAT('7D'!$B$19, "-", '7D'!$B$26, "-", '7D'!$H$7, "-", '7D'!$H$6, "-", '7D'!$E$5)</f>
        <v>Number of sewage treatment works-Total number of works-A1-Tertiary-Treatment categories</v>
      </c>
      <c r="F3674" t="s">
        <v>7182</v>
      </c>
      <c r="G3674" s="2571">
        <f>'7D'!$H$26</f>
        <v>0</v>
      </c>
    </row>
    <row r="3675" spans="1:7">
      <c r="A3675" t="s">
        <v>654</v>
      </c>
      <c r="C3675" s="2564" t="str">
        <f>'7D'!$BS$26</f>
        <v>STWC125</v>
      </c>
      <c r="D3675" t="str">
        <f>_xlfn.CONCAT('7D'!$B$19, "-", '7D'!$B$26, "-", '7D'!$I$7, "-", '7D'!$H$6, "-", '7D'!$E$5)</f>
        <v>Number of sewage treatment works-Total number of works-A2-Tertiary-Treatment categories</v>
      </c>
      <c r="F3675" t="s">
        <v>7182</v>
      </c>
      <c r="G3675" s="2571">
        <f>'7D'!$I$26</f>
        <v>10</v>
      </c>
    </row>
    <row r="3676" spans="1:7">
      <c r="A3676" t="s">
        <v>654</v>
      </c>
      <c r="C3676" s="2564" t="str">
        <f>'7D'!$BT$26</f>
        <v>STWC126</v>
      </c>
      <c r="D3676" t="str">
        <f>_xlfn.CONCAT('7D'!$B$19, "-", '7D'!$B$26, "-", '7D'!$J$7, "-", '7D'!$H$6, "-", '7D'!$E$5)</f>
        <v>Number of sewage treatment works-Total number of works-B1-Tertiary-Treatment categories</v>
      </c>
      <c r="F3676" t="s">
        <v>7182</v>
      </c>
      <c r="G3676" s="2571">
        <f>'7D'!$J$26</f>
        <v>12</v>
      </c>
    </row>
    <row r="3677" spans="1:7">
      <c r="A3677" t="s">
        <v>654</v>
      </c>
      <c r="C3677" s="2564" t="str">
        <f>'7D'!$BU$26</f>
        <v>STWC127</v>
      </c>
      <c r="D3677" t="str">
        <f>_xlfn.CONCAT('7D'!$B$19, "-", '7D'!$B$26, "-", '7D'!$K$7, "-", '7D'!$H$6, "-", '7D'!$E$5)</f>
        <v>Number of sewage treatment works-Total number of works-B2-Tertiary-Treatment categories</v>
      </c>
      <c r="F3677" t="s">
        <v>7182</v>
      </c>
      <c r="G3677" s="2571">
        <f>'7D'!$K$26</f>
        <v>24</v>
      </c>
    </row>
    <row r="3678" spans="1:7">
      <c r="A3678" t="s">
        <v>654</v>
      </c>
      <c r="C3678" s="2564" t="str">
        <f>'7D'!$BV$26</f>
        <v>STWC115</v>
      </c>
      <c r="D3678" t="str">
        <f>_xlfn.CONCAT('7D'!$B$19, "-", '7D'!$B$26, "-", '7D'!$L$6, "-", '7D'!$L$6, "-", '7D'!$E$5)</f>
        <v>Number of sewage treatment works-Total number of works-Total-Total-Treatment categories</v>
      </c>
      <c r="F3678" t="s">
        <v>7182</v>
      </c>
      <c r="G3678" s="2571">
        <f>'7D'!$L$26</f>
        <v>413</v>
      </c>
    </row>
    <row r="3679" spans="1:7">
      <c r="A3679" t="s">
        <v>654</v>
      </c>
      <c r="C3679" s="2564" t="str">
        <f>'7D'!$BX$26</f>
        <v>STWCP121</v>
      </c>
      <c r="D3679" t="str">
        <f>_xlfn.CONCAT('7D'!$B$19, "-", '7D'!$B$26, "-", '7D'!$N$7, "-", '7D'!$N$6, "-", '7D'!$N$5)</f>
        <v>Number of sewage treatment works-Total number of works-&lt;=0.5mg/l-Phosphorus-Treatment works consents</v>
      </c>
      <c r="F3679" t="s">
        <v>7182</v>
      </c>
      <c r="G3679" s="2571">
        <f>'7D'!$N$26</f>
        <v>0</v>
      </c>
    </row>
    <row r="3680" spans="1:7">
      <c r="A3680" t="s">
        <v>654</v>
      </c>
      <c r="C3680" s="2564" t="str">
        <f>'7D'!$BY$26</f>
        <v>STWCP122</v>
      </c>
      <c r="D3680" t="str">
        <f>_xlfn.CONCAT('7D'!$B$19, "-", '7D'!$B$26, "-", '7D'!$O$7, "-", '7D'!$N$6, "-", '7D'!$N$5)</f>
        <v>Number of sewage treatment works-Total number of works-&gt;0.5 to &lt;=1mg/l-Phosphorus-Treatment works consents</v>
      </c>
      <c r="F3680" t="s">
        <v>7182</v>
      </c>
      <c r="G3680" s="2571">
        <f>'7D'!$O$26</f>
        <v>8</v>
      </c>
    </row>
    <row r="3681" spans="1:7">
      <c r="A3681" t="s">
        <v>654</v>
      </c>
      <c r="C3681" s="2564" t="str">
        <f>'7D'!$BZ$26</f>
        <v>STWCP123</v>
      </c>
      <c r="D3681" t="str">
        <f>_xlfn.CONCAT('7D'!$B$19, "-", '7D'!$B$26, "-", '7D'!$P$7, "-", '7D'!$N$6, "-", '7D'!$N$5)</f>
        <v>Number of sewage treatment works-Total number of works-&gt;1mg/l-Phosphorus-Treatment works consents</v>
      </c>
      <c r="F3681" t="s">
        <v>7182</v>
      </c>
      <c r="G3681" s="2571">
        <f>'7D'!$P$26</f>
        <v>15</v>
      </c>
    </row>
    <row r="3682" spans="1:7">
      <c r="A3682" t="s">
        <v>654</v>
      </c>
      <c r="C3682" s="2564" t="str">
        <f>'7D'!$CA$26</f>
        <v>STWCP124</v>
      </c>
      <c r="D3682" t="str">
        <f>_xlfn.CONCAT('7D'!$B$19, "-", '7D'!$B$26, "-", '7D'!$Q$7, "-", '7D'!$N$6, "-", '7D'!$N$5)</f>
        <v>Number of sewage treatment works-Total number of works-No permit-Phosphorus-Treatment works consents</v>
      </c>
      <c r="F3682" t="s">
        <v>7182</v>
      </c>
      <c r="G3682" s="2571">
        <f>'7D'!$Q$26</f>
        <v>390</v>
      </c>
    </row>
    <row r="3683" spans="1:7">
      <c r="A3683" t="s">
        <v>654</v>
      </c>
      <c r="C3683" s="2564" t="str">
        <f>'7D'!$CB$26</f>
        <v>STWCP125</v>
      </c>
      <c r="D3683" t="str">
        <f>_xlfn.CONCAT('7D'!$B$19, "-", '7D'!$B$26, "-", '7D'!$R$7, "-", '7D'!$N$6, "-", '7D'!$N$5)</f>
        <v>Number of sewage treatment works-Total number of works-Total-Phosphorus-Treatment works consents</v>
      </c>
      <c r="F3683" t="s">
        <v>7182</v>
      </c>
      <c r="G3683" s="2571">
        <f>'7D'!$R$26</f>
        <v>413</v>
      </c>
    </row>
    <row r="3684" spans="1:7">
      <c r="A3684" t="s">
        <v>654</v>
      </c>
      <c r="C3684" s="2564" t="str">
        <f>'7D'!$CC$26</f>
        <v>STWCB121</v>
      </c>
      <c r="D3684" t="str">
        <f>_xlfn.CONCAT('7D'!$B$19, "-", '7D'!$B$26, "-", '7D'!$S$7, "-", '7D'!$S$6, "-", '7D'!$N$5)</f>
        <v>Number of sewage treatment works-Total number of works-&lt;=7mg/l-BOD5-Treatment works consents</v>
      </c>
      <c r="F3684" t="s">
        <v>7182</v>
      </c>
      <c r="G3684" s="2571">
        <f>'7D'!$S$26</f>
        <v>0</v>
      </c>
    </row>
    <row r="3685" spans="1:7">
      <c r="A3685" t="s">
        <v>654</v>
      </c>
      <c r="C3685" s="2564" t="str">
        <f>'7D'!$CD$26</f>
        <v>STWCB122</v>
      </c>
      <c r="D3685" t="str">
        <f>_xlfn.CONCAT('7D'!$B$19, "-", '7D'!$B$26, "-", '7D'!$T$7, "-", '7D'!$S$6, "-", '7D'!$N$5)</f>
        <v>Number of sewage treatment works-Total number of works-&gt;7 to &lt;=10mg/l-BOD5-Treatment works consents</v>
      </c>
      <c r="F3685" t="s">
        <v>7182</v>
      </c>
      <c r="G3685" s="2571">
        <f>'7D'!$T$26</f>
        <v>9</v>
      </c>
    </row>
    <row r="3686" spans="1:7">
      <c r="A3686" t="s">
        <v>654</v>
      </c>
      <c r="C3686" s="2564" t="str">
        <f>'7D'!$CE$26</f>
        <v>STWCB123</v>
      </c>
      <c r="D3686" t="str">
        <f>_xlfn.CONCAT('7D'!$B$19, "-", '7D'!$B$26, "-", '7D'!$U$7, "-", '7D'!$S$6, "-", '7D'!$N$5)</f>
        <v>Number of sewage treatment works-Total number of works-&gt;10 to &lt;=20mg/l-BOD5-Treatment works consents</v>
      </c>
      <c r="F3686" t="s">
        <v>7182</v>
      </c>
      <c r="G3686" s="2571">
        <f>'7D'!$U$26</f>
        <v>26</v>
      </c>
    </row>
    <row r="3687" spans="1:7">
      <c r="A3687" t="s">
        <v>654</v>
      </c>
      <c r="C3687" s="2564" t="str">
        <f>'7D'!$CF$26</f>
        <v>STWCB124</v>
      </c>
      <c r="D3687" t="str">
        <f>_xlfn.CONCAT('7D'!$B$19, "-", '7D'!$B$26, "-", '7D'!$V$7, "-", '7D'!$S$6, "-", '7D'!$N$5)</f>
        <v>Number of sewage treatment works-Total number of works-&gt;20mg/l-BOD5-Treatment works consents</v>
      </c>
      <c r="F3687" t="s">
        <v>7182</v>
      </c>
      <c r="G3687" s="2571">
        <f>'7D'!$V$26</f>
        <v>124</v>
      </c>
    </row>
    <row r="3688" spans="1:7">
      <c r="A3688" t="s">
        <v>654</v>
      </c>
      <c r="C3688" s="2564" t="str">
        <f>'7D'!$CG$26</f>
        <v>STWCB125</v>
      </c>
      <c r="D3688" t="str">
        <f>_xlfn.CONCAT('7D'!$B$19, "-", '7D'!$B$26, "-", '7D'!$W$7, "-", '7D'!$S$6, "-", '7D'!$N$5)</f>
        <v>Number of sewage treatment works-Total number of works-No permit-BOD5-Treatment works consents</v>
      </c>
      <c r="F3688" t="s">
        <v>7182</v>
      </c>
      <c r="G3688" s="2571">
        <f>'7D'!$W$26</f>
        <v>254</v>
      </c>
    </row>
    <row r="3689" spans="1:7">
      <c r="A3689" t="s">
        <v>654</v>
      </c>
      <c r="C3689" s="2564" t="str">
        <f>'7D'!$CH$26</f>
        <v>STWCB126</v>
      </c>
      <c r="D3689" t="str">
        <f>_xlfn.CONCAT('7D'!$B$19, "-", '7D'!$B$26, "-", '7D'!$X$7, "-", '7D'!$S$6, "-", '7D'!$N$5)</f>
        <v>Number of sewage treatment works-Total number of works-Total-BOD5-Treatment works consents</v>
      </c>
      <c r="F3689" t="s">
        <v>7182</v>
      </c>
      <c r="G3689" s="2571">
        <f>'7D'!$X$26</f>
        <v>413</v>
      </c>
    </row>
    <row r="3690" spans="1:7">
      <c r="A3690" t="s">
        <v>654</v>
      </c>
      <c r="C3690" s="2564" t="str">
        <f>'7D'!$CI$26</f>
        <v>STWCA121</v>
      </c>
      <c r="D3690" t="str">
        <f>_xlfn.CONCAT('7D'!$B$19, "-", '7D'!$B$26, "-", '7D'!$Y$7, "-", '7D'!$Y$6, "-", '7D'!$N$5)</f>
        <v>Number of sewage treatment works-Total number of works-&lt;=1mg/l-Ammonia-Treatment works consents</v>
      </c>
      <c r="F3690" t="s">
        <v>7182</v>
      </c>
      <c r="G3690" s="2571">
        <f>'7D'!$Y$26</f>
        <v>0</v>
      </c>
    </row>
    <row r="3691" spans="1:7">
      <c r="A3691" t="s">
        <v>654</v>
      </c>
      <c r="C3691" s="2564" t="str">
        <f>'7D'!$CJ$26</f>
        <v>STWCA122</v>
      </c>
      <c r="D3691" t="str">
        <f>_xlfn.CONCAT('7D'!$B$19, "-", '7D'!$B$26, "-", '7D'!$Z$7, "-", '7D'!$Y$6, "-", '7D'!$N$5)</f>
        <v>Number of sewage treatment works-Total number of works-&gt;1 to &lt;=3mg/l-Ammonia-Treatment works consents</v>
      </c>
      <c r="F3691" t="s">
        <v>7182</v>
      </c>
      <c r="G3691" s="2571">
        <f>'7D'!$Z$26</f>
        <v>5</v>
      </c>
    </row>
    <row r="3692" spans="1:7">
      <c r="A3692" t="s">
        <v>654</v>
      </c>
      <c r="C3692" s="2564" t="str">
        <f>'7D'!$CK$26</f>
        <v>STWCA123</v>
      </c>
      <c r="D3692" t="str">
        <f>_xlfn.CONCAT('7D'!$B$19, "-", '7D'!$B$26, "-", '7D'!$AA$7, "-", '7D'!$Y$6, "-", '7D'!$N$5)</f>
        <v>Number of sewage treatment works-Total number of works-&gt;3 to &lt;=10mg/l-Ammonia-Treatment works consents</v>
      </c>
      <c r="F3692" t="s">
        <v>7182</v>
      </c>
      <c r="G3692" s="2571">
        <f>'7D'!$AA$26</f>
        <v>41</v>
      </c>
    </row>
    <row r="3693" spans="1:7">
      <c r="A3693" t="s">
        <v>654</v>
      </c>
      <c r="C3693" s="2564" t="str">
        <f>'7D'!$CL$26</f>
        <v>STWCA124</v>
      </c>
      <c r="D3693" t="str">
        <f>_xlfn.CONCAT('7D'!$B$19, "-", '7D'!$B$26, "-", '7D'!$AB$7, "-", '7D'!$Y$6, "-", '7D'!$N$5)</f>
        <v>Number of sewage treatment works-Total number of works-&gt;10mg/l-Ammonia-Treatment works consents</v>
      </c>
      <c r="F3693" t="s">
        <v>7182</v>
      </c>
      <c r="G3693" s="2571">
        <f>'7D'!$AB$26</f>
        <v>51</v>
      </c>
    </row>
    <row r="3694" spans="1:7">
      <c r="A3694" t="s">
        <v>654</v>
      </c>
      <c r="C3694" s="2564" t="str">
        <f>'7D'!$CM$26</f>
        <v>STWCA125</v>
      </c>
      <c r="D3694" t="str">
        <f>_xlfn.CONCAT('7D'!$B$19, "-", '7D'!$B$26, "-", '7D'!$AC$7, "-", '7D'!$Y$6, "-", '7D'!$N$5)</f>
        <v>Number of sewage treatment works-Total number of works-No permit-Ammonia-Treatment works consents</v>
      </c>
      <c r="F3694" t="s">
        <v>7182</v>
      </c>
      <c r="G3694" s="2571">
        <f>'7D'!$AC$26</f>
        <v>316</v>
      </c>
    </row>
    <row r="3695" spans="1:7">
      <c r="A3695" t="s">
        <v>654</v>
      </c>
      <c r="C3695" s="2564" t="str">
        <f>'7D'!$CN$26</f>
        <v>STWCA126</v>
      </c>
      <c r="D3695" t="str">
        <f>_xlfn.CONCAT('7D'!$B$19, "-", '7D'!$B$26, "-", '7D'!$AD$7, "-", '7D'!$Y$6, "-", '7D'!$N$5)</f>
        <v>Number of sewage treatment works-Total number of works-Total-Ammonia-Treatment works consents</v>
      </c>
      <c r="F3695" t="s">
        <v>7182</v>
      </c>
      <c r="G3695" s="2571">
        <f>'7D'!$AD$26</f>
        <v>413</v>
      </c>
    </row>
    <row r="3696" spans="1:7">
      <c r="A3696" t="s">
        <v>654</v>
      </c>
      <c r="C3696" t="str">
        <f>'7D'!$BO$29</f>
        <v>BN1603</v>
      </c>
      <c r="D3696" t="str">
        <f>_xlfn.CONCAT('7D'!$B$28, "-", '7D'!$B$29, "-", '7D'!$E$6, "-", '7D'!$E$6, "-", '7D'!$E$5)</f>
        <v>Population equivalent-Current population equivalent served by STWs-Primary-Primary-Treatment categories</v>
      </c>
      <c r="F3696" t="s">
        <v>7182</v>
      </c>
      <c r="G3696">
        <f>'7D'!$E$29</f>
        <v>3079.75</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7182</v>
      </c>
      <c r="G3697">
        <f>'7D'!$E$30</f>
        <v>0</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7182</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7182</v>
      </c>
      <c r="G3699">
        <f>'7D'!$E$32</f>
        <v>0</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7182</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7182</v>
      </c>
      <c r="G3701">
        <f>'7D'!$E$34</f>
        <v>1.1850000000000001</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7182</v>
      </c>
      <c r="G3702">
        <f>'7D'!$E$35</f>
        <v>50.64</v>
      </c>
    </row>
    <row r="3703" spans="1:7">
      <c r="A3703" t="s">
        <v>655</v>
      </c>
      <c r="C3703" t="str">
        <f>'7E'!$R$8</f>
        <v>BN1176CA</v>
      </c>
      <c r="D3703" t="str">
        <f>_xlfn.CONCAT('7E'!$B$7, "-", '7E'!$B$8, "-", '7E'!$E$5)</f>
        <v>Other-Total sewerage catchment area-Input</v>
      </c>
      <c r="F3703" t="s">
        <v>7182</v>
      </c>
      <c r="G3703" s="2571">
        <f>'7E'!$E$8</f>
        <v>1325</v>
      </c>
    </row>
    <row r="3704" spans="1:7">
      <c r="A3704" t="s">
        <v>655</v>
      </c>
      <c r="C3704" t="str">
        <f>'7E'!$R$9</f>
        <v>BN1615</v>
      </c>
      <c r="D3704" t="str">
        <f>_xlfn.CONCAT('7E'!$B$7, "-", '7E'!$B$9, "-", '7E'!$E$5)</f>
        <v>Other-Designated bathing waters (inland and coastal)-Input</v>
      </c>
      <c r="F3704" t="s">
        <v>7182</v>
      </c>
      <c r="G3704" s="2571">
        <f>'7E'!$E$9</f>
        <v>34</v>
      </c>
    </row>
    <row r="3705" spans="1:7">
      <c r="A3705" t="s">
        <v>655</v>
      </c>
      <c r="C3705" t="str">
        <f>'7E'!$R$10</f>
        <v>S4016</v>
      </c>
      <c r="D3705" t="str">
        <f>_xlfn.CONCAT('7E'!$B$7, "-", '7E'!$B$10, "-", '7E'!$E$5)</f>
        <v>Other-Number of intermittent discharge event duration monitorsing-Input</v>
      </c>
      <c r="F3705" t="s">
        <v>7182</v>
      </c>
      <c r="G3705" s="2571">
        <f>'7E'!$E$10</f>
        <v>2</v>
      </c>
    </row>
    <row r="3706" spans="1:7">
      <c r="A3706" t="s">
        <v>655</v>
      </c>
      <c r="C3706" t="str">
        <f>'7E'!$R$11</f>
        <v>STWM001</v>
      </c>
      <c r="D3706" t="str">
        <f>_xlfn.CONCAT('7E'!$B$7, "-", '7E'!$B$11, "-", '7E'!$E$5)</f>
        <v>Other-Number of monitors for flow monitoring at STWs-Input</v>
      </c>
      <c r="F3706" t="s">
        <v>7182</v>
      </c>
      <c r="G3706" s="2571">
        <f>'7E'!$E$11</f>
        <v>17</v>
      </c>
    </row>
    <row r="3707" spans="1:7">
      <c r="A3707" t="s">
        <v>655</v>
      </c>
      <c r="C3707" t="str">
        <f>'7E'!$R$12</f>
        <v>S4017</v>
      </c>
      <c r="D3707" t="str">
        <f>_xlfn.CONCAT('7E'!$B$7, "-", '7E'!$B$12, "-", '7E'!$E$5)</f>
        <v>Other-Number of odour related complaints-Input</v>
      </c>
      <c r="F3707" t="s">
        <v>7182</v>
      </c>
      <c r="G3707" s="2571">
        <f>'7E'!$E$12</f>
        <v>1467</v>
      </c>
    </row>
    <row r="3708" spans="1:7">
      <c r="A3708" t="s">
        <v>655</v>
      </c>
      <c r="C3708" t="str">
        <f>'7E'!$R$15</f>
        <v>BM902ECSC</v>
      </c>
      <c r="D3708" t="str">
        <f>_xlfn.CONCAT('7E'!$B$14, "-", '7E'!$B$15, "-", '7E'!$E$5)</f>
        <v>Energy consumption-Energy consumption - sewage collection-Input</v>
      </c>
      <c r="F3708" t="s">
        <v>7182</v>
      </c>
      <c r="G3708">
        <f>'7E'!$E$15</f>
        <v>59781.239000000001</v>
      </c>
    </row>
    <row r="3709" spans="1:7">
      <c r="A3709" t="s">
        <v>655</v>
      </c>
      <c r="C3709" t="str">
        <f>'7E'!$R$16</f>
        <v>BM902ECST</v>
      </c>
      <c r="D3709" t="str">
        <f>_xlfn.CONCAT('7E'!$B$14, "-", '7E'!$B$16, "-", '7E'!$E$5)</f>
        <v>Energy consumption-Energy consumption - sewage treatment-Input</v>
      </c>
      <c r="F3709" t="s">
        <v>7182</v>
      </c>
      <c r="G3709">
        <f>'7E'!$E$16</f>
        <v>113733.008</v>
      </c>
    </row>
    <row r="3710" spans="1:7">
      <c r="A3710" t="s">
        <v>655</v>
      </c>
      <c r="C3710" t="str">
        <f>'7E'!$R$17</f>
        <v>BM902ECNPS</v>
      </c>
      <c r="D3710" t="str">
        <f>_xlfn.CONCAT('7E'!$B$14, "-", '7E'!$B$17, "-", '7E'!$E$5)</f>
        <v>Energy consumption-Energy consumption - wastewater network +-Input</v>
      </c>
      <c r="F3710" t="s">
        <v>7182</v>
      </c>
      <c r="G3710">
        <f>'7E'!$E$17</f>
        <v>173514.247</v>
      </c>
    </row>
    <row r="3711" spans="1:7">
      <c r="A3711" t="s">
        <v>655</v>
      </c>
      <c r="C3711" t="str">
        <f>'7E'!$R$20</f>
        <v>S4032</v>
      </c>
      <c r="D3711" t="str">
        <f>_xlfn.CONCAT('7E'!$B$19, "-", '7E'!$B$20, "-", '7E'!$E$5)</f>
        <v>Scheme delivery-Cumulative shortfall in FFT addressed by WINEP / NEP schemes to increase STW capacity -Input</v>
      </c>
      <c r="F3711" t="s">
        <v>7182</v>
      </c>
      <c r="G3711">
        <f>'7E'!$E$20</f>
        <v>23</v>
      </c>
    </row>
    <row r="3712" spans="1:7">
      <c r="A3712" t="s">
        <v>655</v>
      </c>
      <c r="C3712" t="str">
        <f>'7E'!$R$21</f>
        <v>S4032NR</v>
      </c>
      <c r="D3712" t="str">
        <f>_xlfn.CONCAT('7E'!$B$19, "-", '7E'!$B$21, "-", '7E'!$E$5)</f>
        <v>Scheme delivery-Number of sites with an increase in sewage treatment works capacity delivered to address a shortfall in FFT -Input</v>
      </c>
      <c r="F3712" t="s">
        <v>7182</v>
      </c>
      <c r="G3712">
        <f>'7E'!$E$21</f>
        <v>3</v>
      </c>
    </row>
    <row r="3713" spans="1:7">
      <c r="A3713" t="s">
        <v>655</v>
      </c>
      <c r="C3713" t="str">
        <f>'7E'!$R$22</f>
        <v>S4033</v>
      </c>
      <c r="D3713" t="str">
        <f>_xlfn.CONCAT('7E'!$B$19, "-", '7E'!$B$22, "-", '7E'!$E$5)</f>
        <v>Scheme delivery-Additional storm tank capacity provided at sewage treatment works (grey infrastructure)-Input</v>
      </c>
      <c r="F3713" t="s">
        <v>7182</v>
      </c>
      <c r="G3713">
        <f>'7E'!$E$22</f>
        <v>33.1</v>
      </c>
    </row>
    <row r="3714" spans="1:7">
      <c r="A3714" t="s">
        <v>655</v>
      </c>
      <c r="C3714" t="str">
        <f>'7E'!$R$23</f>
        <v>S4033N</v>
      </c>
      <c r="D3714" t="str">
        <f>_xlfn.CONCAT('7E'!$B$19, "-", '7E'!$B$23, "-", '7E'!$E$5)</f>
        <v>Scheme delivery-Additional effective storm storage capacity at sewage treatment works (green infrastructure)-Input</v>
      </c>
      <c r="F3714" t="s">
        <v>7182</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7182</v>
      </c>
      <c r="G3715">
        <f>'7E'!$E$24</f>
        <v>0</v>
      </c>
    </row>
    <row r="3716" spans="1:7">
      <c r="A3716" t="s">
        <v>655</v>
      </c>
      <c r="C3716" t="str">
        <f>'7E'!$R$25</f>
        <v>S4034N</v>
      </c>
      <c r="D3716" t="str">
        <f>_xlfn.CONCAT('7E'!$B$19, "-", '7E'!$B$25, "-", '7E'!$E$5)</f>
        <v>Scheme delivery-Additional effective storage in the network delivered through green infrastructure-Input</v>
      </c>
      <c r="F3716" t="s">
        <v>7182</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7182</v>
      </c>
      <c r="G3717">
        <f>'7E'!$E$26</f>
        <v>1</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7182</v>
      </c>
      <c r="G3718">
        <f>'7E'!$E$27</f>
        <v>0</v>
      </c>
    </row>
    <row r="3719" spans="1:7">
      <c r="A3719" t="s">
        <v>655</v>
      </c>
      <c r="C3719" t="str">
        <f>'7E'!$R$28</f>
        <v>S4033NNR</v>
      </c>
      <c r="D3719" t="str">
        <f>_xlfn.CONCAT('7E'!$B$19, "-", '7E'!$B$28, "-", '7E'!$E$5)</f>
        <v>Scheme delivery-Number of sewage treatment works benefitting from green infrastructure replacing the need for storm tank storage-Input</v>
      </c>
      <c r="F3719" t="s">
        <v>7182</v>
      </c>
      <c r="G3719">
        <f>'7E'!$E$28</f>
        <v>0</v>
      </c>
    </row>
    <row r="3720" spans="1:7">
      <c r="A3720" t="s">
        <v>655</v>
      </c>
      <c r="C3720" t="str">
        <f>'7E'!$R$29</f>
        <v>S4034GNR</v>
      </c>
      <c r="D3720" t="str">
        <f>_xlfn.CONCAT('7E'!$B$19, "-", '7E'!$B$29, "-", '7E'!$E$5)</f>
        <v>Scheme delivery-Number of sites delivering additional network storage (grey infrastructure)-Input</v>
      </c>
      <c r="F3720" t="s">
        <v>7182</v>
      </c>
      <c r="G3720">
        <f>'7E'!$E$29</f>
        <v>0</v>
      </c>
    </row>
    <row r="3721" spans="1:7">
      <c r="A3721" t="s">
        <v>655</v>
      </c>
      <c r="C3721" t="str">
        <f>'7E'!$R$30</f>
        <v>S4034GPNR</v>
      </c>
      <c r="D3721" t="str">
        <f>_xlfn.CONCAT('7E'!$B$19, "-", '7E'!$B$30, "-", '7E'!$E$5)</f>
        <v>Scheme delivery-Number of sites delivering additional network storage including pumping (grey infrastructure) -Input</v>
      </c>
      <c r="F3721" t="s">
        <v>7182</v>
      </c>
      <c r="G3721">
        <f>'7E'!$E$30</f>
        <v>0</v>
      </c>
    </row>
    <row r="3722" spans="1:7">
      <c r="A3722" t="s">
        <v>655</v>
      </c>
      <c r="C3722" t="str">
        <f>'7E'!$R$31</f>
        <v>S4034NNR</v>
      </c>
      <c r="D3722" t="str">
        <f>_xlfn.CONCAT('7E'!$B$19, "-", '7E'!$B$31, "-", '7E'!$E$5)</f>
        <v>Scheme delivery-Number of sites delivering additional network storage through green infrastructure -Input</v>
      </c>
      <c r="F3722" t="s">
        <v>7182</v>
      </c>
      <c r="G3722">
        <f>'7E'!$E$31</f>
        <v>0</v>
      </c>
    </row>
    <row r="3723" spans="1:7">
      <c r="A3723" t="s">
        <v>655</v>
      </c>
      <c r="C3723" t="str">
        <f>'7E'!$R$32</f>
        <v>S4034SWS</v>
      </c>
      <c r="D3723" t="str">
        <f>_xlfn.CONCAT('7E'!$B$19, "-", '7E'!$B$32, "-", '7E'!$E$5)</f>
        <v>Scheme delivery-Surface water separation drainage area removed-Input</v>
      </c>
      <c r="F3723" t="s">
        <v>7182</v>
      </c>
      <c r="G3723">
        <f>'7E'!$E$32</f>
        <v>0</v>
      </c>
    </row>
    <row r="3724" spans="1:7">
      <c r="A3724" t="s">
        <v>655</v>
      </c>
      <c r="C3724" t="str">
        <f>'7E'!$R$33</f>
        <v>S4031NR</v>
      </c>
      <c r="D3724" t="str">
        <f>_xlfn.CONCAT('7E'!$B$19, "-", '7E'!$B$33, "-", '7E'!$E$5)</f>
        <v>Scheme delivery-Number of schemes delivered to meet tightened or new sanitary consents -Input</v>
      </c>
      <c r="F3724" t="s">
        <v>7182</v>
      </c>
      <c r="G3724">
        <f>'7E'!$E$33</f>
        <v>0</v>
      </c>
    </row>
    <row r="3725" spans="1:7">
      <c r="A3725" t="s">
        <v>655</v>
      </c>
      <c r="C3725" t="str">
        <f>'7E'!$R$34</f>
        <v>STWM001C</v>
      </c>
      <c r="D3725" t="str">
        <f>_xlfn.CONCAT('7E'!$B$19, "-", '7E'!$B$34, "-", '7E'!$E$5)</f>
        <v>Scheme delivery-Number of installations requiring civils for flow monitoring at sewage treatment works-Input</v>
      </c>
      <c r="F3725" t="s">
        <v>7182</v>
      </c>
      <c r="G3725">
        <f>'7E'!$E$34</f>
        <v>23</v>
      </c>
    </row>
    <row r="3726" spans="1:7">
      <c r="A3726" t="s">
        <v>655</v>
      </c>
      <c r="C3726" t="str">
        <f>'7E'!$R$35</f>
        <v>BO_9504868</v>
      </c>
      <c r="D3726" t="str">
        <f>_xlfn.CONCAT('7E'!$B$19, "-", '7E'!$B$35, "-", '7E'!$E$5)</f>
        <v>Scheme delivery-Number of installations requiring civils for event duration monitoring at intermittent discharges-Input</v>
      </c>
      <c r="F3726" t="s">
        <v>7182</v>
      </c>
      <c r="G3726">
        <f>'7E'!$E$35</f>
        <v>22</v>
      </c>
    </row>
    <row r="3727" spans="1:7">
      <c r="A3727" t="s">
        <v>655</v>
      </c>
      <c r="C3727" t="str">
        <f>'7E'!$R$36</f>
        <v>BO_1337357</v>
      </c>
      <c r="D3727" t="str">
        <f>_xlfn.CONCAT('7E'!$B$19, "-", '7E'!$B$36, "-", '7E'!$E$5)</f>
        <v>Scheme delivery-Number of storm overflows where improvements have been made to reduce harm or reduce spill frequencies-Input</v>
      </c>
      <c r="F3727" t="s">
        <v>7182</v>
      </c>
      <c r="G3727" s="2571">
        <f>'7E'!$E$36</f>
        <v>0</v>
      </c>
    </row>
    <row r="3728" spans="1:7">
      <c r="A3728" t="s">
        <v>657</v>
      </c>
      <c r="C3728" t="str">
        <f>'8C'!$AI$9</f>
        <v>BO_7654321</v>
      </c>
      <c r="D3728" t="str">
        <f>_xlfn.CONCAT('8C'!$B$8, "-", '8C'!$B$9, "-", '8C'!$H$6, "-", '8C'!$H$5)</f>
        <v>Energy-Energy consumption - bioresources-MWh (0 DPs)-Total</v>
      </c>
      <c r="F3728" t="s">
        <v>7182</v>
      </c>
      <c r="G3728" s="2571">
        <f>'8C'!$H$9</f>
        <v>186300</v>
      </c>
    </row>
    <row r="3729" spans="1:7">
      <c r="A3729" t="s">
        <v>657</v>
      </c>
      <c r="C3729" t="str">
        <f>'8C'!$AM$9</f>
        <v>B0002BIOECTOT</v>
      </c>
      <c r="D3729" t="str">
        <f>_xlfn.CONCAT('8C'!$B$8, "-", '8C'!$B$9, "-", '8C'!$L$6, "-", '8C'!$L$5)</f>
        <v>Energy-Energy consumption - bioresources-£m (3 DPs)-Total</v>
      </c>
      <c r="F3729" t="s">
        <v>7182</v>
      </c>
      <c r="G3729">
        <f>'8C'!$L$9</f>
        <v>16.170000000000002</v>
      </c>
    </row>
    <row r="3730" spans="1:7">
      <c r="A3730" t="s">
        <v>657</v>
      </c>
      <c r="C3730" t="str">
        <f>'8C'!$AF$10</f>
        <v>B0002BIOEGBE</v>
      </c>
      <c r="D3730" t="str">
        <f>_xlfn.CONCAT('8C'!$B$8, "-", '8C'!$B$10, "-", '8C'!$E$6, "-", '8C'!$E$5)</f>
        <v>Energy-Energy generated by and used in bioresources control-MWh (0 DPs)-Electricity</v>
      </c>
      <c r="F3730" t="s">
        <v>7182</v>
      </c>
      <c r="G3730" s="2571">
        <f>'8C'!$E$10</f>
        <v>18513.264892727275</v>
      </c>
    </row>
    <row r="3731" spans="1:7">
      <c r="A3731" t="s">
        <v>657</v>
      </c>
      <c r="C3731" t="str">
        <f>'8C'!$AG$10</f>
        <v>B0002BIOEGBH</v>
      </c>
      <c r="D3731" t="str">
        <f>_xlfn.CONCAT('8C'!$B$8, "-", '8C'!$B$10, "-", '8C'!$F$6, "-", '8C'!$F$5)</f>
        <v>Energy-Energy generated by and used in bioresources control-MWh (0 DPs)-Heat</v>
      </c>
      <c r="F3731" t="s">
        <v>7182</v>
      </c>
      <c r="G3731" s="2571">
        <f>'8C'!$F$10</f>
        <v>49966.678278732405</v>
      </c>
    </row>
    <row r="3732" spans="1:7">
      <c r="A3732" t="s">
        <v>657</v>
      </c>
      <c r="C3732" t="str">
        <f>'8C'!$AH$10</f>
        <v>B0002BIOEGBB</v>
      </c>
      <c r="D3732" t="str">
        <f>_xlfn.CONCAT('8C'!$B$8, "-", '8C'!$B$10, "-", '8C'!$G$6, "-", '8C'!$G$5)</f>
        <v>Energy-Energy generated by and used in bioresources control-MWh (0 DPs)-Biomethane</v>
      </c>
      <c r="F3732" t="s">
        <v>7182</v>
      </c>
      <c r="G3732" s="2571">
        <f>'8C'!$G$10</f>
        <v>30741.936777777773</v>
      </c>
    </row>
    <row r="3733" spans="1:7">
      <c r="A3733" t="s">
        <v>657</v>
      </c>
      <c r="C3733" t="str">
        <f>'8C'!$AI$10</f>
        <v>B0002BIOEGBT</v>
      </c>
      <c r="D3733" t="str">
        <f>_xlfn.CONCAT('8C'!$B$8, "-", '8C'!$B$10, "-", '8C'!$H$6, "-", '8C'!$H$5)</f>
        <v>Energy-Energy generated by and used in bioresources control-MWh (0 DPs)-Total</v>
      </c>
      <c r="F3733" t="s">
        <v>7182</v>
      </c>
      <c r="G3733" s="2571">
        <f>'8C'!$H$10</f>
        <v>99221.879949237453</v>
      </c>
    </row>
    <row r="3734" spans="1:7">
      <c r="A3734" t="s">
        <v>657</v>
      </c>
      <c r="C3734" t="str">
        <f>'8C'!$AJ$10</f>
        <v>B0002BIOEUBE</v>
      </c>
      <c r="D3734" t="str">
        <f>_xlfn.CONCAT('8C'!$B$8, "-", '8C'!$B$10, "-", '8C'!$I$6, "-", '8C'!$I$5)</f>
        <v>Energy-Energy generated by and used in bioresources control-£m (3 DPs)-Electricity</v>
      </c>
      <c r="F3734" t="s">
        <v>7182</v>
      </c>
      <c r="G3734">
        <f>'8C'!$I$10</f>
        <v>4.7110000000000003</v>
      </c>
    </row>
    <row r="3735" spans="1:7">
      <c r="A3735" t="s">
        <v>657</v>
      </c>
      <c r="C3735" t="str">
        <f>'8C'!$AK$10</f>
        <v>B0002BIOEUBH</v>
      </c>
      <c r="D3735" t="str">
        <f>_xlfn.CONCAT('8C'!$B$8, "-", '8C'!$B$10, "-", '8C'!$J$6, "-", '8C'!$J$5)</f>
        <v>Energy-Energy generated by and used in bioresources control-£m (3 DPs)-Heat</v>
      </c>
      <c r="F3735" t="s">
        <v>7182</v>
      </c>
      <c r="G3735">
        <f>'8C'!$J$10</f>
        <v>3.468</v>
      </c>
    </row>
    <row r="3736" spans="1:7">
      <c r="A3736" t="s">
        <v>657</v>
      </c>
      <c r="C3736" t="str">
        <f>'8C'!$AL$10</f>
        <v>B0002BIOEUBB</v>
      </c>
      <c r="D3736" t="str">
        <f>_xlfn.CONCAT('8C'!$B$8, "-", '8C'!$B$10, "-", '8C'!$K$6, "-", '8C'!$K$5)</f>
        <v>Energy-Energy generated by and used in bioresources control-£m (3 DPs)-Biomethane</v>
      </c>
      <c r="F3736" t="s">
        <v>7182</v>
      </c>
      <c r="G3736">
        <f>'8C'!$K$10</f>
        <v>2.1390000000000002</v>
      </c>
    </row>
    <row r="3737" spans="1:7">
      <c r="A3737" t="s">
        <v>657</v>
      </c>
      <c r="C3737" t="str">
        <f>'8C'!$AM$10</f>
        <v>B0002BIOEUBT</v>
      </c>
      <c r="D3737" t="str">
        <f>_xlfn.CONCAT('8C'!$B$8, "-", '8C'!$B$10, "-", '8C'!$L$6, "-", '8C'!$L$5)</f>
        <v>Energy-Energy generated by and used in bioresources control-£m (3 DPs)-Total</v>
      </c>
      <c r="F3737" t="s">
        <v>7182</v>
      </c>
      <c r="G3737">
        <f>'8C'!$L$10</f>
        <v>10.318000000000001</v>
      </c>
    </row>
    <row r="3738" spans="1:7">
      <c r="A3738" t="s">
        <v>657</v>
      </c>
      <c r="C3738" t="str">
        <f>'8C'!$AF$11</f>
        <v>B0002BIOEGNE</v>
      </c>
      <c r="D3738" t="str">
        <f>_xlfn.CONCAT('8C'!$B$8, "-", '8C'!$B$11, "-", '8C'!$E$6, "-", '8C'!$E$5)</f>
        <v>Energy-Energy generated by bioresources and used in network plus control-MWh (0 DPs)-Electricity</v>
      </c>
      <c r="F3738" t="s">
        <v>7182</v>
      </c>
      <c r="G3738" s="2571">
        <f>'8C'!$E$11</f>
        <v>48225.018007272723</v>
      </c>
    </row>
    <row r="3739" spans="1:7">
      <c r="A3739" t="s">
        <v>657</v>
      </c>
      <c r="C3739" t="str">
        <f>'8C'!$AG$11</f>
        <v>B0002BIOEGNH</v>
      </c>
      <c r="D3739" t="str">
        <f>_xlfn.CONCAT('8C'!$B$8, "-", '8C'!$B$11, "-", '8C'!$F$6, "-", '8C'!$F$5)</f>
        <v>Energy-Energy generated by bioresources and used in network plus control-MWh (0 DPs)-Heat</v>
      </c>
      <c r="F3739" t="s">
        <v>7182</v>
      </c>
      <c r="G3739" s="2571">
        <f>'8C'!$F$11</f>
        <v>0</v>
      </c>
    </row>
    <row r="3740" spans="1:7">
      <c r="A3740" t="s">
        <v>657</v>
      </c>
      <c r="C3740" t="str">
        <f>'8C'!$AH$11</f>
        <v>B0002BIOEGNB</v>
      </c>
      <c r="D3740" t="str">
        <f>_xlfn.CONCAT('8C'!$B$8, "-", '8C'!$B$11, "-", '8C'!$G$6, "-", '8C'!$G$5)</f>
        <v>Energy-Energy generated by bioresources and used in network plus control-MWh (0 DPs)-Biomethane</v>
      </c>
      <c r="F3740" t="s">
        <v>7182</v>
      </c>
      <c r="G3740" s="2571">
        <f>'8C'!$G$11</f>
        <v>0</v>
      </c>
    </row>
    <row r="3741" spans="1:7">
      <c r="A3741" t="s">
        <v>657</v>
      </c>
      <c r="C3741" t="str">
        <f>'8C'!$AI$11</f>
        <v>B0002BIOEGNT</v>
      </c>
      <c r="D3741" t="str">
        <f>_xlfn.CONCAT('8C'!$B$8, "-", '8C'!$B$11, "-", '8C'!$H$6, "-", '8C'!$H$5)</f>
        <v>Energy-Energy generated by bioresources and used in network plus control-MWh (0 DPs)-Total</v>
      </c>
      <c r="F3741" t="s">
        <v>7182</v>
      </c>
      <c r="G3741" s="2571">
        <f>'8C'!$H$11</f>
        <v>48225.018007272723</v>
      </c>
    </row>
    <row r="3742" spans="1:7">
      <c r="A3742" t="s">
        <v>657</v>
      </c>
      <c r="C3742" t="str">
        <f>'8C'!$AJ$11</f>
        <v>B0002BIOEUNE</v>
      </c>
      <c r="D3742" t="str">
        <f>_xlfn.CONCAT('8C'!$B$8, "-", '8C'!$B$11, "-", '8C'!$I$6, "-", '8C'!$I$5)</f>
        <v>Energy-Energy generated by bioresources and used in network plus control-£m (3 DPs)-Electricity</v>
      </c>
      <c r="F3742" t="s">
        <v>7182</v>
      </c>
      <c r="G3742">
        <f>'8C'!$I$11</f>
        <v>12.151</v>
      </c>
    </row>
    <row r="3743" spans="1:7">
      <c r="A3743" t="s">
        <v>657</v>
      </c>
      <c r="C3743" t="str">
        <f>'8C'!$AK$11</f>
        <v>B0002BIOEUNH</v>
      </c>
      <c r="D3743" t="str">
        <f>_xlfn.CONCAT('8C'!$B$8, "-", '8C'!$B$11, "-", '8C'!$J$6, "-", '8C'!$J$5)</f>
        <v>Energy-Energy generated by bioresources and used in network plus control-£m (3 DPs)-Heat</v>
      </c>
      <c r="F3743" t="s">
        <v>7182</v>
      </c>
      <c r="G3743">
        <f>'8C'!$J$11</f>
        <v>0</v>
      </c>
    </row>
    <row r="3744" spans="1:7">
      <c r="A3744" t="s">
        <v>657</v>
      </c>
      <c r="C3744" t="str">
        <f>'8C'!$AL$11</f>
        <v>B0002BIOEUNB</v>
      </c>
      <c r="D3744" t="str">
        <f>_xlfn.CONCAT('8C'!$B$8, "-", '8C'!$B$11, "-", '8C'!$K$6, "-", '8C'!$K$5)</f>
        <v>Energy-Energy generated by bioresources and used in network plus control-£m (3 DPs)-Biomethane</v>
      </c>
      <c r="F3744" t="s">
        <v>7182</v>
      </c>
      <c r="G3744">
        <f>'8C'!$K$11</f>
        <v>0</v>
      </c>
    </row>
    <row r="3745" spans="1:7">
      <c r="A3745" t="s">
        <v>657</v>
      </c>
      <c r="C3745" t="str">
        <f>'8C'!$AM$11</f>
        <v>B0002BIOEUNT</v>
      </c>
      <c r="D3745" t="str">
        <f>_xlfn.CONCAT('8C'!$B$8, "-", '8C'!$B$11, "-", '8C'!$L$6, "-", '8C'!$L$5)</f>
        <v>Energy-Energy generated by bioresources and used in network plus control-£m (3 DPs)-Total</v>
      </c>
      <c r="F3745" t="s">
        <v>7182</v>
      </c>
      <c r="G3745">
        <f>'8C'!$L$11</f>
        <v>12.151</v>
      </c>
    </row>
    <row r="3746" spans="1:7">
      <c r="A3746" t="s">
        <v>657</v>
      </c>
      <c r="C3746" t="str">
        <f>'8C'!$AF$12</f>
        <v>B0002BIOEGGTE</v>
      </c>
      <c r="D3746" t="str">
        <f>_xlfn.CONCAT('8C'!$B$8, "-", '8C'!$B$12, "-", '8C'!$E$6, "-", '8C'!$E$5)</f>
        <v>Energy-Energy generated by bioresources and exported to the grid or third party-MWh (0 DPs)-Electricity</v>
      </c>
      <c r="F3746" t="s">
        <v>7182</v>
      </c>
      <c r="G3746" s="2571">
        <f>'8C'!$E$12</f>
        <v>259.10000000000002</v>
      </c>
    </row>
    <row r="3747" spans="1:7">
      <c r="A3747" t="s">
        <v>657</v>
      </c>
      <c r="C3747" t="str">
        <f>'8C'!$AG$12</f>
        <v>B0002BIOEGGTH</v>
      </c>
      <c r="D3747" t="str">
        <f>_xlfn.CONCAT('8C'!$B$8, "-", '8C'!$B$12, "-", '8C'!$F$6, "-", '8C'!$F$5)</f>
        <v>Energy-Energy generated by bioresources and exported to the grid or third party-MWh (0 DPs)-Heat</v>
      </c>
      <c r="F3747" t="s">
        <v>7182</v>
      </c>
      <c r="G3747" s="2571">
        <f>'8C'!$F$12</f>
        <v>0</v>
      </c>
    </row>
    <row r="3748" spans="1:7">
      <c r="A3748" t="s">
        <v>657</v>
      </c>
      <c r="C3748" t="str">
        <f>'8C'!$AH$12</f>
        <v>B0002BIOEGGTB</v>
      </c>
      <c r="D3748" t="str">
        <f>_xlfn.CONCAT('8C'!$B$8, "-", '8C'!$B$12, "-", '8C'!$G$6, "-", '8C'!$G$5)</f>
        <v>Energy-Energy generated by bioresources and exported to the grid or third party-MWh (0 DPs)-Biomethane</v>
      </c>
      <c r="F3748" t="s">
        <v>7182</v>
      </c>
      <c r="G3748" s="2571">
        <f>'8C'!$G$12</f>
        <v>131207.52558333334</v>
      </c>
    </row>
    <row r="3749" spans="1:7">
      <c r="A3749" t="s">
        <v>657</v>
      </c>
      <c r="C3749" t="str">
        <f>'8C'!$AI$12</f>
        <v>B0002BIOEGGTT</v>
      </c>
      <c r="D3749" t="str">
        <f>_xlfn.CONCAT('8C'!$B$8, "-", '8C'!$B$12, "-", '8C'!$H$6, "-", '8C'!$H$5)</f>
        <v>Energy-Energy generated by bioresources and exported to the grid or third party-MWh (0 DPs)-Total</v>
      </c>
      <c r="F3749" t="s">
        <v>7182</v>
      </c>
      <c r="G3749" s="2571">
        <f>'8C'!$H$12</f>
        <v>131466.62558333334</v>
      </c>
    </row>
    <row r="3750" spans="1:7">
      <c r="A3750" t="s">
        <v>657</v>
      </c>
      <c r="C3750" t="str">
        <f>'8C'!$AJ$12</f>
        <v>B0002BIOEUGTE</v>
      </c>
      <c r="D3750" t="str">
        <f>_xlfn.CONCAT('8C'!$B$8, "-", '8C'!$B$12, "-", '8C'!$I$6, "-", '8C'!$I$5)</f>
        <v>Energy-Energy generated by bioresources and exported to the grid or third party-£m (3 DPs)-Electricity</v>
      </c>
      <c r="F3750" t="s">
        <v>7182</v>
      </c>
      <c r="G3750">
        <f>'8C'!$I$12</f>
        <v>6.2E-2</v>
      </c>
    </row>
    <row r="3751" spans="1:7">
      <c r="A3751" t="s">
        <v>657</v>
      </c>
      <c r="C3751" t="str">
        <f>'8C'!$AK$12</f>
        <v>B0002BIOEUGTH</v>
      </c>
      <c r="D3751" t="str">
        <f>_xlfn.CONCAT('8C'!$B$8, "-", '8C'!$B$12, "-", '8C'!$J$6, "-", '8C'!$J$5)</f>
        <v>Energy-Energy generated by bioresources and exported to the grid or third party-£m (3 DPs)-Heat</v>
      </c>
      <c r="F3751" t="s">
        <v>7182</v>
      </c>
      <c r="G3751">
        <f>'8C'!$J$12</f>
        <v>0</v>
      </c>
    </row>
    <row r="3752" spans="1:7">
      <c r="A3752" t="s">
        <v>657</v>
      </c>
      <c r="C3752" t="str">
        <f>'8C'!$AL$12</f>
        <v>B0002BIOEUGTB</v>
      </c>
      <c r="D3752" t="str">
        <f>_xlfn.CONCAT('8C'!$B$8, "-", '8C'!$B$12, "-", '8C'!$K$6, "-", '8C'!$K$5)</f>
        <v>Energy-Energy generated by bioresources and exported to the grid or third party-£m (3 DPs)-Biomethane</v>
      </c>
      <c r="F3752" t="s">
        <v>7182</v>
      </c>
      <c r="G3752">
        <f>'8C'!$K$12</f>
        <v>8.6269999999999989</v>
      </c>
    </row>
    <row r="3753" spans="1:7">
      <c r="A3753" t="s">
        <v>657</v>
      </c>
      <c r="C3753" t="str">
        <f>'8C'!$AM$12</f>
        <v>B0002BIOEUGTT</v>
      </c>
      <c r="D3753" t="str">
        <f>_xlfn.CONCAT('8C'!$B$8, "-", '8C'!$B$12, "-", '8C'!$L$6, "-", '8C'!$L$5)</f>
        <v>Energy-Energy generated by bioresources and exported to the grid or third party-£m (3 DPs)-Total</v>
      </c>
      <c r="F3753" t="s">
        <v>7182</v>
      </c>
      <c r="G3753">
        <f>'8C'!$L$12</f>
        <v>8.6889999999999983</v>
      </c>
    </row>
    <row r="3754" spans="1:7">
      <c r="A3754" t="s">
        <v>657</v>
      </c>
      <c r="C3754" t="str">
        <f>'8C'!$AF$13</f>
        <v>B0002BIOEGUE</v>
      </c>
      <c r="D3754" t="str">
        <f>_xlfn.CONCAT('8C'!$B$8, "-", '8C'!$B$13, "-", '8C'!$E$6, "-", '8C'!$E$5)</f>
        <v>Energy-Energy generated by bioresources that is unused-MWh (0 DPs)-Electricity</v>
      </c>
      <c r="F3754" t="s">
        <v>7182</v>
      </c>
      <c r="G3754" s="2571">
        <f>'8C'!$E$13</f>
        <v>0</v>
      </c>
    </row>
    <row r="3755" spans="1:7">
      <c r="A3755" t="s">
        <v>657</v>
      </c>
      <c r="C3755" t="str">
        <f>'8C'!$AG$13</f>
        <v>B0002BIOEGUH</v>
      </c>
      <c r="D3755" t="str">
        <f>_xlfn.CONCAT('8C'!$B$8, "-", '8C'!$B$13, "-", '8C'!$F$6, "-", '8C'!$F$5)</f>
        <v>Energy-Energy generated by bioresources that is unused-MWh (0 DPs)-Heat</v>
      </c>
      <c r="F3755" t="s">
        <v>7182</v>
      </c>
      <c r="G3755" s="2571">
        <f>'8C'!$F$13</f>
        <v>4928.051721267595</v>
      </c>
    </row>
    <row r="3756" spans="1:7">
      <c r="A3756" t="s">
        <v>657</v>
      </c>
      <c r="C3756" t="str">
        <f>'8C'!$AH$13</f>
        <v>B0002BIOEGUB</v>
      </c>
      <c r="D3756" t="str">
        <f>_xlfn.CONCAT('8C'!$B$8, "-", '8C'!$B$13, "-", '8C'!$G$6, "-", '8C'!$G$5)</f>
        <v>Energy-Energy generated by bioresources that is unused-MWh (0 DPs)-Biomethane</v>
      </c>
      <c r="F3756" t="s">
        <v>7182</v>
      </c>
      <c r="G3756" s="2571">
        <f>'8C'!$G$13</f>
        <v>8218.7210054866227</v>
      </c>
    </row>
    <row r="3757" spans="1:7">
      <c r="A3757" t="s">
        <v>657</v>
      </c>
      <c r="C3757" t="str">
        <f>'8C'!$AI$13</f>
        <v>B0002BIOEGUT</v>
      </c>
      <c r="D3757" t="str">
        <f>_xlfn.CONCAT('8C'!$B$8, "-", '8C'!$B$13, "-", '8C'!$H$6, "-", '8C'!$H$5)</f>
        <v>Energy-Energy generated by bioresources that is unused-MWh (0 DPs)-Total</v>
      </c>
      <c r="F3757" t="s">
        <v>7182</v>
      </c>
      <c r="G3757" s="2571">
        <f>'8C'!$H$13</f>
        <v>13146.772726754218</v>
      </c>
    </row>
    <row r="3758" spans="1:7">
      <c r="A3758" t="s">
        <v>657</v>
      </c>
      <c r="C3758" t="str">
        <f>'8C'!$AF$14</f>
        <v>B0002BIOEBGTE</v>
      </c>
      <c r="D3758" t="str">
        <f>_xlfn.CONCAT('8C'!$B$8, "-", '8C'!$B$14, "-", '8C'!$E$6, "-", '8C'!$E$5)</f>
        <v>Energy-Energy bought from grid or third party and used in bioresources control-MWh (0 DPs)-Electricity</v>
      </c>
      <c r="F3758" t="s">
        <v>7182</v>
      </c>
      <c r="G3758" s="2571">
        <f>'8C'!$E$14</f>
        <v>5321.1224866874218</v>
      </c>
    </row>
    <row r="3759" spans="1:7">
      <c r="A3759" t="s">
        <v>657</v>
      </c>
      <c r="C3759" t="str">
        <f>'8C'!$AG$14</f>
        <v>B0002BIOEBGTH</v>
      </c>
      <c r="D3759" t="str">
        <f>_xlfn.CONCAT('8C'!$B$8, "-", '8C'!$B$14, "-", '8C'!$F$6, "-", '8C'!$F$5)</f>
        <v>Energy-Energy bought from grid or third party and used in bioresources control-MWh (0 DPs)-Heat</v>
      </c>
      <c r="F3759" t="s">
        <v>7182</v>
      </c>
      <c r="G3759" s="2571">
        <f>'8C'!$F$14</f>
        <v>0</v>
      </c>
    </row>
    <row r="3760" spans="1:7">
      <c r="A3760" t="s">
        <v>657</v>
      </c>
      <c r="C3760" t="str">
        <f>'8C'!$AH$14</f>
        <v>B0002BIOEBGTB</v>
      </c>
      <c r="D3760" t="str">
        <f>_xlfn.CONCAT('8C'!$B$8, "-", '8C'!$B$14, "-", '8C'!$G$6, "-", '8C'!$G$5)</f>
        <v>Energy-Energy bought from grid or third party and used in bioresources control-MWh (0 DPs)-Biomethane</v>
      </c>
      <c r="F3760" t="s">
        <v>7182</v>
      </c>
      <c r="G3760" s="2571">
        <f>'8C'!$G$14</f>
        <v>191551.39909999998</v>
      </c>
    </row>
    <row r="3761" spans="1:7">
      <c r="A3761" t="s">
        <v>657</v>
      </c>
      <c r="C3761" t="str">
        <f>'8C'!$AI$14</f>
        <v>B0002BIOEBGTT</v>
      </c>
      <c r="D3761" t="str">
        <f>_xlfn.CONCAT('8C'!$B$8, "-", '8C'!$B$14, "-", '8C'!$H$6, "-", '8C'!$H$5)</f>
        <v>Energy-Energy bought from grid or third party and used in bioresources control-MWh (0 DPs)-Total</v>
      </c>
      <c r="F3761" t="s">
        <v>7182</v>
      </c>
      <c r="G3761" s="2571">
        <f>'8C'!$H$14</f>
        <v>196872.52158668739</v>
      </c>
    </row>
    <row r="3762" spans="1:7">
      <c r="A3762" t="s">
        <v>657</v>
      </c>
      <c r="C3762" t="str">
        <f>'8C'!$AJ$14</f>
        <v>B0002BIOEUBGTE</v>
      </c>
      <c r="D3762" t="str">
        <f>_xlfn.CONCAT('8C'!$B$8, "-", '8C'!$B$14, "-", '8C'!$I$6, "-", '8C'!$I$5)</f>
        <v>Energy-Energy bought from grid or third party and used in bioresources control-£m (3 DPs)-Electricity</v>
      </c>
      <c r="F3762" t="s">
        <v>7182</v>
      </c>
      <c r="G3762">
        <f>'8C'!$I$14</f>
        <v>1.288</v>
      </c>
    </row>
    <row r="3763" spans="1:7">
      <c r="A3763" t="s">
        <v>657</v>
      </c>
      <c r="C3763" t="str">
        <f>'8C'!$AK$14</f>
        <v>B0002BIOEUBGTH</v>
      </c>
      <c r="D3763" t="str">
        <f>_xlfn.CONCAT('8C'!$B$8, "-", '8C'!$B$14, "-", '8C'!$J$6, "-", '8C'!$J$5)</f>
        <v>Energy-Energy bought from grid or third party and used in bioresources control-£m (3 DPs)-Heat</v>
      </c>
      <c r="F3763" t="s">
        <v>7182</v>
      </c>
      <c r="G3763">
        <f>'8C'!$J$14</f>
        <v>0</v>
      </c>
    </row>
    <row r="3764" spans="1:7">
      <c r="A3764" t="s">
        <v>657</v>
      </c>
      <c r="C3764" t="str">
        <f>'8C'!$AL$14</f>
        <v>B0002BIOEUBGTB</v>
      </c>
      <c r="D3764" t="str">
        <f>_xlfn.CONCAT('8C'!$B$8, "-", '8C'!$B$14, "-", '8C'!$K$6, "-", '8C'!$K$5)</f>
        <v>Energy-Energy bought from grid or third party and used in bioresources control-£m (3 DPs)-Biomethane</v>
      </c>
      <c r="F3764" t="s">
        <v>7182</v>
      </c>
      <c r="G3764">
        <f>'8C'!$K$14</f>
        <v>13.285</v>
      </c>
    </row>
    <row r="3765" spans="1:7">
      <c r="A3765" t="s">
        <v>657</v>
      </c>
      <c r="C3765" t="str">
        <f>'8C'!$AM$14</f>
        <v>B0002BIOEUBGTT</v>
      </c>
      <c r="D3765" t="str">
        <f>_xlfn.CONCAT('8C'!$B$8, "-", '8C'!$B$14, "-", '8C'!$L$6, "-", '8C'!$L$5)</f>
        <v>Energy-Energy bought from grid or third party and used in bioresources control-£m (3 DPs)-Total</v>
      </c>
      <c r="F3765" t="s">
        <v>7182</v>
      </c>
      <c r="G3765">
        <f>'8C'!$L$14</f>
        <v>14.573</v>
      </c>
    </row>
    <row r="3766" spans="1:7">
      <c r="A3766" t="s">
        <v>657</v>
      </c>
      <c r="C3766" t="str">
        <f>'8C'!$AF$17</f>
        <v>B0002BIOIROC</v>
      </c>
      <c r="D3766" t="str">
        <f>_xlfn.CONCAT('8C'!$B$16, "-", '8C'!$B$17, "-", '8C'!$E$16)</f>
        <v>Income from renewable energy subsidies-Income claimed from Renewable Energy Certificates (ROCs)-Value</v>
      </c>
      <c r="F3766" t="s">
        <v>7182</v>
      </c>
      <c r="G3766">
        <f>'8C'!$E$17</f>
        <v>0.11799999999999999</v>
      </c>
    </row>
    <row r="3767" spans="1:7">
      <c r="A3767" t="s">
        <v>657</v>
      </c>
      <c r="C3767" t="str">
        <f>'8C'!$AF$18</f>
        <v>B0002BIOIRHI</v>
      </c>
      <c r="D3767" t="str">
        <f>_xlfn.CONCAT('8C'!$B$16, "-", '8C'!$B$18, "-", '8C'!$E$16)</f>
        <v>Income from renewable energy subsidies-Income claimed from Renewable Heat Incentives (RHIs)-Value</v>
      </c>
      <c r="F3767" t="s">
        <v>7182</v>
      </c>
      <c r="G3767">
        <f>'8C'!$E$18</f>
        <v>9.2959999999999994</v>
      </c>
    </row>
    <row r="3768" spans="1:7">
      <c r="A3768" t="s">
        <v>657</v>
      </c>
      <c r="C3768" t="str">
        <f>'8C'!$AF$19</f>
        <v>B0002BIOIOTH1</v>
      </c>
      <c r="D3768" t="str">
        <f>_xlfn.CONCAT('8C'!$B$16, "-", '8C'!$B$19, "-", '8C'!$E$16)</f>
        <v>Income from renewable energy subsidies-Income claimed from [other renewable energy subsidy (1)]-Value</v>
      </c>
      <c r="F3768" t="s">
        <v>7182</v>
      </c>
      <c r="G3768">
        <f>'8C'!$E$19</f>
        <v>0</v>
      </c>
    </row>
    <row r="3769" spans="1:7">
      <c r="A3769" t="s">
        <v>657</v>
      </c>
      <c r="C3769" t="str">
        <f>'8C'!$AF$20</f>
        <v>B0002BIOIOTH2</v>
      </c>
      <c r="D3769" t="str">
        <f>_xlfn.CONCAT('8C'!$B$16, "-", '8C'!$B$20, "-", '8C'!$E$16)</f>
        <v>Income from renewable energy subsidies-Income claimed from [other renewable energy subsidy (2)]-Value</v>
      </c>
      <c r="F3769" t="s">
        <v>7182</v>
      </c>
      <c r="G3769">
        <f>'8C'!$E$20</f>
        <v>0</v>
      </c>
    </row>
    <row r="3770" spans="1:7">
      <c r="A3770" t="s">
        <v>657</v>
      </c>
      <c r="C3770" t="str">
        <f>'8C'!$AF$21</f>
        <v>B0002BIOIOTH3</v>
      </c>
      <c r="D3770" t="str">
        <f>_xlfn.CONCAT('8C'!$B$16, "-", '8C'!$B$21, "-", '8C'!$E$16)</f>
        <v>Income from renewable energy subsidies-Income claimed from [other renewable energy subsidy (3)]-Value</v>
      </c>
      <c r="F3770" t="s">
        <v>7182</v>
      </c>
      <c r="G3770">
        <f>'8C'!$E$21</f>
        <v>0</v>
      </c>
    </row>
    <row r="3771" spans="1:7">
      <c r="A3771" t="s">
        <v>657</v>
      </c>
      <c r="C3771" t="str">
        <f>'8C'!$AF$22</f>
        <v>B0002BIOITOT</v>
      </c>
      <c r="D3771" t="str">
        <f>_xlfn.CONCAT('8C'!$B$16, "-", '8C'!$B$22, "-", '8C'!$E$16)</f>
        <v>Income from renewable energy subsidies-Total income claimed from renewable energy subsidies-Value</v>
      </c>
      <c r="F3771" t="s">
        <v>7182</v>
      </c>
      <c r="G3771">
        <f>'8C'!$E$22</f>
        <v>9.4139999999999997</v>
      </c>
    </row>
    <row r="3772" spans="1:7">
      <c r="A3772" t="s">
        <v>657</v>
      </c>
      <c r="C3772" s="2565" t="str">
        <f>'8C'!$AF$23</f>
        <v>B0002BIOIPCTEX</v>
      </c>
      <c r="D3772" t="str">
        <f>_xlfn.CONCAT('8C'!$B$16, "-", '8C'!$B$23, "-", '8C'!$E$16)</f>
        <v>Income from renewable energy subsidies-% of total number of renewable energy subsidies due to expire in the next 2 financial years-Value</v>
      </c>
      <c r="F3772" t="s">
        <v>7182</v>
      </c>
      <c r="G3772" s="2565">
        <f>'8C'!$E$23</f>
        <v>0</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7182</v>
      </c>
      <c r="G3773">
        <f>'8C'!$E$24</f>
        <v>0</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7182</v>
      </c>
      <c r="G3774">
        <f>'8C'!$E$29</f>
        <v>23267</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7182</v>
      </c>
      <c r="G3775">
        <f>'8C'!$E$30</f>
        <v>1292</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7182</v>
      </c>
      <c r="G3776">
        <f>'8C'!$E$31</f>
        <v>12.787000000000001</v>
      </c>
    </row>
    <row r="3777" spans="1:7">
      <c r="A3777" t="s">
        <v>657</v>
      </c>
      <c r="C3777" t="str">
        <f>'8C'!$AI$37</f>
        <v>BO_780543074</v>
      </c>
      <c r="D3777" t="str">
        <f>_xlfn.CONCAT('8C'!$B$36, "-", '8C'!$B$37, "-", '8C'!$H$34, "-", '8C'!$H$33)</f>
        <v>Energy (AMP 7 shadow reported values)-Energy consumption - bioresources-MWh (0 DPs)-Total</v>
      </c>
      <c r="F3777" t="s">
        <v>7182</v>
      </c>
      <c r="G3777" s="2571">
        <f>'8C'!$H$37</f>
        <v>186300</v>
      </c>
    </row>
    <row r="3778" spans="1:7">
      <c r="A3778" t="s">
        <v>657</v>
      </c>
      <c r="C3778" t="str">
        <f>'8C'!$AM$37</f>
        <v>B0002ECB_TOT</v>
      </c>
      <c r="D3778" t="str">
        <f>_xlfn.CONCAT('8C'!$B$36, "-", '8C'!$B$37, "-", '8C'!$L$34, "-", '8C'!$L$33)</f>
        <v>Energy (AMP 7 shadow reported values)-Energy consumption - bioresources-£m (3 DPs)-Total</v>
      </c>
      <c r="F3778" t="s">
        <v>7182</v>
      </c>
      <c r="G3778">
        <f>'8C'!$L$37</f>
        <v>16.170000000000002</v>
      </c>
    </row>
    <row r="3779" spans="1:7">
      <c r="A3779" t="s">
        <v>657</v>
      </c>
      <c r="C3779" t="str">
        <f>'8C'!$AF$38</f>
        <v>B0002EGB_EP</v>
      </c>
      <c r="D3779" t="str">
        <f>_xlfn.CONCAT('8C'!$B$36, "-", '8C'!$B$38, "-", '8C'!$E$34, "-", '8C'!$E$33)</f>
        <v>Energy (AMP 7 shadow reported values)-Energy generated by and used in bioresources control-MWh (0 DPs)-Electricity</v>
      </c>
      <c r="F3779" t="s">
        <v>7182</v>
      </c>
      <c r="G3779" s="2571">
        <f>'8C'!$E$38</f>
        <v>18513</v>
      </c>
    </row>
    <row r="3780" spans="1:7">
      <c r="A3780" t="s">
        <v>657</v>
      </c>
      <c r="C3780" t="str">
        <f>'8C'!$AG$38</f>
        <v>B0002EGB_HP</v>
      </c>
      <c r="D3780" t="str">
        <f>_xlfn.CONCAT('8C'!$B$36, "-", '8C'!$B$38, "-", '8C'!$F$34, "-", '8C'!$F$33)</f>
        <v>Energy (AMP 7 shadow reported values)-Energy generated by and used in bioresources control-MWh (0 DPs)-Heat</v>
      </c>
      <c r="F3780" t="s">
        <v>7182</v>
      </c>
      <c r="G3780" s="2571">
        <f>'8C'!$F$38</f>
        <v>49967</v>
      </c>
    </row>
    <row r="3781" spans="1:7">
      <c r="A3781" t="s">
        <v>657</v>
      </c>
      <c r="C3781" t="str">
        <f>'8C'!$AH$38</f>
        <v>B0002EGB_BP</v>
      </c>
      <c r="D3781" t="str">
        <f>_xlfn.CONCAT('8C'!$B$36, "-", '8C'!$B$38, "-", '8C'!$G$34, "-", '8C'!$G$33)</f>
        <v>Energy (AMP 7 shadow reported values)-Energy generated by and used in bioresources control-MWh (0 DPs)-Biomethane</v>
      </c>
      <c r="F3781" t="s">
        <v>7182</v>
      </c>
      <c r="G3781" s="2571">
        <f>'8C'!$G$38</f>
        <v>30742</v>
      </c>
    </row>
    <row r="3782" spans="1:7">
      <c r="A3782" t="s">
        <v>657</v>
      </c>
      <c r="C3782" t="str">
        <f>'8C'!$AI$38</f>
        <v>B0002EGB_TM</v>
      </c>
      <c r="D3782" t="str">
        <f>_xlfn.CONCAT('8C'!$B$36, "-", '8C'!$B$38, "-", '8C'!$H$34, "-", '8C'!$H$33)</f>
        <v>Energy (AMP 7 shadow reported values)-Energy generated by and used in bioresources control-MWh (0 DPs)-Total</v>
      </c>
      <c r="F3782" t="s">
        <v>7182</v>
      </c>
      <c r="G3782" s="2571">
        <f>'8C'!$H$38</f>
        <v>99222</v>
      </c>
    </row>
    <row r="3783" spans="1:7">
      <c r="A3783" t="s">
        <v>657</v>
      </c>
      <c r="C3783" t="str">
        <f>'8C'!$AJ$38</f>
        <v>B0003EGB_EP</v>
      </c>
      <c r="D3783" t="str">
        <f>_xlfn.CONCAT('8C'!$B$36, "-", '8C'!$B$38, "-", '8C'!$I$34, "-", '8C'!$I$33)</f>
        <v>Energy (AMP 7 shadow reported values)-Energy generated by and used in bioresources control-£m (3 DPs)-Electricity</v>
      </c>
      <c r="F3783" t="s">
        <v>7182</v>
      </c>
      <c r="G3783">
        <f>'8C'!$I$38</f>
        <v>4.7110000000000003</v>
      </c>
    </row>
    <row r="3784" spans="1:7">
      <c r="A3784" t="s">
        <v>657</v>
      </c>
      <c r="C3784" t="str">
        <f>'8C'!$AK$38</f>
        <v>B0003EGB_HP</v>
      </c>
      <c r="D3784" t="str">
        <f>_xlfn.CONCAT('8C'!$B$36, "-", '8C'!$B$38, "-", '8C'!$J$34, "-", '8C'!$J$33)</f>
        <v>Energy (AMP 7 shadow reported values)-Energy generated by and used in bioresources control-£m (3 DPs)-Heat</v>
      </c>
      <c r="F3784" t="s">
        <v>7182</v>
      </c>
      <c r="G3784">
        <f>'8C'!$J$38</f>
        <v>3.468</v>
      </c>
    </row>
    <row r="3785" spans="1:7">
      <c r="A3785" t="s">
        <v>657</v>
      </c>
      <c r="C3785" t="str">
        <f>'8C'!$AL$38</f>
        <v>B0003EGB_BP</v>
      </c>
      <c r="D3785" t="str">
        <f>_xlfn.CONCAT('8C'!$B$36, "-", '8C'!$B$38, "-", '8C'!$K$34, "-", '8C'!$K$33)</f>
        <v>Energy (AMP 7 shadow reported values)-Energy generated by and used in bioresources control-£m (3 DPs)-Biomethane</v>
      </c>
      <c r="F3785" t="s">
        <v>7182</v>
      </c>
      <c r="G3785">
        <f>'8C'!$K$38</f>
        <v>2.1390000000000002</v>
      </c>
    </row>
    <row r="3786" spans="1:7">
      <c r="A3786" t="s">
        <v>657</v>
      </c>
      <c r="C3786" t="str">
        <f>'8C'!$AM$38</f>
        <v>B0002EGB_TP</v>
      </c>
      <c r="D3786" t="str">
        <f>_xlfn.CONCAT('8C'!$B$36, "-", '8C'!$B$38, "-", '8C'!$L$34, "-", '8C'!$L$33)</f>
        <v>Energy (AMP 7 shadow reported values)-Energy generated by and used in bioresources control-£m (3 DPs)-Total</v>
      </c>
      <c r="F3786" t="s">
        <v>7182</v>
      </c>
      <c r="G3786">
        <f>'8C'!$L$38</f>
        <v>10.318000000000001</v>
      </c>
    </row>
    <row r="3787" spans="1:7">
      <c r="A3787" t="s">
        <v>657</v>
      </c>
      <c r="C3787" t="str">
        <f>'8C'!$AF$39</f>
        <v>B0002EGBM_EP</v>
      </c>
      <c r="D3787" t="str">
        <f>_xlfn.CONCAT('8C'!$B$36, "-", '8C'!$B$39, "-", '8C'!$E$34, "-", '8C'!$E$33)</f>
        <v>Energy (AMP 7 shadow reported values)-Energy generated by bioresources and used in network plus control-MWh (0 DPs)-Electricity</v>
      </c>
      <c r="F3787" t="s">
        <v>7182</v>
      </c>
      <c r="G3787" s="2571">
        <f>'8C'!$E$39</f>
        <v>48225</v>
      </c>
    </row>
    <row r="3788" spans="1:7">
      <c r="A3788" t="s">
        <v>657</v>
      </c>
      <c r="C3788" t="str">
        <f>'8C'!$AG$39</f>
        <v>B0002EGBM_HP</v>
      </c>
      <c r="D3788" t="str">
        <f>_xlfn.CONCAT('8C'!$B$36, "-", '8C'!$B$39, "-", '8C'!$F$34, "-", '8C'!$F$33)</f>
        <v>Energy (AMP 7 shadow reported values)-Energy generated by bioresources and used in network plus control-MWh (0 DPs)-Heat</v>
      </c>
      <c r="F3788" t="s">
        <v>7182</v>
      </c>
      <c r="G3788" s="2571">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7182</v>
      </c>
      <c r="G3789" s="2571">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7182</v>
      </c>
      <c r="G3790" s="2571">
        <f>'8C'!$H$39</f>
        <v>48225</v>
      </c>
    </row>
    <row r="3791" spans="1:7">
      <c r="A3791" t="s">
        <v>657</v>
      </c>
      <c r="C3791" t="str">
        <f>'8C'!$AJ$39</f>
        <v>B0003EGBM_EP</v>
      </c>
      <c r="D3791" t="str">
        <f>_xlfn.CONCAT('8C'!$B$36, "-", '8C'!$B$39, "-", '8C'!$I$34, "-", '8C'!$I$33)</f>
        <v>Energy (AMP 7 shadow reported values)-Energy generated by bioresources and used in network plus control-£m (3 DPs)-Electricity</v>
      </c>
      <c r="F3791" t="s">
        <v>7182</v>
      </c>
      <c r="G3791">
        <f>'8C'!$I$39</f>
        <v>12.151</v>
      </c>
    </row>
    <row r="3792" spans="1:7">
      <c r="A3792" t="s">
        <v>657</v>
      </c>
      <c r="C3792" t="str">
        <f>'8C'!$AK$39</f>
        <v>B0003EGBM_HP</v>
      </c>
      <c r="D3792" t="str">
        <f>_xlfn.CONCAT('8C'!$B$36, "-", '8C'!$B$39, "-", '8C'!$J$34, "-", '8C'!$J$33)</f>
        <v>Energy (AMP 7 shadow reported values)-Energy generated by bioresources and used in network plus control-£m (3 DPs)-Heat</v>
      </c>
      <c r="F3792" t="s">
        <v>7182</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7182</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7182</v>
      </c>
      <c r="G3794">
        <f>'8C'!$L$39</f>
        <v>12.151</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7182</v>
      </c>
      <c r="G3795" s="2571">
        <f>'8C'!$E$40</f>
        <v>259</v>
      </c>
    </row>
    <row r="3796" spans="1:7">
      <c r="A3796" t="s">
        <v>657</v>
      </c>
      <c r="C3796" t="str">
        <f>'8C'!$AG$40</f>
        <v>B0002EGBT_HP</v>
      </c>
      <c r="D3796" t="str">
        <f>_xlfn.CONCAT('8C'!$B$36, "-", '8C'!$B$40, "-", '8C'!$F$34, "-", '8C'!$F$33)</f>
        <v>Energy (AMP 7 shadow reported values)-Energy generated by bioresources and exported to the grid or third party-MWh (0 DPs)-Heat</v>
      </c>
      <c r="F3796" t="s">
        <v>7182</v>
      </c>
      <c r="G3796" s="2571">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7182</v>
      </c>
      <c r="G3797" s="2571">
        <f>'8C'!$G$40</f>
        <v>131208</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7182</v>
      </c>
      <c r="G3798" s="2571">
        <f>'8C'!$H$40</f>
        <v>131467</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7182</v>
      </c>
      <c r="G3799">
        <f>'8C'!$I$40</f>
        <v>6.2E-2</v>
      </c>
    </row>
    <row r="3800" spans="1:7">
      <c r="A3800" t="s">
        <v>657</v>
      </c>
      <c r="C3800" t="str">
        <f>'8C'!$AK$40</f>
        <v>B0003EGBT_HP</v>
      </c>
      <c r="D3800" t="str">
        <f>_xlfn.CONCAT('8C'!$B$36, "-", '8C'!$B$40, "-", '8C'!$J$34, "-", '8C'!$J$33)</f>
        <v>Energy (AMP 7 shadow reported values)-Energy generated by bioresources and exported to the grid or third party-£m (3 DPs)-Heat</v>
      </c>
      <c r="F3800" t="s">
        <v>7182</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7182</v>
      </c>
      <c r="G3801">
        <f>'8C'!$K$40</f>
        <v>8.6269999999999989</v>
      </c>
    </row>
    <row r="3802" spans="1:7">
      <c r="A3802" t="s">
        <v>657</v>
      </c>
      <c r="C3802" t="str">
        <f>'8C'!$AM$40</f>
        <v>B0002EGBT_TP</v>
      </c>
      <c r="D3802" t="str">
        <f>_xlfn.CONCAT('8C'!$B$36, "-", '8C'!$B$40, "-", '8C'!$L$34, "-", '8C'!$L$33)</f>
        <v>Energy (AMP 7 shadow reported values)-Energy generated by bioresources and exported to the grid or third party-£m (3 DPs)-Total</v>
      </c>
      <c r="F3802" t="s">
        <v>7182</v>
      </c>
      <c r="G3802">
        <f>'8C'!$L$40</f>
        <v>8.6889999999999983</v>
      </c>
    </row>
    <row r="3803" spans="1:7">
      <c r="A3803" t="s">
        <v>657</v>
      </c>
      <c r="C3803" t="str">
        <f>'8C'!$AF$41</f>
        <v>B0002EGBU_EP</v>
      </c>
      <c r="D3803" t="str">
        <f>_xlfn.CONCAT('8C'!$B$36, "-", '8C'!$B$41, "-", '8C'!$E$34, "-", '8C'!$E$33)</f>
        <v>Energy (AMP 7 shadow reported values)-Energy generated by bioresources that is unused-MWh (0 DPs)-Electricity</v>
      </c>
      <c r="F3803" t="s">
        <v>7182</v>
      </c>
      <c r="G3803" s="2571">
        <f>'8C'!$E$41</f>
        <v>0</v>
      </c>
    </row>
    <row r="3804" spans="1:7">
      <c r="A3804" t="s">
        <v>657</v>
      </c>
      <c r="C3804" t="str">
        <f>'8C'!$AG$41</f>
        <v>B0002EGBU_HP</v>
      </c>
      <c r="D3804" t="str">
        <f>_xlfn.CONCAT('8C'!$B$36, "-", '8C'!$B$41, "-", '8C'!$F$34, "-", '8C'!$F$33)</f>
        <v>Energy (AMP 7 shadow reported values)-Energy generated by bioresources that is unused-MWh (0 DPs)-Heat</v>
      </c>
      <c r="F3804" t="s">
        <v>7182</v>
      </c>
      <c r="G3804" s="2571">
        <f>'8C'!$F$41</f>
        <v>4928</v>
      </c>
    </row>
    <row r="3805" spans="1:7">
      <c r="A3805" t="s">
        <v>657</v>
      </c>
      <c r="C3805" t="str">
        <f>'8C'!$AH$41</f>
        <v>B0002EGBU_BP</v>
      </c>
      <c r="D3805" t="str">
        <f>_xlfn.CONCAT('8C'!$B$36, "-", '8C'!$B$41, "-", '8C'!$G$34, "-", '8C'!$G$33)</f>
        <v>Energy (AMP 7 shadow reported values)-Energy generated by bioresources that is unused-MWh (0 DPs)-Biomethane</v>
      </c>
      <c r="F3805" t="s">
        <v>7182</v>
      </c>
      <c r="G3805" s="2571">
        <f>'8C'!$G$41</f>
        <v>8219</v>
      </c>
    </row>
    <row r="3806" spans="1:7">
      <c r="A3806" t="s">
        <v>657</v>
      </c>
      <c r="C3806" t="str">
        <f>'8C'!$AI$41</f>
        <v>B0002EGBU_TM</v>
      </c>
      <c r="D3806" t="str">
        <f>_xlfn.CONCAT('8C'!$B$36, "-", '8C'!$B$41, "-", '8C'!$H$34, "-", '8C'!$H$33)</f>
        <v>Energy (AMP 7 shadow reported values)-Energy generated by bioresources that is unused-MWh (0 DPs)-Total</v>
      </c>
      <c r="F3806" t="s">
        <v>7182</v>
      </c>
      <c r="G3806" s="2571">
        <f>'8C'!$H$41</f>
        <v>13147</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7182</v>
      </c>
      <c r="G3807" s="2571">
        <f>'8C'!$E$42</f>
        <v>5321</v>
      </c>
    </row>
    <row r="3808" spans="1:7">
      <c r="A3808" t="s">
        <v>657</v>
      </c>
      <c r="C3808" t="str">
        <f>'8C'!$AG$42</f>
        <v>B0002EBT_HP</v>
      </c>
      <c r="D3808" t="str">
        <f>_xlfn.CONCAT('8C'!$B$36, "-", '8C'!$B$42, "-", '8C'!$F$34, "-", '8C'!$F$33)</f>
        <v>Energy (AMP 7 shadow reported values)-Energy bought from grid or third party and used in bioresources control-MWh (0 DPs)-Heat</v>
      </c>
      <c r="F3808" t="s">
        <v>7182</v>
      </c>
      <c r="G3808" s="2571">
        <f>'8C'!$F$42</f>
        <v>0</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7182</v>
      </c>
      <c r="G3809" s="2571">
        <f>'8C'!$G$42</f>
        <v>191551</v>
      </c>
    </row>
    <row r="3810" spans="1:7">
      <c r="A3810" t="s">
        <v>657</v>
      </c>
      <c r="C3810" t="str">
        <f>'8C'!$AI$42</f>
        <v>B0002EBT_TM</v>
      </c>
      <c r="D3810" t="str">
        <f>_xlfn.CONCAT('8C'!$B$36, "-", '8C'!$B$42, "-", '8C'!$H$34, "-", '8C'!$H$33)</f>
        <v>Energy (AMP 7 shadow reported values)-Energy bought from grid or third party and used in bioresources control-MWh (0 DPs)-Total</v>
      </c>
      <c r="F3810" t="s">
        <v>7182</v>
      </c>
      <c r="G3810" s="2571">
        <f>'8C'!$H$42</f>
        <v>196872</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7182</v>
      </c>
      <c r="G3811">
        <f>'8C'!$I$42</f>
        <v>1.288</v>
      </c>
    </row>
    <row r="3812" spans="1:7">
      <c r="A3812" t="s">
        <v>657</v>
      </c>
      <c r="C3812" t="str">
        <f>'8C'!$AK$42</f>
        <v>B0003EBT_HP</v>
      </c>
      <c r="D3812" t="str">
        <f>_xlfn.CONCAT('8C'!$B$36, "-", '8C'!$B$42, "-", '8C'!$J$34, "-", '8C'!$J$33)</f>
        <v>Energy (AMP 7 shadow reported values)-Energy bought from grid or third party and used in bioresources control-£m (3 DPs)-Heat</v>
      </c>
      <c r="F3812" t="s">
        <v>7182</v>
      </c>
      <c r="G3812">
        <f>'8C'!$J$42</f>
        <v>0</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7182</v>
      </c>
      <c r="G3813">
        <f>'8C'!$K$42</f>
        <v>13.285</v>
      </c>
    </row>
    <row r="3814" spans="1:7">
      <c r="A3814" t="s">
        <v>657</v>
      </c>
      <c r="C3814" t="str">
        <f>'8C'!$AM$42</f>
        <v>B0002EBT_TP</v>
      </c>
      <c r="D3814" t="str">
        <f>_xlfn.CONCAT('8C'!$B$36, "-", '8C'!$B$42, "-", '8C'!$L$34, "-", '8C'!$L$33)</f>
        <v>Energy (AMP 7 shadow reported values)-Energy bought from grid or third party and used in bioresources control-£m (3 DPs)-Total</v>
      </c>
      <c r="F3814" t="s">
        <v>7182</v>
      </c>
      <c r="G3814">
        <f>'8C'!$L$42</f>
        <v>14.573</v>
      </c>
    </row>
    <row r="3815" spans="1:7">
      <c r="A3815" t="s">
        <v>659</v>
      </c>
      <c r="C3815" t="str">
        <f>'9A'!$AK$8</f>
        <v>IC5001CYA</v>
      </c>
      <c r="D3815" t="s">
        <v>7183</v>
      </c>
      <c r="F3815" t="s">
        <v>7182</v>
      </c>
      <c r="G3815">
        <f>'9A'!$E$8</f>
        <v>2.6419999999999999</v>
      </c>
    </row>
    <row r="3816" spans="1:7">
      <c r="A3816" t="s">
        <v>659</v>
      </c>
      <c r="C3816" t="str">
        <f>'9A'!$AK$11</f>
        <v>IC5002CYA</v>
      </c>
      <c r="D3816" t="s">
        <v>7184</v>
      </c>
      <c r="F3816" t="s">
        <v>7182</v>
      </c>
      <c r="G3816">
        <f>'9A'!$E$11</f>
        <v>2.6419999999999999</v>
      </c>
    </row>
    <row r="3817" spans="1:7">
      <c r="A3817" t="s">
        <v>659</v>
      </c>
      <c r="C3817" t="str">
        <f>'9A'!$AK$12</f>
        <v>IC5003CYA</v>
      </c>
      <c r="D3817" t="s">
        <v>7185</v>
      </c>
      <c r="F3817" t="s">
        <v>7182</v>
      </c>
      <c r="G3817">
        <f>'9A'!$E$12</f>
        <v>11.778</v>
      </c>
    </row>
    <row r="3818" spans="1:7">
      <c r="A3818" t="s">
        <v>659</v>
      </c>
      <c r="C3818" t="str">
        <f>'9A'!$AK$13</f>
        <v>BO_9784058</v>
      </c>
      <c r="D3818" t="s">
        <v>3255</v>
      </c>
      <c r="F3818" t="s">
        <v>7182</v>
      </c>
      <c r="G3818">
        <f>'9A'!$E$13</f>
        <v>0</v>
      </c>
    </row>
    <row r="3819" spans="1:7">
      <c r="A3819" t="s">
        <v>659</v>
      </c>
      <c r="C3819" t="str">
        <f>'9A'!$AK$14</f>
        <v>IC5004CYA</v>
      </c>
      <c r="D3819" t="s">
        <v>7186</v>
      </c>
      <c r="F3819" t="s">
        <v>7182</v>
      </c>
      <c r="G3819">
        <f>'9A'!$E$14</f>
        <v>0</v>
      </c>
    </row>
    <row r="3820" spans="1:7">
      <c r="A3820" t="s">
        <v>659</v>
      </c>
      <c r="C3820" t="str">
        <f>'9A'!$AK$15</f>
        <v>IC5005CYA</v>
      </c>
      <c r="D3820" t="s">
        <v>7187</v>
      </c>
      <c r="F3820" t="s">
        <v>7182</v>
      </c>
      <c r="G3820">
        <f>'9A'!$E$15</f>
        <v>3.5089999999999999</v>
      </c>
    </row>
    <row r="3821" spans="1:7">
      <c r="A3821" t="s">
        <v>659</v>
      </c>
      <c r="C3821" t="str">
        <f>'9A'!$AK$16</f>
        <v>IC5006CYA</v>
      </c>
      <c r="D3821" t="s">
        <v>7188</v>
      </c>
      <c r="F3821" t="s">
        <v>7182</v>
      </c>
      <c r="G3821">
        <f>'9A'!$E$16</f>
        <v>0</v>
      </c>
    </row>
    <row r="3822" spans="1:7">
      <c r="A3822" t="s">
        <v>659</v>
      </c>
      <c r="C3822" t="str">
        <f>'9A'!$AK$19</f>
        <v>BO_2962522</v>
      </c>
      <c r="D3822" t="s">
        <v>3257</v>
      </c>
      <c r="F3822" t="s">
        <v>7182</v>
      </c>
      <c r="G3822">
        <f>'9A'!$E$19</f>
        <v>0.106</v>
      </c>
    </row>
    <row r="3823" spans="1:7">
      <c r="A3823" s="2568" t="s">
        <v>659</v>
      </c>
      <c r="C3823" t="str">
        <f>'9A'!$AK$25</f>
        <v>BO_4593973</v>
      </c>
      <c r="D3823" t="s">
        <v>1524</v>
      </c>
      <c r="F3823" t="s">
        <v>7182</v>
      </c>
      <c r="G3823">
        <f>'9A'!$C$25</f>
        <v>3.7850000000000001</v>
      </c>
    </row>
    <row r="3824" spans="1:7">
      <c r="A3824" s="2568" t="s">
        <v>659</v>
      </c>
      <c r="C3824" t="str">
        <f>'9A'!$AL$25</f>
        <v>BO_6262597</v>
      </c>
      <c r="D3824" t="s">
        <v>1525</v>
      </c>
      <c r="F3824" t="s">
        <v>7182</v>
      </c>
      <c r="G3824">
        <f>'9A'!$D$25</f>
        <v>0</v>
      </c>
    </row>
    <row r="3825" spans="1:7">
      <c r="A3825" s="2568" t="s">
        <v>659</v>
      </c>
      <c r="C3825" t="str">
        <f>'9A'!$AM$25</f>
        <v>BO_5728166</v>
      </c>
      <c r="D3825" t="s">
        <v>1526</v>
      </c>
      <c r="F3825" t="s">
        <v>7182</v>
      </c>
      <c r="G3825">
        <f>'9A'!$E$25</f>
        <v>0.23899999999999999</v>
      </c>
    </row>
    <row r="3826" spans="1:7">
      <c r="A3826" s="2568" t="s">
        <v>659</v>
      </c>
      <c r="C3826" t="str">
        <f>'9A'!$AN$25</f>
        <v>BO_9595975</v>
      </c>
      <c r="D3826" t="s">
        <v>1527</v>
      </c>
      <c r="F3826" t="s">
        <v>7182</v>
      </c>
      <c r="G3826">
        <f>'9A'!$F$25</f>
        <v>0.23899999999999999</v>
      </c>
    </row>
    <row r="3827" spans="1:7">
      <c r="A3827" s="2568" t="s">
        <v>659</v>
      </c>
      <c r="C3827" t="str">
        <f>'9A'!$AO$25</f>
        <v>BO_8753577</v>
      </c>
      <c r="D3827" t="s">
        <v>1528</v>
      </c>
      <c r="F3827" t="s">
        <v>7182</v>
      </c>
      <c r="G3827">
        <f>'9A'!$G$25</f>
        <v>0</v>
      </c>
    </row>
    <row r="3828" spans="1:7">
      <c r="A3828" s="2568" t="s">
        <v>659</v>
      </c>
      <c r="C3828" t="str">
        <f>'9A'!$AP$25</f>
        <v>BO_7166343</v>
      </c>
      <c r="D3828" t="s">
        <v>1529</v>
      </c>
      <c r="F3828" t="s">
        <v>7182</v>
      </c>
      <c r="G3828">
        <f>'9A'!$H$25</f>
        <v>3.7850000000000001</v>
      </c>
    </row>
    <row r="3829" spans="1:7">
      <c r="A3829" s="2568" t="s">
        <v>659</v>
      </c>
      <c r="C3829" t="str">
        <f>'9A'!$AQ$25</f>
        <v>BO_7374000</v>
      </c>
      <c r="D3829" t="s">
        <v>1530</v>
      </c>
      <c r="F3829" t="s">
        <v>7182</v>
      </c>
      <c r="G3829">
        <f>'9A'!$I$25</f>
        <v>0.23899999999999999</v>
      </c>
    </row>
    <row r="3830" spans="1:7">
      <c r="A3830" s="2568" t="s">
        <v>659</v>
      </c>
      <c r="C3830" t="str">
        <f>'9A'!$AR$25</f>
        <v>BO_2253155</v>
      </c>
      <c r="D3830" t="s">
        <v>1528</v>
      </c>
      <c r="F3830" t="s">
        <v>7182</v>
      </c>
      <c r="G3830">
        <f>'9A'!$J$25</f>
        <v>-3.5460000000000003</v>
      </c>
    </row>
    <row r="3831" spans="1:7">
      <c r="A3831" s="2568" t="s">
        <v>659</v>
      </c>
      <c r="C3831" t="str">
        <f>'9A'!$AS$25</f>
        <v>BO_3373114</v>
      </c>
      <c r="D3831" t="s">
        <v>1531</v>
      </c>
      <c r="F3831" t="s">
        <v>7182</v>
      </c>
      <c r="G3831">
        <f>'9A'!$K$25</f>
        <v>3.5460000000000003</v>
      </c>
    </row>
    <row r="3832" spans="1:7">
      <c r="A3832" s="2568" t="s">
        <v>659</v>
      </c>
      <c r="C3832" t="str">
        <f>'9A'!$AT$25</f>
        <v>BO_7640563</v>
      </c>
      <c r="D3832" t="s">
        <v>1532</v>
      </c>
      <c r="F3832" t="s">
        <v>7182</v>
      </c>
      <c r="G3832">
        <f>'9A'!$L$25</f>
        <v>0</v>
      </c>
    </row>
    <row r="3833" spans="1:7">
      <c r="A3833" s="2568" t="s">
        <v>659</v>
      </c>
      <c r="C3833" t="str">
        <f>'9A'!$AU$25</f>
        <v>BO23_7640563</v>
      </c>
      <c r="D3833" t="s">
        <v>1533</v>
      </c>
      <c r="F3833" t="s">
        <v>7182</v>
      </c>
      <c r="G3833">
        <f>'9A'!$M$25</f>
        <v>0</v>
      </c>
    </row>
    <row r="3834" spans="1:7">
      <c r="A3834" s="2568" t="s">
        <v>659</v>
      </c>
      <c r="C3834" t="str">
        <f>'9A'!$AV$25</f>
        <v>BO_3165168</v>
      </c>
      <c r="D3834" t="s">
        <v>1534</v>
      </c>
      <c r="F3834" t="s">
        <v>7182</v>
      </c>
      <c r="G3834">
        <f>'9A'!$N$25</f>
        <v>0</v>
      </c>
    </row>
    <row r="3835" spans="1:7">
      <c r="A3835" s="2568" t="s">
        <v>659</v>
      </c>
      <c r="C3835" t="str">
        <f>'9A'!$AW$25</f>
        <v>BO23_3165168</v>
      </c>
      <c r="D3835" t="s">
        <v>1535</v>
      </c>
      <c r="F3835" t="s">
        <v>7182</v>
      </c>
      <c r="G3835">
        <f>'9A'!$O$25</f>
        <v>0</v>
      </c>
    </row>
    <row r="3836" spans="1:7">
      <c r="A3836" t="s">
        <v>659</v>
      </c>
      <c r="C3836" t="str">
        <f>'9A'!$AK$26</f>
        <v>BO_1864509</v>
      </c>
      <c r="D3836" t="s">
        <v>1536</v>
      </c>
      <c r="F3836" t="s">
        <v>7182</v>
      </c>
      <c r="G3836">
        <f>'9A'!$C$26</f>
        <v>5.32</v>
      </c>
    </row>
    <row r="3837" spans="1:7">
      <c r="A3837" t="s">
        <v>659</v>
      </c>
      <c r="C3837" t="str">
        <f>'9A'!$AL$26</f>
        <v>BO_4539015</v>
      </c>
      <c r="D3837" t="s">
        <v>1537</v>
      </c>
      <c r="F3837" t="s">
        <v>7182</v>
      </c>
      <c r="G3837">
        <f>'9A'!$D$26</f>
        <v>0</v>
      </c>
    </row>
    <row r="3838" spans="1:7">
      <c r="A3838" t="s">
        <v>659</v>
      </c>
      <c r="C3838" t="str">
        <f>'9A'!$AM$26</f>
        <v>BO_3673371</v>
      </c>
      <c r="D3838" t="s">
        <v>1538</v>
      </c>
      <c r="F3838" t="s">
        <v>7182</v>
      </c>
      <c r="G3838">
        <f>'9A'!$E$26</f>
        <v>0.14199999999999999</v>
      </c>
    </row>
    <row r="3839" spans="1:7">
      <c r="A3839" t="s">
        <v>659</v>
      </c>
      <c r="C3839" t="str">
        <f>'9A'!$AN$26</f>
        <v>BO_9135301</v>
      </c>
      <c r="D3839" t="s">
        <v>1539</v>
      </c>
      <c r="F3839" t="s">
        <v>7182</v>
      </c>
      <c r="G3839">
        <f>'9A'!$F$26</f>
        <v>0.14199999999999999</v>
      </c>
    </row>
    <row r="3840" spans="1:7">
      <c r="A3840" t="s">
        <v>659</v>
      </c>
      <c r="C3840" t="str">
        <f>'9A'!$AO$26</f>
        <v>BO_5022348</v>
      </c>
      <c r="D3840" t="s">
        <v>1540</v>
      </c>
      <c r="F3840" t="s">
        <v>7182</v>
      </c>
      <c r="G3840">
        <f>'9A'!$G$26</f>
        <v>0</v>
      </c>
    </row>
    <row r="3841" spans="1:7">
      <c r="A3841" t="s">
        <v>659</v>
      </c>
      <c r="C3841" t="str">
        <f>'9A'!$AP$26</f>
        <v>BO_297806</v>
      </c>
      <c r="D3841" t="s">
        <v>1541</v>
      </c>
      <c r="F3841" t="s">
        <v>7182</v>
      </c>
      <c r="G3841">
        <f>'9A'!$H$26</f>
        <v>5.32</v>
      </c>
    </row>
    <row r="3842" spans="1:7">
      <c r="A3842" t="s">
        <v>659</v>
      </c>
      <c r="C3842" t="str">
        <f>'9A'!$AQ$26</f>
        <v>BO_1679948</v>
      </c>
      <c r="D3842" t="s">
        <v>1542</v>
      </c>
      <c r="F3842" t="s">
        <v>7182</v>
      </c>
      <c r="G3842">
        <f>'9A'!$I$26</f>
        <v>0.14199999999999999</v>
      </c>
    </row>
    <row r="3843" spans="1:7">
      <c r="A3843" t="s">
        <v>659</v>
      </c>
      <c r="C3843" t="str">
        <f>'9A'!$AR$26</f>
        <v>BO_1088090</v>
      </c>
      <c r="D3843" t="s">
        <v>1540</v>
      </c>
      <c r="F3843" t="s">
        <v>7182</v>
      </c>
      <c r="G3843">
        <f>'9A'!$J$26</f>
        <v>-5.1779999999999999</v>
      </c>
    </row>
    <row r="3844" spans="1:7">
      <c r="A3844" t="s">
        <v>659</v>
      </c>
      <c r="C3844" t="str">
        <f>'9A'!$AS$26</f>
        <v>BO_943397</v>
      </c>
      <c r="D3844" t="s">
        <v>1543</v>
      </c>
      <c r="F3844" t="s">
        <v>7182</v>
      </c>
      <c r="G3844">
        <f>'9A'!$K$26</f>
        <v>5.1779999999999999</v>
      </c>
    </row>
    <row r="3845" spans="1:7">
      <c r="A3845" t="s">
        <v>659</v>
      </c>
      <c r="C3845" t="str">
        <f>'9A'!$AT$26</f>
        <v>BO_487889</v>
      </c>
      <c r="D3845" t="s">
        <v>1544</v>
      </c>
      <c r="F3845" t="s">
        <v>7182</v>
      </c>
      <c r="G3845">
        <f>'9A'!$L$26</f>
        <v>0</v>
      </c>
    </row>
    <row r="3846" spans="1:7">
      <c r="A3846" t="s">
        <v>659</v>
      </c>
      <c r="C3846" t="str">
        <f>'9A'!$AU$26</f>
        <v>BO23_487889</v>
      </c>
      <c r="D3846" t="s">
        <v>1545</v>
      </c>
      <c r="F3846" t="s">
        <v>7182</v>
      </c>
      <c r="G3846">
        <f>'9A'!$M$26</f>
        <v>0</v>
      </c>
    </row>
    <row r="3847" spans="1:7">
      <c r="A3847" t="s">
        <v>659</v>
      </c>
      <c r="C3847" t="str">
        <f>'9A'!$AV$26</f>
        <v>BO_3137918</v>
      </c>
      <c r="D3847" t="s">
        <v>1546</v>
      </c>
      <c r="F3847" t="s">
        <v>7182</v>
      </c>
      <c r="G3847">
        <f>'9A'!$N$26</f>
        <v>0</v>
      </c>
    </row>
    <row r="3848" spans="1:7">
      <c r="A3848" t="s">
        <v>659</v>
      </c>
      <c r="C3848" t="str">
        <f>'9A'!$AW$26</f>
        <v>BO23_3137918</v>
      </c>
      <c r="D3848" t="s">
        <v>1547</v>
      </c>
      <c r="F3848" t="s">
        <v>7182</v>
      </c>
      <c r="G3848">
        <f>'9A'!$O$26</f>
        <v>0</v>
      </c>
    </row>
    <row r="3849" spans="1:7">
      <c r="A3849" t="s">
        <v>659</v>
      </c>
      <c r="C3849" t="str">
        <f>'9A'!$AK$27</f>
        <v>BO_6235227</v>
      </c>
      <c r="D3849" t="s">
        <v>1548</v>
      </c>
      <c r="F3849" t="s">
        <v>7182</v>
      </c>
      <c r="G3849">
        <f>'9A'!$C$27</f>
        <v>0.88</v>
      </c>
    </row>
    <row r="3850" spans="1:7">
      <c r="A3850" t="s">
        <v>659</v>
      </c>
      <c r="C3850" t="str">
        <f>'9A'!$AL$27</f>
        <v>BO_626958</v>
      </c>
      <c r="D3850" t="s">
        <v>1549</v>
      </c>
      <c r="F3850" t="s">
        <v>7182</v>
      </c>
      <c r="G3850">
        <f>'9A'!$D$27</f>
        <v>0</v>
      </c>
    </row>
    <row r="3851" spans="1:7">
      <c r="A3851" t="s">
        <v>659</v>
      </c>
      <c r="C3851" t="str">
        <f>'9A'!$AM$27</f>
        <v>BO_3551548</v>
      </c>
      <c r="D3851" t="s">
        <v>1550</v>
      </c>
      <c r="F3851" t="s">
        <v>7182</v>
      </c>
      <c r="G3851">
        <f>'9A'!$E$27</f>
        <v>0.80200000000000005</v>
      </c>
    </row>
    <row r="3852" spans="1:7">
      <c r="A3852" t="s">
        <v>659</v>
      </c>
      <c r="C3852" t="str">
        <f>'9A'!$AN$27</f>
        <v>BO_592209</v>
      </c>
      <c r="D3852" t="s">
        <v>1551</v>
      </c>
      <c r="F3852" t="s">
        <v>7182</v>
      </c>
      <c r="G3852">
        <f>'9A'!$F$27</f>
        <v>0.80200000000000005</v>
      </c>
    </row>
    <row r="3853" spans="1:7">
      <c r="A3853" t="s">
        <v>659</v>
      </c>
      <c r="C3853" t="str">
        <f>'9A'!$AO$27</f>
        <v>BO_9994906</v>
      </c>
      <c r="D3853" t="s">
        <v>1552</v>
      </c>
      <c r="F3853" t="s">
        <v>7182</v>
      </c>
      <c r="G3853">
        <f>'9A'!$G$27</f>
        <v>0</v>
      </c>
    </row>
    <row r="3854" spans="1:7">
      <c r="A3854" t="s">
        <v>659</v>
      </c>
      <c r="C3854" t="str">
        <f>'9A'!$AP$27</f>
        <v>BO_8735056</v>
      </c>
      <c r="D3854" t="s">
        <v>1553</v>
      </c>
      <c r="F3854" t="s">
        <v>7182</v>
      </c>
      <c r="G3854">
        <f>'9A'!$H$27</f>
        <v>0.88</v>
      </c>
    </row>
    <row r="3855" spans="1:7">
      <c r="A3855" t="s">
        <v>659</v>
      </c>
      <c r="C3855" t="str">
        <f>'9A'!$AQ$27</f>
        <v>BO_4236024</v>
      </c>
      <c r="D3855" t="s">
        <v>1554</v>
      </c>
      <c r="F3855" t="s">
        <v>7182</v>
      </c>
      <c r="G3855">
        <f>'9A'!$I$27</f>
        <v>0.80200000000000005</v>
      </c>
    </row>
    <row r="3856" spans="1:7">
      <c r="A3856" t="s">
        <v>659</v>
      </c>
      <c r="C3856" t="str">
        <f>'9A'!$AR$27</f>
        <v>BO_366046</v>
      </c>
      <c r="D3856" t="s">
        <v>1552</v>
      </c>
      <c r="F3856" t="s">
        <v>7182</v>
      </c>
      <c r="G3856">
        <f>'9A'!$J$27</f>
        <v>-7.7999999999999958E-2</v>
      </c>
    </row>
    <row r="3857" spans="1:7">
      <c r="A3857" t="s">
        <v>659</v>
      </c>
      <c r="C3857" t="str">
        <f>'9A'!$AS$27</f>
        <v>BO_9666744</v>
      </c>
      <c r="D3857" t="s">
        <v>1555</v>
      </c>
      <c r="F3857" t="s">
        <v>7182</v>
      </c>
      <c r="G3857">
        <f>'9A'!$K$27</f>
        <v>7.7999999999999958E-2</v>
      </c>
    </row>
    <row r="3858" spans="1:7">
      <c r="A3858" t="s">
        <v>659</v>
      </c>
      <c r="C3858" t="str">
        <f>'9A'!$AT$27</f>
        <v>BO_1126087</v>
      </c>
      <c r="D3858" t="s">
        <v>1556</v>
      </c>
      <c r="F3858" t="s">
        <v>7182</v>
      </c>
      <c r="G3858">
        <f>'9A'!$L$27</f>
        <v>0</v>
      </c>
    </row>
    <row r="3859" spans="1:7">
      <c r="A3859" t="s">
        <v>659</v>
      </c>
      <c r="C3859" t="str">
        <f>'9A'!$AU$27</f>
        <v>BO23_1126087</v>
      </c>
      <c r="D3859" t="s">
        <v>1557</v>
      </c>
      <c r="F3859" t="s">
        <v>7182</v>
      </c>
      <c r="G3859">
        <f>'9A'!$M$27</f>
        <v>0</v>
      </c>
    </row>
    <row r="3860" spans="1:7">
      <c r="A3860" t="s">
        <v>659</v>
      </c>
      <c r="C3860" t="str">
        <f>'9A'!$AV$27</f>
        <v>BO_8687860</v>
      </c>
      <c r="D3860" t="s">
        <v>1558</v>
      </c>
      <c r="F3860" t="s">
        <v>7182</v>
      </c>
      <c r="G3860">
        <f>'9A'!$N$27</f>
        <v>0</v>
      </c>
    </row>
    <row r="3861" spans="1:7">
      <c r="A3861" t="s">
        <v>659</v>
      </c>
      <c r="C3861" t="str">
        <f>'9A'!$AW$27</f>
        <v>BO23_8687860</v>
      </c>
      <c r="D3861" t="s">
        <v>1559</v>
      </c>
      <c r="F3861" t="s">
        <v>7182</v>
      </c>
      <c r="G3861">
        <f>'9A'!$O$27</f>
        <v>0</v>
      </c>
    </row>
    <row r="3862" spans="1:7">
      <c r="A3862" t="s">
        <v>659</v>
      </c>
      <c r="C3862" t="str">
        <f>'9A'!$AK$28</f>
        <v>BO_1343884</v>
      </c>
      <c r="D3862" t="s">
        <v>1560</v>
      </c>
      <c r="F3862" t="s">
        <v>7182</v>
      </c>
      <c r="G3862">
        <f>'9A'!$C$28</f>
        <v>0.63200000000000001</v>
      </c>
    </row>
    <row r="3863" spans="1:7">
      <c r="A3863" t="s">
        <v>659</v>
      </c>
      <c r="C3863" t="str">
        <f>'9A'!$AL$28</f>
        <v>BO_3435854</v>
      </c>
      <c r="D3863" t="s">
        <v>1561</v>
      </c>
      <c r="F3863" t="s">
        <v>7182</v>
      </c>
      <c r="G3863">
        <f>'9A'!$D$28</f>
        <v>0</v>
      </c>
    </row>
    <row r="3864" spans="1:7">
      <c r="A3864" t="s">
        <v>659</v>
      </c>
      <c r="C3864" t="str">
        <f>'9A'!$AM$28</f>
        <v>BO_8245468</v>
      </c>
      <c r="D3864" t="s">
        <v>1562</v>
      </c>
      <c r="F3864" t="s">
        <v>7182</v>
      </c>
      <c r="G3864">
        <f>'9A'!$E$28</f>
        <v>0.30599999999999999</v>
      </c>
    </row>
    <row r="3865" spans="1:7">
      <c r="A3865" t="s">
        <v>659</v>
      </c>
      <c r="C3865" t="str">
        <f>'9A'!$AN$28</f>
        <v>BO_5801516</v>
      </c>
      <c r="D3865" t="s">
        <v>1563</v>
      </c>
      <c r="F3865" t="s">
        <v>7182</v>
      </c>
      <c r="G3865">
        <f>'9A'!$F$28</f>
        <v>0.30599999999999999</v>
      </c>
    </row>
    <row r="3866" spans="1:7">
      <c r="A3866" t="s">
        <v>659</v>
      </c>
      <c r="C3866" t="str">
        <f>'9A'!$AO$28</f>
        <v>BO_4235757</v>
      </c>
      <c r="D3866" t="s">
        <v>1564</v>
      </c>
      <c r="F3866" t="s">
        <v>7182</v>
      </c>
      <c r="G3866">
        <f>'9A'!$G$28</f>
        <v>0</v>
      </c>
    </row>
    <row r="3867" spans="1:7">
      <c r="A3867" t="s">
        <v>659</v>
      </c>
      <c r="C3867" t="str">
        <f>'9A'!$AP$28</f>
        <v>BO_1697609</v>
      </c>
      <c r="D3867" t="s">
        <v>1565</v>
      </c>
      <c r="F3867" t="s">
        <v>7182</v>
      </c>
      <c r="G3867">
        <f>'9A'!$H$28</f>
        <v>0.63200000000000001</v>
      </c>
    </row>
    <row r="3868" spans="1:7">
      <c r="A3868" t="s">
        <v>659</v>
      </c>
      <c r="C3868" t="str">
        <f>'9A'!$AQ$28</f>
        <v>BO_1263220</v>
      </c>
      <c r="D3868" t="s">
        <v>1566</v>
      </c>
      <c r="F3868" t="s">
        <v>7182</v>
      </c>
      <c r="G3868">
        <f>'9A'!$I$28</f>
        <v>0.30599999999999999</v>
      </c>
    </row>
    <row r="3869" spans="1:7">
      <c r="A3869" t="s">
        <v>659</v>
      </c>
      <c r="C3869" t="str">
        <f>'9A'!$AR$28</f>
        <v>BO_3803198</v>
      </c>
      <c r="D3869" t="s">
        <v>1564</v>
      </c>
      <c r="F3869" t="s">
        <v>7182</v>
      </c>
      <c r="G3869">
        <f>'9A'!$J$28</f>
        <v>-0.32600000000000001</v>
      </c>
    </row>
    <row r="3870" spans="1:7">
      <c r="A3870" t="s">
        <v>659</v>
      </c>
      <c r="C3870" t="str">
        <f>'9A'!$AS$28</f>
        <v>BO_6300866</v>
      </c>
      <c r="D3870" t="s">
        <v>1567</v>
      </c>
      <c r="F3870" t="s">
        <v>7182</v>
      </c>
      <c r="G3870">
        <f>'9A'!$K$28</f>
        <v>0.32600000000000001</v>
      </c>
    </row>
    <row r="3871" spans="1:7">
      <c r="A3871" t="s">
        <v>659</v>
      </c>
      <c r="C3871" t="str">
        <f>'9A'!$AT$28</f>
        <v>BO_2005000</v>
      </c>
      <c r="D3871" t="s">
        <v>1568</v>
      </c>
      <c r="F3871" t="s">
        <v>7182</v>
      </c>
      <c r="G3871">
        <f>'9A'!$L$28</f>
        <v>0</v>
      </c>
    </row>
    <row r="3872" spans="1:7">
      <c r="A3872" t="s">
        <v>659</v>
      </c>
      <c r="C3872" t="str">
        <f>'9A'!$AU$28</f>
        <v>BO23_2005000</v>
      </c>
      <c r="D3872" t="s">
        <v>1569</v>
      </c>
      <c r="F3872" t="s">
        <v>7182</v>
      </c>
      <c r="G3872">
        <f>'9A'!$M$28</f>
        <v>0</v>
      </c>
    </row>
    <row r="3873" spans="1:7">
      <c r="A3873" t="s">
        <v>659</v>
      </c>
      <c r="C3873" t="str">
        <f>'9A'!$AV$28</f>
        <v>BO_3004429</v>
      </c>
      <c r="D3873" t="s">
        <v>1570</v>
      </c>
      <c r="F3873" t="s">
        <v>7182</v>
      </c>
      <c r="G3873">
        <f>'9A'!$N$28</f>
        <v>0</v>
      </c>
    </row>
    <row r="3874" spans="1:7">
      <c r="A3874" t="s">
        <v>659</v>
      </c>
      <c r="C3874" t="str">
        <f>'9A'!$AW$28</f>
        <v>BO23_3004429</v>
      </c>
      <c r="D3874" t="s">
        <v>1571</v>
      </c>
      <c r="F3874" t="s">
        <v>7182</v>
      </c>
      <c r="G3874">
        <f>'9A'!$O$28</f>
        <v>0</v>
      </c>
    </row>
    <row r="3875" spans="1:7">
      <c r="A3875" t="s">
        <v>659</v>
      </c>
      <c r="C3875" t="str">
        <f>'9A'!$AK$29</f>
        <v>BO_9121046</v>
      </c>
      <c r="D3875" t="s">
        <v>1572</v>
      </c>
      <c r="F3875" t="s">
        <v>7182</v>
      </c>
      <c r="G3875">
        <f>'9A'!$C$29</f>
        <v>0.44600000000000001</v>
      </c>
    </row>
    <row r="3876" spans="1:7">
      <c r="A3876" t="s">
        <v>659</v>
      </c>
      <c r="C3876" t="str">
        <f>'9A'!$AL$29</f>
        <v>BO_1037964</v>
      </c>
      <c r="D3876" t="s">
        <v>1573</v>
      </c>
      <c r="F3876" t="s">
        <v>7182</v>
      </c>
      <c r="G3876">
        <f>'9A'!$D$29</f>
        <v>0</v>
      </c>
    </row>
    <row r="3877" spans="1:7">
      <c r="A3877" t="s">
        <v>659</v>
      </c>
      <c r="C3877" t="str">
        <f>'9A'!$AM$29</f>
        <v>BO_9197207</v>
      </c>
      <c r="D3877" t="s">
        <v>1574</v>
      </c>
      <c r="F3877" t="s">
        <v>7182</v>
      </c>
      <c r="G3877">
        <f>'9A'!$E$29</f>
        <v>0</v>
      </c>
    </row>
    <row r="3878" spans="1:7">
      <c r="A3878" t="s">
        <v>659</v>
      </c>
      <c r="C3878" t="str">
        <f>'9A'!$AN$29</f>
        <v>BO_7748929</v>
      </c>
      <c r="D3878" t="s">
        <v>1575</v>
      </c>
      <c r="F3878" t="s">
        <v>7182</v>
      </c>
      <c r="G3878">
        <f>'9A'!$F$29</f>
        <v>0</v>
      </c>
    </row>
    <row r="3879" spans="1:7">
      <c r="A3879" t="s">
        <v>659</v>
      </c>
      <c r="C3879" t="str">
        <f>'9A'!$AO$29</f>
        <v>BO_2536664</v>
      </c>
      <c r="D3879" t="s">
        <v>1576</v>
      </c>
      <c r="F3879" t="s">
        <v>7182</v>
      </c>
      <c r="G3879">
        <f>'9A'!$G$29</f>
        <v>0</v>
      </c>
    </row>
    <row r="3880" spans="1:7">
      <c r="A3880" t="s">
        <v>659</v>
      </c>
      <c r="C3880" t="str">
        <f>'9A'!$AP$29</f>
        <v>BO_3860065</v>
      </c>
      <c r="D3880" t="s">
        <v>1577</v>
      </c>
      <c r="F3880" t="s">
        <v>7182</v>
      </c>
      <c r="G3880">
        <f>'9A'!$H$29</f>
        <v>0.44600000000000001</v>
      </c>
    </row>
    <row r="3881" spans="1:7">
      <c r="A3881" t="s">
        <v>659</v>
      </c>
      <c r="C3881" t="str">
        <f>'9A'!$AQ$29</f>
        <v>BO_9321288</v>
      </c>
      <c r="D3881" t="s">
        <v>1578</v>
      </c>
      <c r="F3881" t="s">
        <v>7182</v>
      </c>
      <c r="G3881">
        <f>'9A'!$I$29</f>
        <v>0</v>
      </c>
    </row>
    <row r="3882" spans="1:7">
      <c r="A3882" t="s">
        <v>659</v>
      </c>
      <c r="C3882" t="str">
        <f>'9A'!$AR$29</f>
        <v>BO_1269653</v>
      </c>
      <c r="D3882" t="s">
        <v>1576</v>
      </c>
      <c r="F3882" t="s">
        <v>7182</v>
      </c>
      <c r="G3882">
        <f>'9A'!$J$29</f>
        <v>-0.44600000000000001</v>
      </c>
    </row>
    <row r="3883" spans="1:7">
      <c r="A3883" t="s">
        <v>659</v>
      </c>
      <c r="C3883" t="str">
        <f>'9A'!$AS$29</f>
        <v>BO_1927262</v>
      </c>
      <c r="D3883" t="s">
        <v>1579</v>
      </c>
      <c r="F3883" t="s">
        <v>7182</v>
      </c>
      <c r="G3883">
        <f>'9A'!$K$29</f>
        <v>0.44600000000000001</v>
      </c>
    </row>
    <row r="3884" spans="1:7">
      <c r="A3884" t="s">
        <v>659</v>
      </c>
      <c r="C3884" t="str">
        <f>'9A'!$AT$29</f>
        <v>BO_1925837</v>
      </c>
      <c r="D3884" t="s">
        <v>1580</v>
      </c>
      <c r="F3884" t="s">
        <v>7182</v>
      </c>
      <c r="G3884">
        <f>'9A'!$L$29</f>
        <v>0</v>
      </c>
    </row>
    <row r="3885" spans="1:7">
      <c r="A3885" t="s">
        <v>659</v>
      </c>
      <c r="C3885" t="str">
        <f>'9A'!$AU$29</f>
        <v>BO23_1925837</v>
      </c>
      <c r="D3885" t="s">
        <v>1581</v>
      </c>
      <c r="F3885" t="s">
        <v>7182</v>
      </c>
      <c r="G3885">
        <f>'9A'!$M$29</f>
        <v>0</v>
      </c>
    </row>
    <row r="3886" spans="1:7">
      <c r="A3886" t="s">
        <v>659</v>
      </c>
      <c r="C3886" t="str">
        <f>'9A'!$AV$29</f>
        <v>BO_3695559</v>
      </c>
      <c r="D3886" t="s">
        <v>1582</v>
      </c>
      <c r="F3886" t="s">
        <v>7182</v>
      </c>
      <c r="G3886">
        <f>'9A'!$N$29</f>
        <v>0</v>
      </c>
    </row>
    <row r="3887" spans="1:7">
      <c r="A3887" t="s">
        <v>659</v>
      </c>
      <c r="C3887" t="str">
        <f>'9A'!$AW$29</f>
        <v>BO23_3695559</v>
      </c>
      <c r="D3887" t="s">
        <v>1583</v>
      </c>
      <c r="F3887" t="s">
        <v>7182</v>
      </c>
      <c r="G3887">
        <f>'9A'!$O$29</f>
        <v>0</v>
      </c>
    </row>
    <row r="3888" spans="1:7">
      <c r="A3888" t="s">
        <v>659</v>
      </c>
      <c r="C3888" t="str">
        <f>'9A'!$AK$30</f>
        <v>BO_2655321</v>
      </c>
      <c r="D3888" t="s">
        <v>1584</v>
      </c>
      <c r="F3888" t="s">
        <v>7182</v>
      </c>
      <c r="G3888">
        <f>'9A'!$C$30</f>
        <v>0.71499999999999997</v>
      </c>
    </row>
    <row r="3889" spans="1:7">
      <c r="A3889" t="s">
        <v>659</v>
      </c>
      <c r="C3889" t="str">
        <f>'9A'!$AL$30</f>
        <v>BO_2415159</v>
      </c>
      <c r="D3889" t="s">
        <v>1585</v>
      </c>
      <c r="F3889" t="s">
        <v>7182</v>
      </c>
      <c r="G3889">
        <f>'9A'!$D$30</f>
        <v>0</v>
      </c>
    </row>
    <row r="3890" spans="1:7">
      <c r="A3890" t="s">
        <v>659</v>
      </c>
      <c r="C3890" t="str">
        <f>'9A'!$AM$30</f>
        <v>BO_5377351</v>
      </c>
      <c r="D3890" t="s">
        <v>1586</v>
      </c>
      <c r="F3890" t="s">
        <v>7182</v>
      </c>
      <c r="G3890">
        <f>'9A'!$E$30</f>
        <v>0.06</v>
      </c>
    </row>
    <row r="3891" spans="1:7">
      <c r="A3891" t="s">
        <v>659</v>
      </c>
      <c r="C3891" t="str">
        <f>'9A'!$AN$30</f>
        <v>BO_3494612</v>
      </c>
      <c r="D3891" t="s">
        <v>1587</v>
      </c>
      <c r="F3891" t="s">
        <v>7182</v>
      </c>
      <c r="G3891">
        <f>'9A'!$F$30</f>
        <v>0.06</v>
      </c>
    </row>
    <row r="3892" spans="1:7">
      <c r="A3892" t="s">
        <v>659</v>
      </c>
      <c r="C3892" t="str">
        <f>'9A'!$AO$30</f>
        <v>BO_9074</v>
      </c>
      <c r="D3892" t="s">
        <v>1588</v>
      </c>
      <c r="F3892" t="s">
        <v>7182</v>
      </c>
      <c r="G3892">
        <f>'9A'!$G$30</f>
        <v>0</v>
      </c>
    </row>
    <row r="3893" spans="1:7">
      <c r="A3893" t="s">
        <v>659</v>
      </c>
      <c r="C3893" t="str">
        <f>'9A'!$AP$30</f>
        <v>BO_405946</v>
      </c>
      <c r="D3893" t="s">
        <v>1589</v>
      </c>
      <c r="F3893" t="s">
        <v>7182</v>
      </c>
      <c r="G3893">
        <f>'9A'!$H$30</f>
        <v>0.71499999999999997</v>
      </c>
    </row>
    <row r="3894" spans="1:7">
      <c r="A3894" t="s">
        <v>659</v>
      </c>
      <c r="C3894" t="str">
        <f>'9A'!$AQ$30</f>
        <v>BO_1870993</v>
      </c>
      <c r="D3894" t="s">
        <v>1590</v>
      </c>
      <c r="F3894" t="s">
        <v>7182</v>
      </c>
      <c r="G3894">
        <f>'9A'!$I$30</f>
        <v>0.06</v>
      </c>
    </row>
    <row r="3895" spans="1:7">
      <c r="A3895" t="s">
        <v>659</v>
      </c>
      <c r="C3895" t="str">
        <f>'9A'!$AR$30</f>
        <v>BO_9357011</v>
      </c>
      <c r="D3895" t="s">
        <v>1588</v>
      </c>
      <c r="F3895" t="s">
        <v>7182</v>
      </c>
      <c r="G3895">
        <f>'9A'!$J$30</f>
        <v>-0.65500000000000003</v>
      </c>
    </row>
    <row r="3896" spans="1:7">
      <c r="A3896" t="s">
        <v>659</v>
      </c>
      <c r="C3896" t="str">
        <f>'9A'!$AS$30</f>
        <v>BO_5573103</v>
      </c>
      <c r="D3896" t="s">
        <v>1591</v>
      </c>
      <c r="F3896" t="s">
        <v>7182</v>
      </c>
      <c r="G3896">
        <f>'9A'!$K$30</f>
        <v>0.65500000000000003</v>
      </c>
    </row>
    <row r="3897" spans="1:7">
      <c r="A3897" t="s">
        <v>659</v>
      </c>
      <c r="C3897" t="str">
        <f>'9A'!$AT$30</f>
        <v>BO_618668</v>
      </c>
      <c r="D3897" t="s">
        <v>1592</v>
      </c>
      <c r="F3897" t="s">
        <v>7182</v>
      </c>
      <c r="G3897">
        <f>'9A'!$L$30</f>
        <v>0</v>
      </c>
    </row>
    <row r="3898" spans="1:7">
      <c r="A3898" t="s">
        <v>659</v>
      </c>
      <c r="C3898" t="str">
        <f>'9A'!$AU$30</f>
        <v>BO23_618668</v>
      </c>
      <c r="D3898" t="s">
        <v>1593</v>
      </c>
      <c r="F3898" t="s">
        <v>7182</v>
      </c>
      <c r="G3898">
        <f>'9A'!$M$30</f>
        <v>0</v>
      </c>
    </row>
    <row r="3899" spans="1:7">
      <c r="A3899" t="s">
        <v>659</v>
      </c>
      <c r="C3899" t="str">
        <f>'9A'!$AV$30</f>
        <v>BO_3075702</v>
      </c>
      <c r="D3899" t="s">
        <v>1594</v>
      </c>
      <c r="F3899" t="s">
        <v>7182</v>
      </c>
      <c r="G3899">
        <f>'9A'!$N$30</f>
        <v>0</v>
      </c>
    </row>
    <row r="3900" spans="1:7">
      <c r="A3900" t="s">
        <v>659</v>
      </c>
      <c r="C3900" t="str">
        <f>'9A'!$AW$30</f>
        <v>BO23_3075702</v>
      </c>
      <c r="D3900" t="s">
        <v>1595</v>
      </c>
      <c r="F3900" t="s">
        <v>7182</v>
      </c>
      <c r="G3900">
        <f>'9A'!$O$30</f>
        <v>0</v>
      </c>
    </row>
    <row r="3901" spans="1:7">
      <c r="A3901" t="s">
        <v>659</v>
      </c>
      <c r="C3901" t="str">
        <f>'9A'!$AK$31</f>
        <v>BO_6408764</v>
      </c>
      <c r="D3901" t="s">
        <v>1596</v>
      </c>
      <c r="F3901" t="s">
        <v>7182</v>
      </c>
      <c r="G3901">
        <f>'9A'!$C$31</f>
        <v>0</v>
      </c>
    </row>
    <row r="3902" spans="1:7">
      <c r="A3902" t="s">
        <v>659</v>
      </c>
      <c r="C3902" t="str">
        <f>'9A'!$AL$31</f>
        <v>BO_7046757</v>
      </c>
      <c r="D3902" t="s">
        <v>1597</v>
      </c>
      <c r="F3902" t="s">
        <v>7182</v>
      </c>
      <c r="G3902">
        <f>'9A'!$D$31</f>
        <v>0</v>
      </c>
    </row>
    <row r="3903" spans="1:7">
      <c r="A3903" t="s">
        <v>659</v>
      </c>
      <c r="C3903" t="str">
        <f>'9A'!$AM$31</f>
        <v>BO_8070684</v>
      </c>
      <c r="D3903" t="s">
        <v>1598</v>
      </c>
      <c r="F3903" t="s">
        <v>7182</v>
      </c>
      <c r="G3903">
        <f>'9A'!$E$31</f>
        <v>0</v>
      </c>
    </row>
    <row r="3904" spans="1:7">
      <c r="A3904" t="s">
        <v>659</v>
      </c>
      <c r="C3904" t="str">
        <f>'9A'!$AN$31</f>
        <v>BO_5129958</v>
      </c>
      <c r="D3904" t="s">
        <v>1599</v>
      </c>
      <c r="F3904" t="s">
        <v>7182</v>
      </c>
      <c r="G3904">
        <f>'9A'!$F$31</f>
        <v>0</v>
      </c>
    </row>
    <row r="3905" spans="1:7">
      <c r="A3905" t="s">
        <v>659</v>
      </c>
      <c r="C3905" t="str">
        <f>'9A'!$AO$31</f>
        <v>BO_323549</v>
      </c>
      <c r="D3905" t="s">
        <v>1600</v>
      </c>
      <c r="F3905" t="s">
        <v>7182</v>
      </c>
      <c r="G3905">
        <f>'9A'!$G$31</f>
        <v>0</v>
      </c>
    </row>
    <row r="3906" spans="1:7">
      <c r="A3906" t="s">
        <v>659</v>
      </c>
      <c r="C3906" t="str">
        <f>'9A'!$AP$31</f>
        <v>BO_9922869</v>
      </c>
      <c r="D3906" t="s">
        <v>1601</v>
      </c>
      <c r="F3906" t="s">
        <v>7182</v>
      </c>
      <c r="G3906">
        <f>'9A'!$H$31</f>
        <v>0</v>
      </c>
    </row>
    <row r="3907" spans="1:7">
      <c r="A3907" t="s">
        <v>659</v>
      </c>
      <c r="C3907" t="str">
        <f>'9A'!$AQ$31</f>
        <v>BO_6313663</v>
      </c>
      <c r="D3907" t="s">
        <v>1602</v>
      </c>
      <c r="F3907" t="s">
        <v>7182</v>
      </c>
      <c r="G3907">
        <f>'9A'!$I$31</f>
        <v>0</v>
      </c>
    </row>
    <row r="3908" spans="1:7">
      <c r="A3908" t="s">
        <v>659</v>
      </c>
      <c r="C3908" t="str">
        <f>'9A'!$AR$31</f>
        <v>BO_8822674</v>
      </c>
      <c r="D3908" t="s">
        <v>1600</v>
      </c>
      <c r="F3908" t="s">
        <v>7182</v>
      </c>
      <c r="G3908">
        <f>'9A'!$J$31</f>
        <v>0</v>
      </c>
    </row>
    <row r="3909" spans="1:7">
      <c r="A3909" t="s">
        <v>659</v>
      </c>
      <c r="C3909" t="str">
        <f>'9A'!$AS$31</f>
        <v>BO_5993266</v>
      </c>
      <c r="D3909" t="s">
        <v>1603</v>
      </c>
      <c r="F3909" t="s">
        <v>7182</v>
      </c>
      <c r="G3909">
        <f>'9A'!$K$31</f>
        <v>0</v>
      </c>
    </row>
    <row r="3910" spans="1:7">
      <c r="A3910" t="s">
        <v>659</v>
      </c>
      <c r="C3910" t="str">
        <f>'9A'!$AT$31</f>
        <v>BO_7283530</v>
      </c>
      <c r="D3910" t="s">
        <v>1604</v>
      </c>
      <c r="F3910" t="s">
        <v>7182</v>
      </c>
      <c r="G3910">
        <f>'9A'!$L$31</f>
        <v>0</v>
      </c>
    </row>
    <row r="3911" spans="1:7">
      <c r="A3911" t="s">
        <v>659</v>
      </c>
      <c r="C3911" t="str">
        <f>'9A'!$AU$31</f>
        <v>BO23_7283530</v>
      </c>
      <c r="D3911" t="s">
        <v>1605</v>
      </c>
      <c r="F3911" t="s">
        <v>7182</v>
      </c>
      <c r="G3911">
        <f>'9A'!$M$31</f>
        <v>0</v>
      </c>
    </row>
    <row r="3912" spans="1:7">
      <c r="A3912" t="s">
        <v>659</v>
      </c>
      <c r="C3912" t="str">
        <f>'9A'!$AV$31</f>
        <v>BO_7464120</v>
      </c>
      <c r="D3912" t="s">
        <v>1606</v>
      </c>
      <c r="F3912" t="s">
        <v>7182</v>
      </c>
      <c r="G3912">
        <f>'9A'!$N$31</f>
        <v>0</v>
      </c>
    </row>
    <row r="3913" spans="1:7">
      <c r="A3913" t="s">
        <v>659</v>
      </c>
      <c r="C3913" t="str">
        <f>'9A'!$AW$31</f>
        <v>BO23_7464120</v>
      </c>
      <c r="D3913" t="s">
        <v>1607</v>
      </c>
      <c r="F3913" t="s">
        <v>7182</v>
      </c>
      <c r="G3913">
        <f>'9A'!$O$31</f>
        <v>0</v>
      </c>
    </row>
    <row r="3914" spans="1:7">
      <c r="A3914" t="s">
        <v>659</v>
      </c>
      <c r="C3914" t="str">
        <f>'9A'!$AK$32</f>
        <v>BO_2082771</v>
      </c>
      <c r="D3914" t="s">
        <v>1608</v>
      </c>
      <c r="F3914" t="s">
        <v>7182</v>
      </c>
      <c r="G3914">
        <f>'9A'!$C$32</f>
        <v>0</v>
      </c>
    </row>
    <row r="3915" spans="1:7">
      <c r="A3915" t="s">
        <v>659</v>
      </c>
      <c r="C3915" t="str">
        <f>'9A'!$AL$32</f>
        <v>BO_3632391</v>
      </c>
      <c r="D3915" t="s">
        <v>1609</v>
      </c>
      <c r="F3915" t="s">
        <v>7182</v>
      </c>
      <c r="G3915">
        <f>'9A'!$D$32</f>
        <v>0</v>
      </c>
    </row>
    <row r="3916" spans="1:7">
      <c r="A3916" t="s">
        <v>659</v>
      </c>
      <c r="C3916" t="str">
        <f>'9A'!$AM$32</f>
        <v>BO_1257261</v>
      </c>
      <c r="D3916" t="s">
        <v>1610</v>
      </c>
      <c r="F3916" t="s">
        <v>7182</v>
      </c>
      <c r="G3916">
        <f>'9A'!$E$32</f>
        <v>0</v>
      </c>
    </row>
    <row r="3917" spans="1:7">
      <c r="A3917" t="s">
        <v>659</v>
      </c>
      <c r="C3917" t="str">
        <f>'9A'!$AN$32</f>
        <v>BO_6407105</v>
      </c>
      <c r="D3917" t="s">
        <v>1611</v>
      </c>
      <c r="F3917" t="s">
        <v>7182</v>
      </c>
      <c r="G3917">
        <f>'9A'!$F$32</f>
        <v>0</v>
      </c>
    </row>
    <row r="3918" spans="1:7">
      <c r="A3918" t="s">
        <v>659</v>
      </c>
      <c r="C3918" t="str">
        <f>'9A'!$AO$32</f>
        <v>BO_1493422</v>
      </c>
      <c r="D3918" t="s">
        <v>1612</v>
      </c>
      <c r="F3918" t="s">
        <v>7182</v>
      </c>
      <c r="G3918">
        <f>'9A'!$G$32</f>
        <v>0</v>
      </c>
    </row>
    <row r="3919" spans="1:7">
      <c r="A3919" t="s">
        <v>659</v>
      </c>
      <c r="C3919" t="str">
        <f>'9A'!$AP$32</f>
        <v>BO_8423500</v>
      </c>
      <c r="D3919" t="s">
        <v>1613</v>
      </c>
      <c r="F3919" t="s">
        <v>7182</v>
      </c>
      <c r="G3919">
        <f>'9A'!$H$32</f>
        <v>0</v>
      </c>
    </row>
    <row r="3920" spans="1:7">
      <c r="A3920" t="s">
        <v>659</v>
      </c>
      <c r="C3920" t="str">
        <f>'9A'!$AQ$32</f>
        <v>BO_8600925</v>
      </c>
      <c r="D3920" t="s">
        <v>1614</v>
      </c>
      <c r="F3920" t="s">
        <v>7182</v>
      </c>
      <c r="G3920">
        <f>'9A'!$I$32</f>
        <v>0</v>
      </c>
    </row>
    <row r="3921" spans="1:7">
      <c r="A3921" t="s">
        <v>659</v>
      </c>
      <c r="C3921" t="str">
        <f>'9A'!$AR$32</f>
        <v>BO_7655329</v>
      </c>
      <c r="D3921" t="s">
        <v>1612</v>
      </c>
      <c r="F3921" t="s">
        <v>7182</v>
      </c>
      <c r="G3921">
        <f>'9A'!$J$32</f>
        <v>0</v>
      </c>
    </row>
    <row r="3922" spans="1:7">
      <c r="A3922" t="s">
        <v>659</v>
      </c>
      <c r="C3922" t="str">
        <f>'9A'!$AS$32</f>
        <v>BO_5254575</v>
      </c>
      <c r="D3922" t="s">
        <v>1615</v>
      </c>
      <c r="F3922" t="s">
        <v>7182</v>
      </c>
      <c r="G3922">
        <f>'9A'!$K$32</f>
        <v>0</v>
      </c>
    </row>
    <row r="3923" spans="1:7">
      <c r="A3923" t="s">
        <v>659</v>
      </c>
      <c r="C3923" t="str">
        <f>'9A'!$AT$32</f>
        <v>BO_6653491</v>
      </c>
      <c r="D3923" t="s">
        <v>1616</v>
      </c>
      <c r="F3923" t="s">
        <v>7182</v>
      </c>
      <c r="G3923">
        <f>'9A'!$L$32</f>
        <v>0</v>
      </c>
    </row>
    <row r="3924" spans="1:7">
      <c r="A3924" t="s">
        <v>659</v>
      </c>
      <c r="C3924" t="str">
        <f>'9A'!$AU$32</f>
        <v>BO23_6653491</v>
      </c>
      <c r="D3924" t="s">
        <v>1617</v>
      </c>
      <c r="F3924" t="s">
        <v>7182</v>
      </c>
      <c r="G3924">
        <f>'9A'!$M$32</f>
        <v>0</v>
      </c>
    </row>
    <row r="3925" spans="1:7">
      <c r="A3925" t="s">
        <v>659</v>
      </c>
      <c r="C3925" t="str">
        <f>'9A'!$AV$32</f>
        <v>BO_1705208</v>
      </c>
      <c r="D3925" t="s">
        <v>1618</v>
      </c>
      <c r="F3925" t="s">
        <v>7182</v>
      </c>
      <c r="G3925">
        <f>'9A'!$N$32</f>
        <v>0</v>
      </c>
    </row>
    <row r="3926" spans="1:7">
      <c r="A3926" t="s">
        <v>659</v>
      </c>
      <c r="C3926" t="str">
        <f>'9A'!$AW$32</f>
        <v>BO23_1705208</v>
      </c>
      <c r="D3926" t="s">
        <v>1619</v>
      </c>
      <c r="F3926" t="s">
        <v>7182</v>
      </c>
      <c r="G3926">
        <f>'9A'!$O$32</f>
        <v>0</v>
      </c>
    </row>
    <row r="3927" spans="1:7">
      <c r="A3927" t="s">
        <v>659</v>
      </c>
      <c r="C3927" t="str">
        <f>'9A'!$AK$33</f>
        <v>BO_8134703</v>
      </c>
      <c r="D3927" t="s">
        <v>1620</v>
      </c>
      <c r="F3927" t="s">
        <v>7182</v>
      </c>
      <c r="G3927">
        <f>'9A'!$C$33</f>
        <v>0</v>
      </c>
    </row>
    <row r="3928" spans="1:7">
      <c r="A3928" t="s">
        <v>659</v>
      </c>
      <c r="C3928" t="str">
        <f>'9A'!$AL$33</f>
        <v>BO_4346510</v>
      </c>
      <c r="D3928" t="s">
        <v>1621</v>
      </c>
      <c r="F3928" t="s">
        <v>7182</v>
      </c>
      <c r="G3928">
        <f>'9A'!$D$33</f>
        <v>0</v>
      </c>
    </row>
    <row r="3929" spans="1:7">
      <c r="A3929" t="s">
        <v>659</v>
      </c>
      <c r="C3929" t="str">
        <f>'9A'!$AM$33</f>
        <v>BO_6296208</v>
      </c>
      <c r="D3929" t="s">
        <v>1622</v>
      </c>
      <c r="F3929" t="s">
        <v>7182</v>
      </c>
      <c r="G3929">
        <f>'9A'!$E$33</f>
        <v>0</v>
      </c>
    </row>
    <row r="3930" spans="1:7">
      <c r="A3930" t="s">
        <v>659</v>
      </c>
      <c r="C3930" t="str">
        <f>'9A'!$AN$33</f>
        <v>BO_7223700</v>
      </c>
      <c r="D3930" t="s">
        <v>1623</v>
      </c>
      <c r="F3930" t="s">
        <v>7182</v>
      </c>
      <c r="G3930">
        <f>'9A'!$F$33</f>
        <v>0</v>
      </c>
    </row>
    <row r="3931" spans="1:7">
      <c r="A3931" t="s">
        <v>659</v>
      </c>
      <c r="C3931" t="str">
        <f>'9A'!$AO$33</f>
        <v>BO_7530883</v>
      </c>
      <c r="D3931" t="s">
        <v>1624</v>
      </c>
      <c r="F3931" t="s">
        <v>7182</v>
      </c>
      <c r="G3931">
        <f>'9A'!$G$33</f>
        <v>0</v>
      </c>
    </row>
    <row r="3932" spans="1:7">
      <c r="A3932" t="s">
        <v>659</v>
      </c>
      <c r="C3932" t="str">
        <f>'9A'!$AP$33</f>
        <v>BO_7174882</v>
      </c>
      <c r="D3932" t="s">
        <v>1625</v>
      </c>
      <c r="F3932" t="s">
        <v>7182</v>
      </c>
      <c r="G3932">
        <f>'9A'!$H$33</f>
        <v>0</v>
      </c>
    </row>
    <row r="3933" spans="1:7">
      <c r="A3933" t="s">
        <v>659</v>
      </c>
      <c r="C3933" t="str">
        <f>'9A'!$AQ$33</f>
        <v>BO_8230060</v>
      </c>
      <c r="D3933" t="s">
        <v>1626</v>
      </c>
      <c r="F3933" t="s">
        <v>7182</v>
      </c>
      <c r="G3933">
        <f>'9A'!$I$33</f>
        <v>0</v>
      </c>
    </row>
    <row r="3934" spans="1:7">
      <c r="A3934" t="s">
        <v>659</v>
      </c>
      <c r="C3934" t="str">
        <f>'9A'!$AR$33</f>
        <v>BO_9163631</v>
      </c>
      <c r="D3934" t="s">
        <v>1624</v>
      </c>
      <c r="F3934" t="s">
        <v>7182</v>
      </c>
      <c r="G3934">
        <f>'9A'!$J$33</f>
        <v>0</v>
      </c>
    </row>
    <row r="3935" spans="1:7">
      <c r="A3935" t="s">
        <v>659</v>
      </c>
      <c r="C3935" t="str">
        <f>'9A'!$AS$33</f>
        <v>BO_2722774</v>
      </c>
      <c r="D3935" t="s">
        <v>1627</v>
      </c>
      <c r="F3935" t="s">
        <v>7182</v>
      </c>
      <c r="G3935">
        <f>'9A'!$K$33</f>
        <v>0</v>
      </c>
    </row>
    <row r="3936" spans="1:7">
      <c r="A3936" t="s">
        <v>659</v>
      </c>
      <c r="C3936" t="str">
        <f>'9A'!$AT$33</f>
        <v>BO_2630441</v>
      </c>
      <c r="D3936" t="s">
        <v>1628</v>
      </c>
      <c r="F3936" t="s">
        <v>7182</v>
      </c>
      <c r="G3936">
        <f>'9A'!$L$33</f>
        <v>0</v>
      </c>
    </row>
    <row r="3937" spans="1:7">
      <c r="A3937" t="s">
        <v>659</v>
      </c>
      <c r="C3937" t="str">
        <f>'9A'!$AU$33</f>
        <v>BO23_2630441</v>
      </c>
      <c r="D3937" t="s">
        <v>1629</v>
      </c>
      <c r="F3937" t="s">
        <v>7182</v>
      </c>
      <c r="G3937">
        <f>'9A'!$M$33</f>
        <v>0</v>
      </c>
    </row>
    <row r="3938" spans="1:7">
      <c r="A3938" t="s">
        <v>659</v>
      </c>
      <c r="C3938" t="str">
        <f>'9A'!$AV$33</f>
        <v>BO_1540196</v>
      </c>
      <c r="D3938" t="s">
        <v>1630</v>
      </c>
      <c r="F3938" t="s">
        <v>7182</v>
      </c>
      <c r="G3938">
        <f>'9A'!$N$33</f>
        <v>0</v>
      </c>
    </row>
    <row r="3939" spans="1:7">
      <c r="A3939" t="s">
        <v>659</v>
      </c>
      <c r="C3939" t="str">
        <f>'9A'!$AW$33</f>
        <v>BO23_1540196</v>
      </c>
      <c r="D3939" t="s">
        <v>1631</v>
      </c>
      <c r="F3939" t="s">
        <v>7182</v>
      </c>
      <c r="G3939">
        <f>'9A'!$O$33</f>
        <v>0</v>
      </c>
    </row>
    <row r="3940" spans="1:7">
      <c r="A3940" t="s">
        <v>659</v>
      </c>
      <c r="C3940" t="str">
        <f>'9A'!$AK$34</f>
        <v>BO_6374780</v>
      </c>
      <c r="D3940" t="s">
        <v>1632</v>
      </c>
      <c r="F3940" t="s">
        <v>7182</v>
      </c>
      <c r="G3940">
        <f>'9A'!$C$34</f>
        <v>0</v>
      </c>
    </row>
    <row r="3941" spans="1:7">
      <c r="A3941" t="s">
        <v>659</v>
      </c>
      <c r="C3941" t="str">
        <f>'9A'!$AL$34</f>
        <v>BO_8020127</v>
      </c>
      <c r="D3941" t="s">
        <v>1633</v>
      </c>
      <c r="F3941" t="s">
        <v>7182</v>
      </c>
      <c r="G3941">
        <f>'9A'!$D$34</f>
        <v>0</v>
      </c>
    </row>
    <row r="3942" spans="1:7">
      <c r="A3942" t="s">
        <v>659</v>
      </c>
      <c r="C3942" t="str">
        <f>'9A'!$AM$34</f>
        <v>BO_5705578</v>
      </c>
      <c r="D3942" t="s">
        <v>1634</v>
      </c>
      <c r="F3942" t="s">
        <v>7182</v>
      </c>
      <c r="G3942">
        <f>'9A'!$E$34</f>
        <v>0</v>
      </c>
    </row>
    <row r="3943" spans="1:7">
      <c r="A3943" t="s">
        <v>659</v>
      </c>
      <c r="C3943" t="str">
        <f>'9A'!$AN$34</f>
        <v>BO_4023311</v>
      </c>
      <c r="D3943" t="s">
        <v>1635</v>
      </c>
      <c r="F3943" t="s">
        <v>7182</v>
      </c>
      <c r="G3943">
        <f>'9A'!$F$34</f>
        <v>0</v>
      </c>
    </row>
    <row r="3944" spans="1:7">
      <c r="A3944" t="s">
        <v>659</v>
      </c>
      <c r="C3944" t="str">
        <f>'9A'!$AO$34</f>
        <v>BO_1210533</v>
      </c>
      <c r="D3944" t="s">
        <v>1636</v>
      </c>
      <c r="F3944" t="s">
        <v>7182</v>
      </c>
      <c r="G3944">
        <f>'9A'!$G$34</f>
        <v>0</v>
      </c>
    </row>
    <row r="3945" spans="1:7">
      <c r="A3945" t="s">
        <v>659</v>
      </c>
      <c r="C3945" t="str">
        <f>'9A'!$AP$34</f>
        <v>BO_8087259</v>
      </c>
      <c r="D3945" t="s">
        <v>1637</v>
      </c>
      <c r="F3945" t="s">
        <v>7182</v>
      </c>
      <c r="G3945">
        <f>'9A'!$H$34</f>
        <v>0</v>
      </c>
    </row>
    <row r="3946" spans="1:7">
      <c r="A3946" t="s">
        <v>659</v>
      </c>
      <c r="C3946" t="str">
        <f>'9A'!$AQ$34</f>
        <v>BO_9510142</v>
      </c>
      <c r="D3946" t="s">
        <v>1638</v>
      </c>
      <c r="F3946" t="s">
        <v>7182</v>
      </c>
      <c r="G3946">
        <f>'9A'!$I$34</f>
        <v>0</v>
      </c>
    </row>
    <row r="3947" spans="1:7">
      <c r="A3947" t="s">
        <v>659</v>
      </c>
      <c r="C3947" t="str">
        <f>'9A'!$AR$34</f>
        <v>BO_6391882</v>
      </c>
      <c r="D3947" t="s">
        <v>1636</v>
      </c>
      <c r="F3947" t="s">
        <v>7182</v>
      </c>
      <c r="G3947">
        <f>'9A'!$J$34</f>
        <v>0</v>
      </c>
    </row>
    <row r="3948" spans="1:7">
      <c r="A3948" t="s">
        <v>659</v>
      </c>
      <c r="C3948" t="str">
        <f>'9A'!$AS$34</f>
        <v>BO_2663033</v>
      </c>
      <c r="D3948" t="s">
        <v>1639</v>
      </c>
      <c r="F3948" t="s">
        <v>7182</v>
      </c>
      <c r="G3948">
        <f>'9A'!$K$34</f>
        <v>0</v>
      </c>
    </row>
    <row r="3949" spans="1:7">
      <c r="A3949" t="s">
        <v>659</v>
      </c>
      <c r="C3949" t="str">
        <f>'9A'!$AT$34</f>
        <v>BO_3559155</v>
      </c>
      <c r="D3949" t="s">
        <v>1640</v>
      </c>
      <c r="F3949" t="s">
        <v>7182</v>
      </c>
      <c r="G3949">
        <f>'9A'!$L$34</f>
        <v>0</v>
      </c>
    </row>
    <row r="3950" spans="1:7">
      <c r="A3950" t="s">
        <v>659</v>
      </c>
      <c r="C3950" t="str">
        <f>'9A'!$AU$34</f>
        <v>BO23_3559155</v>
      </c>
      <c r="D3950" t="s">
        <v>1641</v>
      </c>
      <c r="F3950" t="s">
        <v>7182</v>
      </c>
      <c r="G3950">
        <f>'9A'!$M$34</f>
        <v>0</v>
      </c>
    </row>
    <row r="3951" spans="1:7">
      <c r="A3951" t="s">
        <v>659</v>
      </c>
      <c r="C3951" t="str">
        <f>'9A'!$AV$34</f>
        <v>BO_2100314</v>
      </c>
      <c r="D3951" t="s">
        <v>1642</v>
      </c>
      <c r="F3951" t="s">
        <v>7182</v>
      </c>
      <c r="G3951">
        <f>'9A'!$N$34</f>
        <v>0</v>
      </c>
    </row>
    <row r="3952" spans="1:7">
      <c r="A3952" t="s">
        <v>659</v>
      </c>
      <c r="C3952" t="str">
        <f>'9A'!$AW$34</f>
        <v>BO23_2100314</v>
      </c>
      <c r="D3952" t="s">
        <v>1643</v>
      </c>
      <c r="F3952" t="s">
        <v>7182</v>
      </c>
      <c r="G3952">
        <f>'9A'!$O$34</f>
        <v>0</v>
      </c>
    </row>
    <row r="3953" spans="1:7">
      <c r="A3953" t="s">
        <v>659</v>
      </c>
      <c r="C3953" t="str">
        <f>'9A'!$AK$35</f>
        <v>BO_6251759</v>
      </c>
      <c r="D3953" t="s">
        <v>1644</v>
      </c>
      <c r="F3953" t="s">
        <v>7182</v>
      </c>
      <c r="G3953">
        <f>'9A'!$C$35</f>
        <v>0</v>
      </c>
    </row>
    <row r="3954" spans="1:7">
      <c r="A3954" t="s">
        <v>659</v>
      </c>
      <c r="C3954" t="str">
        <f>'9A'!$AL$35</f>
        <v>BO_745587</v>
      </c>
      <c r="D3954" t="s">
        <v>1645</v>
      </c>
      <c r="F3954" t="s">
        <v>7182</v>
      </c>
      <c r="G3954">
        <f>'9A'!$D$35</f>
        <v>0</v>
      </c>
    </row>
    <row r="3955" spans="1:7">
      <c r="A3955" t="s">
        <v>659</v>
      </c>
      <c r="C3955" t="str">
        <f>'9A'!$AM$35</f>
        <v>BO_4469775</v>
      </c>
      <c r="D3955" t="s">
        <v>1646</v>
      </c>
      <c r="F3955" t="s">
        <v>7182</v>
      </c>
      <c r="G3955">
        <f>'9A'!$E$35</f>
        <v>0</v>
      </c>
    </row>
    <row r="3956" spans="1:7">
      <c r="A3956" t="s">
        <v>659</v>
      </c>
      <c r="C3956" t="str">
        <f>'9A'!$AN$35</f>
        <v>BO_10110</v>
      </c>
      <c r="D3956" t="s">
        <v>1647</v>
      </c>
      <c r="F3956" t="s">
        <v>7182</v>
      </c>
      <c r="G3956">
        <f>'9A'!$F$35</f>
        <v>0</v>
      </c>
    </row>
    <row r="3957" spans="1:7">
      <c r="A3957" t="s">
        <v>659</v>
      </c>
      <c r="C3957" t="str">
        <f>'9A'!$AO$35</f>
        <v>BO_7918081</v>
      </c>
      <c r="D3957" t="s">
        <v>1648</v>
      </c>
      <c r="F3957" t="s">
        <v>7182</v>
      </c>
      <c r="G3957">
        <f>'9A'!$G$35</f>
        <v>0</v>
      </c>
    </row>
    <row r="3958" spans="1:7">
      <c r="A3958" t="s">
        <v>659</v>
      </c>
      <c r="C3958" t="str">
        <f>'9A'!$AP$35</f>
        <v>BO_8556865</v>
      </c>
      <c r="D3958" t="s">
        <v>1649</v>
      </c>
      <c r="F3958" t="s">
        <v>7182</v>
      </c>
      <c r="G3958">
        <f>'9A'!$H$35</f>
        <v>0</v>
      </c>
    </row>
    <row r="3959" spans="1:7">
      <c r="A3959" t="s">
        <v>659</v>
      </c>
      <c r="C3959" t="str">
        <f>'9A'!$AQ$35</f>
        <v>BO_2184147</v>
      </c>
      <c r="D3959" t="s">
        <v>1650</v>
      </c>
      <c r="F3959" t="s">
        <v>7182</v>
      </c>
      <c r="G3959">
        <f>'9A'!$I$35</f>
        <v>0</v>
      </c>
    </row>
    <row r="3960" spans="1:7">
      <c r="A3960" t="s">
        <v>659</v>
      </c>
      <c r="C3960" t="str">
        <f>'9A'!$AR$35</f>
        <v>BO_2556962</v>
      </c>
      <c r="D3960" t="s">
        <v>1648</v>
      </c>
      <c r="F3960" t="s">
        <v>7182</v>
      </c>
      <c r="G3960">
        <f>'9A'!$J$35</f>
        <v>0</v>
      </c>
    </row>
    <row r="3961" spans="1:7">
      <c r="A3961" t="s">
        <v>659</v>
      </c>
      <c r="C3961" t="str">
        <f>'9A'!$AS$35</f>
        <v>BO_3292677</v>
      </c>
      <c r="D3961" t="s">
        <v>1651</v>
      </c>
      <c r="F3961" t="s">
        <v>7182</v>
      </c>
      <c r="G3961">
        <f>'9A'!$K$35</f>
        <v>0</v>
      </c>
    </row>
    <row r="3962" spans="1:7">
      <c r="A3962" t="s">
        <v>659</v>
      </c>
      <c r="C3962" t="str">
        <f>'9A'!$AT$35</f>
        <v>BO_9805370</v>
      </c>
      <c r="D3962" t="s">
        <v>1652</v>
      </c>
      <c r="F3962" t="s">
        <v>7182</v>
      </c>
      <c r="G3962">
        <f>'9A'!$L$35</f>
        <v>0</v>
      </c>
    </row>
    <row r="3963" spans="1:7">
      <c r="A3963" t="s">
        <v>659</v>
      </c>
      <c r="C3963" t="str">
        <f>'9A'!$AU$35</f>
        <v>BO23_9805370</v>
      </c>
      <c r="D3963" t="s">
        <v>1653</v>
      </c>
      <c r="F3963" t="s">
        <v>7182</v>
      </c>
      <c r="G3963">
        <f>'9A'!$M$35</f>
        <v>0</v>
      </c>
    </row>
    <row r="3964" spans="1:7">
      <c r="A3964" t="s">
        <v>659</v>
      </c>
      <c r="C3964" t="str">
        <f>'9A'!$AV$35</f>
        <v>BO_9271376</v>
      </c>
      <c r="D3964" t="s">
        <v>1654</v>
      </c>
      <c r="F3964" t="s">
        <v>7182</v>
      </c>
      <c r="G3964">
        <f>'9A'!$N$35</f>
        <v>0</v>
      </c>
    </row>
    <row r="3965" spans="1:7">
      <c r="A3965" t="s">
        <v>659</v>
      </c>
      <c r="C3965" t="str">
        <f>'9A'!$AW$35</f>
        <v>BO23_9271376</v>
      </c>
      <c r="D3965" t="s">
        <v>1655</v>
      </c>
      <c r="F3965" t="s">
        <v>7182</v>
      </c>
      <c r="G3965">
        <f>'9A'!$O$35</f>
        <v>0</v>
      </c>
    </row>
    <row r="3966" spans="1:7">
      <c r="A3966" t="s">
        <v>659</v>
      </c>
      <c r="C3966" t="str">
        <f>'9A'!$AK$36</f>
        <v>BO_6759356</v>
      </c>
      <c r="D3966" t="s">
        <v>1656</v>
      </c>
      <c r="F3966" t="s">
        <v>7182</v>
      </c>
      <c r="G3966">
        <f>'9A'!$C$36</f>
        <v>0</v>
      </c>
    </row>
    <row r="3967" spans="1:7">
      <c r="A3967" t="s">
        <v>659</v>
      </c>
      <c r="C3967" t="str">
        <f>'9A'!$AL$36</f>
        <v>BO_3558456</v>
      </c>
      <c r="D3967" t="s">
        <v>1657</v>
      </c>
      <c r="F3967" t="s">
        <v>7182</v>
      </c>
      <c r="G3967">
        <f>'9A'!$D$36</f>
        <v>0</v>
      </c>
    </row>
    <row r="3968" spans="1:7">
      <c r="A3968" t="s">
        <v>659</v>
      </c>
      <c r="C3968" t="str">
        <f>'9A'!$AM$36</f>
        <v>BO_7518192</v>
      </c>
      <c r="D3968" t="s">
        <v>1658</v>
      </c>
      <c r="F3968" t="s">
        <v>7182</v>
      </c>
      <c r="G3968">
        <f>'9A'!$E$36</f>
        <v>0</v>
      </c>
    </row>
    <row r="3969" spans="1:7">
      <c r="A3969" t="s">
        <v>659</v>
      </c>
      <c r="C3969" t="str">
        <f>'9A'!$AN$36</f>
        <v>BO_7923913</v>
      </c>
      <c r="D3969" t="s">
        <v>1659</v>
      </c>
      <c r="F3969" t="s">
        <v>7182</v>
      </c>
      <c r="G3969">
        <f>'9A'!$F$36</f>
        <v>0</v>
      </c>
    </row>
    <row r="3970" spans="1:7">
      <c r="A3970" t="s">
        <v>659</v>
      </c>
      <c r="C3970" t="str">
        <f>'9A'!$AO$36</f>
        <v>BO_787784</v>
      </c>
      <c r="D3970" t="s">
        <v>1660</v>
      </c>
      <c r="F3970" t="s">
        <v>7182</v>
      </c>
      <c r="G3970">
        <f>'9A'!$G$36</f>
        <v>0</v>
      </c>
    </row>
    <row r="3971" spans="1:7">
      <c r="A3971" t="s">
        <v>659</v>
      </c>
      <c r="C3971" t="str">
        <f>'9A'!$AP$36</f>
        <v>BO_3376575</v>
      </c>
      <c r="D3971" t="s">
        <v>1661</v>
      </c>
      <c r="F3971" t="s">
        <v>7182</v>
      </c>
      <c r="G3971">
        <f>'9A'!$H$36</f>
        <v>0</v>
      </c>
    </row>
    <row r="3972" spans="1:7">
      <c r="A3972" t="s">
        <v>659</v>
      </c>
      <c r="C3972" t="str">
        <f>'9A'!$AQ$36</f>
        <v>BO_8703282</v>
      </c>
      <c r="D3972" t="s">
        <v>1662</v>
      </c>
      <c r="F3972" t="s">
        <v>7182</v>
      </c>
      <c r="G3972">
        <f>'9A'!$I$36</f>
        <v>0</v>
      </c>
    </row>
    <row r="3973" spans="1:7">
      <c r="A3973" t="s">
        <v>659</v>
      </c>
      <c r="C3973" t="str">
        <f>'9A'!$AR$36</f>
        <v>BO_8716304</v>
      </c>
      <c r="D3973" t="s">
        <v>1660</v>
      </c>
      <c r="F3973" t="s">
        <v>7182</v>
      </c>
      <c r="G3973">
        <f>'9A'!$J$36</f>
        <v>0</v>
      </c>
    </row>
    <row r="3974" spans="1:7">
      <c r="A3974" t="s">
        <v>659</v>
      </c>
      <c r="C3974" t="str">
        <f>'9A'!$AS$36</f>
        <v>BO_8240280</v>
      </c>
      <c r="D3974" t="s">
        <v>1663</v>
      </c>
      <c r="F3974" t="s">
        <v>7182</v>
      </c>
      <c r="G3974">
        <f>'9A'!$K$36</f>
        <v>0</v>
      </c>
    </row>
    <row r="3975" spans="1:7">
      <c r="A3975" t="s">
        <v>659</v>
      </c>
      <c r="C3975" t="str">
        <f>'9A'!$AT$36</f>
        <v>BO_259386</v>
      </c>
      <c r="D3975" t="s">
        <v>1664</v>
      </c>
      <c r="F3975" t="s">
        <v>7182</v>
      </c>
      <c r="G3975">
        <f>'9A'!$L$36</f>
        <v>0</v>
      </c>
    </row>
    <row r="3976" spans="1:7">
      <c r="A3976" t="s">
        <v>659</v>
      </c>
      <c r="C3976" t="str">
        <f>'9A'!$AU$36</f>
        <v>BO23_259386</v>
      </c>
      <c r="D3976" t="s">
        <v>1665</v>
      </c>
      <c r="F3976" t="s">
        <v>7182</v>
      </c>
      <c r="G3976">
        <f>'9A'!$M$36</f>
        <v>0</v>
      </c>
    </row>
    <row r="3977" spans="1:7">
      <c r="A3977" t="s">
        <v>659</v>
      </c>
      <c r="C3977" t="str">
        <f>'9A'!$AV$36</f>
        <v>BO_1062786</v>
      </c>
      <c r="D3977" t="s">
        <v>1666</v>
      </c>
      <c r="F3977" t="s">
        <v>7182</v>
      </c>
      <c r="G3977">
        <f>'9A'!$N$36</f>
        <v>0</v>
      </c>
    </row>
    <row r="3978" spans="1:7">
      <c r="A3978" t="s">
        <v>659</v>
      </c>
      <c r="C3978" t="str">
        <f>'9A'!$AW$36</f>
        <v>BO23_1062786</v>
      </c>
      <c r="D3978" t="s">
        <v>1667</v>
      </c>
      <c r="F3978" t="s">
        <v>7182</v>
      </c>
      <c r="G3978">
        <f>'9A'!$O$36</f>
        <v>0</v>
      </c>
    </row>
    <row r="3979" spans="1:7">
      <c r="A3979" t="s">
        <v>659</v>
      </c>
      <c r="C3979" t="str">
        <f>'9A'!$AK$37</f>
        <v>BO_9330663</v>
      </c>
      <c r="D3979" t="s">
        <v>1668</v>
      </c>
      <c r="F3979" t="s">
        <v>7182</v>
      </c>
      <c r="G3979">
        <f>'9A'!$C$37</f>
        <v>0</v>
      </c>
    </row>
    <row r="3980" spans="1:7">
      <c r="A3980" t="s">
        <v>659</v>
      </c>
      <c r="C3980" t="str">
        <f>'9A'!$AL$37</f>
        <v>BO_3554136</v>
      </c>
      <c r="D3980" t="s">
        <v>1669</v>
      </c>
      <c r="F3980" t="s">
        <v>7182</v>
      </c>
      <c r="G3980">
        <f>'9A'!$D$37</f>
        <v>0</v>
      </c>
    </row>
    <row r="3981" spans="1:7">
      <c r="A3981" t="s">
        <v>659</v>
      </c>
      <c r="C3981" t="str">
        <f>'9A'!$AM$37</f>
        <v>BO_5025681</v>
      </c>
      <c r="D3981" t="s">
        <v>1670</v>
      </c>
      <c r="F3981" t="s">
        <v>7182</v>
      </c>
      <c r="G3981">
        <f>'9A'!$E$37</f>
        <v>0</v>
      </c>
    </row>
    <row r="3982" spans="1:7">
      <c r="A3982" t="s">
        <v>659</v>
      </c>
      <c r="C3982" t="str">
        <f>'9A'!$AN$37</f>
        <v>BO_6958429</v>
      </c>
      <c r="D3982" t="s">
        <v>1671</v>
      </c>
      <c r="F3982" t="s">
        <v>7182</v>
      </c>
      <c r="G3982">
        <f>'9A'!$F$37</f>
        <v>0</v>
      </c>
    </row>
    <row r="3983" spans="1:7">
      <c r="A3983" t="s">
        <v>659</v>
      </c>
      <c r="C3983" t="str">
        <f>'9A'!$AO$37</f>
        <v>BO_2003405</v>
      </c>
      <c r="D3983" t="s">
        <v>1672</v>
      </c>
      <c r="F3983" t="s">
        <v>7182</v>
      </c>
      <c r="G3983">
        <f>'9A'!$G$37</f>
        <v>0</v>
      </c>
    </row>
    <row r="3984" spans="1:7">
      <c r="A3984" t="s">
        <v>659</v>
      </c>
      <c r="C3984" t="str">
        <f>'9A'!$AP$37</f>
        <v>BO_1254519</v>
      </c>
      <c r="D3984" t="s">
        <v>1673</v>
      </c>
      <c r="F3984" t="s">
        <v>7182</v>
      </c>
      <c r="G3984">
        <f>'9A'!$H$37</f>
        <v>0</v>
      </c>
    </row>
    <row r="3985" spans="1:7">
      <c r="A3985" t="s">
        <v>659</v>
      </c>
      <c r="C3985" t="str">
        <f>'9A'!$AQ$37</f>
        <v>BO_8344663</v>
      </c>
      <c r="D3985" t="s">
        <v>1674</v>
      </c>
      <c r="F3985" t="s">
        <v>7182</v>
      </c>
      <c r="G3985">
        <f>'9A'!$I$37</f>
        <v>0</v>
      </c>
    </row>
    <row r="3986" spans="1:7">
      <c r="A3986" t="s">
        <v>659</v>
      </c>
      <c r="C3986" t="str">
        <f>'9A'!$AR$37</f>
        <v>BO_2012486</v>
      </c>
      <c r="D3986" t="s">
        <v>1672</v>
      </c>
      <c r="F3986" t="s">
        <v>7182</v>
      </c>
      <c r="G3986">
        <f>'9A'!$J$37</f>
        <v>0</v>
      </c>
    </row>
    <row r="3987" spans="1:7">
      <c r="A3987" t="s">
        <v>659</v>
      </c>
      <c r="C3987" t="str">
        <f>'9A'!$AS$37</f>
        <v>BO_6485641</v>
      </c>
      <c r="D3987" t="s">
        <v>1675</v>
      </c>
      <c r="F3987" t="s">
        <v>7182</v>
      </c>
      <c r="G3987">
        <f>'9A'!$K$37</f>
        <v>0</v>
      </c>
    </row>
    <row r="3988" spans="1:7">
      <c r="A3988" t="s">
        <v>659</v>
      </c>
      <c r="C3988" t="str">
        <f>'9A'!$AT$37</f>
        <v>BO_7648524</v>
      </c>
      <c r="D3988" t="s">
        <v>1676</v>
      </c>
      <c r="F3988" t="s">
        <v>7182</v>
      </c>
      <c r="G3988">
        <f>'9A'!$L$37</f>
        <v>0</v>
      </c>
    </row>
    <row r="3989" spans="1:7">
      <c r="A3989" t="s">
        <v>659</v>
      </c>
      <c r="C3989" t="str">
        <f>'9A'!$AU$37</f>
        <v>BO23_7648524</v>
      </c>
      <c r="D3989" t="s">
        <v>1677</v>
      </c>
      <c r="F3989" t="s">
        <v>7182</v>
      </c>
      <c r="G3989">
        <f>'9A'!$M$37</f>
        <v>0</v>
      </c>
    </row>
    <row r="3990" spans="1:7">
      <c r="A3990" t="s">
        <v>659</v>
      </c>
      <c r="C3990" t="str">
        <f>'9A'!$AV$37</f>
        <v>BO_954522</v>
      </c>
      <c r="D3990" t="s">
        <v>1678</v>
      </c>
      <c r="F3990" t="s">
        <v>7182</v>
      </c>
      <c r="G3990">
        <f>'9A'!$N$37</f>
        <v>0</v>
      </c>
    </row>
    <row r="3991" spans="1:7">
      <c r="A3991" t="s">
        <v>659</v>
      </c>
      <c r="C3991" t="str">
        <f>'9A'!$AW$37</f>
        <v>BO23_954522</v>
      </c>
      <c r="D3991" t="s">
        <v>1679</v>
      </c>
      <c r="F3991" t="s">
        <v>7182</v>
      </c>
      <c r="G3991">
        <f>'9A'!$O$37</f>
        <v>0</v>
      </c>
    </row>
    <row r="3992" spans="1:7">
      <c r="A3992" t="s">
        <v>659</v>
      </c>
      <c r="C3992" t="str">
        <f>'9A'!$AK$38</f>
        <v>BO_7697659</v>
      </c>
      <c r="D3992" t="s">
        <v>1680</v>
      </c>
      <c r="F3992" t="s">
        <v>7182</v>
      </c>
      <c r="G3992">
        <f>'9A'!$C$38</f>
        <v>0</v>
      </c>
    </row>
    <row r="3993" spans="1:7">
      <c r="A3993" t="s">
        <v>659</v>
      </c>
      <c r="C3993" t="str">
        <f>'9A'!$AL$38</f>
        <v>BO_2445707</v>
      </c>
      <c r="D3993" t="s">
        <v>1681</v>
      </c>
      <c r="F3993" t="s">
        <v>7182</v>
      </c>
      <c r="G3993">
        <f>'9A'!$D$38</f>
        <v>0</v>
      </c>
    </row>
    <row r="3994" spans="1:7">
      <c r="A3994" t="s">
        <v>659</v>
      </c>
      <c r="C3994" t="str">
        <f>'9A'!$AM$38</f>
        <v>BO_9617921</v>
      </c>
      <c r="D3994" t="s">
        <v>1682</v>
      </c>
      <c r="F3994" t="s">
        <v>7182</v>
      </c>
      <c r="G3994">
        <f>'9A'!$E$38</f>
        <v>0</v>
      </c>
    </row>
    <row r="3995" spans="1:7">
      <c r="A3995" t="s">
        <v>659</v>
      </c>
      <c r="C3995" t="str">
        <f>'9A'!$AN$38</f>
        <v>BO_9359394</v>
      </c>
      <c r="D3995" t="s">
        <v>1683</v>
      </c>
      <c r="F3995" t="s">
        <v>7182</v>
      </c>
      <c r="G3995">
        <f>'9A'!$F$38</f>
        <v>0</v>
      </c>
    </row>
    <row r="3996" spans="1:7">
      <c r="A3996" t="s">
        <v>659</v>
      </c>
      <c r="C3996" t="str">
        <f>'9A'!$AO$38</f>
        <v>BO_4164238</v>
      </c>
      <c r="D3996" t="s">
        <v>1684</v>
      </c>
      <c r="F3996" t="s">
        <v>7182</v>
      </c>
      <c r="G3996">
        <f>'9A'!$G$38</f>
        <v>0</v>
      </c>
    </row>
    <row r="3997" spans="1:7">
      <c r="A3997" t="s">
        <v>659</v>
      </c>
      <c r="C3997" t="str">
        <f>'9A'!$AP$38</f>
        <v>BO_6175034</v>
      </c>
      <c r="D3997" t="s">
        <v>1685</v>
      </c>
      <c r="F3997" t="s">
        <v>7182</v>
      </c>
      <c r="G3997">
        <f>'9A'!$H$38</f>
        <v>0</v>
      </c>
    </row>
    <row r="3998" spans="1:7">
      <c r="A3998" t="s">
        <v>659</v>
      </c>
      <c r="C3998" t="str">
        <f>'9A'!$AQ$38</f>
        <v>BO_5881970</v>
      </c>
      <c r="D3998" t="s">
        <v>1686</v>
      </c>
      <c r="F3998" t="s">
        <v>7182</v>
      </c>
      <c r="G3998">
        <f>'9A'!$I$38</f>
        <v>0</v>
      </c>
    </row>
    <row r="3999" spans="1:7">
      <c r="A3999" t="s">
        <v>659</v>
      </c>
      <c r="C3999" t="str">
        <f>'9A'!$AR$38</f>
        <v>BO_6508247</v>
      </c>
      <c r="D3999" t="s">
        <v>1684</v>
      </c>
      <c r="F3999" t="s">
        <v>7182</v>
      </c>
      <c r="G3999">
        <f>'9A'!$J$38</f>
        <v>0</v>
      </c>
    </row>
    <row r="4000" spans="1:7">
      <c r="A4000" t="s">
        <v>659</v>
      </c>
      <c r="C4000" t="str">
        <f>'9A'!$AS$38</f>
        <v>BO_8701815</v>
      </c>
      <c r="D4000" t="s">
        <v>1687</v>
      </c>
      <c r="F4000" t="s">
        <v>7182</v>
      </c>
      <c r="G4000">
        <f>'9A'!$K$38</f>
        <v>0</v>
      </c>
    </row>
    <row r="4001" spans="1:7">
      <c r="A4001" t="s">
        <v>659</v>
      </c>
      <c r="C4001" t="str">
        <f>'9A'!$AT$38</f>
        <v>BO_6148232</v>
      </c>
      <c r="D4001" t="s">
        <v>1688</v>
      </c>
      <c r="F4001" t="s">
        <v>7182</v>
      </c>
      <c r="G4001">
        <f>'9A'!$L$38</f>
        <v>0</v>
      </c>
    </row>
    <row r="4002" spans="1:7">
      <c r="A4002" t="s">
        <v>659</v>
      </c>
      <c r="C4002" t="str">
        <f>'9A'!$AU$38</f>
        <v>BO23_6148232</v>
      </c>
      <c r="D4002" t="s">
        <v>1689</v>
      </c>
      <c r="F4002" t="s">
        <v>7182</v>
      </c>
      <c r="G4002">
        <f>'9A'!$M$38</f>
        <v>0</v>
      </c>
    </row>
    <row r="4003" spans="1:7">
      <c r="A4003" t="s">
        <v>659</v>
      </c>
      <c r="C4003" t="str">
        <f>'9A'!$AV$38</f>
        <v>BO_7707001</v>
      </c>
      <c r="D4003" t="s">
        <v>1690</v>
      </c>
      <c r="F4003" t="s">
        <v>7182</v>
      </c>
      <c r="G4003">
        <f>'9A'!$N$38</f>
        <v>0</v>
      </c>
    </row>
    <row r="4004" spans="1:7">
      <c r="A4004" t="s">
        <v>659</v>
      </c>
      <c r="C4004" t="str">
        <f>'9A'!$AW$38</f>
        <v>BO23_7707001</v>
      </c>
      <c r="D4004" t="s">
        <v>1691</v>
      </c>
      <c r="F4004" t="s">
        <v>7182</v>
      </c>
      <c r="G4004">
        <f>'9A'!$O$38</f>
        <v>0</v>
      </c>
    </row>
    <row r="4005" spans="1:7">
      <c r="A4005" t="s">
        <v>659</v>
      </c>
      <c r="C4005" t="str">
        <f>'9A'!$AK$39</f>
        <v>BO_954151</v>
      </c>
      <c r="D4005" t="s">
        <v>1692</v>
      </c>
      <c r="F4005" t="s">
        <v>7182</v>
      </c>
      <c r="G4005">
        <f>'9A'!$C$39</f>
        <v>0</v>
      </c>
    </row>
    <row r="4006" spans="1:7">
      <c r="A4006" t="s">
        <v>659</v>
      </c>
      <c r="C4006" t="str">
        <f>'9A'!$AL$39</f>
        <v>BO_9474392</v>
      </c>
      <c r="D4006" t="s">
        <v>1693</v>
      </c>
      <c r="F4006" t="s">
        <v>7182</v>
      </c>
      <c r="G4006">
        <f>'9A'!$D$39</f>
        <v>0</v>
      </c>
    </row>
    <row r="4007" spans="1:7">
      <c r="A4007" t="s">
        <v>659</v>
      </c>
      <c r="C4007" t="str">
        <f>'9A'!$AM$39</f>
        <v>BO_6867152</v>
      </c>
      <c r="D4007" t="s">
        <v>1694</v>
      </c>
      <c r="F4007" t="s">
        <v>7182</v>
      </c>
      <c r="G4007">
        <f>'9A'!$E$39</f>
        <v>0</v>
      </c>
    </row>
    <row r="4008" spans="1:7">
      <c r="A4008" t="s">
        <v>659</v>
      </c>
      <c r="C4008" t="str">
        <f>'9A'!$AN$39</f>
        <v>BO_6329274</v>
      </c>
      <c r="D4008" t="s">
        <v>1695</v>
      </c>
      <c r="F4008" t="s">
        <v>7182</v>
      </c>
      <c r="G4008">
        <f>'9A'!$F$39</f>
        <v>0</v>
      </c>
    </row>
    <row r="4009" spans="1:7">
      <c r="A4009" t="s">
        <v>659</v>
      </c>
      <c r="C4009" t="str">
        <f>'9A'!$AO$39</f>
        <v>BO_8008024</v>
      </c>
      <c r="D4009" t="s">
        <v>1696</v>
      </c>
      <c r="F4009" t="s">
        <v>7182</v>
      </c>
      <c r="G4009">
        <f>'9A'!$G$39</f>
        <v>0</v>
      </c>
    </row>
    <row r="4010" spans="1:7">
      <c r="A4010" t="s">
        <v>659</v>
      </c>
      <c r="C4010" t="str">
        <f>'9A'!$AP$39</f>
        <v>BO_4529482</v>
      </c>
      <c r="D4010" t="s">
        <v>1697</v>
      </c>
      <c r="F4010" t="s">
        <v>7182</v>
      </c>
      <c r="G4010">
        <f>'9A'!$H$39</f>
        <v>0</v>
      </c>
    </row>
    <row r="4011" spans="1:7">
      <c r="A4011" t="s">
        <v>659</v>
      </c>
      <c r="C4011" t="str">
        <f>'9A'!$AQ$39</f>
        <v>BO_6799701</v>
      </c>
      <c r="D4011" t="s">
        <v>1698</v>
      </c>
      <c r="F4011" t="s">
        <v>7182</v>
      </c>
      <c r="G4011">
        <f>'9A'!$I$39</f>
        <v>0</v>
      </c>
    </row>
    <row r="4012" spans="1:7">
      <c r="A4012" t="s">
        <v>659</v>
      </c>
      <c r="C4012" t="str">
        <f>'9A'!$AR$39</f>
        <v>BO_5674113</v>
      </c>
      <c r="D4012" t="s">
        <v>1696</v>
      </c>
      <c r="F4012" t="s">
        <v>7182</v>
      </c>
      <c r="G4012">
        <f>'9A'!$J$39</f>
        <v>0</v>
      </c>
    </row>
    <row r="4013" spans="1:7">
      <c r="A4013" t="s">
        <v>659</v>
      </c>
      <c r="C4013" t="str">
        <f>'9A'!$AS$39</f>
        <v>BO_5818165</v>
      </c>
      <c r="D4013" t="s">
        <v>1699</v>
      </c>
      <c r="F4013" t="s">
        <v>7182</v>
      </c>
      <c r="G4013">
        <f>'9A'!$K$39</f>
        <v>0</v>
      </c>
    </row>
    <row r="4014" spans="1:7">
      <c r="A4014" t="s">
        <v>659</v>
      </c>
      <c r="C4014" t="str">
        <f>'9A'!$AT$39</f>
        <v>BO_5769717</v>
      </c>
      <c r="D4014" t="s">
        <v>1700</v>
      </c>
      <c r="F4014" t="s">
        <v>7182</v>
      </c>
      <c r="G4014">
        <f>'9A'!$L$39</f>
        <v>0</v>
      </c>
    </row>
    <row r="4015" spans="1:7">
      <c r="A4015" t="s">
        <v>659</v>
      </c>
      <c r="C4015" t="str">
        <f>'9A'!$AU$39</f>
        <v>BO23_5769717</v>
      </c>
      <c r="D4015" t="s">
        <v>1701</v>
      </c>
      <c r="F4015" t="s">
        <v>7182</v>
      </c>
      <c r="G4015">
        <f>'9A'!$M$39</f>
        <v>0</v>
      </c>
    </row>
    <row r="4016" spans="1:7">
      <c r="A4016" t="s">
        <v>659</v>
      </c>
      <c r="C4016" t="str">
        <f>'9A'!$AV$39</f>
        <v>BO_7827747</v>
      </c>
      <c r="D4016" t="s">
        <v>1702</v>
      </c>
      <c r="F4016" t="s">
        <v>7182</v>
      </c>
      <c r="G4016">
        <f>'9A'!$N$39</f>
        <v>0</v>
      </c>
    </row>
    <row r="4017" spans="1:7">
      <c r="A4017" t="s">
        <v>659</v>
      </c>
      <c r="C4017" t="str">
        <f>'9A'!$AW$39</f>
        <v>BO23_7827747</v>
      </c>
      <c r="D4017" t="s">
        <v>1703</v>
      </c>
      <c r="F4017" t="s">
        <v>7182</v>
      </c>
      <c r="G4017">
        <f>'9A'!$O$39</f>
        <v>0</v>
      </c>
    </row>
    <row r="4018" spans="1:7">
      <c r="A4018" t="s">
        <v>659</v>
      </c>
      <c r="C4018" t="str">
        <f>'9A'!$AK$40</f>
        <v>BO_709060</v>
      </c>
      <c r="D4018" t="s">
        <v>1704</v>
      </c>
      <c r="F4018" t="s">
        <v>7182</v>
      </c>
      <c r="G4018">
        <f>'9A'!$C$40</f>
        <v>11.778</v>
      </c>
    </row>
    <row r="4019" spans="1:7">
      <c r="A4019" t="s">
        <v>659</v>
      </c>
      <c r="C4019" t="str">
        <f>'9A'!$AL$40</f>
        <v>BO_8196426</v>
      </c>
      <c r="D4019" t="s">
        <v>1705</v>
      </c>
      <c r="F4019" t="s">
        <v>7182</v>
      </c>
      <c r="G4019">
        <f>'9A'!$D$40</f>
        <v>0</v>
      </c>
    </row>
    <row r="4020" spans="1:7">
      <c r="A4020" t="s">
        <v>659</v>
      </c>
      <c r="C4020" t="str">
        <f>'9A'!$AM$40</f>
        <v>BO_1993881</v>
      </c>
      <c r="D4020" t="s">
        <v>1706</v>
      </c>
      <c r="F4020" t="s">
        <v>7182</v>
      </c>
      <c r="G4020">
        <f>'9A'!$E$40</f>
        <v>1.5490000000000002</v>
      </c>
    </row>
    <row r="4021" spans="1:7">
      <c r="A4021" t="s">
        <v>659</v>
      </c>
      <c r="C4021" t="str">
        <f>'9A'!$AN$40</f>
        <v>BO_8061588</v>
      </c>
      <c r="D4021" t="s">
        <v>1707</v>
      </c>
      <c r="F4021" t="s">
        <v>7182</v>
      </c>
      <c r="G4021">
        <f>'9A'!$F$40</f>
        <v>1.5490000000000002</v>
      </c>
    </row>
    <row r="4022" spans="1:7">
      <c r="A4022" t="s">
        <v>659</v>
      </c>
      <c r="C4022" t="str">
        <f>'9A'!$AO$40</f>
        <v>BO_2205112</v>
      </c>
      <c r="D4022" t="s">
        <v>1708</v>
      </c>
      <c r="F4022" t="s">
        <v>7182</v>
      </c>
      <c r="G4022">
        <f>'9A'!$G$40</f>
        <v>0</v>
      </c>
    </row>
    <row r="4023" spans="1:7">
      <c r="A4023" t="s">
        <v>659</v>
      </c>
      <c r="C4023" t="str">
        <f>'9A'!$AP$40</f>
        <v>BO_2488494</v>
      </c>
      <c r="D4023" t="s">
        <v>1709</v>
      </c>
      <c r="F4023" t="s">
        <v>7182</v>
      </c>
      <c r="G4023">
        <f>'9A'!$H$40</f>
        <v>11.778</v>
      </c>
    </row>
    <row r="4024" spans="1:7">
      <c r="A4024" t="s">
        <v>659</v>
      </c>
      <c r="C4024" t="str">
        <f>'9A'!$AQ$40</f>
        <v>BO_3942593</v>
      </c>
      <c r="D4024" t="s">
        <v>1710</v>
      </c>
      <c r="F4024" t="s">
        <v>7182</v>
      </c>
      <c r="G4024">
        <f>'9A'!$I$40</f>
        <v>1.5490000000000002</v>
      </c>
    </row>
    <row r="4025" spans="1:7">
      <c r="A4025" t="s">
        <v>659</v>
      </c>
      <c r="C4025" t="str">
        <f>'9A'!$AR$40</f>
        <v>BO_7737865</v>
      </c>
      <c r="D4025" t="s">
        <v>1708</v>
      </c>
      <c r="F4025" t="s">
        <v>7182</v>
      </c>
      <c r="G4025">
        <f>'9A'!$J$40</f>
        <v>-10.228999999999999</v>
      </c>
    </row>
    <row r="4026" spans="1:7">
      <c r="A4026" t="s">
        <v>659</v>
      </c>
      <c r="C4026" t="str">
        <f>'9A'!$AS$40</f>
        <v>BO_9499548</v>
      </c>
      <c r="D4026" t="s">
        <v>1711</v>
      </c>
      <c r="F4026" t="s">
        <v>7182</v>
      </c>
      <c r="G4026">
        <f>'9A'!$K$40</f>
        <v>10.228999999999999</v>
      </c>
    </row>
    <row r="4027" spans="1:7">
      <c r="A4027" t="s">
        <v>659</v>
      </c>
      <c r="C4027" t="str">
        <f>'9A'!$AT$40</f>
        <v>BO_9075086</v>
      </c>
      <c r="D4027" t="s">
        <v>1712</v>
      </c>
      <c r="F4027" t="s">
        <v>7182</v>
      </c>
      <c r="G4027">
        <f>'9A'!$L$40</f>
        <v>0</v>
      </c>
    </row>
    <row r="4028" spans="1:7">
      <c r="A4028" t="s">
        <v>659</v>
      </c>
      <c r="C4028" t="str">
        <f>'9A'!$AU$40</f>
        <v>BO23_9075086</v>
      </c>
      <c r="D4028" t="s">
        <v>1713</v>
      </c>
      <c r="F4028" t="s">
        <v>7182</v>
      </c>
      <c r="G4028">
        <f>'9A'!$M$40</f>
        <v>0</v>
      </c>
    </row>
    <row r="4029" spans="1:7">
      <c r="A4029" t="s">
        <v>659</v>
      </c>
      <c r="C4029" t="str">
        <f>'9A'!$AV$40</f>
        <v>BO_2988952</v>
      </c>
      <c r="D4029" t="s">
        <v>1714</v>
      </c>
      <c r="F4029" t="s">
        <v>7182</v>
      </c>
      <c r="G4029">
        <f>'9A'!$N$40</f>
        <v>0</v>
      </c>
    </row>
    <row r="4030" spans="1:7">
      <c r="A4030" t="s">
        <v>659</v>
      </c>
      <c r="C4030" t="str">
        <f>'9A'!$AW$40</f>
        <v>BO23_2988952</v>
      </c>
      <c r="D4030" t="s">
        <v>1715</v>
      </c>
      <c r="F4030" t="s">
        <v>7182</v>
      </c>
      <c r="G4030">
        <f>'9A'!$O$40</f>
        <v>0</v>
      </c>
    </row>
    <row r="4031" spans="1:7">
      <c r="A4031" t="s">
        <v>660</v>
      </c>
      <c r="C4031" t="str">
        <f>'11A'!$T$11</f>
        <v>BR001_S1WBF</v>
      </c>
      <c r="D4031" t="str">
        <f>_xlfn.CONCAT('11A'!$B$10, "-", '11A'!$B$11, "-", '11A'!$C$8, "-", '11A'!$C$7, "-", '11A'!$C$6, "-", '11A'!$C$5)</f>
        <v>Scope one emissions-Burning of fossil fuels (location-based)-3-tCO2e-Water-Operational emissions</v>
      </c>
      <c r="F4031" t="s">
        <v>7182</v>
      </c>
      <c r="G4031">
        <f>'11A'!$C$11</f>
        <v>2262.739</v>
      </c>
    </row>
    <row r="4032" spans="1:7">
      <c r="A4032" t="s">
        <v>660</v>
      </c>
      <c r="C4032" t="str">
        <f>'11A'!$U$11</f>
        <v>BR002_S1WWBF</v>
      </c>
      <c r="D4032" t="str">
        <f>_xlfn.CONCAT('11A'!$B$10, "-", '11A'!$B$11, "-", '11A'!$D$8, "-", '11A'!$D$7, "-", '11A'!$D$6, "-", '11A'!$C$5)</f>
        <v>Scope one emissions-Burning of fossil fuels (location-based)-3-tCO2e-Wastewater-Operational emissions</v>
      </c>
      <c r="F4032" t="s">
        <v>7182</v>
      </c>
      <c r="G4032">
        <f>'11A'!$D$11</f>
        <v>36048.724000000002</v>
      </c>
    </row>
    <row r="4033" spans="1:7">
      <c r="A4033" t="s">
        <v>660</v>
      </c>
      <c r="C4033" t="str">
        <f>'11A'!$V$11</f>
        <v>BR003_S1TOBF</v>
      </c>
      <c r="D4033" t="str">
        <f>_xlfn.CONCAT('11A'!$B$10, "-", '11A'!$B$11, "-", '11A'!$E$8, "-", '11A'!$E$7, "-", '11A'!$E$6, "-", '11A'!$C$5)</f>
        <v>Scope one emissions-Burning of fossil fuels (location-based)-3-tCO2e-Total-Operational emissions</v>
      </c>
      <c r="F4033" t="s">
        <v>7182</v>
      </c>
      <c r="G4033">
        <f>'11A'!$E$11</f>
        <v>38311.463000000003</v>
      </c>
    </row>
    <row r="4034" spans="1:7">
      <c r="A4034" t="s">
        <v>660</v>
      </c>
      <c r="C4034" t="str">
        <f>'11A'!$T$12</f>
        <v>BO_8218400</v>
      </c>
      <c r="D4034" t="str">
        <f>_xlfn.CONCAT('11A'!$B$10, "-", '11A'!$B$12, "-", '11A'!$C$8, "-", '11A'!$C$7, "-", '11A'!$C$6, "-", '11A'!$C$5)</f>
        <v>Scope one emissions-Burning of fossil fuels (market-based)-3-tCO2e-Water-Operational emissions</v>
      </c>
      <c r="F4034" t="s">
        <v>7182</v>
      </c>
      <c r="G4034">
        <f>'11A'!$C$12</f>
        <v>1634.4169999999999</v>
      </c>
    </row>
    <row r="4035" spans="1:7">
      <c r="A4035" t="s">
        <v>660</v>
      </c>
      <c r="C4035" t="str">
        <f>'11A'!$U$12</f>
        <v>BO_1134050</v>
      </c>
      <c r="D4035" t="str">
        <f>_xlfn.CONCAT('11A'!$B$10, "-", '11A'!$B$12, "-", '11A'!$D$8, "-", '11A'!$D$7, "-", '11A'!$D$6, "-", '11A'!$C$5)</f>
        <v>Scope one emissions-Burning of fossil fuels (market-based)-3-tCO2e-Wastewater-Operational emissions</v>
      </c>
      <c r="F4035" t="s">
        <v>7182</v>
      </c>
      <c r="G4035">
        <f>'11A'!$D$12</f>
        <v>7039.0949000000001</v>
      </c>
    </row>
    <row r="4036" spans="1:7">
      <c r="A4036" t="s">
        <v>660</v>
      </c>
      <c r="C4036" t="str">
        <f>'11A'!$V$12</f>
        <v>BO_7562084</v>
      </c>
      <c r="D4036" t="str">
        <f>_xlfn.CONCAT('11A'!$B$10, "-", '11A'!$B$12, "-", '11A'!$E$8, "-", '11A'!$E$7, "-", '11A'!$E$6, "-", '11A'!$C$5)</f>
        <v>Scope one emissions-Burning of fossil fuels (market-based)-3-tCO2e-Total-Operational emissions</v>
      </c>
      <c r="F4036" t="s">
        <v>7182</v>
      </c>
      <c r="G4036">
        <f>'11A'!$E$12</f>
        <v>8673.5118999999995</v>
      </c>
    </row>
    <row r="4037" spans="1:7">
      <c r="A4037" t="s">
        <v>660</v>
      </c>
      <c r="C4037" t="str">
        <f>'11A'!$T$13</f>
        <v>BR004_S1WPG</v>
      </c>
      <c r="D4037" t="str">
        <f>_xlfn.CONCAT('11A'!$B$10, "-", '11A'!$B$13, "-", '11A'!$C$8, "-", '11A'!$C$7, "-", '11A'!$C$6, "-", '11A'!$C$5)</f>
        <v>Scope one emissions-Process and fugitive emissions-3-tCO2e-Water-Operational emissions</v>
      </c>
      <c r="F4037" t="s">
        <v>7182</v>
      </c>
      <c r="G4037">
        <f>'11A'!$C$13</f>
        <v>0</v>
      </c>
    </row>
    <row r="4038" spans="1:7">
      <c r="A4038" t="s">
        <v>660</v>
      </c>
      <c r="C4038" t="str">
        <f>'11A'!$U$13</f>
        <v>BR005_S1WWPG</v>
      </c>
      <c r="D4038" t="str">
        <f>_xlfn.CONCAT('11A'!$B$10, "-", '11A'!$B$13, "-", '11A'!$D$8, "-", '11A'!$D$7, "-", '11A'!$D$6, "-", '11A'!$C$5)</f>
        <v>Scope one emissions-Process and fugitive emissions-3-tCO2e-Wastewater-Operational emissions</v>
      </c>
      <c r="F4038" t="s">
        <v>7182</v>
      </c>
      <c r="G4038">
        <f>'11A'!$D$13</f>
        <v>29187.628000000001</v>
      </c>
    </row>
    <row r="4039" spans="1:7">
      <c r="A4039" t="s">
        <v>660</v>
      </c>
      <c r="C4039" t="str">
        <f>'11A'!$V$13</f>
        <v>BR006_S1TOPG</v>
      </c>
      <c r="D4039" t="str">
        <f>_xlfn.CONCAT('11A'!$B$10, "-", '11A'!$B$13, "-", '11A'!$E$8, "-", '11A'!$E$7, "-", '11A'!$E$6, "-", '11A'!$C$5)</f>
        <v>Scope one emissions-Process and fugitive emissions-3-tCO2e-Total-Operational emissions</v>
      </c>
      <c r="F4039" t="s">
        <v>7182</v>
      </c>
      <c r="G4039">
        <f>'11A'!$E$13</f>
        <v>29187.628000000001</v>
      </c>
    </row>
    <row r="4040" spans="1:7">
      <c r="A4040" t="s">
        <v>660</v>
      </c>
      <c r="C4040" t="str">
        <f>'11A'!$T$14</f>
        <v>BR007_S1WVT</v>
      </c>
      <c r="D4040" t="str">
        <f>_xlfn.CONCAT('11A'!$B$10, "-", '11A'!$B$14, "-", '11A'!$C$8, "-", '11A'!$C$7, "-", '11A'!$C$6, "-", '11A'!$C$5)</f>
        <v>Scope one emissions-Vehicle transport-3-tCO2e-Water-Operational emissions</v>
      </c>
      <c r="F4040" t="s">
        <v>7182</v>
      </c>
      <c r="G4040">
        <f>'11A'!$C$14</f>
        <v>3906.1023</v>
      </c>
    </row>
    <row r="4041" spans="1:7">
      <c r="A4041" t="s">
        <v>660</v>
      </c>
      <c r="C4041" t="str">
        <f>'11A'!$U$14</f>
        <v>BR008_S1WWVT</v>
      </c>
      <c r="D4041" t="str">
        <f>_xlfn.CONCAT('11A'!$B$10, "-", '11A'!$B$14, "-", '11A'!$D$8, "-", '11A'!$D$7, "-", '11A'!$D$6, "-", '11A'!$C$5)</f>
        <v>Scope one emissions-Vehicle transport-3-tCO2e-Wastewater-Operational emissions</v>
      </c>
      <c r="F4041" t="s">
        <v>7182</v>
      </c>
      <c r="G4041">
        <f>'11A'!$D$14</f>
        <v>3555.1990999999998</v>
      </c>
    </row>
    <row r="4042" spans="1:7">
      <c r="A4042" t="s">
        <v>660</v>
      </c>
      <c r="C4042" t="str">
        <f>'11A'!$V$14</f>
        <v>BR009_S1TOVT</v>
      </c>
      <c r="D4042" t="str">
        <f>_xlfn.CONCAT('11A'!$B$10, "-", '11A'!$B$14, "-", '11A'!$E$8, "-", '11A'!$E$7, "-", '11A'!$E$6, "-", '11A'!$C$5)</f>
        <v>Scope one emissions-Vehicle transport-3-tCO2e-Total-Operational emissions</v>
      </c>
      <c r="F4042" t="s">
        <v>7182</v>
      </c>
      <c r="G4042">
        <f>'11A'!$E$14</f>
        <v>7461.3014000000003</v>
      </c>
    </row>
    <row r="4043" spans="1:7">
      <c r="A4043" t="s">
        <v>660</v>
      </c>
      <c r="C4043" t="str">
        <f>'11A'!$T$15</f>
        <v>BO_4235456</v>
      </c>
      <c r="D4043" t="str">
        <f>_xlfn.CONCAT('11A'!$B$10, "-", '11A'!$B$15, "-", '11A'!$C$8, "-", '11A'!$C$7, "-", '11A'!$C$6, "-", '11A'!$C$5)</f>
        <v>Scope one emissions-Emissions from land-3-tCO2e-Water-Operational emissions</v>
      </c>
      <c r="F4043" t="s">
        <v>7182</v>
      </c>
      <c r="G4043">
        <f>'11A'!$C$15</f>
        <v>57.417167999999997</v>
      </c>
    </row>
    <row r="4044" spans="1:7">
      <c r="A4044" t="s">
        <v>660</v>
      </c>
      <c r="C4044" t="str">
        <f>'11A'!$U$15</f>
        <v>BO_9915427</v>
      </c>
      <c r="D4044" t="str">
        <f>_xlfn.CONCAT('11A'!$B$10, "-", '11A'!$B$15, "-", '11A'!$D$8, "-", '11A'!$D$7, "-", '11A'!$D$6, "-", '11A'!$C$5)</f>
        <v>Scope one emissions-Emissions from land-3-tCO2e-Wastewater-Operational emissions</v>
      </c>
      <c r="F4044" t="s">
        <v>7182</v>
      </c>
      <c r="G4044">
        <f>'11A'!$D$15</f>
        <v>0</v>
      </c>
    </row>
    <row r="4045" spans="1:7">
      <c r="A4045" t="s">
        <v>660</v>
      </c>
      <c r="C4045" t="str">
        <f>'11A'!$V$15</f>
        <v>BO_5953876</v>
      </c>
      <c r="D4045" t="str">
        <f>_xlfn.CONCAT('11A'!$B$10, "-", '11A'!$B$15, "-", '11A'!$E$8, "-", '11A'!$E$7, "-", '11A'!$E$6, "-", '11A'!$C$5)</f>
        <v>Scope one emissions-Emissions from land-3-tCO2e-Total-Operational emissions</v>
      </c>
      <c r="F4045" t="s">
        <v>7182</v>
      </c>
      <c r="G4045">
        <f>'11A'!$E$15</f>
        <v>57.417167999999997</v>
      </c>
    </row>
    <row r="4046" spans="1:7">
      <c r="A4046" t="s">
        <v>660</v>
      </c>
      <c r="C4046" t="str">
        <f>'11A'!$T$16</f>
        <v>BO_449931</v>
      </c>
      <c r="D4046" t="str">
        <f>_xlfn.CONCAT('11A'!$B$10, "-", '11A'!$B$16, "-", '11A'!$C$8, "-", '11A'!$C$7, "-", '11A'!$C$6, "-", '11A'!$C$5)</f>
        <v>Scope one emissions-Total scope one emissions (location-based)-3-tCO2e-Water-Operational emissions</v>
      </c>
      <c r="F4046" t="s">
        <v>7182</v>
      </c>
      <c r="G4046">
        <f>'11A'!$C$16</f>
        <v>6226.258468</v>
      </c>
    </row>
    <row r="4047" spans="1:7">
      <c r="A4047" t="s">
        <v>660</v>
      </c>
      <c r="C4047" t="str">
        <f>'11A'!$U$16</f>
        <v>BO_3904088</v>
      </c>
      <c r="D4047" t="str">
        <f>_xlfn.CONCAT('11A'!$B$10, "-", '11A'!$B$16, "-", '11A'!$D$8, "-", '11A'!$D$7, "-", '11A'!$D$6, "-", '11A'!$C$5)</f>
        <v>Scope one emissions-Total scope one emissions (location-based)-3-tCO2e-Wastewater-Operational emissions</v>
      </c>
      <c r="F4047" t="s">
        <v>7182</v>
      </c>
      <c r="G4047">
        <f>'11A'!$D$16</f>
        <v>68791.551100000012</v>
      </c>
    </row>
    <row r="4048" spans="1:7">
      <c r="A4048" t="s">
        <v>660</v>
      </c>
      <c r="C4048" t="str">
        <f>'11A'!$V$16</f>
        <v>BO_2111781</v>
      </c>
      <c r="D4048" t="str">
        <f>_xlfn.CONCAT('11A'!$B$10, "-", '11A'!$B$16, "-", '11A'!$E$8, "-", '11A'!$E$7, "-", '11A'!$E$6, "-", '11A'!$C$5)</f>
        <v>Scope one emissions-Total scope one emissions (location-based)-3-tCO2e-Total-Operational emissions</v>
      </c>
      <c r="F4048" t="s">
        <v>7182</v>
      </c>
      <c r="G4048">
        <f>'11A'!$E$16</f>
        <v>75017.809567999997</v>
      </c>
    </row>
    <row r="4049" spans="1:7">
      <c r="A4049" t="s">
        <v>660</v>
      </c>
      <c r="C4049" t="str">
        <f>'11A'!$T$17</f>
        <v>BR010_S1WTO</v>
      </c>
      <c r="D4049" t="str">
        <f>_xlfn.CONCAT('11A'!$B$10, "-", '11A'!$B$17, "-", '11A'!$C$8, "-", '11A'!$C$7, "-", '11A'!$C$6, "-", '11A'!$C$5)</f>
        <v>Scope one emissions-Total scope one emissions (market-based)-3-tCO2e-Water-Operational emissions</v>
      </c>
      <c r="F4049" t="s">
        <v>7182</v>
      </c>
      <c r="G4049">
        <f>'11A'!$C$17</f>
        <v>5597.9364679999999</v>
      </c>
    </row>
    <row r="4050" spans="1:7">
      <c r="A4050" t="s">
        <v>660</v>
      </c>
      <c r="C4050" t="str">
        <f>'11A'!$U$17</f>
        <v>BR011_S1WWTO</v>
      </c>
      <c r="D4050" t="str">
        <f>_xlfn.CONCAT('11A'!$B$10, "-", '11A'!$B$17, "-", '11A'!$D$8, "-", '11A'!$D$7, "-", '11A'!$D$6, "-", '11A'!$C$5)</f>
        <v>Scope one emissions-Total scope one emissions (market-based)-3-tCO2e-Wastewater-Operational emissions</v>
      </c>
      <c r="F4050" t="s">
        <v>7182</v>
      </c>
      <c r="G4050">
        <f>'11A'!$D$17</f>
        <v>39781.921999999999</v>
      </c>
    </row>
    <row r="4051" spans="1:7">
      <c r="A4051" t="s">
        <v>660</v>
      </c>
      <c r="C4051" t="str">
        <f>'11A'!$V$17</f>
        <v>BR012_S1TOTO</v>
      </c>
      <c r="D4051" t="str">
        <f>_xlfn.CONCAT('11A'!$B$10, "-", '11A'!$B$17, "-", '11A'!$E$8, "-", '11A'!$E$7, "-", '11A'!$E$6, "-", '11A'!$C$5)</f>
        <v>Scope one emissions-Total scope one emissions (market-based)-3-tCO2e-Total-Operational emissions</v>
      </c>
      <c r="F4051" t="s">
        <v>7182</v>
      </c>
      <c r="G4051">
        <f>'11A'!$E$17</f>
        <v>45379.858468000006</v>
      </c>
    </row>
    <row r="4052" spans="1:7">
      <c r="A4052" t="s">
        <v>660</v>
      </c>
      <c r="C4052" t="str">
        <f>'11A'!$T$19</f>
        <v>BR010_S1WCO</v>
      </c>
      <c r="D4052" t="str">
        <f>_xlfn.CONCAT('11A'!$B$10, "-", '11A'!$B$19, "-", '11A'!$C$8, "-", '11A'!$C$7, "-", '11A'!$C$6, "-", '11A'!$C$5)</f>
        <v>Scope one emissions-Scope one emissions; GHG type CO2-3-tCO2e-Water-Operational emissions</v>
      </c>
      <c r="F4052" t="s">
        <v>7182</v>
      </c>
      <c r="G4052">
        <f>'11A'!$C$19</f>
        <v>6087.2362000000003</v>
      </c>
    </row>
    <row r="4053" spans="1:7">
      <c r="A4053" t="s">
        <v>660</v>
      </c>
      <c r="C4053" t="str">
        <f>'11A'!$U$19</f>
        <v>BR011_S1WWCO</v>
      </c>
      <c r="D4053" t="str">
        <f>_xlfn.CONCAT('11A'!$B$10, "-", '11A'!$B$19, "-", '11A'!$D$8, "-", '11A'!$D$7, "-", '11A'!$D$6, "-", '11A'!$C$5)</f>
        <v>Scope one emissions-Scope one emissions; GHG type CO2-3-tCO2e-Wastewater-Operational emissions</v>
      </c>
      <c r="F4053" t="s">
        <v>7182</v>
      </c>
      <c r="G4053">
        <f>'11A'!$D$19</f>
        <v>39441.898999999998</v>
      </c>
    </row>
    <row r="4054" spans="1:7">
      <c r="A4054" t="s">
        <v>660</v>
      </c>
      <c r="C4054" t="str">
        <f>'11A'!$V$19</f>
        <v>BR012_S1TOCO</v>
      </c>
      <c r="D4054" t="str">
        <f>_xlfn.CONCAT('11A'!$B$10, "-", '11A'!$B$19, "-", '11A'!$E$8, "-", '11A'!$E$7, "-", '11A'!$E$6, "-", '11A'!$C$5)</f>
        <v>Scope one emissions-Scope one emissions; GHG type CO2-3-tCO2e-Total-Operational emissions</v>
      </c>
      <c r="F4054" t="s">
        <v>7182</v>
      </c>
      <c r="G4054">
        <f>'11A'!$E$19</f>
        <v>45529.135199999997</v>
      </c>
    </row>
    <row r="4055" spans="1:7">
      <c r="A4055" t="s">
        <v>660</v>
      </c>
      <c r="C4055" t="str">
        <f>'11A'!$T$20</f>
        <v>BR013_S1WCH</v>
      </c>
      <c r="D4055" t="str">
        <f>_xlfn.CONCAT('11A'!$B$10, "-", '11A'!$B$20, "-", '11A'!$C$8, "-", '11A'!$C$7, "-", '11A'!$C$6, "-", '11A'!$C$5)</f>
        <v>Scope one emissions-Scope one emissions; GHG type CH4-3-tCO2e-Water-Operational emissions</v>
      </c>
      <c r="F4055" t="s">
        <v>7182</v>
      </c>
      <c r="G4055">
        <f>'11A'!$C$20</f>
        <v>32.740918000000001</v>
      </c>
    </row>
    <row r="4056" spans="1:7">
      <c r="A4056" t="s">
        <v>660</v>
      </c>
      <c r="C4056" t="str">
        <f>'11A'!$U$20</f>
        <v>BR014_S1WWCH</v>
      </c>
      <c r="D4056" t="str">
        <f>_xlfn.CONCAT('11A'!$B$10, "-", '11A'!$B$20, "-", '11A'!$D$8, "-", '11A'!$D$7, "-", '11A'!$D$6, "-", '11A'!$C$5)</f>
        <v>Scope one emissions-Scope one emissions; GHG type CH4-3-tCO2e-Wastewater-Operational emissions</v>
      </c>
      <c r="F4056" t="s">
        <v>7182</v>
      </c>
      <c r="G4056">
        <f>'11A'!$D$20</f>
        <v>12870.98</v>
      </c>
    </row>
    <row r="4057" spans="1:7">
      <c r="A4057" t="s">
        <v>660</v>
      </c>
      <c r="C4057" t="str">
        <f>'11A'!$V$20</f>
        <v>BR015_S1TOCH</v>
      </c>
      <c r="D4057" t="str">
        <f>_xlfn.CONCAT('11A'!$B$10, "-", '11A'!$B$20, "-", '11A'!$E$8, "-", '11A'!$E$7, "-", '11A'!$E$6, "-", '11A'!$C$5)</f>
        <v>Scope one emissions-Scope one emissions; GHG type CH4-3-tCO2e-Total-Operational emissions</v>
      </c>
      <c r="F4057" t="s">
        <v>7182</v>
      </c>
      <c r="G4057">
        <f>'11A'!$E$20</f>
        <v>12903.720917999999</v>
      </c>
    </row>
    <row r="4058" spans="1:7">
      <c r="A4058" t="s">
        <v>660</v>
      </c>
      <c r="C4058" t="str">
        <f>'11A'!$T$21</f>
        <v>BR016_S1WNO</v>
      </c>
      <c r="D4058" t="str">
        <f>_xlfn.CONCAT('11A'!$B$10, "-", '11A'!$B$21, "-", '11A'!$C$8, "-", '11A'!$C$7, "-", '11A'!$C$6, "-", '11A'!$C$5)</f>
        <v>Scope one emissions-Scope one emissions; GHG type N2O-3-tCO2e-Water-Operational emissions</v>
      </c>
      <c r="F4058" t="s">
        <v>7182</v>
      </c>
      <c r="G4058">
        <f>'11A'!$C$21</f>
        <v>106.28134</v>
      </c>
    </row>
    <row r="4059" spans="1:7">
      <c r="A4059" t="s">
        <v>660</v>
      </c>
      <c r="C4059" t="str">
        <f>'11A'!$U$21</f>
        <v>BR017_S1WWNO</v>
      </c>
      <c r="D4059" t="str">
        <f>_xlfn.CONCAT('11A'!$B$10, "-", '11A'!$B$21, "-", '11A'!$D$8, "-", '11A'!$D$7, "-", '11A'!$D$6, "-", '11A'!$C$5)</f>
        <v>Scope one emissions-Scope one emissions; GHG type N2O-3-tCO2e-Wastewater-Operational emissions</v>
      </c>
      <c r="F4059" t="s">
        <v>7182</v>
      </c>
      <c r="G4059">
        <f>'11A'!$D$21</f>
        <v>16444.411</v>
      </c>
    </row>
    <row r="4060" spans="1:7">
      <c r="A4060" t="s">
        <v>660</v>
      </c>
      <c r="C4060" t="str">
        <f>'11A'!$V$21</f>
        <v>BR018_S1TONO</v>
      </c>
      <c r="D4060" t="str">
        <f>_xlfn.CONCAT('11A'!$B$10, "-", '11A'!$B$21, "-", '11A'!$E$8, "-", '11A'!$E$7, "-", '11A'!$E$6, "-", '11A'!$C$5)</f>
        <v>Scope one emissions-Scope one emissions; GHG type N2O-3-tCO2e-Total-Operational emissions</v>
      </c>
      <c r="F4060" t="s">
        <v>7182</v>
      </c>
      <c r="G4060">
        <f>'11A'!$E$21</f>
        <v>16550.692340000001</v>
      </c>
    </row>
    <row r="4061" spans="1:7">
      <c r="A4061" t="s">
        <v>660</v>
      </c>
      <c r="C4061" t="str">
        <f>'11A'!$T$22</f>
        <v>BO_6112104</v>
      </c>
      <c r="D4061" t="str">
        <f>_xlfn.CONCAT('11A'!$B$10, "-", '11A'!$B$22, "-", '11A'!$C$8, "-", '11A'!$C$7, "-", '11A'!$C$6, "-", '11A'!$C$5)</f>
        <v>Scope one emissions-Scope one emissions: GHG other types-3-tCO2e-Water-Operational emissions</v>
      </c>
      <c r="F4061" t="s">
        <v>7182</v>
      </c>
      <c r="G4061">
        <f>'11A'!$C$22</f>
        <v>0</v>
      </c>
    </row>
    <row r="4062" spans="1:7">
      <c r="A4062" t="s">
        <v>660</v>
      </c>
      <c r="C4062" t="str">
        <f>'11A'!$U$22</f>
        <v>BO_353744</v>
      </c>
      <c r="D4062" t="str">
        <f>_xlfn.CONCAT('11A'!$B$10, "-", '11A'!$B$22, "-", '11A'!$D$8, "-", '11A'!$D$7, "-", '11A'!$D$6, "-", '11A'!$C$5)</f>
        <v>Scope one emissions-Scope one emissions: GHG other types-3-tCO2e-Wastewater-Operational emissions</v>
      </c>
      <c r="F4062" t="s">
        <v>7182</v>
      </c>
      <c r="G4062">
        <f>'11A'!$D$22</f>
        <v>0</v>
      </c>
    </row>
    <row r="4063" spans="1:7">
      <c r="A4063" t="s">
        <v>660</v>
      </c>
      <c r="C4063" t="str">
        <f>'11A'!$V$22</f>
        <v>BO_2624185</v>
      </c>
      <c r="D4063" t="str">
        <f>_xlfn.CONCAT('11A'!$B$10, "-", '11A'!$B$22, "-", '11A'!$E$8, "-", '11A'!$E$7, "-", '11A'!$E$6, "-", '11A'!$C$5)</f>
        <v>Scope one emissions-Scope one emissions: GHG other types-3-tCO2e-Total-Operational emissions</v>
      </c>
      <c r="F4063" t="s">
        <v>7182</v>
      </c>
      <c r="G4063">
        <f>'11A'!$E$22</f>
        <v>0</v>
      </c>
    </row>
    <row r="4064" spans="1:7">
      <c r="A4064" t="s">
        <v>660</v>
      </c>
      <c r="C4064" t="str">
        <f>'11A'!$T$25</f>
        <v>BR019_S2WLB</v>
      </c>
      <c r="D4064" t="str">
        <f>_xlfn.CONCAT('11A'!$B$24, "-", '11A'!$B$25, "-", '11A'!$C$8, "-", '11A'!$C$7, "-", '11A'!$C$6, "-", '11A'!$C$5)</f>
        <v>Scope two emissions-Purchased electricity (location-based)-3-tCO2e-Water-Operational emissions</v>
      </c>
      <c r="F4064" t="s">
        <v>7182</v>
      </c>
      <c r="G4064">
        <f>'11A'!$C$25</f>
        <v>41658.292999999998</v>
      </c>
    </row>
    <row r="4065" spans="1:7">
      <c r="A4065" t="s">
        <v>660</v>
      </c>
      <c r="C4065" t="str">
        <f>'11A'!$U$25</f>
        <v>BR020_S2WWLB</v>
      </c>
      <c r="D4065" t="str">
        <f>_xlfn.CONCAT('11A'!$B$24, "-", '11A'!$B$25, "-", '11A'!$D$8, "-", '11A'!$D$7, "-", '11A'!$D$6, "-", '11A'!$C$5)</f>
        <v>Scope two emissions-Purchased electricity (location-based)-3-tCO2e-Wastewater-Operational emissions</v>
      </c>
      <c r="F4065" t="s">
        <v>7182</v>
      </c>
      <c r="G4065">
        <f>'11A'!$D$25</f>
        <v>23193.059000000001</v>
      </c>
    </row>
    <row r="4066" spans="1:7">
      <c r="A4066" t="s">
        <v>660</v>
      </c>
      <c r="C4066" t="str">
        <f>'11A'!$V$25</f>
        <v>BR021_S2TOLB</v>
      </c>
      <c r="D4066" t="str">
        <f>_xlfn.CONCAT('11A'!$B$24, "-", '11A'!$B$25, "-", '11A'!$E$8, "-", '11A'!$E$7, "-", '11A'!$E$6, "-", '11A'!$C$5)</f>
        <v>Scope two emissions-Purchased electricity (location-based)-3-tCO2e-Total-Operational emissions</v>
      </c>
      <c r="F4066" t="s">
        <v>7182</v>
      </c>
      <c r="G4066">
        <f>'11A'!$E$25</f>
        <v>64851.351999999999</v>
      </c>
    </row>
    <row r="4067" spans="1:7">
      <c r="A4067" t="s">
        <v>660</v>
      </c>
      <c r="C4067" t="str">
        <f>'11A'!$T$26</f>
        <v>BR043_S2WMB</v>
      </c>
      <c r="D4067" t="str">
        <f>_xlfn.CONCAT('11A'!$B$24, "-", '11A'!$B$26, "-", '11A'!$C$8, "-", '11A'!$C$7, "-", '11A'!$C$6, "-", '11A'!$C$5)</f>
        <v>Scope two emissions-Purchased electricity (market-based)-3-tCO2e-Water-Operational emissions</v>
      </c>
      <c r="F4067" t="s">
        <v>7182</v>
      </c>
      <c r="G4067">
        <f>'11A'!$C$26</f>
        <v>0</v>
      </c>
    </row>
    <row r="4068" spans="1:7">
      <c r="A4068" t="s">
        <v>660</v>
      </c>
      <c r="C4068" t="str">
        <f>'11A'!$U$26</f>
        <v>BR044_S2WWMB</v>
      </c>
      <c r="D4068" t="str">
        <f>_xlfn.CONCAT('11A'!$B$24, "-", '11A'!$B$26, "-", '11A'!$D$8, "-", '11A'!$D$7, "-", '11A'!$D$6, "-", '11A'!$C$5)</f>
        <v>Scope two emissions-Purchased electricity (market-based)-3-tCO2e-Wastewater-Operational emissions</v>
      </c>
      <c r="F4068" t="s">
        <v>7182</v>
      </c>
      <c r="G4068">
        <f>'11A'!$D$26</f>
        <v>0</v>
      </c>
    </row>
    <row r="4069" spans="1:7">
      <c r="A4069" t="s">
        <v>660</v>
      </c>
      <c r="C4069" t="str">
        <f>'11A'!$V$26</f>
        <v>BR045_S2TOMB</v>
      </c>
      <c r="D4069" t="str">
        <f>_xlfn.CONCAT('11A'!$B$24, "-", '11A'!$B$26, "-", '11A'!$E$8, "-", '11A'!$E$7, "-", '11A'!$E$6, "-", '11A'!$C$5)</f>
        <v>Scope two emissions-Purchased electricity (market-based)-3-tCO2e-Total-Operational emissions</v>
      </c>
      <c r="F4069" t="s">
        <v>7182</v>
      </c>
      <c r="G4069">
        <f>'11A'!$E$26</f>
        <v>0</v>
      </c>
    </row>
    <row r="4070" spans="1:7">
      <c r="A4070" t="s">
        <v>660</v>
      </c>
      <c r="C4070" t="str">
        <f>'11A'!$T$27</f>
        <v>BR046_S2WPH</v>
      </c>
      <c r="D4070" t="str">
        <f>_xlfn.CONCAT('11A'!$B$24, "-", '11A'!$B$27, "-", '11A'!$C$8, "-", '11A'!$C$7, "-", '11A'!$C$6, "-", '11A'!$C$5)</f>
        <v>Scope two emissions-Purchased heat-3-tCO2e-Water-Operational emissions</v>
      </c>
      <c r="F4070" t="s">
        <v>7182</v>
      </c>
      <c r="G4070">
        <f>'11A'!$C$27</f>
        <v>0</v>
      </c>
    </row>
    <row r="4071" spans="1:7">
      <c r="A4071" t="s">
        <v>660</v>
      </c>
      <c r="C4071" t="str">
        <f>'11A'!$U$27</f>
        <v>BR047_S2WWPH</v>
      </c>
      <c r="D4071" t="str">
        <f>_xlfn.CONCAT('11A'!$B$24, "-", '11A'!$B$27, "-", '11A'!$D$8, "-", '11A'!$D$7, "-", '11A'!$D$6, "-", '11A'!$C$5)</f>
        <v>Scope two emissions-Purchased heat-3-tCO2e-Wastewater-Operational emissions</v>
      </c>
      <c r="F4071" t="s">
        <v>7182</v>
      </c>
      <c r="G4071">
        <f>'11A'!$D$27</f>
        <v>0</v>
      </c>
    </row>
    <row r="4072" spans="1:7">
      <c r="A4072" t="s">
        <v>660</v>
      </c>
      <c r="C4072" t="str">
        <f>'11A'!$V$27</f>
        <v>BR048_S2TOPH</v>
      </c>
      <c r="D4072" t="str">
        <f>_xlfn.CONCAT('11A'!$B$24, "-", '11A'!$B$27, "-", '11A'!$E$8, "-", '11A'!$E$7, "-", '11A'!$E$6, "-", '11A'!$C$5)</f>
        <v>Scope two emissions-Purchased heat-3-tCO2e-Total-Operational emissions</v>
      </c>
      <c r="F4072" t="s">
        <v>7182</v>
      </c>
      <c r="G4072">
        <f>'11A'!$E$27</f>
        <v>0</v>
      </c>
    </row>
    <row r="4073" spans="1:7">
      <c r="A4073" t="s">
        <v>660</v>
      </c>
      <c r="C4073" t="str">
        <f>'11A'!$T$28</f>
        <v>BR049_S2WEV</v>
      </c>
      <c r="D4073" t="str">
        <f>_xlfn.CONCAT('11A'!$B$24, "-", '11A'!$B$28, "-", '11A'!$C$8, "-", '11A'!$C$7, "-", '11A'!$C$6, "-", '11A'!$C$5)</f>
        <v>Scope two emissions-Electric vehicles-3-tCO2e-Water-Operational emissions</v>
      </c>
      <c r="F4073" t="s">
        <v>7182</v>
      </c>
      <c r="G4073">
        <f>'11A'!$C$28</f>
        <v>0</v>
      </c>
    </row>
    <row r="4074" spans="1:7">
      <c r="A4074" t="s">
        <v>660</v>
      </c>
      <c r="C4074" t="str">
        <f>'11A'!$U$28</f>
        <v>BR050_S2WWEV</v>
      </c>
      <c r="D4074" t="str">
        <f>_xlfn.CONCAT('11A'!$B$24, "-", '11A'!$B$28, "-", '11A'!$D$8, "-", '11A'!$D$7, "-", '11A'!$D$6, "-", '11A'!$C$5)</f>
        <v>Scope two emissions-Electric vehicles-3-tCO2e-Wastewater-Operational emissions</v>
      </c>
      <c r="F4074" t="s">
        <v>7182</v>
      </c>
      <c r="G4074">
        <f>'11A'!$D$28</f>
        <v>0</v>
      </c>
    </row>
    <row r="4075" spans="1:7">
      <c r="A4075" t="s">
        <v>660</v>
      </c>
      <c r="C4075" t="str">
        <f>'11A'!$V$28</f>
        <v>BR051_S2TOEV</v>
      </c>
      <c r="D4075" t="str">
        <f>_xlfn.CONCAT('11A'!$B$24, "-", '11A'!$B$28, "-", '11A'!$E$8, "-", '11A'!$E$7, "-", '11A'!$E$6, "-", '11A'!$C$5)</f>
        <v>Scope two emissions-Electric vehicles-3-tCO2e-Total-Operational emissions</v>
      </c>
      <c r="F4075" t="s">
        <v>7182</v>
      </c>
      <c r="G4075">
        <f>'11A'!$E$28</f>
        <v>0</v>
      </c>
    </row>
    <row r="4076" spans="1:7">
      <c r="A4076" t="s">
        <v>660</v>
      </c>
      <c r="C4076" t="str">
        <f>'11A'!$T$29</f>
        <v>BR052_S2WRE</v>
      </c>
      <c r="D4076" t="str">
        <f>_xlfn.CONCAT('11A'!$B$24, "-", '11A'!$B$29, "-", '11A'!$C$8, "-", '11A'!$C$7, "-", '11A'!$C$6, "-", '11A'!$C$5)</f>
        <v>Scope two emissions-Removal of electricity to charge electric vehicles at site-3-tCO2e-Water-Operational emissions</v>
      </c>
      <c r="F4076" t="s">
        <v>7182</v>
      </c>
      <c r="G4076">
        <f>'11A'!$C$29</f>
        <v>0</v>
      </c>
    </row>
    <row r="4077" spans="1:7">
      <c r="A4077" t="s">
        <v>660</v>
      </c>
      <c r="C4077" t="str">
        <f>'11A'!$U$29</f>
        <v>BR053_S2WWRE</v>
      </c>
      <c r="D4077" t="str">
        <f>_xlfn.CONCAT('11A'!$B$24, "-", '11A'!$B$29, "-", '11A'!$D$8, "-", '11A'!$D$7, "-", '11A'!$D$6, "-", '11A'!$C$5)</f>
        <v>Scope two emissions-Removal of electricity to charge electric vehicles at site-3-tCO2e-Wastewater-Operational emissions</v>
      </c>
      <c r="F4077" t="s">
        <v>7182</v>
      </c>
      <c r="G4077">
        <f>'11A'!$D$29</f>
        <v>0</v>
      </c>
    </row>
    <row r="4078" spans="1:7">
      <c r="A4078" t="s">
        <v>660</v>
      </c>
      <c r="C4078" t="str">
        <f>'11A'!$V$29</f>
        <v>BR054_S2TORE</v>
      </c>
      <c r="D4078" t="str">
        <f>_xlfn.CONCAT('11A'!$B$24, "-", '11A'!$B$29, "-", '11A'!$E$8, "-", '11A'!$E$7, "-", '11A'!$E$6, "-", '11A'!$C$5)</f>
        <v>Scope two emissions-Removal of electricity to charge electric vehicles at site-3-tCO2e-Total-Operational emissions</v>
      </c>
      <c r="F4078" t="s">
        <v>7182</v>
      </c>
      <c r="G4078">
        <f>'11A'!$E$29</f>
        <v>0</v>
      </c>
    </row>
    <row r="4079" spans="1:7">
      <c r="A4079" t="s">
        <v>660</v>
      </c>
      <c r="C4079" t="str">
        <f>'11A'!$T$30</f>
        <v>BO_1700379</v>
      </c>
      <c r="D4079" t="str">
        <f>_xlfn.CONCAT('11A'!$B$24, "-", '11A'!$B$30, "-", '11A'!$C$8, "-", '11A'!$C$7, "-", '11A'!$C$6, "-", '11A'!$C$5)</f>
        <v>Scope two emissions-Total scope two emissions (location-based)-3-tCO2e-Water-Operational emissions</v>
      </c>
      <c r="F4079" t="s">
        <v>7182</v>
      </c>
      <c r="G4079">
        <f>'11A'!$C$30</f>
        <v>41658.292999999998</v>
      </c>
    </row>
    <row r="4080" spans="1:7">
      <c r="A4080" t="s">
        <v>660</v>
      </c>
      <c r="C4080" t="str">
        <f>'11A'!$U$30</f>
        <v>BO_6225738</v>
      </c>
      <c r="D4080" t="str">
        <f>_xlfn.CONCAT('11A'!$B$24, "-", '11A'!$B$30, "-", '11A'!$D$8, "-", '11A'!$D$7, "-", '11A'!$D$6, "-", '11A'!$C$5)</f>
        <v>Scope two emissions-Total scope two emissions (location-based)-3-tCO2e-Wastewater-Operational emissions</v>
      </c>
      <c r="F4080" t="s">
        <v>7182</v>
      </c>
      <c r="G4080">
        <f>'11A'!$D$30</f>
        <v>23193.059000000001</v>
      </c>
    </row>
    <row r="4081" spans="1:7">
      <c r="A4081" t="s">
        <v>660</v>
      </c>
      <c r="C4081" t="str">
        <f>'11A'!$V$30</f>
        <v>BO_4427726</v>
      </c>
      <c r="D4081" t="str">
        <f>_xlfn.CONCAT('11A'!$B$24, "-", '11A'!$B$30, "-", '11A'!$E$8, "-", '11A'!$E$7, "-", '11A'!$E$6, "-", '11A'!$C$5)</f>
        <v>Scope two emissions-Total scope two emissions (location-based)-3-tCO2e-Total-Operational emissions</v>
      </c>
      <c r="F4081" t="s">
        <v>7182</v>
      </c>
      <c r="G4081">
        <f>'11A'!$E$30</f>
        <v>64851.351999999999</v>
      </c>
    </row>
    <row r="4082" spans="1:7">
      <c r="A4082" t="s">
        <v>660</v>
      </c>
      <c r="C4082" t="str">
        <f>'11A'!$T$31</f>
        <v>BR055_S2WTO</v>
      </c>
      <c r="D4082" t="str">
        <f>_xlfn.CONCAT('11A'!$B$24, "-", '11A'!$B$31, "-", '11A'!$C$8, "-", '11A'!$C$7, "-", '11A'!$C$6, "-", '11A'!$C$5)</f>
        <v>Scope two emissions-Total scope two emissions (market-based)-3-tCO2e-Water-Operational emissions</v>
      </c>
      <c r="F4082" t="s">
        <v>7182</v>
      </c>
      <c r="G4082">
        <f>'11A'!$C$31</f>
        <v>0</v>
      </c>
    </row>
    <row r="4083" spans="1:7">
      <c r="A4083" t="s">
        <v>660</v>
      </c>
      <c r="C4083" t="str">
        <f>'11A'!$U$31</f>
        <v>BR056_S2WWTO</v>
      </c>
      <c r="D4083" t="str">
        <f>_xlfn.CONCAT('11A'!$B$24, "-", '11A'!$B$31, "-", '11A'!$D$8, "-", '11A'!$D$7, "-", '11A'!$D$6, "-", '11A'!$C$5)</f>
        <v>Scope two emissions-Total scope two emissions (market-based)-3-tCO2e-Wastewater-Operational emissions</v>
      </c>
      <c r="F4083" t="s">
        <v>7182</v>
      </c>
      <c r="G4083">
        <f>'11A'!$D$31</f>
        <v>0</v>
      </c>
    </row>
    <row r="4084" spans="1:7">
      <c r="A4084" t="s">
        <v>660</v>
      </c>
      <c r="C4084" t="str">
        <f>'11A'!$V$31</f>
        <v>BR057_S2TOTO</v>
      </c>
      <c r="D4084" t="str">
        <f>_xlfn.CONCAT('11A'!$B$24, "-", '11A'!$B$31, "-", '11A'!$E$8, "-", '11A'!$E$7, "-", '11A'!$E$6, "-", '11A'!$C$5)</f>
        <v>Scope two emissions-Total scope two emissions (market-based)-3-tCO2e-Total-Operational emissions</v>
      </c>
      <c r="F4084" t="s">
        <v>7182</v>
      </c>
      <c r="G4084">
        <f>'11A'!$E$31</f>
        <v>0</v>
      </c>
    </row>
    <row r="4085" spans="1:7">
      <c r="A4085" t="s">
        <v>660</v>
      </c>
      <c r="C4085" t="str">
        <f>'11A'!$T$33</f>
        <v>BR058_S2WCO</v>
      </c>
      <c r="D4085" t="str">
        <f>_xlfn.CONCAT('11A'!$B$24, "-", '11A'!$B$33, "-", '11A'!$C$8, "-", '11A'!$C$7, "-", '11A'!$C$6, "-", '11A'!$C$5)</f>
        <v>Scope two emissions-Scope two emissions; GHG type CO2-3-tCO2e-Water-Operational emissions</v>
      </c>
      <c r="F4085" t="s">
        <v>7182</v>
      </c>
      <c r="G4085">
        <f>'11A'!$C$33</f>
        <v>41190.826999999997</v>
      </c>
    </row>
    <row r="4086" spans="1:7">
      <c r="A4086" t="s">
        <v>660</v>
      </c>
      <c r="C4086" t="str">
        <f>'11A'!$U$33</f>
        <v>BR059_S2WWCO</v>
      </c>
      <c r="D4086" t="str">
        <f>_xlfn.CONCAT('11A'!$B$24, "-", '11A'!$B$33, "-", '11A'!$D$8, "-", '11A'!$D$7, "-", '11A'!$D$6, "-", '11A'!$C$5)</f>
        <v>Scope two emissions-Scope two emissions; GHG type CO2-3-tCO2e-Wastewater-Operational emissions</v>
      </c>
      <c r="F4086" t="s">
        <v>7182</v>
      </c>
      <c r="G4086">
        <f>'11A'!$D$33</f>
        <v>22932.798999999999</v>
      </c>
    </row>
    <row r="4087" spans="1:7">
      <c r="A4087" t="s">
        <v>660</v>
      </c>
      <c r="C4087" t="str">
        <f>'11A'!$V$33</f>
        <v>BR060_S2TOCO</v>
      </c>
      <c r="D4087" t="str">
        <f>_xlfn.CONCAT('11A'!$B$24, "-", '11A'!$B$33, "-", '11A'!$E$8, "-", '11A'!$E$7, "-", '11A'!$E$6, "-", '11A'!$C$5)</f>
        <v>Scope two emissions-Scope two emissions; GHG type CO2-3-tCO2e-Total-Operational emissions</v>
      </c>
      <c r="F4087" t="s">
        <v>7182</v>
      </c>
      <c r="G4087">
        <f>'11A'!$E$33</f>
        <v>64123.625999999997</v>
      </c>
    </row>
    <row r="4088" spans="1:7">
      <c r="A4088" t="s">
        <v>660</v>
      </c>
      <c r="C4088" t="str">
        <f>'11A'!$T$34</f>
        <v>BR061_S2WCH</v>
      </c>
      <c r="D4088" t="str">
        <f>_xlfn.CONCAT('11A'!$B$24, "-", '11A'!$B$34, "-", '11A'!$C$8, "-", '11A'!$C$7, "-", '11A'!$C$6, "-", '11A'!$C$5)</f>
        <v>Scope two emissions-Scope two emissions; GHG type CH4-3-tCO2e-Water-Operational emissions</v>
      </c>
      <c r="F4088" t="s">
        <v>7182</v>
      </c>
      <c r="G4088">
        <f>'11A'!$C$34</f>
        <v>172.33753999999999</v>
      </c>
    </row>
    <row r="4089" spans="1:7">
      <c r="A4089" t="s">
        <v>660</v>
      </c>
      <c r="C4089" t="str">
        <f>'11A'!$U$34</f>
        <v>BR062_S2WWCH</v>
      </c>
      <c r="D4089" t="str">
        <f>_xlfn.CONCAT('11A'!$B$24, "-", '11A'!$B$34, "-", '11A'!$D$8, "-", '11A'!$D$7, "-", '11A'!$D$6, "-", '11A'!$C$5)</f>
        <v>Scope two emissions-Scope two emissions; GHG type CH4-3-tCO2e-Wastewater-Operational emissions</v>
      </c>
      <c r="F4089" t="s">
        <v>7182</v>
      </c>
      <c r="G4089">
        <f>'11A'!$D$34</f>
        <v>95.948117999999994</v>
      </c>
    </row>
    <row r="4090" spans="1:7">
      <c r="A4090" t="s">
        <v>660</v>
      </c>
      <c r="C4090" t="str">
        <f>'11A'!$V$34</f>
        <v>BR063_S2TOCH</v>
      </c>
      <c r="D4090" t="str">
        <f>_xlfn.CONCAT('11A'!$B$24, "-", '11A'!$B$34, "-", '11A'!$E$8, "-", '11A'!$E$7, "-", '11A'!$E$6, "-", '11A'!$C$5)</f>
        <v>Scope two emissions-Scope two emissions; GHG type CH4-3-tCO2e-Total-Operational emissions</v>
      </c>
      <c r="F4090" t="s">
        <v>7182</v>
      </c>
      <c r="G4090">
        <f>'11A'!$E$34</f>
        <v>268.28565800000001</v>
      </c>
    </row>
    <row r="4091" spans="1:7">
      <c r="A4091" t="s">
        <v>660</v>
      </c>
      <c r="C4091" t="str">
        <f>'11A'!$T$35</f>
        <v>BR064_S2WNO</v>
      </c>
      <c r="D4091" t="str">
        <f>_xlfn.CONCAT('11A'!$B$24, "-", '11A'!$B$35, "-", '11A'!$C$8, "-", '11A'!$C$7, "-", '11A'!$C$6, "-", '11A'!$C$5)</f>
        <v>Scope two emissions-Scope two emissions; GHG type N2O-3-tCO2e-Water-Operational emissions</v>
      </c>
      <c r="F4091" t="s">
        <v>7182</v>
      </c>
      <c r="G4091">
        <f>'11A'!$C$35</f>
        <v>295.12804</v>
      </c>
    </row>
    <row r="4092" spans="1:7">
      <c r="A4092" t="s">
        <v>660</v>
      </c>
      <c r="C4092" t="str">
        <f>'11A'!$U$35</f>
        <v>BR065_S2WWNO</v>
      </c>
      <c r="D4092" t="str">
        <f>_xlfn.CONCAT('11A'!$B$24, "-", '11A'!$B$35, "-", '11A'!$D$8, "-", '11A'!$D$7, "-", '11A'!$D$6, "-", '11A'!$C$5)</f>
        <v>Scope two emissions-Scope two emissions; GHG type N2O-3-tCO2e-Wastewater-Operational emissions</v>
      </c>
      <c r="F4092" t="s">
        <v>7182</v>
      </c>
      <c r="G4092">
        <f>'11A'!$D$35</f>
        <v>164.31115</v>
      </c>
    </row>
    <row r="4093" spans="1:7">
      <c r="A4093" t="s">
        <v>660</v>
      </c>
      <c r="C4093" t="str">
        <f>'11A'!$V$35</f>
        <v>BR066_S2TONO</v>
      </c>
      <c r="D4093" t="str">
        <f>_xlfn.CONCAT('11A'!$B$24, "-", '11A'!$B$35, "-", '11A'!$E$8, "-", '11A'!$E$7, "-", '11A'!$E$6, "-", '11A'!$C$5)</f>
        <v>Scope two emissions-Scope two emissions; GHG type N2O-3-tCO2e-Total-Operational emissions</v>
      </c>
      <c r="F4093" t="s">
        <v>7182</v>
      </c>
      <c r="G4093">
        <f>'11A'!$E$35</f>
        <v>459.43919</v>
      </c>
    </row>
    <row r="4094" spans="1:7">
      <c r="A4094" t="s">
        <v>660</v>
      </c>
      <c r="C4094" t="str">
        <f>'11A'!$T$36</f>
        <v>BO_5019183</v>
      </c>
      <c r="D4094" t="str">
        <f>_xlfn.CONCAT('11A'!$B$24, "-", '11A'!$B$36, "-", '11A'!$C$8, "-", '11A'!$C$7, "-", '11A'!$C$6, "-", '11A'!$C$5)</f>
        <v>Scope two emissions-Scope two emissions: GHG other types-3-tCO2e-Water-Operational emissions</v>
      </c>
      <c r="F4094" t="s">
        <v>7182</v>
      </c>
      <c r="G4094">
        <f>'11A'!$C$36</f>
        <v>0</v>
      </c>
    </row>
    <row r="4095" spans="1:7">
      <c r="A4095" t="s">
        <v>660</v>
      </c>
      <c r="C4095" t="str">
        <f>'11A'!$U$36</f>
        <v>BO_336813</v>
      </c>
      <c r="D4095" t="str">
        <f>_xlfn.CONCAT('11A'!$B$24, "-", '11A'!$B$36, "-", '11A'!$D$8, "-", '11A'!$D$7, "-", '11A'!$D$6, "-", '11A'!$C$5)</f>
        <v>Scope two emissions-Scope two emissions: GHG other types-3-tCO2e-Wastewater-Operational emissions</v>
      </c>
      <c r="F4095" t="s">
        <v>7182</v>
      </c>
      <c r="G4095">
        <f>'11A'!$D$36</f>
        <v>0</v>
      </c>
    </row>
    <row r="4096" spans="1:7">
      <c r="A4096" t="s">
        <v>660</v>
      </c>
      <c r="C4096" t="str">
        <f>'11A'!$V$36</f>
        <v>BO_2496912</v>
      </c>
      <c r="D4096" t="str">
        <f>_xlfn.CONCAT('11A'!$B$24, "-", '11A'!$B$36, "-", '11A'!$E$8, "-", '11A'!$E$7, "-", '11A'!$E$6, "-", '11A'!$C$5)</f>
        <v>Scope two emissions-Scope two emissions: GHG other types-3-tCO2e-Total-Operational emissions</v>
      </c>
      <c r="F4096" t="s">
        <v>7182</v>
      </c>
      <c r="G4096">
        <f>'11A'!$E$36</f>
        <v>0</v>
      </c>
    </row>
    <row r="4097" spans="1:7">
      <c r="A4097" t="s">
        <v>660</v>
      </c>
      <c r="C4097" t="str">
        <f>'11A'!$T$39</f>
        <v>BR022_S3WBT</v>
      </c>
      <c r="D4097" t="str">
        <f>_xlfn.CONCAT('11A'!$B$38, "-", '11A'!$B$39, "-", '11A'!$C$8, "-", '11A'!$C$7, "-", '11A'!$C$6, "-", '11A'!$C$5)</f>
        <v>Scope three emissions-Business travel-3-tCO2e-Water-Operational emissions</v>
      </c>
      <c r="F4097" t="s">
        <v>7182</v>
      </c>
      <c r="G4097">
        <f>'11A'!$C$39</f>
        <v>191.21525</v>
      </c>
    </row>
    <row r="4098" spans="1:7">
      <c r="A4098" t="s">
        <v>660</v>
      </c>
      <c r="C4098" t="str">
        <f>'11A'!$U$39</f>
        <v>BR023_S3WWBT</v>
      </c>
      <c r="D4098" t="str">
        <f>_xlfn.CONCAT('11A'!$B$38, "-", '11A'!$B$39, "-", '11A'!$D$8, "-", '11A'!$D$7, "-", '11A'!$D$6, "-", '11A'!$C$5)</f>
        <v>Scope three emissions-Business travel-3-tCO2e-Wastewater-Operational emissions</v>
      </c>
      <c r="F4098" t="s">
        <v>7182</v>
      </c>
      <c r="G4098">
        <f>'11A'!$D$39</f>
        <v>191.21525</v>
      </c>
    </row>
    <row r="4099" spans="1:7">
      <c r="A4099" t="s">
        <v>660</v>
      </c>
      <c r="C4099" t="str">
        <f>'11A'!$V$39</f>
        <v>BR024_S3TOBT</v>
      </c>
      <c r="D4099" t="str">
        <f>_xlfn.CONCAT('11A'!$B$38, "-", '11A'!$B$39, "-", '11A'!$E$8, "-", '11A'!$E$7, "-", '11A'!$E$6, "-", '11A'!$C$5)</f>
        <v>Scope three emissions-Business travel-3-tCO2e-Total-Operational emissions</v>
      </c>
      <c r="F4099" t="s">
        <v>7182</v>
      </c>
      <c r="G4099">
        <f>'11A'!$E$39</f>
        <v>382.43049999999999</v>
      </c>
    </row>
    <row r="4100" spans="1:7">
      <c r="A4100" t="s">
        <v>660</v>
      </c>
      <c r="C4100" t="str">
        <f>'11A'!$T$40</f>
        <v>BR025_S3WOA</v>
      </c>
      <c r="D4100" t="str">
        <f>_xlfn.CONCAT('11A'!$B$38, "-", '11A'!$B$40, "-", '11A'!$C$8, "-", '11A'!$C$7, "-", '11A'!$C$6, "-", '11A'!$C$5)</f>
        <v>Scope three emissions-Outsourced activities-3-tCO2e-Water-Operational emissions</v>
      </c>
      <c r="F4100" t="s">
        <v>7182</v>
      </c>
      <c r="G4100">
        <f>'11A'!$C$40</f>
        <v>909.54364999999996</v>
      </c>
    </row>
    <row r="4101" spans="1:7">
      <c r="A4101" t="s">
        <v>660</v>
      </c>
      <c r="C4101" t="str">
        <f>'11A'!$U$40</f>
        <v>BR026_S3WWOA</v>
      </c>
      <c r="D4101" t="str">
        <f>_xlfn.CONCAT('11A'!$B$38, "-", '11A'!$B$40, "-", '11A'!$D$8, "-", '11A'!$D$7, "-", '11A'!$D$6, "-", '11A'!$C$5)</f>
        <v>Scope three emissions-Outsourced activities-3-tCO2e-Wastewater-Operational emissions</v>
      </c>
      <c r="F4101" t="s">
        <v>7182</v>
      </c>
      <c r="G4101">
        <f>'11A'!$D$40</f>
        <v>909.54364999999996</v>
      </c>
    </row>
    <row r="4102" spans="1:7">
      <c r="A4102" t="s">
        <v>660</v>
      </c>
      <c r="C4102" t="str">
        <f>'11A'!$V$40</f>
        <v>BR027_S3TOOA</v>
      </c>
      <c r="D4102" t="str">
        <f>_xlfn.CONCAT('11A'!$B$38, "-", '11A'!$B$40, "-", '11A'!$E$8, "-", '11A'!$E$7, "-", '11A'!$E$6, "-", '11A'!$C$5)</f>
        <v>Scope three emissions-Outsourced activities-3-tCO2e-Total-Operational emissions</v>
      </c>
      <c r="F4102" t="s">
        <v>7182</v>
      </c>
      <c r="G4102">
        <f>'11A'!$E$40</f>
        <v>1819.0872999999999</v>
      </c>
    </row>
    <row r="4103" spans="1:7">
      <c r="A4103" t="s">
        <v>660</v>
      </c>
      <c r="C4103" t="str">
        <f>'11A'!$T$41</f>
        <v>BO_8655208</v>
      </c>
      <c r="D4103" t="str">
        <f>_xlfn.CONCAT('11A'!$B$38, "-", '11A'!$B$41, "-", '11A'!$C$8, "-", '11A'!$C$7, "-", '11A'!$C$6, "-", '11A'!$C$5)</f>
        <v>Scope three emissions-Purchased electricity; extraction, production, transmission and distribution (location-based)-3-tCO2e-Water-Operational emissions</v>
      </c>
      <c r="F4103" t="s">
        <v>7182</v>
      </c>
      <c r="G4103">
        <f>'11A'!$C$41</f>
        <v>14709.686759935961</v>
      </c>
    </row>
    <row r="4104" spans="1:7">
      <c r="A4104" t="s">
        <v>660</v>
      </c>
      <c r="C4104" t="str">
        <f>'11A'!$U$41</f>
        <v>BO_7376207</v>
      </c>
      <c r="D4104" t="str">
        <f>_xlfn.CONCAT('11A'!$B$38, "-", '11A'!$B$41, "-", '11A'!$D$8, "-", '11A'!$D$7, "-", '11A'!$D$6, "-", '11A'!$C$5)</f>
        <v>Scope three emissions-Purchased electricity; extraction, production, transmission and distribution (location-based)-3-tCO2e-Wastewater-Operational emissions</v>
      </c>
      <c r="F4104" t="s">
        <v>7182</v>
      </c>
      <c r="G4104">
        <f>'11A'!$D$41</f>
        <v>8151.6050668320386</v>
      </c>
    </row>
    <row r="4105" spans="1:7">
      <c r="A4105" t="s">
        <v>660</v>
      </c>
      <c r="C4105" t="str">
        <f>'11A'!$V$41</f>
        <v>BO_9724527</v>
      </c>
      <c r="D4105" t="str">
        <f>_xlfn.CONCAT('11A'!$B$38, "-", '11A'!$B$41, "-", '11A'!$E$8, "-", '11A'!$E$7, "-", '11A'!$E$6, "-", '11A'!$C$5)</f>
        <v>Scope three emissions-Purchased electricity; extraction, production, transmission and distribution (location-based)-3-tCO2e-Total-Operational emissions</v>
      </c>
      <c r="F4105" t="s">
        <v>7182</v>
      </c>
      <c r="G4105">
        <f>'11A'!$E$41</f>
        <v>22861.291826768</v>
      </c>
    </row>
    <row r="4106" spans="1:7">
      <c r="A4106" t="s">
        <v>660</v>
      </c>
      <c r="C4106" t="str">
        <f>'11A'!$T$42</f>
        <v>BO_2226315</v>
      </c>
      <c r="D4106" t="str">
        <f>_xlfn.CONCAT('11A'!$B$38, "-", '11A'!$B$42, "-", '11A'!$C$8, "-", '11A'!$C$7, "-", '11A'!$C$6, "-", '11A'!$C$5)</f>
        <v>Scope three emissions-Purchased electricity; extraction, production, transmission and distribution (market-based)-3-tCO2e-Water-Operational emissions</v>
      </c>
      <c r="F4106" t="s">
        <v>7182</v>
      </c>
      <c r="G4106">
        <f>'11A'!$C$42</f>
        <v>10898.87285993596</v>
      </c>
    </row>
    <row r="4107" spans="1:7">
      <c r="A4107" t="s">
        <v>660</v>
      </c>
      <c r="C4107" t="str">
        <f>'11A'!$U$42</f>
        <v>BO_6855399</v>
      </c>
      <c r="D4107" t="str">
        <f>_xlfn.CONCAT('11A'!$B$38, "-", '11A'!$B$42, "-", '11A'!$D$8, "-", '11A'!$D$7, "-", '11A'!$D$6, "-", '11A'!$C$5)</f>
        <v>Scope three emissions-Purchased electricity; extraction, production, transmission and distribution (market-based)-3-tCO2e-Wastewater-Operational emissions</v>
      </c>
      <c r="F4107" t="s">
        <v>7182</v>
      </c>
      <c r="G4107">
        <f>'11A'!$D$42</f>
        <v>6029.9523668320389</v>
      </c>
    </row>
    <row r="4108" spans="1:7">
      <c r="A4108" t="s">
        <v>660</v>
      </c>
      <c r="C4108" t="str">
        <f>'11A'!$V$42</f>
        <v>BO_7700177</v>
      </c>
      <c r="D4108" t="str">
        <f>_xlfn.CONCAT('11A'!$B$38, "-", '11A'!$B$42, "-", '11A'!$E$8, "-", '11A'!$E$7, "-", '11A'!$E$6, "-", '11A'!$C$5)</f>
        <v>Scope three emissions-Purchased electricity; extraction, production, transmission and distribution (market-based)-3-tCO2e-Total-Operational emissions</v>
      </c>
      <c r="F4108" t="s">
        <v>7182</v>
      </c>
      <c r="G4108">
        <f>'11A'!$E$42</f>
        <v>16928.825226768</v>
      </c>
    </row>
    <row r="4109" spans="1:7">
      <c r="A4109" t="s">
        <v>660</v>
      </c>
      <c r="C4109" t="str">
        <f>'11A'!$T$43</f>
        <v>BO_2876962</v>
      </c>
      <c r="D4109" t="str">
        <f>_xlfn.CONCAT('11A'!$B$38, "-", '11A'!$B$43, "-", '11A'!$C$8, "-", '11A'!$C$7, "-", '11A'!$C$6, "-", '11A'!$C$5)</f>
        <v>Scope three emissions-Purchased heat; extraction, production, transmission and distribution-3-tCO2e-Water-Operational emissions</v>
      </c>
      <c r="F4109" t="s">
        <v>7182</v>
      </c>
      <c r="G4109">
        <f>'11A'!$C$43</f>
        <v>0</v>
      </c>
    </row>
    <row r="4110" spans="1:7">
      <c r="A4110" t="s">
        <v>660</v>
      </c>
      <c r="C4110" t="str">
        <f>'11A'!$U$43</f>
        <v>BO_5766422</v>
      </c>
      <c r="D4110" t="str">
        <f>_xlfn.CONCAT('11A'!$B$38, "-", '11A'!$B$43, "-", '11A'!$D$8, "-", '11A'!$D$7, "-", '11A'!$D$6, "-", '11A'!$C$5)</f>
        <v>Scope three emissions-Purchased heat; extraction, production, transmission and distribution-3-tCO2e-Wastewater-Operational emissions</v>
      </c>
      <c r="F4110" t="s">
        <v>7182</v>
      </c>
      <c r="G4110">
        <f>'11A'!$D$43</f>
        <v>0</v>
      </c>
    </row>
    <row r="4111" spans="1:7">
      <c r="A4111" t="s">
        <v>660</v>
      </c>
      <c r="C4111" t="str">
        <f>'11A'!$V$43</f>
        <v>BO_5741637</v>
      </c>
      <c r="D4111" t="str">
        <f>_xlfn.CONCAT('11A'!$B$38, "-", '11A'!$B$43, "-", '11A'!$E$8, "-", '11A'!$E$7, "-", '11A'!$E$6, "-", '11A'!$C$5)</f>
        <v>Scope three emissions-Purchased heat; extraction, production, transmission and distribution-3-tCO2e-Total-Operational emissions</v>
      </c>
      <c r="F4111" t="s">
        <v>7182</v>
      </c>
      <c r="G4111">
        <f>'11A'!$E$43</f>
        <v>0</v>
      </c>
    </row>
    <row r="4112" spans="1:7">
      <c r="A4112" t="s">
        <v>660</v>
      </c>
      <c r="C4112" t="str">
        <f>'11A'!$T$44</f>
        <v>BO_2876963</v>
      </c>
      <c r="D4112" t="str">
        <f>_xlfn.CONCAT('11A'!$B$38, "-", '11A'!$B$44, "-", '11A'!$C$8, "-", '11A'!$C$7, "-", '11A'!$C$6, "-", '11A'!$C$5)</f>
        <v>Scope three emissions-Purchased fuels; extraction, production, transmission and distribution-3-tCO2e-Water-Operational emissions</v>
      </c>
      <c r="F4112" t="s">
        <v>7182</v>
      </c>
      <c r="G4112">
        <f>'11A'!$C$44</f>
        <v>1292.8373786531295</v>
      </c>
    </row>
    <row r="4113" spans="1:7">
      <c r="A4113" t="s">
        <v>660</v>
      </c>
      <c r="C4113" t="str">
        <f>'11A'!$U$44</f>
        <v>BO_5766425</v>
      </c>
      <c r="D4113" t="str">
        <f>_xlfn.CONCAT('11A'!$B$38, "-", '11A'!$B$44, "-", '11A'!$D$8, "-", '11A'!$D$7, "-", '11A'!$D$6, "-", '11A'!$C$5)</f>
        <v>Scope three emissions-Purchased fuels; extraction, production, transmission and distribution-3-tCO2e-Wastewater-Operational emissions</v>
      </c>
      <c r="F4113" t="s">
        <v>7182</v>
      </c>
      <c r="G4113">
        <f>'11A'!$D$44</f>
        <v>7837.7293406092685</v>
      </c>
    </row>
    <row r="4114" spans="1:7">
      <c r="A4114" t="s">
        <v>660</v>
      </c>
      <c r="C4114" t="str">
        <f>'11A'!$V$44</f>
        <v>BO_5741639</v>
      </c>
      <c r="D4114" t="str">
        <f>_xlfn.CONCAT('11A'!$B$38, "-", '11A'!$B$44, "-", '11A'!$E$8, "-", '11A'!$E$7, "-", '11A'!$E$6, "-", '11A'!$C$5)</f>
        <v>Scope three emissions-Purchased fuels; extraction, production, transmission and distribution-3-tCO2e-Total-Operational emissions</v>
      </c>
      <c r="F4114" t="s">
        <v>7182</v>
      </c>
      <c r="G4114">
        <f>'11A'!$E$44</f>
        <v>9130.5667192623987</v>
      </c>
    </row>
    <row r="4115" spans="1:7">
      <c r="A4115" t="s">
        <v>660</v>
      </c>
      <c r="C4115" t="str">
        <f>'11A'!$T$45</f>
        <v>BO_6859992</v>
      </c>
      <c r="D4115" t="str">
        <f>_xlfn.CONCAT('11A'!$B$38, "-", '11A'!$B$45, "-", '11A'!$C$8, "-", '11A'!$C$7, "-", '11A'!$C$6, "-", '11A'!$C$5)</f>
        <v>Scope three emissions-Chemicals-3-tCO2e-Water-Operational emissions</v>
      </c>
      <c r="F4115" t="s">
        <v>7182</v>
      </c>
      <c r="G4115">
        <f>'11A'!$C$45</f>
        <v>38360.578803450211</v>
      </c>
    </row>
    <row r="4116" spans="1:7">
      <c r="A4116" t="s">
        <v>660</v>
      </c>
      <c r="C4116" t="str">
        <f>'11A'!$U$45</f>
        <v>BO_1591628</v>
      </c>
      <c r="D4116" t="str">
        <f>_xlfn.CONCAT('11A'!$B$38, "-", '11A'!$B$45, "-", '11A'!$D$8, "-", '11A'!$D$7, "-", '11A'!$D$6, "-", '11A'!$C$5)</f>
        <v>Scope three emissions-Chemicals-3-tCO2e-Wastewater-Operational emissions</v>
      </c>
      <c r="F4116" t="s">
        <v>7182</v>
      </c>
      <c r="G4116">
        <f>'11A'!$D$45</f>
        <v>10342.788720973889</v>
      </c>
    </row>
    <row r="4117" spans="1:7">
      <c r="A4117" t="s">
        <v>660</v>
      </c>
      <c r="C4117" t="str">
        <f>'11A'!$V$45</f>
        <v>BO_8746732</v>
      </c>
      <c r="D4117" t="str">
        <f>_xlfn.CONCAT('11A'!$B$38, "-", '11A'!$B$45, "-", '11A'!$E$8, "-", '11A'!$E$7, "-", '11A'!$E$6, "-", '11A'!$C$5)</f>
        <v>Scope three emissions-Chemicals-3-tCO2e-Total-Operational emissions</v>
      </c>
      <c r="F4117" t="s">
        <v>7182</v>
      </c>
      <c r="G4117">
        <f>'11A'!$E$45</f>
        <v>48703.367524424102</v>
      </c>
    </row>
    <row r="4118" spans="1:7">
      <c r="A4118" t="s">
        <v>660</v>
      </c>
      <c r="C4118" t="str">
        <f>'11A'!$T$46</f>
        <v>BO_57904</v>
      </c>
      <c r="D4118" t="str">
        <f>_xlfn.CONCAT('11A'!$B$38, "-", '11A'!$B$46, "-", '11A'!$C$8, "-", '11A'!$C$7, "-", '11A'!$C$6, "-", '11A'!$C$5)</f>
        <v>Scope three emissions-Disposal of waste-3-tCO2e-Water-Operational emissions</v>
      </c>
      <c r="F4118" t="s">
        <v>7182</v>
      </c>
      <c r="G4118">
        <f>'11A'!$C$46</f>
        <v>2577.1956384000005</v>
      </c>
    </row>
    <row r="4119" spans="1:7">
      <c r="A4119" t="s">
        <v>660</v>
      </c>
      <c r="C4119" t="str">
        <f>'11A'!$U$46</f>
        <v>BO_9940412</v>
      </c>
      <c r="D4119" t="str">
        <f>_xlfn.CONCAT('11A'!$B$38, "-", '11A'!$B$46, "-", '11A'!$D$8, "-", '11A'!$D$7, "-", '11A'!$D$6, "-", '11A'!$C$5)</f>
        <v>Scope three emissions-Disposal of waste-3-tCO2e-Wastewater-Operational emissions</v>
      </c>
      <c r="F4119" t="s">
        <v>7182</v>
      </c>
      <c r="G4119">
        <f>'11A'!$D$46</f>
        <v>4756.4263599999995</v>
      </c>
    </row>
    <row r="4120" spans="1:7">
      <c r="A4120" t="s">
        <v>660</v>
      </c>
      <c r="C4120" t="str">
        <f>'11A'!$V$46</f>
        <v>BO_3689667</v>
      </c>
      <c r="D4120" t="str">
        <f>_xlfn.CONCAT('11A'!$B$38, "-", '11A'!$B$46, "-", '11A'!$E$8, "-", '11A'!$E$7, "-", '11A'!$E$6, "-", '11A'!$C$5)</f>
        <v>Scope three emissions-Disposal of waste-3-tCO2e-Total-Operational emissions</v>
      </c>
      <c r="F4120" t="s">
        <v>7182</v>
      </c>
      <c r="G4120">
        <f>'11A'!$E$46</f>
        <v>7333.6219983999999</v>
      </c>
    </row>
    <row r="4121" spans="1:7">
      <c r="A4121" t="s">
        <v>660</v>
      </c>
      <c r="C4121" t="str">
        <f>'11A'!$T$47</f>
        <v>BO_2420448</v>
      </c>
      <c r="D4121" t="str">
        <f>_xlfn.CONCAT('11A'!$B$38, "-", '11A'!$B$47, "-", '11A'!$C$8, "-", '11A'!$C$7, "-", '11A'!$C$6, "-", '11A'!$C$5)</f>
        <v>Scope three emissions-Total scope three emissions (location-based)-3-tCO2e-Water-Operational emissions</v>
      </c>
      <c r="F4121" t="s">
        <v>7182</v>
      </c>
      <c r="G4121">
        <f>'11A'!$C$47</f>
        <v>58041.057480439304</v>
      </c>
    </row>
    <row r="4122" spans="1:7">
      <c r="A4122" t="s">
        <v>660</v>
      </c>
      <c r="C4122" t="str">
        <f>'11A'!$U$47</f>
        <v>BO_6794993</v>
      </c>
      <c r="D4122" t="str">
        <f>_xlfn.CONCAT('11A'!$B$38, "-", '11A'!$B$47, "-", '11A'!$D$8, "-", '11A'!$D$7, "-", '11A'!$D$6, "-", '11A'!$C$5)</f>
        <v>Scope three emissions-Total scope three emissions (location-based)-3-tCO2e-Wastewater-Operational emissions</v>
      </c>
      <c r="F4122" t="s">
        <v>7182</v>
      </c>
      <c r="G4122">
        <f>'11A'!$D$47</f>
        <v>32189.308388415193</v>
      </c>
    </row>
    <row r="4123" spans="1:7">
      <c r="A4123" t="s">
        <v>660</v>
      </c>
      <c r="C4123" t="str">
        <f>'11A'!$V$47</f>
        <v>BO_1974979</v>
      </c>
      <c r="D4123" t="str">
        <f>_xlfn.CONCAT('11A'!$B$38, "-", '11A'!$B$47, "-", '11A'!$E$8, "-", '11A'!$E$7, "-", '11A'!$E$6, "-", '11A'!$C$5)</f>
        <v>Scope three emissions-Total scope three emissions (location-based)-3-tCO2e-Total-Operational emissions</v>
      </c>
      <c r="F4123" t="s">
        <v>7182</v>
      </c>
      <c r="G4123">
        <f>'11A'!$E$47</f>
        <v>90230.365868854511</v>
      </c>
    </row>
    <row r="4124" spans="1:7">
      <c r="A4124" t="s">
        <v>660</v>
      </c>
      <c r="C4124" t="str">
        <f>'11A'!$T$48</f>
        <v>BO_5601106</v>
      </c>
      <c r="D4124" t="str">
        <f>_xlfn.CONCAT('11A'!$B$38, "-", '11A'!$B$48, "-", '11A'!$C$8, "-", '11A'!$C$7, "-", '11A'!$C$6, "-", '11A'!$C$5)</f>
        <v>Scope three emissions-Total scope three emissions (market-based)-3-tCO2e-Water-Operational emissions</v>
      </c>
      <c r="F4124" t="s">
        <v>7182</v>
      </c>
      <c r="G4124">
        <f>'11A'!$C$48</f>
        <v>54230.243580439303</v>
      </c>
    </row>
    <row r="4125" spans="1:7">
      <c r="A4125" t="s">
        <v>660</v>
      </c>
      <c r="C4125" t="str">
        <f>'11A'!$U$48</f>
        <v>BO_8684724</v>
      </c>
      <c r="D4125" t="str">
        <f>_xlfn.CONCAT('11A'!$B$38, "-", '11A'!$B$48, "-", '11A'!$D$8, "-", '11A'!$D$7, "-", '11A'!$D$6, "-", '11A'!$C$5)</f>
        <v>Scope three emissions-Total scope three emissions (market-based)-3-tCO2e-Wastewater-Operational emissions</v>
      </c>
      <c r="F4125" t="s">
        <v>7182</v>
      </c>
      <c r="G4125">
        <f>'11A'!$D$48</f>
        <v>30067.655688415194</v>
      </c>
    </row>
    <row r="4126" spans="1:7">
      <c r="A4126" t="s">
        <v>660</v>
      </c>
      <c r="C4126" t="str">
        <f>'11A'!$V$48</f>
        <v>BO_4034418</v>
      </c>
      <c r="D4126" t="str">
        <f>_xlfn.CONCAT('11A'!$B$38, "-", '11A'!$B$48, "-", '11A'!$E$8, "-", '11A'!$E$7, "-", '11A'!$E$6, "-", '11A'!$C$5)</f>
        <v>Scope three emissions-Total scope three emissions (market-based)-3-tCO2e-Total-Operational emissions</v>
      </c>
      <c r="F4126" t="s">
        <v>7182</v>
      </c>
      <c r="G4126">
        <f>'11A'!$E$48</f>
        <v>84297.899268854511</v>
      </c>
    </row>
    <row r="4127" spans="1:7">
      <c r="A4127" t="s">
        <v>660</v>
      </c>
      <c r="C4127" t="str">
        <f>'11A'!$T$50</f>
        <v>BR034_S3WCO</v>
      </c>
      <c r="D4127" t="str">
        <f>_xlfn.CONCAT('11A'!$B$38, "-", '11A'!$B$50, "-", '11A'!$C$8, "-", '11A'!$C$7, "-", '11A'!$C$6, "-", '11A'!$C$5)</f>
        <v>Scope three emissions-Scope three emissions; GHG type CO2-3-tCO2e-Water-Operational emissions</v>
      </c>
      <c r="F4127" t="s">
        <v>7182</v>
      </c>
      <c r="G4127">
        <f>'11A'!$C$50</f>
        <v>57986.3594174393</v>
      </c>
    </row>
    <row r="4128" spans="1:7">
      <c r="A4128" t="s">
        <v>660</v>
      </c>
      <c r="C4128" t="str">
        <f>'11A'!$U$50</f>
        <v>BR035_S3WWCO</v>
      </c>
      <c r="D4128" t="str">
        <f>_xlfn.CONCAT('11A'!$B$38, "-", '11A'!$B$50, "-", '11A'!$D$8, "-", '11A'!$D$7, "-", '11A'!$D$6, "-", '11A'!$C$5)</f>
        <v>Scope three emissions-Scope three emissions; GHG type CO2-3-tCO2e-Wastewater-Operational emissions</v>
      </c>
      <c r="F4128" t="s">
        <v>7182</v>
      </c>
      <c r="G4128">
        <f>'11A'!$D$50</f>
        <v>32152.752814715193</v>
      </c>
    </row>
    <row r="4129" spans="1:7">
      <c r="A4129" t="s">
        <v>660</v>
      </c>
      <c r="C4129" t="str">
        <f>'11A'!$V$50</f>
        <v>BR036_S3TOCO</v>
      </c>
      <c r="D4129" t="str">
        <f>_xlfn.CONCAT('11A'!$B$38, "-", '11A'!$B$50, "-", '11A'!$E$8, "-", '11A'!$E$7, "-", '11A'!$E$6, "-", '11A'!$C$5)</f>
        <v>Scope three emissions-Scope three emissions; GHG type CO2-3-tCO2e-Total-Operational emissions</v>
      </c>
      <c r="F4129" t="s">
        <v>7182</v>
      </c>
      <c r="G4129">
        <f>'11A'!$E$50</f>
        <v>90139.112232154497</v>
      </c>
    </row>
    <row r="4130" spans="1:7">
      <c r="A4130" t="s">
        <v>660</v>
      </c>
      <c r="C4130" t="str">
        <f>'11A'!$T$51</f>
        <v>BR037_S3WCH</v>
      </c>
      <c r="D4130" t="str">
        <f>_xlfn.CONCAT('11A'!$B$38, "-", '11A'!$B$51, "-", '11A'!$C$8, "-", '11A'!$C$7, "-", '11A'!$C$6, "-", '11A'!$C$5)</f>
        <v>Scope three emissions-Scope three emissions; GHG type CH4-3-tCO2e-Water-Operational emissions</v>
      </c>
      <c r="F4130" t="s">
        <v>7182</v>
      </c>
      <c r="G4130">
        <f>'11A'!$C$51</f>
        <v>15.374072</v>
      </c>
    </row>
    <row r="4131" spans="1:7">
      <c r="A4131" t="s">
        <v>660</v>
      </c>
      <c r="C4131" t="str">
        <f>'11A'!$U$51</f>
        <v>BR038_S3WWCH</v>
      </c>
      <c r="D4131" t="str">
        <f>_xlfn.CONCAT('11A'!$B$38, "-", '11A'!$B$51, "-", '11A'!$D$8, "-", '11A'!$D$7, "-", '11A'!$D$6, "-", '11A'!$C$5)</f>
        <v>Scope three emissions-Scope three emissions; GHG type CH4-3-tCO2e-Wastewater-Operational emissions</v>
      </c>
      <c r="F4131" t="s">
        <v>7182</v>
      </c>
      <c r="G4131">
        <f>'11A'!$D$51</f>
        <v>8.6899967</v>
      </c>
    </row>
    <row r="4132" spans="1:7">
      <c r="A4132" t="s">
        <v>660</v>
      </c>
      <c r="C4132" t="str">
        <f>'11A'!$V$51</f>
        <v>BR039_S3TOCH</v>
      </c>
      <c r="D4132" t="str">
        <f>_xlfn.CONCAT('11A'!$B$38, "-", '11A'!$B$51, "-", '11A'!$E$8, "-", '11A'!$E$7, "-", '11A'!$E$6, "-", '11A'!$C$5)</f>
        <v>Scope three emissions-Scope three emissions; GHG type CH4-3-tCO2e-Total-Operational emissions</v>
      </c>
      <c r="F4132" t="s">
        <v>7182</v>
      </c>
      <c r="G4132">
        <f>'11A'!$E$51</f>
        <v>24.0640687</v>
      </c>
    </row>
    <row r="4133" spans="1:7">
      <c r="A4133" t="s">
        <v>660</v>
      </c>
      <c r="C4133" t="str">
        <f>'11A'!$T$52</f>
        <v>BR040_S3WNO</v>
      </c>
      <c r="D4133" t="str">
        <f>_xlfn.CONCAT('11A'!$B$38, "-", '11A'!$B$52, "-", '11A'!$C$8, "-", '11A'!$C$7, "-", '11A'!$C$6, "-", '11A'!$C$5)</f>
        <v>Scope three emissions-Scope three emissions; GHG type N2O-3-tCO2e-Water-Operational emissions</v>
      </c>
      <c r="F4133" t="s">
        <v>7182</v>
      </c>
      <c r="G4133">
        <f>'11A'!$C$52</f>
        <v>39.323990999999999</v>
      </c>
    </row>
    <row r="4134" spans="1:7">
      <c r="A4134" t="s">
        <v>660</v>
      </c>
      <c r="C4134" t="str">
        <f>'11A'!$U$52</f>
        <v>BR041_S3WWNO</v>
      </c>
      <c r="D4134" t="str">
        <f>_xlfn.CONCAT('11A'!$B$38, "-", '11A'!$B$52, "-", '11A'!$D$8, "-", '11A'!$D$7, "-", '11A'!$D$6, "-", '11A'!$C$5)</f>
        <v>Scope three emissions-Scope three emissions; GHG type N2O-3-tCO2e-Wastewater-Operational emissions</v>
      </c>
      <c r="F4134" t="s">
        <v>7182</v>
      </c>
      <c r="G4134">
        <f>'11A'!$D$52</f>
        <v>27.865576999999998</v>
      </c>
    </row>
    <row r="4135" spans="1:7">
      <c r="A4135" t="s">
        <v>660</v>
      </c>
      <c r="C4135" t="str">
        <f>'11A'!$V$52</f>
        <v>BR042_S3TONO</v>
      </c>
      <c r="D4135" t="str">
        <f>_xlfn.CONCAT('11A'!$B$38, "-", '11A'!$B$52, "-", '11A'!$E$8, "-", '11A'!$E$7, "-", '11A'!$E$6, "-", '11A'!$C$5)</f>
        <v>Scope three emissions-Scope three emissions; GHG type N2O-3-tCO2e-Total-Operational emissions</v>
      </c>
      <c r="F4135" t="s">
        <v>7182</v>
      </c>
      <c r="G4135">
        <f>'11A'!$E$52</f>
        <v>67.189567999999994</v>
      </c>
    </row>
    <row r="4136" spans="1:7">
      <c r="A4136" t="s">
        <v>660</v>
      </c>
      <c r="C4136" t="str">
        <f>'11A'!$T$53</f>
        <v>BO_9823950</v>
      </c>
      <c r="D4136" t="str">
        <f>_xlfn.CONCAT('11A'!$B$38, "-", '11A'!$B$53, "-", '11A'!$C$8, "-", '11A'!$C$7, "-", '11A'!$C$6, "-", '11A'!$C$5)</f>
        <v>Scope three emissions-Scope three emissions: GHG other types-3-tCO2e-Water-Operational emissions</v>
      </c>
      <c r="F4136" t="s">
        <v>7182</v>
      </c>
      <c r="G4136">
        <f>'11A'!$C$53</f>
        <v>0</v>
      </c>
    </row>
    <row r="4137" spans="1:7">
      <c r="A4137" t="s">
        <v>660</v>
      </c>
      <c r="C4137" t="str">
        <f>'11A'!$U$53</f>
        <v>BO_4990179</v>
      </c>
      <c r="D4137" t="str">
        <f>_xlfn.CONCAT('11A'!$B$38, "-", '11A'!$B$53, "-", '11A'!$D$8, "-", '11A'!$D$7, "-", '11A'!$D$6, "-", '11A'!$C$5)</f>
        <v>Scope three emissions-Scope three emissions: GHG other types-3-tCO2e-Wastewater-Operational emissions</v>
      </c>
      <c r="F4137" t="s">
        <v>7182</v>
      </c>
      <c r="G4137">
        <f>'11A'!$D$53</f>
        <v>0</v>
      </c>
    </row>
    <row r="4138" spans="1:7">
      <c r="A4138" t="s">
        <v>660</v>
      </c>
      <c r="C4138" t="str">
        <f>'11A'!$V$53</f>
        <v>BO_3685286</v>
      </c>
      <c r="D4138" t="str">
        <f>_xlfn.CONCAT('11A'!$B$38, "-", '11A'!$B$53, "-", '11A'!$E$8, "-", '11A'!$E$7, "-", '11A'!$E$6, "-", '11A'!$C$5)</f>
        <v>Scope three emissions-Scope three emissions: GHG other types-3-tCO2e-Total-Operational emissions</v>
      </c>
      <c r="F4138" t="s">
        <v>7182</v>
      </c>
      <c r="G4138">
        <f>'11A'!$E$53</f>
        <v>0</v>
      </c>
    </row>
    <row r="4139" spans="1:7">
      <c r="A4139" t="s">
        <v>660</v>
      </c>
      <c r="C4139" t="str">
        <f>'11A'!$T$56</f>
        <v>BR073_GEWLB</v>
      </c>
      <c r="D4139" t="str">
        <f>_xlfn.CONCAT('11A'!$B$55, "-", '11A'!$B$56, "-", '11A'!$C$8, "-", '11A'!$C$7, "-", '11A'!$C$6, "-", '11A'!$C$5)</f>
        <v>Gross operational emissions (Scopes 1,2 and 3)-Gross operational emissions (location-based)-3-tCO2e-Water-Operational emissions</v>
      </c>
      <c r="F4139" t="s">
        <v>7182</v>
      </c>
      <c r="G4139">
        <f>'11A'!$C$56</f>
        <v>105925.6089484393</v>
      </c>
    </row>
    <row r="4140" spans="1:7">
      <c r="A4140" t="s">
        <v>660</v>
      </c>
      <c r="C4140" t="str">
        <f>'11A'!$U$56</f>
        <v>BR074_GEWWLB</v>
      </c>
      <c r="D4140" t="str">
        <f>_xlfn.CONCAT('11A'!$B$55, "-", '11A'!$B$56, "-", '11A'!$D$8, "-", '11A'!$D$7, "-", '11A'!$D$6, "-", '11A'!$C$5)</f>
        <v>Gross operational emissions (Scopes 1,2 and 3)-Gross operational emissions (location-based)-3-tCO2e-Wastewater-Operational emissions</v>
      </c>
      <c r="F4140" t="s">
        <v>7182</v>
      </c>
      <c r="G4140">
        <f>'11A'!$D$56</f>
        <v>124173.91848841522</v>
      </c>
    </row>
    <row r="4141" spans="1:7">
      <c r="A4141" t="s">
        <v>660</v>
      </c>
      <c r="C4141" t="str">
        <f>'11A'!$V$56</f>
        <v>BR075_GETOLB</v>
      </c>
      <c r="D4141" t="str">
        <f>_xlfn.CONCAT('11A'!$B$55, "-", '11A'!$B$56, "-", '11A'!$E$8, "-", '11A'!$E$7, "-", '11A'!$E$6, "-", '11A'!$C$5)</f>
        <v>Gross operational emissions (Scopes 1,2 and 3)-Gross operational emissions (location-based)-3-tCO2e-Total-Operational emissions</v>
      </c>
      <c r="F4141" t="s">
        <v>7182</v>
      </c>
      <c r="G4141">
        <f>'11A'!$E$56</f>
        <v>230099.52743685452</v>
      </c>
    </row>
    <row r="4142" spans="1:7">
      <c r="A4142" t="s">
        <v>660</v>
      </c>
      <c r="C4142" t="str">
        <f>'11A'!$T$57</f>
        <v>BR076_GEWMB</v>
      </c>
      <c r="D4142" t="str">
        <f>_xlfn.CONCAT('11A'!$B$55, "-", '11A'!$B$57, "-", '11A'!$C$8, "-", '11A'!$C$7, "-", '11A'!$C$6, "-", '11A'!$C$5)</f>
        <v>Gross operational emissions (Scopes 1,2 and 3)-Gross operational emissions (market-based)-3-tCO2e-Water-Operational emissions</v>
      </c>
      <c r="F4142" t="s">
        <v>7182</v>
      </c>
      <c r="G4142">
        <f>'11A'!$C$57</f>
        <v>59828.180048439302</v>
      </c>
    </row>
    <row r="4143" spans="1:7">
      <c r="A4143" t="s">
        <v>660</v>
      </c>
      <c r="C4143" t="str">
        <f>'11A'!$U$57</f>
        <v>BR077_GEWWMB</v>
      </c>
      <c r="D4143" t="str">
        <f>_xlfn.CONCAT('11A'!$B$55, "-", '11A'!$B$57, "-", '11A'!$D$8, "-", '11A'!$D$7, "-", '11A'!$D$6, "-", '11A'!$C$5)</f>
        <v>Gross operational emissions (Scopes 1,2 and 3)-Gross operational emissions (market-based)-3-tCO2e-Wastewater-Operational emissions</v>
      </c>
      <c r="F4143" t="s">
        <v>7182</v>
      </c>
      <c r="G4143">
        <f>'11A'!$D$57</f>
        <v>69849.577688415186</v>
      </c>
    </row>
    <row r="4144" spans="1:7">
      <c r="A4144" t="s">
        <v>660</v>
      </c>
      <c r="C4144" t="str">
        <f>'11A'!$V$57</f>
        <v>BR078_GETOMB</v>
      </c>
      <c r="D4144" t="str">
        <f>_xlfn.CONCAT('11A'!$B$55, "-", '11A'!$B$57, "-", '11A'!$E$8, "-", '11A'!$E$7, "-", '11A'!$E$6, "-", '11A'!$C$5)</f>
        <v>Gross operational emissions (Scopes 1,2 and 3)-Gross operational emissions (market-based)-3-tCO2e-Total-Operational emissions</v>
      </c>
      <c r="F4144" t="s">
        <v>7182</v>
      </c>
      <c r="G4144">
        <f>'11A'!$E$57</f>
        <v>129677.75773685449</v>
      </c>
    </row>
    <row r="4145" spans="1:7">
      <c r="A4145" t="s">
        <v>660</v>
      </c>
      <c r="C4145" t="str">
        <f>'11A'!$T$60</f>
        <v>BR079_ERWER</v>
      </c>
      <c r="D4145" t="str">
        <f>_xlfn.CONCAT('11A'!$B$59, "-", '11A'!$B$60, "-", '11A'!$C$8, "-", '11A'!$C$7, "-", '11A'!$C$6, "-", '11A'!$C$5)</f>
        <v>Emissions reductions-Exported renewables-3-tCO2e-Water-Operational emissions</v>
      </c>
      <c r="F4145" t="s">
        <v>7182</v>
      </c>
      <c r="G4145">
        <f>'11A'!$C$60</f>
        <v>139.47035</v>
      </c>
    </row>
    <row r="4146" spans="1:7">
      <c r="A4146" t="s">
        <v>660</v>
      </c>
      <c r="C4146" t="str">
        <f>'11A'!$U$60</f>
        <v>BR080_ERWWER</v>
      </c>
      <c r="D4146" t="str">
        <f>_xlfn.CONCAT('11A'!$B$59, "-", '11A'!$B$60, "-", '11A'!$D$8, "-", '11A'!$D$7, "-", '11A'!$D$6, "-", '11A'!$C$5)</f>
        <v>Emissions reductions-Exported renewables-3-tCO2e-Wastewater-Operational emissions</v>
      </c>
      <c r="F4146" t="s">
        <v>7182</v>
      </c>
      <c r="G4146">
        <f>'11A'!$D$60</f>
        <v>12.075685999999999</v>
      </c>
    </row>
    <row r="4147" spans="1:7">
      <c r="A4147" t="s">
        <v>660</v>
      </c>
      <c r="C4147" t="str">
        <f>'11A'!$V$60</f>
        <v>BR081_ERTOER</v>
      </c>
      <c r="D4147" t="str">
        <f>_xlfn.CONCAT('11A'!$B$59, "-", '11A'!$B$60, "-", '11A'!$E$8, "-", '11A'!$E$7, "-", '11A'!$E$6, "-", '11A'!$C$5)</f>
        <v>Emissions reductions-Exported renewables-3-tCO2e-Total-Operational emissions</v>
      </c>
      <c r="F4147" t="s">
        <v>7182</v>
      </c>
      <c r="G4147">
        <f>'11A'!$E$60</f>
        <v>151.54603599999999</v>
      </c>
    </row>
    <row r="4148" spans="1:7">
      <c r="A4148" t="s">
        <v>660</v>
      </c>
      <c r="C4148" t="str">
        <f>'11A'!$T$61</f>
        <v>BR082_ERWEB</v>
      </c>
      <c r="D4148" t="str">
        <f>_xlfn.CONCAT('11A'!$B$59, "-", '11A'!$B$61, "-", '11A'!$C$8, "-", '11A'!$C$7, "-", '11A'!$C$6, "-", '11A'!$C$5)</f>
        <v>Emissions reductions-Exported biomethane-3-tCO2e-Water-Operational emissions</v>
      </c>
      <c r="F4148" t="s">
        <v>7182</v>
      </c>
      <c r="G4148">
        <f>'11A'!$C$61</f>
        <v>0</v>
      </c>
    </row>
    <row r="4149" spans="1:7">
      <c r="A4149" t="s">
        <v>660</v>
      </c>
      <c r="C4149" t="str">
        <f>'11A'!$U$61</f>
        <v>BR083_ERWWEB</v>
      </c>
      <c r="D4149" t="str">
        <f>_xlfn.CONCAT('11A'!$B$59, "-", '11A'!$B$61, "-", '11A'!$D$8, "-", '11A'!$D$7, "-", '11A'!$D$6, "-", '11A'!$C$5)</f>
        <v>Emissions reductions-Exported biomethane-3-tCO2e-Wastewater-Operational emissions</v>
      </c>
      <c r="F4149" t="s">
        <v>7182</v>
      </c>
      <c r="G4149">
        <f>'11A'!$D$61</f>
        <v>23874.489000000001</v>
      </c>
    </row>
    <row r="4150" spans="1:7">
      <c r="A4150" t="s">
        <v>660</v>
      </c>
      <c r="C4150" t="str">
        <f>'11A'!$V$61</f>
        <v>BR084_ERTOEB</v>
      </c>
      <c r="D4150" t="str">
        <f>_xlfn.CONCAT('11A'!$B$59, "-", '11A'!$B$61, "-", '11A'!$E$8, "-", '11A'!$E$7, "-", '11A'!$E$6, "-", '11A'!$C$5)</f>
        <v>Emissions reductions-Exported biomethane-3-tCO2e-Total-Operational emissions</v>
      </c>
      <c r="F4150" t="s">
        <v>7182</v>
      </c>
      <c r="G4150">
        <f>'11A'!$E$61</f>
        <v>23874.489000000001</v>
      </c>
    </row>
    <row r="4151" spans="1:7">
      <c r="A4151" t="s">
        <v>660</v>
      </c>
      <c r="C4151" t="str">
        <f>'11A'!$T$62</f>
        <v>BO_6717913</v>
      </c>
      <c r="D4151" t="str">
        <f>_xlfn.CONCAT('11A'!$B$59, "-", '11A'!$B$62, "-", '11A'!$C$8, "-", '11A'!$C$7, "-", '11A'!$C$6, "-", '11A'!$C$5)</f>
        <v>Emissions reductions-Insets-3-tCO2e-Water-Operational emissions</v>
      </c>
      <c r="F4151" t="s">
        <v>7182</v>
      </c>
      <c r="G4151">
        <f>'11A'!$C$62</f>
        <v>0</v>
      </c>
    </row>
    <row r="4152" spans="1:7">
      <c r="A4152" t="s">
        <v>660</v>
      </c>
      <c r="C4152" t="str">
        <f>'11A'!$U$62</f>
        <v>BO_5717374</v>
      </c>
      <c r="D4152" t="str">
        <f>_xlfn.CONCAT('11A'!$B$59, "-", '11A'!$B$62, "-", '11A'!$D$8, "-", '11A'!$D$7, "-", '11A'!$D$6, "-", '11A'!$C$5)</f>
        <v>Emissions reductions-Insets-3-tCO2e-Wastewater-Operational emissions</v>
      </c>
      <c r="F4152" t="s">
        <v>7182</v>
      </c>
      <c r="G4152">
        <f>'11A'!$D$62</f>
        <v>0</v>
      </c>
    </row>
    <row r="4153" spans="1:7">
      <c r="A4153" t="s">
        <v>660</v>
      </c>
      <c r="C4153" t="str">
        <f>'11A'!$V$62</f>
        <v>BO_4686738</v>
      </c>
      <c r="D4153" t="str">
        <f>_xlfn.CONCAT('11A'!$B$59, "-", '11A'!$B$62, "-", '11A'!$E$8, "-", '11A'!$E$7, "-", '11A'!$E$6, "-", '11A'!$C$5)</f>
        <v>Emissions reductions-Insets-3-tCO2e-Total-Operational emissions</v>
      </c>
      <c r="F4153" t="s">
        <v>7182</v>
      </c>
      <c r="G4153">
        <f>'11A'!$E$62</f>
        <v>0</v>
      </c>
    </row>
    <row r="4154" spans="1:7">
      <c r="A4154" t="s">
        <v>660</v>
      </c>
      <c r="C4154" t="str">
        <f>'11A'!$T$63</f>
        <v>BR088_ERWOR</v>
      </c>
      <c r="D4154" t="str">
        <f>_xlfn.CONCAT('11A'!$B$59, "-", '11A'!$B$63, "-", '11A'!$C$8, "-", '11A'!$C$7, "-", '11A'!$C$6, "-", '11A'!$C$5)</f>
        <v>Emissions reductions-Other emissions reductions-3-tCO2e-Water-Operational emissions</v>
      </c>
      <c r="F4154" t="s">
        <v>7182</v>
      </c>
      <c r="G4154">
        <f>'11A'!$C$63</f>
        <v>0</v>
      </c>
    </row>
    <row r="4155" spans="1:7">
      <c r="A4155" t="s">
        <v>660</v>
      </c>
      <c r="C4155" t="str">
        <f>'11A'!$U$63</f>
        <v>BR089_ERWWOR</v>
      </c>
      <c r="D4155" t="str">
        <f>_xlfn.CONCAT('11A'!$B$59, "-", '11A'!$B$63, "-", '11A'!$D$8, "-", '11A'!$D$7, "-", '11A'!$D$6, "-", '11A'!$C$5)</f>
        <v>Emissions reductions-Other emissions reductions-3-tCO2e-Wastewater-Operational emissions</v>
      </c>
      <c r="F4155" t="s">
        <v>7182</v>
      </c>
      <c r="G4155">
        <f>'11A'!$D$63</f>
        <v>0</v>
      </c>
    </row>
    <row r="4156" spans="1:7">
      <c r="A4156" t="s">
        <v>660</v>
      </c>
      <c r="C4156" t="str">
        <f>'11A'!$V$63</f>
        <v>BR090_ERTOOR</v>
      </c>
      <c r="D4156" t="str">
        <f>_xlfn.CONCAT('11A'!$B$59, "-", '11A'!$B$63, "-", '11A'!$E$8, "-", '11A'!$E$7, "-", '11A'!$E$6, "-", '11A'!$C$5)</f>
        <v>Emissions reductions-Other emissions reductions-3-tCO2e-Total-Operational emissions</v>
      </c>
      <c r="F4156" t="s">
        <v>7182</v>
      </c>
      <c r="G4156">
        <f>'11A'!$E$63</f>
        <v>0</v>
      </c>
    </row>
    <row r="4157" spans="1:7">
      <c r="A4157" t="s">
        <v>660</v>
      </c>
      <c r="C4157" t="str">
        <f>'11A'!$T$64</f>
        <v>BR091_ERWTR</v>
      </c>
      <c r="D4157" t="str">
        <f>_xlfn.CONCAT('11A'!$B$59, "-", '11A'!$B$64, "-", '11A'!$C$8, "-", '11A'!$C$7, "-", '11A'!$C$6, "-", '11A'!$C$5)</f>
        <v>Emissions reductions-Total emissions reductions-3-tCO2e-Water-Operational emissions</v>
      </c>
      <c r="F4157" t="s">
        <v>7182</v>
      </c>
      <c r="G4157">
        <f>'11A'!$C$64</f>
        <v>139.47035</v>
      </c>
    </row>
    <row r="4158" spans="1:7">
      <c r="A4158" t="s">
        <v>660</v>
      </c>
      <c r="C4158" t="str">
        <f>'11A'!$U$64</f>
        <v>BR092_ERWWTR</v>
      </c>
      <c r="D4158" t="str">
        <f>_xlfn.CONCAT('11A'!$B$59, "-", '11A'!$B$64, "-", '11A'!$D$8, "-", '11A'!$D$7, "-", '11A'!$D$6, "-", '11A'!$C$5)</f>
        <v>Emissions reductions-Total emissions reductions-3-tCO2e-Wastewater-Operational emissions</v>
      </c>
      <c r="F4158" t="s">
        <v>7182</v>
      </c>
      <c r="G4158">
        <f>'11A'!$D$64</f>
        <v>23886.564686000002</v>
      </c>
    </row>
    <row r="4159" spans="1:7">
      <c r="A4159" t="s">
        <v>660</v>
      </c>
      <c r="C4159" t="str">
        <f>'11A'!$V$64</f>
        <v>BR093_ERTOTR</v>
      </c>
      <c r="D4159" t="str">
        <f>_xlfn.CONCAT('11A'!$B$59, "-", '11A'!$B$64, "-", '11A'!$E$8, "-", '11A'!$E$7, "-", '11A'!$E$6, "-", '11A'!$C$5)</f>
        <v>Emissions reductions-Total emissions reductions-3-tCO2e-Total-Operational emissions</v>
      </c>
      <c r="F4159" t="s">
        <v>7182</v>
      </c>
      <c r="G4159">
        <f>'11A'!$E$64</f>
        <v>24026.035036000001</v>
      </c>
    </row>
    <row r="4160" spans="1:7">
      <c r="A4160" t="s">
        <v>660</v>
      </c>
      <c r="C4160" t="str">
        <f>'11A'!$T$68</f>
        <v>BR094_NEWLB</v>
      </c>
      <c r="D4160" t="str">
        <f>_xlfn.CONCAT('11A'!$B$67, "-", '11A'!$B$68, "-", '11A'!$C$8, "-", '11A'!$C$7, "-", '11A'!$C$6, "-", '11A'!$C$5)</f>
        <v>Net annual emissions-Net annual emissions (location-based)-3-tCO2e-Water-Operational emissions</v>
      </c>
      <c r="F4160" t="s">
        <v>7182</v>
      </c>
      <c r="G4160">
        <f>'11A'!$C$68</f>
        <v>105786.1385984393</v>
      </c>
    </row>
    <row r="4161" spans="1:7">
      <c r="A4161" t="s">
        <v>660</v>
      </c>
      <c r="C4161" t="str">
        <f>'11A'!$U$68</f>
        <v>BR095_NEWWLB</v>
      </c>
      <c r="D4161" t="str">
        <f>_xlfn.CONCAT('11A'!$B$67, "-", '11A'!$B$68, "-", '11A'!$D$8, "-", '11A'!$D$7, "-", '11A'!$D$6, "-", '11A'!$C$5)</f>
        <v>Net annual emissions-Net annual emissions (location-based)-3-tCO2e-Wastewater-Operational emissions</v>
      </c>
      <c r="F4161" t="s">
        <v>7182</v>
      </c>
      <c r="G4161">
        <f>'11A'!$D$68</f>
        <v>100287.35380241522</v>
      </c>
    </row>
    <row r="4162" spans="1:7">
      <c r="A4162" t="s">
        <v>660</v>
      </c>
      <c r="C4162" t="str">
        <f>'11A'!$V$68</f>
        <v>BR096_NETOLB</v>
      </c>
      <c r="D4162" t="str">
        <f>_xlfn.CONCAT('11A'!$B$67, "-", '11A'!$B$68, "-", '11A'!$E$8, "-", '11A'!$E$7, "-", '11A'!$E$6, "-", '11A'!$C$5)</f>
        <v>Net annual emissions-Net annual emissions (location-based)-3-tCO2e-Total-Operational emissions</v>
      </c>
      <c r="F4162" t="s">
        <v>7182</v>
      </c>
      <c r="G4162">
        <f>'11A'!$E$68</f>
        <v>206073.49240085453</v>
      </c>
    </row>
    <row r="4163" spans="1:7">
      <c r="A4163" t="s">
        <v>660</v>
      </c>
      <c r="C4163" t="str">
        <f>'11A'!$T$69</f>
        <v>BR097_NEWMB</v>
      </c>
      <c r="D4163" t="str">
        <f>_xlfn.CONCAT('11A'!$B$67, "-", '11A'!$B$69, "-", '11A'!$C$8, "-", '11A'!$C$7, "-", '11A'!$C$6, "-", '11A'!$C$5)</f>
        <v>Net annual emissions-Net annual emissions (market-based)-3-tCO2e-Water-Operational emissions</v>
      </c>
      <c r="F4163" t="s">
        <v>7182</v>
      </c>
      <c r="G4163">
        <f>'11A'!$C$69</f>
        <v>59828.180048439302</v>
      </c>
    </row>
    <row r="4164" spans="1:7">
      <c r="A4164" t="s">
        <v>660</v>
      </c>
      <c r="C4164" t="str">
        <f>'11A'!$U$69</f>
        <v>BR098_NEWWMB</v>
      </c>
      <c r="D4164" t="str">
        <f>_xlfn.CONCAT('11A'!$B$67, "-", '11A'!$B$69, "-", '11A'!$D$8, "-", '11A'!$D$7, "-", '11A'!$D$6, "-", '11A'!$C$5)</f>
        <v>Net annual emissions-Net annual emissions (market-based)-3-tCO2e-Wastewater-Operational emissions</v>
      </c>
      <c r="F4164" t="s">
        <v>7182</v>
      </c>
      <c r="G4164">
        <f>'11A'!$D$69</f>
        <v>69849.577688415186</v>
      </c>
    </row>
    <row r="4165" spans="1:7">
      <c r="A4165" t="s">
        <v>660</v>
      </c>
      <c r="C4165" t="str">
        <f>'11A'!$V$69</f>
        <v>BR099_NETOMB</v>
      </c>
      <c r="D4165" t="str">
        <f>_xlfn.CONCAT('11A'!$B$67, "-", '11A'!$B$69, "-", '11A'!$E$8, "-", '11A'!$E$7, "-", '11A'!$E$6, "-", '11A'!$C$5)</f>
        <v>Net annual emissions-Net annual emissions (market-based)-3-tCO2e-Total-Operational emissions</v>
      </c>
      <c r="F4165" t="s">
        <v>7182</v>
      </c>
      <c r="G4165">
        <f>'11A'!$E$69</f>
        <v>129677.75773685449</v>
      </c>
    </row>
    <row r="4166" spans="1:7">
      <c r="A4166" t="s">
        <v>660</v>
      </c>
      <c r="C4166" t="str">
        <f>'11A'!$T$76</f>
        <v>BR103_IRWTW</v>
      </c>
      <c r="D4166" t="str">
        <f>_xlfn.CONCAT('11A'!$B$75, "-", '11A'!$B$76, "-", '11A'!$C$73, "-", '11A'!$C$72, "-", '11A'!$C$71)</f>
        <v>GHG intensity ratios-Emissions per Ml of treated water-3-kgCO2e/Ml-Water</v>
      </c>
      <c r="F4166" t="s">
        <v>7182</v>
      </c>
      <c r="G4166">
        <f>'11A'!$C$76</f>
        <v>109.67885</v>
      </c>
    </row>
    <row r="4167" spans="1:7">
      <c r="A4167" t="s">
        <v>660</v>
      </c>
      <c r="C4167" t="str">
        <f>'11A'!$U$77</f>
        <v>BR104_IRWWSF</v>
      </c>
      <c r="D4167" t="str">
        <f>_xlfn.CONCAT('11A'!$B$75, "-", '11A'!$B$77, "-", '11A'!$D$73, "-", '11A'!$D$72, "-", '11A'!$D$71)</f>
        <v>GHG intensity ratios-Emissions per Ml of sewage treated-3-kgCO2e/Ml-Wastewater</v>
      </c>
      <c r="F4167" t="s">
        <v>7182</v>
      </c>
      <c r="G4167">
        <f>'11A'!$D$77</f>
        <v>287.46600000000001</v>
      </c>
    </row>
    <row r="4168" spans="1:7">
      <c r="A4168" t="s">
        <v>660</v>
      </c>
      <c r="C4168" t="str">
        <f>'11A'!$T$84</f>
        <v>BR085_ERWGO</v>
      </c>
      <c r="D4168" t="str">
        <f>_xlfn.CONCAT('11A'!$B$83, "-", '11A'!$B$84, "-", '11A'!$C$81, "-", '11A'!$C$80, "-", '11A'!$C$79)</f>
        <v>Other-Green tariff electricity-3-tCO2e-Water</v>
      </c>
      <c r="F4168" t="s">
        <v>7182</v>
      </c>
      <c r="G4168">
        <f>'11A'!$C$84</f>
        <v>0</v>
      </c>
    </row>
    <row r="4169" spans="1:7">
      <c r="A4169" t="s">
        <v>660</v>
      </c>
      <c r="C4169" t="str">
        <f>'11A'!$U$84</f>
        <v>BR086_ERWWGO</v>
      </c>
      <c r="D4169" t="str">
        <f>_xlfn.CONCAT('11A'!$B$83, "-", '11A'!$B$84, "-", '11A'!$D$81, "-", '11A'!$D$80, "-", '11A'!$D$79)</f>
        <v>Other-Green tariff electricity-3-tCO2e-Wastewater</v>
      </c>
      <c r="F4169" t="s">
        <v>7182</v>
      </c>
      <c r="G4169">
        <f>'11A'!$D$84</f>
        <v>0</v>
      </c>
    </row>
    <row r="4170" spans="1:7">
      <c r="A4170" t="s">
        <v>660</v>
      </c>
      <c r="C4170" t="str">
        <f>'11A'!$V$84</f>
        <v>BR087_ERTOGO</v>
      </c>
      <c r="D4170" t="str">
        <f>_xlfn.CONCAT('11A'!$B$83, "-", '11A'!$B$84, "-", '11A'!$E$81, "-", '11A'!$E$80, "-", '11A'!$E$79)</f>
        <v>Other-Green tariff electricity-3-tCO2e-Total</v>
      </c>
      <c r="F4170" t="s">
        <v>7182</v>
      </c>
      <c r="G4170">
        <f>'11A'!$E$84</f>
        <v>0</v>
      </c>
    </row>
    <row r="4171" spans="1:7">
      <c r="A4171" t="s">
        <v>660</v>
      </c>
      <c r="C4171" t="str">
        <f>'11A'!$T$92</f>
        <v>BO_214</v>
      </c>
      <c r="D4171" t="str">
        <f>_xlfn.CONCAT('11A'!$B$83, "-", '11A'!$B$92, "-", '11A'!$C$81, "-", '11A'!$C$80, "-", '11A'!$C$79)</f>
        <v>Other-Capital projects (cradle-to-gate)-3-tCO2e-Water</v>
      </c>
      <c r="F4171" t="s">
        <v>7182</v>
      </c>
      <c r="G4171">
        <f>'11A'!$C$92</f>
        <v>54231.47720575866</v>
      </c>
    </row>
    <row r="4172" spans="1:7">
      <c r="A4172" t="s">
        <v>660</v>
      </c>
      <c r="C4172" t="str">
        <f>'11A'!$U$92</f>
        <v>BO_8644</v>
      </c>
      <c r="D4172" t="str">
        <f>_xlfn.CONCAT('11A'!$B$83, "-", '11A'!$B$92, "-", '11A'!$D$81, "-", '11A'!$D$80, "-", '11A'!$D$79)</f>
        <v>Other-Capital projects (cradle-to-gate)-3-tCO2e-Wastewater</v>
      </c>
      <c r="F4172" t="s">
        <v>7182</v>
      </c>
      <c r="G4172">
        <f>'11A'!$D$92</f>
        <v>36972.948774924771</v>
      </c>
    </row>
    <row r="4173" spans="1:7">
      <c r="A4173" t="s">
        <v>660</v>
      </c>
      <c r="C4173" t="str">
        <f>'11A'!$V$92</f>
        <v>BO_2449</v>
      </c>
      <c r="D4173" t="str">
        <f>_xlfn.CONCAT('11A'!$B$83, "-", '11A'!$B$92, "-", '11A'!$E$81, "-", '11A'!$E$80, "-", '11A'!$E$79)</f>
        <v>Other-Capital projects (cradle-to-gate)-3-tCO2e-Total</v>
      </c>
      <c r="F4173" t="s">
        <v>7182</v>
      </c>
      <c r="G4173">
        <f>'11A'!$E$92</f>
        <v>91204.425980683431</v>
      </c>
    </row>
    <row r="4174" spans="1:7">
      <c r="A4174" t="s">
        <v>660</v>
      </c>
      <c r="C4174" t="str">
        <f>'11A'!$T$93</f>
        <v>BO_2143514</v>
      </c>
      <c r="D4174" t="str">
        <f>_xlfn.CONCAT('11A'!$B$83, "-", '11A'!$B$93, "-", '11A'!$C$81, "-", '11A'!$C$80, "-", '11A'!$C$79)</f>
        <v>Other-Capital projects (cradle-to-build)-3-tCO2e-Water</v>
      </c>
      <c r="F4174" t="s">
        <v>7182</v>
      </c>
      <c r="G4174">
        <f>'11A'!$C$93</f>
        <v>57091.555111133355</v>
      </c>
    </row>
    <row r="4175" spans="1:7">
      <c r="A4175" t="s">
        <v>660</v>
      </c>
      <c r="C4175" t="str">
        <f>'11A'!$U$93</f>
        <v>BO_8427041</v>
      </c>
      <c r="D4175" t="str">
        <f>_xlfn.CONCAT('11A'!$B$83, "-", '11A'!$B$93, "-", '11A'!$D$81, "-", '11A'!$D$80, "-", '11A'!$D$79)</f>
        <v>Other-Capital projects (cradle-to-build)-3-tCO2e-Wastewater</v>
      </c>
      <c r="F4175" t="s">
        <v>7182</v>
      </c>
      <c r="G4175">
        <f>'11A'!$D$93</f>
        <v>38922.840596726077</v>
      </c>
    </row>
    <row r="4176" spans="1:7">
      <c r="A4176" t="s">
        <v>660</v>
      </c>
      <c r="C4176" t="str">
        <f>'11A'!$V$93</f>
        <v>BO_3244856</v>
      </c>
      <c r="D4176" t="str">
        <f>_xlfn.CONCAT('11A'!$B$83, "-", '11A'!$B$93, "-", '11A'!$E$81, "-", '11A'!$E$80, "-", '11A'!$E$79)</f>
        <v>Other-Capital projects (cradle-to-build)-3-tCO2e-Total</v>
      </c>
      <c r="F4176" t="s">
        <v>7182</v>
      </c>
      <c r="G4176">
        <f>'11A'!$E$93</f>
        <v>96014.395707859425</v>
      </c>
    </row>
    <row r="4177" spans="1:7">
      <c r="A4177" t="s">
        <v>660</v>
      </c>
      <c r="C4177" t="s">
        <v>3591</v>
      </c>
      <c r="D4177" t="s">
        <v>3592</v>
      </c>
      <c r="F4177" t="s">
        <v>7182</v>
      </c>
      <c r="G4177">
        <f>'11A'!$C$96</f>
        <v>68707</v>
      </c>
    </row>
    <row r="4178" spans="1:7">
      <c r="A4178" t="s">
        <v>660</v>
      </c>
      <c r="C4178" t="s">
        <v>3593</v>
      </c>
      <c r="D4178" t="s">
        <v>3594</v>
      </c>
      <c r="F4178" t="s">
        <v>7182</v>
      </c>
      <c r="G4178">
        <f>'11A'!$D$96</f>
        <v>54680</v>
      </c>
    </row>
    <row r="4179" spans="1:7">
      <c r="A4179" t="s">
        <v>660</v>
      </c>
      <c r="C4179" t="s">
        <v>3595</v>
      </c>
      <c r="D4179" t="s">
        <v>3596</v>
      </c>
      <c r="F4179" t="s">
        <v>7182</v>
      </c>
      <c r="G4179">
        <f>'11A'!$E$96</f>
        <v>123567</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opLeftCell="A32" zoomScaleNormal="100" workbookViewId="0">
      <selection activeCell="A41" sqref="A41:L41"/>
    </sheetView>
  </sheetViews>
  <sheetFormatPr defaultRowHeight="14.25"/>
  <cols>
    <col min="2" max="2" width="26.5" bestFit="1" customWidth="1"/>
    <col min="3" max="3" width="50.5" bestFit="1" customWidth="1"/>
  </cols>
  <sheetData>
    <row r="1" spans="1:12" ht="29.25" thickBot="1">
      <c r="A1" s="2548" t="s">
        <v>7189</v>
      </c>
      <c r="B1" s="2548"/>
      <c r="C1" s="2549"/>
      <c r="D1" s="2548"/>
      <c r="E1" s="2548"/>
      <c r="F1" s="2548"/>
      <c r="G1" s="2548"/>
      <c r="H1" s="2654"/>
      <c r="I1" s="2654"/>
    </row>
    <row r="2" spans="1:12" ht="15.75" thickTop="1">
      <c r="A2" s="2550"/>
      <c r="B2" s="2550"/>
      <c r="C2" s="2550"/>
      <c r="D2" s="2550"/>
      <c r="E2" s="2550"/>
      <c r="F2" s="2550"/>
      <c r="G2" s="2550"/>
      <c r="H2" s="2655"/>
      <c r="I2" s="2655"/>
    </row>
    <row r="3" spans="1:12" ht="15">
      <c r="A3" s="2550"/>
      <c r="B3" s="2551" t="s">
        <v>7190</v>
      </c>
      <c r="C3" s="2551" t="s">
        <v>7191</v>
      </c>
      <c r="D3" s="2550"/>
      <c r="E3" s="2550"/>
      <c r="F3" s="2550"/>
      <c r="G3" s="2550"/>
      <c r="H3" s="2656"/>
      <c r="I3" s="2656"/>
    </row>
    <row r="4" spans="1:12" ht="15">
      <c r="A4" s="2550"/>
      <c r="B4" s="2551" t="s">
        <v>7192</v>
      </c>
      <c r="C4" s="2552">
        <v>1.1000000000000001</v>
      </c>
      <c r="D4" s="2550"/>
      <c r="E4" s="2550"/>
      <c r="F4" s="2550"/>
      <c r="G4" s="2550"/>
      <c r="H4" s="2656"/>
      <c r="I4" s="2656"/>
    </row>
    <row r="5" spans="1:12" ht="15">
      <c r="A5" s="2550"/>
      <c r="B5" s="2551" t="s">
        <v>7193</v>
      </c>
      <c r="C5" s="2551" t="s">
        <v>7194</v>
      </c>
      <c r="D5" s="2550"/>
      <c r="E5" s="2550"/>
      <c r="F5" s="2550"/>
      <c r="G5" s="2550"/>
      <c r="H5" s="2656"/>
      <c r="I5" s="2656"/>
    </row>
    <row r="6" spans="1:12" ht="15">
      <c r="A6" s="2550"/>
      <c r="B6" s="2551" t="s">
        <v>7195</v>
      </c>
      <c r="C6" s="2598">
        <v>45078</v>
      </c>
      <c r="D6" s="2550"/>
      <c r="E6" s="2550"/>
      <c r="F6" s="2550"/>
      <c r="G6" s="2550"/>
      <c r="H6" s="2656"/>
      <c r="I6" s="2656"/>
    </row>
    <row r="7" spans="1:12" ht="15">
      <c r="A7" s="2550"/>
      <c r="B7" s="2551" t="s">
        <v>7196</v>
      </c>
      <c r="C7" s="2551" t="s">
        <v>7197</v>
      </c>
      <c r="D7" s="2550"/>
      <c r="E7" s="2550"/>
      <c r="F7" s="2550"/>
      <c r="G7" s="2550"/>
      <c r="H7" s="2656"/>
      <c r="I7" s="2656"/>
    </row>
    <row r="8" spans="1:12" ht="15">
      <c r="A8" s="2550"/>
      <c r="B8" s="2551" t="s">
        <v>7198</v>
      </c>
      <c r="C8" s="2553" t="s">
        <v>7199</v>
      </c>
      <c r="D8" s="2550"/>
      <c r="E8" s="2550"/>
      <c r="F8" s="2550"/>
      <c r="G8" s="2550"/>
      <c r="H8" s="2656"/>
      <c r="I8" s="2656"/>
    </row>
    <row r="9" spans="1:12" ht="15">
      <c r="A9" s="2550"/>
      <c r="B9" s="2550"/>
      <c r="C9" s="2550"/>
      <c r="D9" s="2550"/>
      <c r="E9" s="2550"/>
      <c r="F9" s="2550"/>
      <c r="G9" s="2550"/>
      <c r="H9" s="2656"/>
      <c r="I9" s="2656"/>
    </row>
    <row r="11" spans="1:12" ht="15" thickBot="1"/>
    <row r="12" spans="1:12" ht="15.75" thickBot="1">
      <c r="A12" s="2645" t="s">
        <v>7200</v>
      </c>
      <c r="B12" s="2646"/>
      <c r="C12" s="2646"/>
      <c r="D12" s="2646"/>
      <c r="E12" s="2646"/>
      <c r="F12" s="2646"/>
      <c r="G12" s="2646"/>
      <c r="H12" s="2646"/>
      <c r="I12" s="2646"/>
      <c r="J12" s="2646"/>
      <c r="K12" s="2646"/>
      <c r="L12" s="2647"/>
    </row>
    <row r="13" spans="1:12">
      <c r="A13" s="2657" t="s">
        <v>7201</v>
      </c>
      <c r="B13" s="2658"/>
      <c r="C13" s="2658"/>
      <c r="D13" s="2658"/>
      <c r="E13" s="2658"/>
      <c r="F13" s="2658"/>
      <c r="G13" s="2658"/>
      <c r="H13" s="2658"/>
      <c r="I13" s="2658"/>
      <c r="J13" s="2658"/>
      <c r="K13" s="2658"/>
      <c r="L13" s="2659"/>
    </row>
    <row r="14" spans="1:12">
      <c r="A14" s="2657"/>
      <c r="B14" s="2658"/>
      <c r="C14" s="2658"/>
      <c r="D14" s="2658"/>
      <c r="E14" s="2658"/>
      <c r="F14" s="2658"/>
      <c r="G14" s="2658"/>
      <c r="H14" s="2658"/>
      <c r="I14" s="2658"/>
      <c r="J14" s="2658"/>
      <c r="K14" s="2658"/>
      <c r="L14" s="2659"/>
    </row>
    <row r="15" spans="1:12">
      <c r="A15" s="2657"/>
      <c r="B15" s="2658"/>
      <c r="C15" s="2658"/>
      <c r="D15" s="2658"/>
      <c r="E15" s="2658"/>
      <c r="F15" s="2658"/>
      <c r="G15" s="2658"/>
      <c r="H15" s="2658"/>
      <c r="I15" s="2658"/>
      <c r="J15" s="2658"/>
      <c r="K15" s="2658"/>
      <c r="L15" s="2659"/>
    </row>
    <row r="16" spans="1:12">
      <c r="A16" s="2657"/>
      <c r="B16" s="2658"/>
      <c r="C16" s="2658"/>
      <c r="D16" s="2658"/>
      <c r="E16" s="2658"/>
      <c r="F16" s="2658"/>
      <c r="G16" s="2658"/>
      <c r="H16" s="2658"/>
      <c r="I16" s="2658"/>
      <c r="J16" s="2658"/>
      <c r="K16" s="2658"/>
      <c r="L16" s="2659"/>
    </row>
    <row r="17" spans="1:12" ht="15" thickBot="1">
      <c r="A17" s="2657"/>
      <c r="B17" s="2658"/>
      <c r="C17" s="2658"/>
      <c r="D17" s="2658"/>
      <c r="E17" s="2658"/>
      <c r="F17" s="2658"/>
      <c r="G17" s="2658"/>
      <c r="H17" s="2658"/>
      <c r="I17" s="2658"/>
      <c r="J17" s="2658"/>
      <c r="K17" s="2658"/>
      <c r="L17" s="2659"/>
    </row>
    <row r="18" spans="1:12" ht="15.75" thickBot="1">
      <c r="A18" s="2645" t="s">
        <v>7202</v>
      </c>
      <c r="B18" s="2646"/>
      <c r="C18" s="2646"/>
      <c r="D18" s="2646"/>
      <c r="E18" s="2646"/>
      <c r="F18" s="2646"/>
      <c r="G18" s="2646"/>
      <c r="H18" s="2646"/>
      <c r="I18" s="2646"/>
      <c r="J18" s="2646"/>
      <c r="K18" s="2646"/>
      <c r="L18" s="2647"/>
    </row>
    <row r="19" spans="1:12">
      <c r="A19" s="2642" t="s">
        <v>7203</v>
      </c>
      <c r="B19" s="2643"/>
      <c r="C19" s="2643"/>
      <c r="D19" s="2643"/>
      <c r="E19" s="2643"/>
      <c r="F19" s="2643"/>
      <c r="G19" s="2643"/>
      <c r="H19" s="2643"/>
      <c r="I19" s="2643"/>
      <c r="J19" s="2643"/>
      <c r="K19" s="2643"/>
      <c r="L19" s="2644"/>
    </row>
    <row r="20" spans="1:12">
      <c r="A20" s="2642"/>
      <c r="B20" s="2643"/>
      <c r="C20" s="2643"/>
      <c r="D20" s="2643"/>
      <c r="E20" s="2643"/>
      <c r="F20" s="2643"/>
      <c r="G20" s="2643"/>
      <c r="H20" s="2643"/>
      <c r="I20" s="2643"/>
      <c r="J20" s="2643"/>
      <c r="K20" s="2643"/>
      <c r="L20" s="2644"/>
    </row>
    <row r="21" spans="1:12">
      <c r="A21" s="2642"/>
      <c r="B21" s="2643"/>
      <c r="C21" s="2643"/>
      <c r="D21" s="2643"/>
      <c r="E21" s="2643"/>
      <c r="F21" s="2643"/>
      <c r="G21" s="2643"/>
      <c r="H21" s="2643"/>
      <c r="I21" s="2643"/>
      <c r="J21" s="2643"/>
      <c r="K21" s="2643"/>
      <c r="L21" s="2644"/>
    </row>
    <row r="22" spans="1:12">
      <c r="A22" s="2642"/>
      <c r="B22" s="2643"/>
      <c r="C22" s="2643"/>
      <c r="D22" s="2643"/>
      <c r="E22" s="2643"/>
      <c r="F22" s="2643"/>
      <c r="G22" s="2643"/>
      <c r="H22" s="2643"/>
      <c r="I22" s="2643"/>
      <c r="J22" s="2643"/>
      <c r="K22" s="2643"/>
      <c r="L22" s="2644"/>
    </row>
    <row r="23" spans="1:12">
      <c r="A23" s="2642"/>
      <c r="B23" s="2643"/>
      <c r="C23" s="2643"/>
      <c r="D23" s="2643"/>
      <c r="E23" s="2643"/>
      <c r="F23" s="2643"/>
      <c r="G23" s="2643"/>
      <c r="H23" s="2643"/>
      <c r="I23" s="2643"/>
      <c r="J23" s="2643"/>
      <c r="K23" s="2643"/>
      <c r="L23" s="2644"/>
    </row>
    <row r="24" spans="1:12">
      <c r="A24" s="2642"/>
      <c r="B24" s="2643"/>
      <c r="C24" s="2643"/>
      <c r="D24" s="2643"/>
      <c r="E24" s="2643"/>
      <c r="F24" s="2643"/>
      <c r="G24" s="2643"/>
      <c r="H24" s="2643"/>
      <c r="I24" s="2643"/>
      <c r="J24" s="2643"/>
      <c r="K24" s="2643"/>
      <c r="L24" s="2644"/>
    </row>
    <row r="25" spans="1:12">
      <c r="A25" s="2642"/>
      <c r="B25" s="2643"/>
      <c r="C25" s="2643"/>
      <c r="D25" s="2643"/>
      <c r="E25" s="2643"/>
      <c r="F25" s="2643"/>
      <c r="G25" s="2643"/>
      <c r="H25" s="2643"/>
      <c r="I25" s="2643"/>
      <c r="J25" s="2643"/>
      <c r="K25" s="2643"/>
      <c r="L25" s="2644"/>
    </row>
    <row r="26" spans="1:12">
      <c r="A26" s="2642"/>
      <c r="B26" s="2643"/>
      <c r="C26" s="2643"/>
      <c r="D26" s="2643"/>
      <c r="E26" s="2643"/>
      <c r="F26" s="2643"/>
      <c r="G26" s="2643"/>
      <c r="H26" s="2643"/>
      <c r="I26" s="2643"/>
      <c r="J26" s="2643"/>
      <c r="K26" s="2643"/>
      <c r="L26" s="2644"/>
    </row>
    <row r="27" spans="1:12">
      <c r="A27" s="2642"/>
      <c r="B27" s="2643"/>
      <c r="C27" s="2643"/>
      <c r="D27" s="2643"/>
      <c r="E27" s="2643"/>
      <c r="F27" s="2643"/>
      <c r="G27" s="2643"/>
      <c r="H27" s="2643"/>
      <c r="I27" s="2643"/>
      <c r="J27" s="2643"/>
      <c r="K27" s="2643"/>
      <c r="L27" s="2644"/>
    </row>
    <row r="28" spans="1:12">
      <c r="A28" s="2642"/>
      <c r="B28" s="2643"/>
      <c r="C28" s="2643"/>
      <c r="D28" s="2643"/>
      <c r="E28" s="2643"/>
      <c r="F28" s="2643"/>
      <c r="G28" s="2643"/>
      <c r="H28" s="2643"/>
      <c r="I28" s="2643"/>
      <c r="J28" s="2643"/>
      <c r="K28" s="2643"/>
      <c r="L28" s="2644"/>
    </row>
    <row r="29" spans="1:12">
      <c r="A29" s="2642"/>
      <c r="B29" s="2643"/>
      <c r="C29" s="2643"/>
      <c r="D29" s="2643"/>
      <c r="E29" s="2643"/>
      <c r="F29" s="2643"/>
      <c r="G29" s="2643"/>
      <c r="H29" s="2643"/>
      <c r="I29" s="2643"/>
      <c r="J29" s="2643"/>
      <c r="K29" s="2643"/>
      <c r="L29" s="2644"/>
    </row>
    <row r="30" spans="1:12">
      <c r="A30" s="2642"/>
      <c r="B30" s="2643"/>
      <c r="C30" s="2643"/>
      <c r="D30" s="2643"/>
      <c r="E30" s="2643"/>
      <c r="F30" s="2643"/>
      <c r="G30" s="2643"/>
      <c r="H30" s="2643"/>
      <c r="I30" s="2643"/>
      <c r="J30" s="2643"/>
      <c r="K30" s="2643"/>
      <c r="L30" s="2644"/>
    </row>
    <row r="31" spans="1:12" ht="147.75" customHeight="1">
      <c r="A31" s="2642"/>
      <c r="B31" s="2643"/>
      <c r="C31" s="2643"/>
      <c r="D31" s="2643"/>
      <c r="E31" s="2643"/>
      <c r="F31" s="2643"/>
      <c r="G31" s="2643"/>
      <c r="H31" s="2643"/>
      <c r="I31" s="2643"/>
      <c r="J31" s="2643"/>
      <c r="K31" s="2643"/>
      <c r="L31" s="2644"/>
    </row>
    <row r="32" spans="1:12" ht="15" thickBot="1">
      <c r="A32" s="2582"/>
      <c r="B32" s="2583"/>
      <c r="C32" s="2583"/>
      <c r="D32" s="2583"/>
      <c r="E32" s="2583"/>
      <c r="F32" s="2583"/>
      <c r="G32" s="2583"/>
      <c r="H32" s="2583"/>
      <c r="I32" s="2583"/>
      <c r="J32" s="2583"/>
      <c r="K32" s="2583"/>
      <c r="L32" s="2584"/>
    </row>
    <row r="33" spans="1:12" ht="15.75" thickBot="1">
      <c r="A33" s="2645" t="s">
        <v>7204</v>
      </c>
      <c r="B33" s="2646"/>
      <c r="C33" s="2646"/>
      <c r="D33" s="2646"/>
      <c r="E33" s="2646"/>
      <c r="F33" s="2646"/>
      <c r="G33" s="2646"/>
      <c r="H33" s="2646"/>
      <c r="I33" s="2646"/>
      <c r="J33" s="2646"/>
      <c r="K33" s="2646"/>
      <c r="L33" s="2647"/>
    </row>
    <row r="34" spans="1:12">
      <c r="A34" s="2579" t="s">
        <v>7205</v>
      </c>
      <c r="B34" s="2580"/>
      <c r="C34" s="2580"/>
      <c r="D34" s="2580"/>
      <c r="E34" s="2580"/>
      <c r="F34" s="2580"/>
      <c r="G34" s="2580"/>
      <c r="H34" s="2580"/>
      <c r="I34" s="2580"/>
      <c r="J34" s="2580"/>
      <c r="K34" s="2580"/>
      <c r="L34" s="2581"/>
    </row>
    <row r="35" spans="1:12" ht="15" thickBot="1">
      <c r="A35" s="2579"/>
      <c r="B35" s="2580"/>
      <c r="C35" s="2580"/>
      <c r="D35" s="2580"/>
      <c r="E35" s="2580"/>
      <c r="F35" s="2580"/>
      <c r="G35" s="2580"/>
      <c r="H35" s="2580"/>
      <c r="I35" s="2580"/>
      <c r="J35" s="2580"/>
      <c r="K35" s="2580"/>
      <c r="L35" s="2581"/>
    </row>
    <row r="36" spans="1:12" ht="15.75" thickBot="1">
      <c r="A36" s="2645" t="s">
        <v>7206</v>
      </c>
      <c r="B36" s="2646"/>
      <c r="C36" s="2646"/>
      <c r="D36" s="2646"/>
      <c r="E36" s="2646"/>
      <c r="F36" s="2646"/>
      <c r="G36" s="2646"/>
      <c r="H36" s="2646"/>
      <c r="I36" s="2646"/>
      <c r="J36" s="2646"/>
      <c r="K36" s="2646"/>
      <c r="L36" s="2647"/>
    </row>
    <row r="37" spans="1:12">
      <c r="A37" s="2648" t="s">
        <v>7207</v>
      </c>
      <c r="B37" s="2649"/>
      <c r="C37" s="2649"/>
      <c r="D37" s="2649"/>
      <c r="E37" s="2649"/>
      <c r="F37" s="2649"/>
      <c r="G37" s="2649"/>
      <c r="H37" s="2649"/>
      <c r="I37" s="2649"/>
      <c r="J37" s="2649"/>
      <c r="K37" s="2649"/>
      <c r="L37" s="2650"/>
    </row>
    <row r="38" spans="1:12">
      <c r="A38" s="2642"/>
      <c r="B38" s="2643"/>
      <c r="C38" s="2643"/>
      <c r="D38" s="2643"/>
      <c r="E38" s="2643"/>
      <c r="F38" s="2643"/>
      <c r="G38" s="2643"/>
      <c r="H38" s="2643"/>
      <c r="I38" s="2643"/>
      <c r="J38" s="2643"/>
      <c r="K38" s="2643"/>
      <c r="L38" s="2644"/>
    </row>
    <row r="39" spans="1:12" ht="15" thickBot="1">
      <c r="A39" s="2651"/>
      <c r="B39" s="2652"/>
      <c r="C39" s="2652"/>
      <c r="D39" s="2652"/>
      <c r="E39" s="2652"/>
      <c r="F39" s="2652"/>
      <c r="G39" s="2652"/>
      <c r="H39" s="2652"/>
      <c r="I39" s="2652"/>
      <c r="J39" s="2652"/>
      <c r="K39" s="2652"/>
      <c r="L39" s="2653"/>
    </row>
    <row r="40" spans="1:12" ht="15.75" thickBot="1">
      <c r="A40" s="2645" t="s">
        <v>7208</v>
      </c>
      <c r="B40" s="2646"/>
      <c r="C40" s="2646"/>
      <c r="D40" s="2646"/>
      <c r="E40" s="2646"/>
      <c r="F40" s="2646"/>
      <c r="G40" s="2646"/>
      <c r="H40" s="2646"/>
      <c r="I40" s="2646"/>
      <c r="J40" s="2646"/>
      <c r="K40" s="2646"/>
      <c r="L40" s="2647"/>
    </row>
    <row r="41" spans="1:12">
      <c r="A41" s="2639" t="s">
        <v>7209</v>
      </c>
      <c r="B41" s="2640"/>
      <c r="C41" s="2640"/>
      <c r="D41" s="2640"/>
      <c r="E41" s="2640"/>
      <c r="F41" s="2640"/>
      <c r="G41" s="2640"/>
      <c r="H41" s="2640"/>
      <c r="I41" s="2640"/>
      <c r="J41" s="2640"/>
      <c r="K41" s="2640"/>
      <c r="L41" s="2641"/>
    </row>
    <row r="42" spans="1:12">
      <c r="A42" s="2639" t="s">
        <v>7210</v>
      </c>
      <c r="B42" s="2640"/>
      <c r="C42" s="2640"/>
      <c r="D42" s="2640"/>
      <c r="E42" s="2640"/>
      <c r="F42" s="2640"/>
      <c r="G42" s="2640"/>
      <c r="H42" s="2640"/>
      <c r="I42" s="2640"/>
      <c r="J42" s="2640"/>
      <c r="K42" s="2640"/>
      <c r="L42" s="2641"/>
    </row>
    <row r="43" spans="1:12" ht="15" thickBot="1">
      <c r="A43" s="2576"/>
      <c r="B43" s="2577"/>
      <c r="C43" s="2577"/>
      <c r="D43" s="2577"/>
      <c r="E43" s="2577"/>
      <c r="F43" s="2577"/>
      <c r="G43" s="2577"/>
      <c r="H43" s="2577"/>
      <c r="I43" s="2577"/>
      <c r="J43" s="2577"/>
      <c r="K43" s="2577"/>
      <c r="L43" s="2578"/>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E21"/>
  <sheetViews>
    <sheetView tabSelected="1" workbookViewId="0">
      <selection activeCell="C27" sqref="C27"/>
    </sheetView>
  </sheetViews>
  <sheetFormatPr defaultRowHeight="14.25"/>
  <cols>
    <col min="1" max="1" width="40.125" bestFit="1" customWidth="1"/>
    <col min="3" max="3" width="52.75" bestFit="1" customWidth="1"/>
    <col min="4" max="4" width="19.5" bestFit="1" customWidth="1"/>
    <col min="5" max="5" width="55.875" bestFit="1" customWidth="1"/>
  </cols>
  <sheetData>
    <row r="1" spans="1:5">
      <c r="A1" t="s">
        <v>7211</v>
      </c>
    </row>
    <row r="3" spans="1:5">
      <c r="A3" s="2595" t="s">
        <v>632</v>
      </c>
      <c r="B3" s="2595" t="s">
        <v>7212</v>
      </c>
      <c r="C3" s="2595" t="s">
        <v>7213</v>
      </c>
      <c r="D3" s="2597" t="s">
        <v>7214</v>
      </c>
    </row>
    <row r="4" spans="1:5" s="2594" customFormat="1" ht="25.5">
      <c r="A4" s="2596" t="s">
        <v>639</v>
      </c>
      <c r="B4" s="2596">
        <v>111</v>
      </c>
      <c r="C4" s="2596" t="s">
        <v>7215</v>
      </c>
      <c r="D4" s="2596">
        <v>1.1000000000000001</v>
      </c>
    </row>
    <row r="5" spans="1:5" ht="25.5">
      <c r="A5" s="2596" t="s">
        <v>639</v>
      </c>
      <c r="B5" s="2596">
        <v>112</v>
      </c>
      <c r="C5" s="2596" t="s">
        <v>7216</v>
      </c>
      <c r="D5" s="2596">
        <v>1.1000000000000001</v>
      </c>
    </row>
    <row r="6" spans="1:5" ht="51">
      <c r="A6" s="2596" t="s">
        <v>651</v>
      </c>
      <c r="B6" s="2596">
        <v>26</v>
      </c>
      <c r="C6" s="2596" t="s">
        <v>7217</v>
      </c>
      <c r="D6" s="2596">
        <v>1.1000000000000001</v>
      </c>
    </row>
    <row r="9" spans="1:5" ht="15">
      <c r="A9" s="2504" t="s">
        <v>18777</v>
      </c>
    </row>
    <row r="11" spans="1:5" ht="15">
      <c r="A11" s="2625" t="s">
        <v>18748</v>
      </c>
      <c r="B11" s="2625" t="s">
        <v>632</v>
      </c>
      <c r="C11" s="2625" t="s">
        <v>18749</v>
      </c>
      <c r="D11" s="2625" t="s">
        <v>18756</v>
      </c>
      <c r="E11" s="2625" t="s">
        <v>18751</v>
      </c>
    </row>
    <row r="12" spans="1:5">
      <c r="A12" s="2626" t="s">
        <v>18753</v>
      </c>
      <c r="B12" s="2626" t="s">
        <v>18750</v>
      </c>
      <c r="C12" s="2626" t="s">
        <v>18746</v>
      </c>
      <c r="D12" s="2626"/>
      <c r="E12" s="2626" t="s">
        <v>18752</v>
      </c>
    </row>
    <row r="13" spans="1:5">
      <c r="A13" s="2638" t="s">
        <v>18754</v>
      </c>
      <c r="B13" s="2626" t="s">
        <v>639</v>
      </c>
      <c r="C13" s="2626" t="s">
        <v>18755</v>
      </c>
      <c r="D13" s="2626" t="s">
        <v>18757</v>
      </c>
      <c r="E13" s="2626"/>
    </row>
    <row r="14" spans="1:5">
      <c r="A14" s="2638" t="s">
        <v>18758</v>
      </c>
      <c r="B14" s="2626" t="s">
        <v>663</v>
      </c>
      <c r="C14" s="2626" t="s">
        <v>18759</v>
      </c>
      <c r="D14" s="2626" t="s">
        <v>18759</v>
      </c>
      <c r="E14" s="2626" t="s">
        <v>18760</v>
      </c>
    </row>
    <row r="15" spans="1:5">
      <c r="A15" s="2638" t="s">
        <v>18763</v>
      </c>
      <c r="B15" s="2626" t="s">
        <v>18761</v>
      </c>
      <c r="C15" s="2626" t="s">
        <v>16363</v>
      </c>
      <c r="D15" s="2626" t="s">
        <v>18762</v>
      </c>
      <c r="E15" s="2626"/>
    </row>
    <row r="16" spans="1:5">
      <c r="A16" s="2638" t="s">
        <v>18768</v>
      </c>
      <c r="B16" s="2626" t="s">
        <v>18764</v>
      </c>
      <c r="C16" s="2626" t="s">
        <v>18765</v>
      </c>
      <c r="D16" s="2626" t="s">
        <v>18766</v>
      </c>
      <c r="E16" s="2626"/>
    </row>
    <row r="17" spans="1:5">
      <c r="A17" s="2638" t="s">
        <v>18767</v>
      </c>
      <c r="B17" s="2626" t="s">
        <v>649</v>
      </c>
      <c r="C17" s="2626" t="s">
        <v>18769</v>
      </c>
      <c r="D17" s="2626" t="s">
        <v>18770</v>
      </c>
      <c r="E17" s="2626"/>
    </row>
    <row r="18" spans="1:5">
      <c r="A18" s="2638" t="s">
        <v>18771</v>
      </c>
      <c r="B18" s="2626" t="s">
        <v>18772</v>
      </c>
      <c r="C18" s="2626" t="s">
        <v>9416</v>
      </c>
      <c r="D18" s="2626" t="s">
        <v>18773</v>
      </c>
      <c r="E18" s="2626"/>
    </row>
    <row r="19" spans="1:5">
      <c r="A19" s="2638" t="s">
        <v>18774</v>
      </c>
      <c r="B19" s="2636" t="s">
        <v>641</v>
      </c>
      <c r="C19" s="2636" t="s">
        <v>18775</v>
      </c>
      <c r="D19" s="2636" t="s">
        <v>18776</v>
      </c>
      <c r="E19" s="2626"/>
    </row>
    <row r="20" spans="1:5">
      <c r="A20" s="2636" t="s">
        <v>18778</v>
      </c>
      <c r="B20" s="2636" t="s">
        <v>18779</v>
      </c>
      <c r="C20" s="2636" t="s">
        <v>18780</v>
      </c>
      <c r="D20" s="2636" t="s">
        <v>18781</v>
      </c>
      <c r="E20" s="2636" t="s">
        <v>18782</v>
      </c>
    </row>
    <row r="21" spans="1:5">
      <c r="A21" s="2638" t="s">
        <v>18783</v>
      </c>
      <c r="B21" s="2636" t="s">
        <v>18779</v>
      </c>
      <c r="C21" s="2636" t="s">
        <v>18780</v>
      </c>
      <c r="D21" s="2636" t="s">
        <v>18781</v>
      </c>
      <c r="E21" s="2636" t="s">
        <v>18784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9" customWidth="1"/>
    <col min="2" max="2" width="36.75" style="248" bestFit="1" customWidth="1"/>
    <col min="3" max="3" width="126" style="248" customWidth="1"/>
    <col min="4" max="4" width="33.75" style="248" bestFit="1" customWidth="1"/>
    <col min="5" max="5" width="40.125" style="248" customWidth="1"/>
    <col min="6" max="6" width="31.125" style="248" customWidth="1"/>
    <col min="7" max="16384" width="9" style="219"/>
  </cols>
  <sheetData>
    <row r="1" spans="1:6" ht="30" customHeight="1">
      <c r="B1" s="219"/>
      <c r="C1" s="219"/>
      <c r="D1" s="219"/>
      <c r="E1" s="219"/>
      <c r="F1" s="1951"/>
    </row>
    <row r="2" spans="1:6" ht="45" customHeight="1">
      <c r="B2" s="2660" t="s">
        <v>18</v>
      </c>
      <c r="C2" s="2660"/>
      <c r="D2" s="2660"/>
      <c r="E2" s="2660"/>
      <c r="F2" s="2660"/>
    </row>
    <row r="3" spans="1:6" ht="15" thickBot="1">
      <c r="B3" s="243"/>
      <c r="C3" s="243"/>
      <c r="D3" s="219"/>
      <c r="E3" s="219"/>
      <c r="F3" s="1951"/>
    </row>
    <row r="4" spans="1:6" ht="15" thickBot="1">
      <c r="A4" s="224"/>
      <c r="B4" s="244" t="s">
        <v>7</v>
      </c>
      <c r="C4" s="245" t="s">
        <v>7218</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tabColor rgb="FF00B050"/>
    <pageSetUpPr fitToPage="1"/>
  </sheetPr>
  <dimension ref="A1:AD34"/>
  <sheetViews>
    <sheetView showGridLines="0" topLeftCell="D1" zoomScale="70" zoomScaleNormal="70" zoomScaleSheetLayoutView="100" workbookViewId="0">
      <pane ySplit="6" topLeftCell="A19" activePane="bottomLeft" state="frozen"/>
      <selection activeCell="H30" sqref="H30:H32"/>
      <selection pane="bottomLeft" activeCell="H33" sqref="H33"/>
    </sheetView>
  </sheetViews>
  <sheetFormatPr defaultColWidth="103.75" defaultRowHeight="15.75"/>
  <cols>
    <col min="1" max="1" width="2.5" style="224" customWidth="1"/>
    <col min="2" max="2" width="22.25" style="224" customWidth="1"/>
    <col min="3" max="3" width="13.5" style="224" customWidth="1"/>
    <col min="4" max="4" width="5.5" style="224" bestFit="1" customWidth="1"/>
    <col min="5" max="5" width="4.75" style="224" bestFit="1" customWidth="1"/>
    <col min="6" max="6" width="9.75" style="224" bestFit="1" customWidth="1"/>
    <col min="7" max="7" width="20.25" style="224" bestFit="1" customWidth="1"/>
    <col min="8" max="8" width="14.25" style="224" bestFit="1" customWidth="1"/>
    <col min="9" max="9" width="17.125" style="224" bestFit="1" customWidth="1"/>
    <col min="10" max="10" width="23.125" style="224" bestFit="1" customWidth="1"/>
    <col min="11" max="11" width="2.625" style="224" customWidth="1"/>
    <col min="12" max="12" width="15.75" style="261" bestFit="1" customWidth="1"/>
    <col min="13" max="13" width="2.625" style="261" customWidth="1"/>
    <col min="14" max="14" width="47.5" style="261" bestFit="1" customWidth="1"/>
    <col min="15" max="15" width="16.75" style="261" customWidth="1"/>
    <col min="16" max="16" width="6.25" style="263" customWidth="1"/>
    <col min="17" max="17" width="20.625" style="224" bestFit="1" customWidth="1"/>
    <col min="18" max="18" width="6.25" style="263" customWidth="1"/>
    <col min="19" max="22" width="6.25" style="263"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59" customFormat="1" ht="23.25">
      <c r="B1" s="2661" t="s">
        <v>7219</v>
      </c>
      <c r="C1" s="2661"/>
      <c r="D1" s="2661"/>
      <c r="E1" s="2661"/>
      <c r="F1" s="2661"/>
      <c r="G1" s="2661"/>
      <c r="H1" s="2661"/>
      <c r="I1" s="2661"/>
      <c r="J1" s="2661"/>
      <c r="L1" s="260"/>
      <c r="M1" s="260"/>
      <c r="N1" s="260"/>
      <c r="O1" s="261"/>
      <c r="P1" s="262"/>
      <c r="R1" s="262"/>
      <c r="S1" s="263"/>
      <c r="T1" s="263"/>
      <c r="U1" s="263"/>
      <c r="V1" s="262"/>
      <c r="W1" s="261"/>
      <c r="X1" s="2661" t="s">
        <v>7220</v>
      </c>
      <c r="Y1" s="2661"/>
      <c r="Z1" s="2661"/>
      <c r="AA1" s="2661"/>
      <c r="AB1" s="2661"/>
      <c r="AC1" s="2661"/>
      <c r="AD1" s="2661"/>
    </row>
    <row r="2" spans="1:30" s="259" customFormat="1" ht="23.25">
      <c r="B2" s="2661" t="str">
        <f>SelectCompany!B4</f>
        <v>Northumbrian Water</v>
      </c>
      <c r="C2" s="2661"/>
      <c r="D2" s="2661"/>
      <c r="E2" s="2661"/>
      <c r="F2" s="2661"/>
      <c r="G2" s="2661"/>
      <c r="H2" s="2661"/>
      <c r="I2" s="2661"/>
      <c r="J2" s="2661"/>
      <c r="L2" s="260"/>
      <c r="M2" s="260"/>
      <c r="N2" s="260"/>
      <c r="O2" s="261"/>
      <c r="P2" s="262"/>
      <c r="R2" s="262"/>
      <c r="S2" s="263"/>
      <c r="T2" s="263"/>
      <c r="U2" s="263"/>
      <c r="V2" s="262"/>
      <c r="X2" s="2661"/>
      <c r="Y2" s="2661"/>
      <c r="Z2" s="2661"/>
      <c r="AA2" s="2661"/>
      <c r="AB2" s="2661"/>
      <c r="AC2" s="2661"/>
      <c r="AD2" s="2661"/>
    </row>
    <row r="3" spans="1:30" s="264" customFormat="1" ht="19.5">
      <c r="B3" s="2662" t="s">
        <v>7221</v>
      </c>
      <c r="C3" s="2663"/>
      <c r="D3" s="2663"/>
      <c r="E3" s="2663"/>
      <c r="F3" s="2663"/>
      <c r="G3" s="2663"/>
      <c r="H3" s="2663"/>
      <c r="I3" s="2663"/>
      <c r="J3" s="2663"/>
      <c r="K3" s="2663"/>
      <c r="L3" s="2663"/>
      <c r="M3" s="2663"/>
      <c r="N3" s="2663"/>
      <c r="O3" s="261"/>
      <c r="P3" s="262"/>
      <c r="Q3" s="265" t="s">
        <v>7222</v>
      </c>
      <c r="R3" s="262"/>
      <c r="S3" s="263"/>
      <c r="T3" s="263"/>
      <c r="U3" s="263"/>
      <c r="V3" s="262"/>
      <c r="X3" s="2664" t="s">
        <v>7221</v>
      </c>
      <c r="Y3" s="2665"/>
      <c r="Z3" s="2665"/>
      <c r="AA3" s="2665"/>
      <c r="AB3" s="2665"/>
      <c r="AC3" s="2665"/>
      <c r="AD3" s="2666"/>
    </row>
    <row r="4" spans="1:30" ht="16.5" thickBot="1">
      <c r="B4" s="266"/>
      <c r="C4" s="266"/>
      <c r="D4" s="266"/>
      <c r="E4" s="266"/>
      <c r="F4" s="2667"/>
      <c r="G4" s="2667"/>
      <c r="H4" s="2667"/>
      <c r="I4" s="2667"/>
      <c r="J4" s="2667"/>
      <c r="L4" s="260"/>
      <c r="P4" s="262"/>
      <c r="Q4" s="267"/>
      <c r="R4" s="262"/>
      <c r="S4" s="2668" t="s">
        <v>7223</v>
      </c>
      <c r="T4" s="2668"/>
      <c r="U4" s="2668"/>
      <c r="V4" s="262"/>
      <c r="X4" s="266"/>
      <c r="Y4" s="266"/>
      <c r="Z4" s="2667"/>
      <c r="AA4" s="2667"/>
      <c r="AB4" s="2667"/>
      <c r="AC4" s="2667"/>
      <c r="AD4" s="2667"/>
    </row>
    <row r="5" spans="1:30" thickTop="1">
      <c r="A5" s="197"/>
      <c r="B5" s="2669" t="s">
        <v>7224</v>
      </c>
      <c r="C5" s="2670"/>
      <c r="D5" s="2670" t="s">
        <v>7225</v>
      </c>
      <c r="E5" s="2670" t="s">
        <v>670</v>
      </c>
      <c r="F5" s="2673" t="s">
        <v>7226</v>
      </c>
      <c r="G5" s="2673" t="s">
        <v>7227</v>
      </c>
      <c r="H5" s="2673"/>
      <c r="I5" s="2673"/>
      <c r="J5" s="2675" t="s">
        <v>7228</v>
      </c>
      <c r="K5" s="197"/>
      <c r="L5" s="2677" t="s">
        <v>7229</v>
      </c>
      <c r="M5" s="268"/>
      <c r="N5" s="2677" t="s">
        <v>7230</v>
      </c>
      <c r="O5" s="268"/>
      <c r="P5" s="262"/>
      <c r="Q5" s="267"/>
      <c r="R5" s="262"/>
      <c r="S5" s="269" t="s">
        <v>7231</v>
      </c>
      <c r="T5" s="270"/>
      <c r="U5" s="270"/>
      <c r="V5" s="262"/>
      <c r="X5" s="2669" t="s">
        <v>7224</v>
      </c>
      <c r="Y5" s="2670"/>
      <c r="Z5" s="2673" t="s">
        <v>7226</v>
      </c>
      <c r="AA5" s="2673" t="s">
        <v>7227</v>
      </c>
      <c r="AB5" s="2673"/>
      <c r="AC5" s="2673"/>
      <c r="AD5" s="2675" t="s">
        <v>7228</v>
      </c>
    </row>
    <row r="6" spans="1:30" ht="45.75" thickBot="1">
      <c r="A6" s="197"/>
      <c r="B6" s="2671"/>
      <c r="C6" s="2672"/>
      <c r="D6" s="2672"/>
      <c r="E6" s="2672"/>
      <c r="F6" s="2674"/>
      <c r="G6" s="271" t="s">
        <v>7232</v>
      </c>
      <c r="H6" s="271" t="s">
        <v>7233</v>
      </c>
      <c r="I6" s="271" t="s">
        <v>7234</v>
      </c>
      <c r="J6" s="2676"/>
      <c r="K6" s="197"/>
      <c r="L6" s="2678"/>
      <c r="M6" s="268"/>
      <c r="N6" s="2678"/>
      <c r="O6" s="268"/>
      <c r="P6" s="262"/>
      <c r="Q6" s="267"/>
      <c r="R6" s="262"/>
      <c r="S6" s="224"/>
      <c r="T6" s="224"/>
      <c r="U6" s="224"/>
      <c r="V6" s="262"/>
      <c r="X6" s="2671"/>
      <c r="Y6" s="2672"/>
      <c r="Z6" s="2674"/>
      <c r="AA6" s="271" t="s">
        <v>7232</v>
      </c>
      <c r="AB6" s="271" t="s">
        <v>7233</v>
      </c>
      <c r="AC6" s="271" t="s">
        <v>7234</v>
      </c>
      <c r="AD6" s="2676"/>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681" t="s">
        <v>7235</v>
      </c>
      <c r="C8" s="2682"/>
      <c r="D8" s="277" t="s">
        <v>681</v>
      </c>
      <c r="E8" s="277">
        <v>3</v>
      </c>
      <c r="F8" s="278">
        <v>849.91700000000003</v>
      </c>
      <c r="G8" s="278">
        <v>-32.474000000000004</v>
      </c>
      <c r="H8" s="278">
        <v>34.744</v>
      </c>
      <c r="I8" s="1933">
        <f>IFERROR(G8 - H8,0)</f>
        <v>-67.218000000000004</v>
      </c>
      <c r="J8" s="1934">
        <f>IFERROR(F8 + I8,0)</f>
        <v>782.69900000000007</v>
      </c>
      <c r="K8" s="197"/>
      <c r="L8" s="281" t="s">
        <v>7236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681" t="s">
        <v>7235</v>
      </c>
      <c r="Y8" s="2682"/>
      <c r="Z8" s="278" t="s">
        <v>7237</v>
      </c>
      <c r="AA8" s="278" t="s">
        <v>7238</v>
      </c>
      <c r="AB8" s="278" t="s">
        <v>7239</v>
      </c>
      <c r="AC8" s="279" t="s">
        <v>7240</v>
      </c>
      <c r="AD8" s="280" t="s">
        <v>7241</v>
      </c>
    </row>
    <row r="9" spans="1:30" ht="15">
      <c r="A9" s="197"/>
      <c r="B9" s="2679" t="s">
        <v>7242</v>
      </c>
      <c r="C9" s="2680"/>
      <c r="D9" s="286" t="s">
        <v>681</v>
      </c>
      <c r="E9" s="286">
        <v>3</v>
      </c>
      <c r="F9" s="287">
        <v>-638.495</v>
      </c>
      <c r="G9" s="287">
        <v>20.378</v>
      </c>
      <c r="H9" s="287">
        <v>-28.041999999999998</v>
      </c>
      <c r="I9" s="1937">
        <f t="shared" ref="I9:I22" si="2">IFERROR(G9 - H9,0)</f>
        <v>48.42</v>
      </c>
      <c r="J9" s="1938">
        <f t="shared" ref="J9:J21" si="3">IFERROR(F9 + I9,0)</f>
        <v>-590.07500000000005</v>
      </c>
      <c r="K9" s="197"/>
      <c r="L9" s="290" t="s">
        <v>7243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79" t="s">
        <v>7242</v>
      </c>
      <c r="Y9" s="2680"/>
      <c r="Z9" s="287" t="s">
        <v>7244</v>
      </c>
      <c r="AA9" s="287" t="s">
        <v>7245</v>
      </c>
      <c r="AB9" s="287" t="s">
        <v>7246</v>
      </c>
      <c r="AC9" s="288" t="s">
        <v>7247</v>
      </c>
      <c r="AD9" s="289" t="s">
        <v>7248</v>
      </c>
    </row>
    <row r="10" spans="1:30" ht="15">
      <c r="A10" s="197"/>
      <c r="B10" s="2679" t="s">
        <v>7249</v>
      </c>
      <c r="C10" s="2680"/>
      <c r="D10" s="286" t="s">
        <v>681</v>
      </c>
      <c r="E10" s="286">
        <v>3</v>
      </c>
      <c r="F10" s="287">
        <v>0</v>
      </c>
      <c r="G10" s="287">
        <v>1.796</v>
      </c>
      <c r="H10" s="287">
        <v>0.26800000000000002</v>
      </c>
      <c r="I10" s="1937">
        <f>IFERROR(G10 - H10,0)</f>
        <v>1.528</v>
      </c>
      <c r="J10" s="1938">
        <f t="shared" si="3"/>
        <v>1.528</v>
      </c>
      <c r="K10" s="197"/>
      <c r="L10" s="290" t="s">
        <v>7250</v>
      </c>
      <c r="M10" s="282"/>
      <c r="N10" s="291"/>
      <c r="O10" s="174"/>
      <c r="P10" s="262"/>
      <c r="Q10" s="284">
        <f t="shared" si="4"/>
        <v>0</v>
      </c>
      <c r="R10" s="262"/>
      <c r="S10" s="285">
        <f t="shared" si="5"/>
        <v>0</v>
      </c>
      <c r="T10" s="285">
        <f t="shared" si="0"/>
        <v>0</v>
      </c>
      <c r="U10" s="285">
        <f t="shared" si="1"/>
        <v>0</v>
      </c>
      <c r="V10" s="262"/>
      <c r="X10" s="2679" t="s">
        <v>7249</v>
      </c>
      <c r="Y10" s="2680"/>
      <c r="Z10" s="287" t="s">
        <v>7251</v>
      </c>
      <c r="AA10" s="287" t="s">
        <v>7252</v>
      </c>
      <c r="AB10" s="287" t="s">
        <v>7253</v>
      </c>
      <c r="AC10" s="288" t="s">
        <v>7254</v>
      </c>
      <c r="AD10" s="289" t="s">
        <v>7255</v>
      </c>
    </row>
    <row r="11" spans="1:30" ht="15">
      <c r="A11" s="197"/>
      <c r="B11" s="2679" t="s">
        <v>7256</v>
      </c>
      <c r="C11" s="2680"/>
      <c r="D11" s="286" t="s">
        <v>681</v>
      </c>
      <c r="E11" s="286">
        <v>3</v>
      </c>
      <c r="F11" s="1937">
        <f>IFERROR(SUM(F8:F10),0)</f>
        <v>211.42200000000003</v>
      </c>
      <c r="G11" s="1937">
        <f>IFERROR(SUM(G8:G10),0)</f>
        <v>-10.300000000000004</v>
      </c>
      <c r="H11" s="1937">
        <f>IFERROR(SUM(H8:H10),0)</f>
        <v>6.9700000000000015</v>
      </c>
      <c r="I11" s="1937">
        <f t="shared" si="2"/>
        <v>-17.270000000000007</v>
      </c>
      <c r="J11" s="1938">
        <f t="shared" si="3"/>
        <v>194.15200000000002</v>
      </c>
      <c r="K11" s="197"/>
      <c r="L11" s="290" t="s">
        <v>7257</v>
      </c>
      <c r="M11" s="282"/>
      <c r="N11" s="291"/>
      <c r="O11" s="174"/>
      <c r="P11" s="262"/>
      <c r="R11" s="262"/>
      <c r="S11" s="270"/>
      <c r="T11" s="270"/>
      <c r="U11" s="270"/>
      <c r="V11" s="262"/>
      <c r="X11" s="2679" t="s">
        <v>7256</v>
      </c>
      <c r="Y11" s="2680"/>
      <c r="Z11" s="288" t="s">
        <v>7258</v>
      </c>
      <c r="AA11" s="288" t="s">
        <v>7259</v>
      </c>
      <c r="AB11" s="288" t="s">
        <v>7260</v>
      </c>
      <c r="AC11" s="288" t="s">
        <v>7261</v>
      </c>
      <c r="AD11" s="289" t="s">
        <v>7262</v>
      </c>
    </row>
    <row r="12" spans="1:30" ht="15">
      <c r="A12" s="197"/>
      <c r="B12" s="2683" t="s">
        <v>7263</v>
      </c>
      <c r="C12" s="2684"/>
      <c r="D12" s="292" t="s">
        <v>681</v>
      </c>
      <c r="E12" s="292">
        <v>3</v>
      </c>
      <c r="F12" s="287">
        <v>0</v>
      </c>
      <c r="G12" s="287">
        <v>11.425000000000001</v>
      </c>
      <c r="H12" s="287">
        <v>1.0629999999999999</v>
      </c>
      <c r="I12" s="1937">
        <f t="shared" si="2"/>
        <v>10.362</v>
      </c>
      <c r="J12" s="1938">
        <f t="shared" si="3"/>
        <v>10.362</v>
      </c>
      <c r="K12" s="197"/>
      <c r="L12" s="290" t="s">
        <v>7264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683" t="s">
        <v>7263</v>
      </c>
      <c r="Y12" s="2684"/>
      <c r="Z12" s="287" t="s">
        <v>7265</v>
      </c>
      <c r="AA12" s="287" t="s">
        <v>7266</v>
      </c>
      <c r="AB12" s="287" t="s">
        <v>7267</v>
      </c>
      <c r="AC12" s="288" t="s">
        <v>7268</v>
      </c>
      <c r="AD12" s="289" t="s">
        <v>7269</v>
      </c>
    </row>
    <row r="13" spans="1:30" ht="15">
      <c r="A13" s="197"/>
      <c r="B13" s="2685" t="s">
        <v>7270</v>
      </c>
      <c r="C13" s="2686"/>
      <c r="D13" s="293" t="s">
        <v>681</v>
      </c>
      <c r="E13" s="293">
        <v>3</v>
      </c>
      <c r="F13" s="287">
        <v>1.4669999999999999</v>
      </c>
      <c r="G13" s="287">
        <v>4.3999999999999997E-2</v>
      </c>
      <c r="H13" s="287">
        <v>2.1000000000000001E-2</v>
      </c>
      <c r="I13" s="1937">
        <f t="shared" si="2"/>
        <v>2.2999999999999996E-2</v>
      </c>
      <c r="J13" s="1938">
        <f t="shared" si="3"/>
        <v>1.4899999999999998</v>
      </c>
      <c r="K13" s="197"/>
      <c r="L13" s="290" t="s">
        <v>7271</v>
      </c>
      <c r="M13" s="282"/>
      <c r="N13" s="291"/>
      <c r="O13" s="174"/>
      <c r="P13" s="262"/>
      <c r="Q13" s="284">
        <f t="shared" si="6"/>
        <v>0</v>
      </c>
      <c r="R13" s="262"/>
      <c r="S13" s="285">
        <f t="shared" si="7"/>
        <v>0</v>
      </c>
      <c r="T13" s="285">
        <f t="shared" si="8"/>
        <v>0</v>
      </c>
      <c r="U13" s="285">
        <f t="shared" si="9"/>
        <v>0</v>
      </c>
      <c r="V13" s="262"/>
      <c r="X13" s="2685" t="s">
        <v>7270</v>
      </c>
      <c r="Y13" s="2686"/>
      <c r="Z13" s="287" t="s">
        <v>7272</v>
      </c>
      <c r="AA13" s="287" t="s">
        <v>7273</v>
      </c>
      <c r="AB13" s="287" t="s">
        <v>7274</v>
      </c>
      <c r="AC13" s="288" t="s">
        <v>7275</v>
      </c>
      <c r="AD13" s="289" t="s">
        <v>7276</v>
      </c>
    </row>
    <row r="14" spans="1:30" ht="15">
      <c r="A14" s="197"/>
      <c r="B14" s="2687" t="s">
        <v>7277</v>
      </c>
      <c r="C14" s="2688"/>
      <c r="D14" s="294" t="s">
        <v>681</v>
      </c>
      <c r="E14" s="294">
        <v>3</v>
      </c>
      <c r="F14" s="287">
        <v>-244.952</v>
      </c>
      <c r="G14" s="287">
        <v>-10.133999999999975</v>
      </c>
      <c r="H14" s="287">
        <v>-4.3999999999999997E-2</v>
      </c>
      <c r="I14" s="1937">
        <f t="shared" si="2"/>
        <v>-10.089999999999975</v>
      </c>
      <c r="J14" s="1938">
        <f t="shared" si="3"/>
        <v>-255.04199999999997</v>
      </c>
      <c r="K14" s="197"/>
      <c r="L14" s="290" t="s">
        <v>7278</v>
      </c>
      <c r="M14" s="282"/>
      <c r="N14" s="291"/>
      <c r="O14" s="282"/>
      <c r="P14" s="262"/>
      <c r="Q14" s="284">
        <f t="shared" si="6"/>
        <v>0</v>
      </c>
      <c r="R14" s="262"/>
      <c r="S14" s="285">
        <f t="shared" si="7"/>
        <v>0</v>
      </c>
      <c r="T14" s="285">
        <f t="shared" si="8"/>
        <v>0</v>
      </c>
      <c r="U14" s="285">
        <f t="shared" si="9"/>
        <v>0</v>
      </c>
      <c r="V14" s="262"/>
      <c r="X14" s="2687" t="s">
        <v>7277</v>
      </c>
      <c r="Y14" s="2688"/>
      <c r="Z14" s="287" t="s">
        <v>7279</v>
      </c>
      <c r="AA14" s="287" t="s">
        <v>7280</v>
      </c>
      <c r="AB14" s="287" t="s">
        <v>7281</v>
      </c>
      <c r="AC14" s="288" t="s">
        <v>7282</v>
      </c>
      <c r="AD14" s="289" t="s">
        <v>7283</v>
      </c>
    </row>
    <row r="15" spans="1:30" ht="15">
      <c r="A15" s="197"/>
      <c r="B15" s="2689" t="s">
        <v>7284</v>
      </c>
      <c r="C15" s="2690"/>
      <c r="D15" s="295" t="s">
        <v>681</v>
      </c>
      <c r="E15" s="295">
        <v>3</v>
      </c>
      <c r="F15" s="287">
        <v>0.84400000000000119</v>
      </c>
      <c r="G15" s="287">
        <v>0</v>
      </c>
      <c r="H15" s="287">
        <v>1.5000000000000013E-2</v>
      </c>
      <c r="I15" s="1937">
        <f t="shared" si="2"/>
        <v>-1.5000000000000013E-2</v>
      </c>
      <c r="J15" s="1938">
        <f t="shared" si="3"/>
        <v>0.82900000000000118</v>
      </c>
      <c r="K15" s="197"/>
      <c r="L15" s="290" t="s">
        <v>7285</v>
      </c>
      <c r="M15" s="282"/>
      <c r="N15" s="291"/>
      <c r="O15" s="282"/>
      <c r="P15" s="262"/>
      <c r="Q15" s="284">
        <f t="shared" si="6"/>
        <v>0</v>
      </c>
      <c r="R15" s="262"/>
      <c r="S15" s="285">
        <f t="shared" si="7"/>
        <v>0</v>
      </c>
      <c r="T15" s="285">
        <f t="shared" si="8"/>
        <v>0</v>
      </c>
      <c r="U15" s="285">
        <f t="shared" si="9"/>
        <v>0</v>
      </c>
      <c r="V15" s="262"/>
      <c r="X15" s="2689" t="s">
        <v>7284</v>
      </c>
      <c r="Y15" s="2690"/>
      <c r="Z15" s="287" t="s">
        <v>7286</v>
      </c>
      <c r="AA15" s="287" t="s">
        <v>7287</v>
      </c>
      <c r="AB15" s="287" t="s">
        <v>7288</v>
      </c>
      <c r="AC15" s="288" t="s">
        <v>7289</v>
      </c>
      <c r="AD15" s="289" t="s">
        <v>7290</v>
      </c>
    </row>
    <row r="16" spans="1:30" ht="15">
      <c r="A16" s="197"/>
      <c r="B16" s="2689" t="s">
        <v>7291</v>
      </c>
      <c r="C16" s="2690"/>
      <c r="D16" s="295" t="s">
        <v>681</v>
      </c>
      <c r="E16" s="295">
        <v>3</v>
      </c>
      <c r="F16" s="1937">
        <f>IFERROR(SUM(F11:F15),0)</f>
        <v>-31.218999999999959</v>
      </c>
      <c r="G16" s="1937">
        <f>IFERROR(SUM(G11:G15),0)</f>
        <v>-8.9649999999999785</v>
      </c>
      <c r="H16" s="1937">
        <f>IFERROR(SUM(H11:H15),0)</f>
        <v>8.0250000000000021</v>
      </c>
      <c r="I16" s="1937">
        <f t="shared" si="2"/>
        <v>-16.989999999999981</v>
      </c>
      <c r="J16" s="1938">
        <f t="shared" si="3"/>
        <v>-48.208999999999939</v>
      </c>
      <c r="K16" s="197"/>
      <c r="L16" s="290" t="s">
        <v>7292</v>
      </c>
      <c r="M16" s="282"/>
      <c r="N16" s="291"/>
      <c r="O16" s="282"/>
      <c r="P16" s="262"/>
      <c r="R16" s="262"/>
      <c r="S16" s="270"/>
      <c r="T16" s="270"/>
      <c r="U16" s="270"/>
      <c r="V16" s="262"/>
      <c r="X16" s="2689" t="s">
        <v>7291</v>
      </c>
      <c r="Y16" s="2690"/>
      <c r="Z16" s="288" t="s">
        <v>7293</v>
      </c>
      <c r="AA16" s="288" t="s">
        <v>7294</v>
      </c>
      <c r="AB16" s="288" t="s">
        <v>7295</v>
      </c>
      <c r="AC16" s="288" t="s">
        <v>7296</v>
      </c>
      <c r="AD16" s="289" t="s">
        <v>7297</v>
      </c>
    </row>
    <row r="17" spans="1:30" ht="15">
      <c r="A17" s="197"/>
      <c r="B17" s="2689" t="s">
        <v>7298</v>
      </c>
      <c r="C17" s="2690"/>
      <c r="D17" s="295" t="s">
        <v>681</v>
      </c>
      <c r="E17" s="295">
        <v>3</v>
      </c>
      <c r="F17" s="287">
        <v>-17.920000000000002</v>
      </c>
      <c r="G17" s="287">
        <v>0</v>
      </c>
      <c r="H17" s="287">
        <v>0</v>
      </c>
      <c r="I17" s="1937">
        <f t="shared" si="2"/>
        <v>0</v>
      </c>
      <c r="J17" s="1938">
        <f t="shared" si="3"/>
        <v>-17.920000000000002</v>
      </c>
      <c r="K17" s="197"/>
      <c r="L17" s="290" t="s">
        <v>7299</v>
      </c>
      <c r="M17" s="282"/>
      <c r="N17" s="291"/>
      <c r="O17" s="282"/>
      <c r="P17" s="262"/>
      <c r="Q17" s="284">
        <f>IF( SUM( S17:U17 ) = 0, 0, $S$5 )</f>
        <v>0</v>
      </c>
      <c r="R17" s="262"/>
      <c r="S17" s="285">
        <f t="shared" ref="S17:U17" si="10" xml:space="preserve"> IF( ISNUMBER( F17 ), 0, 1 )</f>
        <v>0</v>
      </c>
      <c r="T17" s="285">
        <f t="shared" si="10"/>
        <v>0</v>
      </c>
      <c r="U17" s="285">
        <f t="shared" si="10"/>
        <v>0</v>
      </c>
      <c r="V17" s="262"/>
      <c r="X17" s="2689" t="s">
        <v>7298</v>
      </c>
      <c r="Y17" s="2690"/>
      <c r="Z17" s="287" t="s">
        <v>7300</v>
      </c>
      <c r="AA17" s="287" t="s">
        <v>7301</v>
      </c>
      <c r="AB17" s="287" t="s">
        <v>7302</v>
      </c>
      <c r="AC17" s="288" t="s">
        <v>7303</v>
      </c>
      <c r="AD17" s="289" t="s">
        <v>7304</v>
      </c>
    </row>
    <row r="18" spans="1:30" ht="15">
      <c r="A18" s="197"/>
      <c r="B18" s="2685" t="s">
        <v>7305</v>
      </c>
      <c r="C18" s="2686"/>
      <c r="D18" s="293" t="s">
        <v>681</v>
      </c>
      <c r="E18" s="293">
        <v>3</v>
      </c>
      <c r="F18" s="1937">
        <f>IFERROR(SUM(F16:F17),0)</f>
        <v>-49.13899999999996</v>
      </c>
      <c r="G18" s="1937">
        <f>IFERROR(SUM(G16:G17),0)</f>
        <v>-8.9649999999999785</v>
      </c>
      <c r="H18" s="1937">
        <f>IFERROR(SUM(H16:H17),0)</f>
        <v>8.0250000000000021</v>
      </c>
      <c r="I18" s="1937">
        <f t="shared" si="2"/>
        <v>-16.989999999999981</v>
      </c>
      <c r="J18" s="1938">
        <f t="shared" si="3"/>
        <v>-66.128999999999934</v>
      </c>
      <c r="K18" s="197"/>
      <c r="L18" s="290" t="s">
        <v>7306</v>
      </c>
      <c r="M18" s="282"/>
      <c r="N18" s="291"/>
      <c r="O18" s="282"/>
      <c r="P18" s="262"/>
      <c r="R18" s="262"/>
      <c r="S18" s="270"/>
      <c r="T18" s="270"/>
      <c r="U18" s="270"/>
      <c r="V18" s="262"/>
      <c r="X18" s="2685" t="s">
        <v>7305</v>
      </c>
      <c r="Y18" s="2686"/>
      <c r="Z18" s="288" t="s">
        <v>7307</v>
      </c>
      <c r="AA18" s="288" t="s">
        <v>7308</v>
      </c>
      <c r="AB18" s="288" t="s">
        <v>7309</v>
      </c>
      <c r="AC18" s="288" t="s">
        <v>7310</v>
      </c>
      <c r="AD18" s="289" t="s">
        <v>7311</v>
      </c>
    </row>
    <row r="19" spans="1:30" ht="15">
      <c r="A19" s="197"/>
      <c r="B19" s="2687" t="s">
        <v>7312</v>
      </c>
      <c r="C19" s="2688"/>
      <c r="D19" s="293" t="s">
        <v>681</v>
      </c>
      <c r="E19" s="293">
        <v>3</v>
      </c>
      <c r="F19" s="1956">
        <f>IFERROR((-F27),0)</f>
        <v>-3.069</v>
      </c>
      <c r="G19" s="1956">
        <f>IFERROR((-G27),0)</f>
        <v>0.308</v>
      </c>
      <c r="H19" s="1956">
        <f>IFERROR((-H27),0)</f>
        <v>-0.42099999999999999</v>
      </c>
      <c r="I19" s="1937">
        <f t="shared" si="2"/>
        <v>0.72899999999999998</v>
      </c>
      <c r="J19" s="1938">
        <f t="shared" si="3"/>
        <v>-2.34</v>
      </c>
      <c r="K19" s="197"/>
      <c r="L19" s="290" t="s">
        <v>7313</v>
      </c>
      <c r="M19" s="282"/>
      <c r="N19" s="291"/>
      <c r="O19" s="282"/>
      <c r="P19" s="262"/>
      <c r="R19" s="262"/>
      <c r="S19" s="270"/>
      <c r="T19" s="270"/>
      <c r="U19" s="270"/>
      <c r="V19" s="262"/>
      <c r="X19" s="2687" t="s">
        <v>7312</v>
      </c>
      <c r="Y19" s="2688"/>
      <c r="Z19" s="381" t="s">
        <v>7314</v>
      </c>
      <c r="AA19" s="381" t="s">
        <v>7315</v>
      </c>
      <c r="AB19" s="381" t="s">
        <v>7316</v>
      </c>
      <c r="AC19" s="288" t="s">
        <v>7317</v>
      </c>
      <c r="AD19" s="289" t="s">
        <v>7318</v>
      </c>
    </row>
    <row r="20" spans="1:30" ht="15">
      <c r="A20" s="197"/>
      <c r="B20" s="2685" t="s">
        <v>7319</v>
      </c>
      <c r="C20" s="2686"/>
      <c r="D20" s="293" t="s">
        <v>681</v>
      </c>
      <c r="E20" s="293">
        <v>3</v>
      </c>
      <c r="F20" s="287">
        <v>25.018000000000001</v>
      </c>
      <c r="G20" s="287">
        <v>1.8360000000000001</v>
      </c>
      <c r="H20" s="287">
        <v>7.6999999999999999E-2</v>
      </c>
      <c r="I20" s="1937">
        <f t="shared" si="2"/>
        <v>1.7590000000000001</v>
      </c>
      <c r="J20" s="1938">
        <f t="shared" si="3"/>
        <v>26.777000000000001</v>
      </c>
      <c r="K20" s="197"/>
      <c r="L20" s="290" t="s">
        <v>7320</v>
      </c>
      <c r="M20" s="282"/>
      <c r="N20" s="291"/>
      <c r="O20" s="282"/>
      <c r="P20" s="262"/>
      <c r="Q20" s="284">
        <f>IF( SUM( S20:U20 ) = 0, 0, $S$5 )</f>
        <v>0</v>
      </c>
      <c r="R20" s="262"/>
      <c r="S20" s="285">
        <f t="shared" ref="S20:U20" si="11" xml:space="preserve"> IF( ISNUMBER( F20 ), 0, 1 )</f>
        <v>0</v>
      </c>
      <c r="T20" s="285">
        <f t="shared" si="11"/>
        <v>0</v>
      </c>
      <c r="U20" s="285">
        <f t="shared" si="11"/>
        <v>0</v>
      </c>
      <c r="V20" s="262"/>
      <c r="X20" s="2685" t="s">
        <v>7319</v>
      </c>
      <c r="Y20" s="2686"/>
      <c r="Z20" s="287" t="s">
        <v>7321</v>
      </c>
      <c r="AA20" s="287" t="s">
        <v>7322</v>
      </c>
      <c r="AB20" s="287" t="s">
        <v>7323</v>
      </c>
      <c r="AC20" s="288" t="s">
        <v>7324</v>
      </c>
      <c r="AD20" s="289" t="s">
        <v>7325</v>
      </c>
    </row>
    <row r="21" spans="1:30" ht="15">
      <c r="A21" s="197"/>
      <c r="B21" s="2685" t="s">
        <v>7326</v>
      </c>
      <c r="C21" s="2686"/>
      <c r="D21" s="293" t="s">
        <v>681</v>
      </c>
      <c r="E21" s="293">
        <v>3</v>
      </c>
      <c r="F21" s="1937">
        <f>IFERROR(SUM(F18:F20),0)</f>
        <v>-27.189999999999962</v>
      </c>
      <c r="G21" s="1937">
        <f>IFERROR(SUM(G18:G20),0)</f>
        <v>-6.8209999999999784</v>
      </c>
      <c r="H21" s="1937">
        <f>IFERROR(SUM(H18:H20),0)</f>
        <v>7.6810000000000018</v>
      </c>
      <c r="I21" s="1937">
        <f t="shared" si="2"/>
        <v>-14.501999999999981</v>
      </c>
      <c r="J21" s="1938">
        <f t="shared" si="3"/>
        <v>-41.691999999999943</v>
      </c>
      <c r="K21" s="197"/>
      <c r="L21" s="290" t="s">
        <v>7327</v>
      </c>
      <c r="M21" s="282"/>
      <c r="N21" s="291"/>
      <c r="O21" s="282"/>
      <c r="P21" s="262"/>
      <c r="R21" s="262"/>
      <c r="S21" s="270"/>
      <c r="T21" s="270"/>
      <c r="U21" s="270"/>
      <c r="V21" s="262"/>
      <c r="X21" s="2685" t="s">
        <v>7326</v>
      </c>
      <c r="Y21" s="2686"/>
      <c r="Z21" s="288" t="s">
        <v>7328</v>
      </c>
      <c r="AA21" s="288" t="s">
        <v>7329</v>
      </c>
      <c r="AB21" s="288" t="s">
        <v>7330</v>
      </c>
      <c r="AC21" s="288" t="s">
        <v>7331</v>
      </c>
      <c r="AD21" s="289" t="s">
        <v>7332</v>
      </c>
    </row>
    <row r="22" spans="1:30" thickBot="1">
      <c r="A22" s="197"/>
      <c r="B22" s="2691" t="s">
        <v>7333</v>
      </c>
      <c r="C22" s="2692"/>
      <c r="D22" s="296" t="s">
        <v>681</v>
      </c>
      <c r="E22" s="296">
        <v>3</v>
      </c>
      <c r="F22" s="297">
        <v>-110.8</v>
      </c>
      <c r="G22" s="297">
        <v>0</v>
      </c>
      <c r="H22" s="297">
        <v>0</v>
      </c>
      <c r="I22" s="1939">
        <f t="shared" si="2"/>
        <v>0</v>
      </c>
      <c r="J22" s="1940">
        <f>IFERROR(F22 + I22,0)</f>
        <v>-110.8</v>
      </c>
      <c r="K22" s="197"/>
      <c r="L22" s="300" t="s">
        <v>7334</v>
      </c>
      <c r="M22" s="301"/>
      <c r="N22" s="302"/>
      <c r="O22" s="301"/>
      <c r="P22" s="262"/>
      <c r="Q22" s="284">
        <f>IF( SUM( S22:U22 ) = 0, 0, $S$5 )</f>
        <v>0</v>
      </c>
      <c r="R22" s="262"/>
      <c r="S22" s="285">
        <f t="shared" ref="S22:U22" si="12" xml:space="preserve"> IF( ISNUMBER( F22 ), 0, 1 )</f>
        <v>0</v>
      </c>
      <c r="T22" s="285">
        <f t="shared" si="12"/>
        <v>0</v>
      </c>
      <c r="U22" s="285">
        <f t="shared" si="12"/>
        <v>0</v>
      </c>
      <c r="V22" s="262"/>
      <c r="X22" s="2691" t="s">
        <v>7333</v>
      </c>
      <c r="Y22" s="2692"/>
      <c r="Z22" s="297" t="s">
        <v>7335</v>
      </c>
      <c r="AA22" s="297" t="s">
        <v>7336</v>
      </c>
      <c r="AB22" s="297" t="s">
        <v>7337</v>
      </c>
      <c r="AC22" s="298" t="s">
        <v>7338</v>
      </c>
      <c r="AD22" s="299" t="s">
        <v>7339</v>
      </c>
    </row>
    <row r="23" spans="1:30" ht="16.5"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693" t="s">
        <v>7340</v>
      </c>
      <c r="C24" s="2694"/>
      <c r="D24" s="268"/>
      <c r="E24" s="268"/>
      <c r="F24" s="1917"/>
      <c r="G24" s="1917"/>
      <c r="H24" s="1917"/>
      <c r="I24" s="1917"/>
      <c r="J24" s="1917"/>
      <c r="K24" s="106"/>
      <c r="L24" s="305"/>
      <c r="M24" s="305"/>
      <c r="N24" s="305"/>
      <c r="O24" s="305"/>
      <c r="P24" s="306"/>
      <c r="R24" s="306"/>
      <c r="S24" s="270"/>
      <c r="T24" s="270"/>
      <c r="U24" s="270"/>
      <c r="V24" s="306"/>
      <c r="X24" s="2693" t="s">
        <v>7340</v>
      </c>
      <c r="Y24" s="2694"/>
      <c r="Z24" s="309"/>
      <c r="AA24" s="309"/>
      <c r="AB24" s="309"/>
      <c r="AC24" s="309"/>
      <c r="AD24" s="309"/>
    </row>
    <row r="25" spans="1:30" thickTop="1">
      <c r="A25" s="197"/>
      <c r="B25" s="2695" t="s">
        <v>7341</v>
      </c>
      <c r="C25" s="2696"/>
      <c r="D25" s="310" t="s">
        <v>681</v>
      </c>
      <c r="E25" s="310">
        <v>3</v>
      </c>
      <c r="F25" s="278">
        <v>4.7690000000000001</v>
      </c>
      <c r="G25" s="278">
        <v>-0.308</v>
      </c>
      <c r="H25" s="278">
        <v>0.42099999999999999</v>
      </c>
      <c r="I25" s="1933">
        <f t="shared" ref="I25:I27" si="13">IFERROR(G25 - H25,0)</f>
        <v>-0.72899999999999998</v>
      </c>
      <c r="J25" s="1934">
        <f t="shared" ref="J25:J27" si="14">IFERROR(F25 + I25,0)</f>
        <v>4.04</v>
      </c>
      <c r="K25" s="106"/>
      <c r="L25" s="281" t="s">
        <v>7342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695" t="s">
        <v>7341</v>
      </c>
      <c r="Y25" s="2696"/>
      <c r="Z25" s="278" t="s">
        <v>7343</v>
      </c>
      <c r="AA25" s="278" t="s">
        <v>7344</v>
      </c>
      <c r="AB25" s="278" t="s">
        <v>7345</v>
      </c>
      <c r="AC25" s="279" t="s">
        <v>7346</v>
      </c>
      <c r="AD25" s="280" t="s">
        <v>7347</v>
      </c>
    </row>
    <row r="26" spans="1:30" ht="15">
      <c r="A26" s="197"/>
      <c r="B26" s="2697" t="s">
        <v>7348</v>
      </c>
      <c r="C26" s="2698"/>
      <c r="D26" s="311" t="s">
        <v>681</v>
      </c>
      <c r="E26" s="311">
        <v>3</v>
      </c>
      <c r="F26" s="287">
        <v>-1.7000000000000002</v>
      </c>
      <c r="G26" s="287">
        <v>0</v>
      </c>
      <c r="H26" s="287">
        <v>0</v>
      </c>
      <c r="I26" s="1935">
        <f t="shared" si="13"/>
        <v>0</v>
      </c>
      <c r="J26" s="1936">
        <f t="shared" si="14"/>
        <v>-1.7000000000000002</v>
      </c>
      <c r="K26" s="106"/>
      <c r="L26" s="290" t="s">
        <v>7349</v>
      </c>
      <c r="M26" s="282"/>
      <c r="N26" s="291"/>
      <c r="O26" s="282"/>
      <c r="P26" s="262"/>
      <c r="Q26" s="284">
        <f t="shared" si="15"/>
        <v>0</v>
      </c>
      <c r="R26" s="262"/>
      <c r="S26" s="285">
        <f t="shared" si="16"/>
        <v>0</v>
      </c>
      <c r="T26" s="285">
        <f t="shared" si="17"/>
        <v>0</v>
      </c>
      <c r="U26" s="285">
        <f t="shared" si="18"/>
        <v>0</v>
      </c>
      <c r="V26" s="262"/>
      <c r="X26" s="2697" t="s">
        <v>7350</v>
      </c>
      <c r="Y26" s="2698"/>
      <c r="Z26" s="287" t="s">
        <v>7351</v>
      </c>
      <c r="AA26" s="287" t="s">
        <v>7352</v>
      </c>
      <c r="AB26" s="287" t="s">
        <v>7353</v>
      </c>
      <c r="AC26" s="312" t="s">
        <v>7354</v>
      </c>
      <c r="AD26" s="313" t="s">
        <v>7355</v>
      </c>
    </row>
    <row r="27" spans="1:30" thickBot="1">
      <c r="A27" s="197"/>
      <c r="B27" s="2691" t="s">
        <v>7312</v>
      </c>
      <c r="C27" s="2692"/>
      <c r="D27" s="296" t="s">
        <v>681</v>
      </c>
      <c r="E27" s="296">
        <v>3</v>
      </c>
      <c r="F27" s="1931">
        <f>IFERROR(SUM( F25:F26 ),0)</f>
        <v>3.069</v>
      </c>
      <c r="G27" s="1931">
        <f>IFERROR(SUM( G25:G26 ),0)</f>
        <v>-0.308</v>
      </c>
      <c r="H27" s="1931">
        <f>IFERROR(SUM( H25:H26 ),0)</f>
        <v>0.42099999999999999</v>
      </c>
      <c r="I27" s="1931">
        <f t="shared" si="13"/>
        <v>-0.72899999999999998</v>
      </c>
      <c r="J27" s="1932">
        <f t="shared" si="14"/>
        <v>2.34</v>
      </c>
      <c r="K27" s="106"/>
      <c r="L27" s="300" t="s">
        <v>7356</v>
      </c>
      <c r="M27" s="301"/>
      <c r="N27" s="302"/>
      <c r="O27" s="301"/>
      <c r="P27" s="262"/>
      <c r="R27" s="262"/>
      <c r="S27" s="270"/>
      <c r="T27" s="270"/>
      <c r="U27" s="270"/>
      <c r="V27" s="262"/>
      <c r="X27" s="2691" t="s">
        <v>7312</v>
      </c>
      <c r="Y27" s="2692"/>
      <c r="Z27" s="314" t="s">
        <v>7357</v>
      </c>
      <c r="AA27" s="314" t="s">
        <v>7358</v>
      </c>
      <c r="AB27" s="314" t="s">
        <v>7359</v>
      </c>
      <c r="AC27" s="314" t="s">
        <v>7360</v>
      </c>
      <c r="AD27" s="315" t="s">
        <v>7361</v>
      </c>
    </row>
    <row r="28" spans="1:30" ht="16.5"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693" t="s">
        <v>7362</v>
      </c>
      <c r="C29" s="2694"/>
      <c r="D29" s="268"/>
      <c r="E29" s="268"/>
      <c r="F29" s="1918"/>
      <c r="G29" s="1917"/>
      <c r="H29" s="1917"/>
      <c r="I29" s="1917"/>
      <c r="J29" s="1917"/>
      <c r="K29" s="106"/>
      <c r="L29" s="305"/>
      <c r="M29" s="305"/>
      <c r="N29" s="305"/>
      <c r="O29" s="305"/>
      <c r="P29" s="306"/>
      <c r="R29" s="306"/>
      <c r="S29" s="307"/>
      <c r="T29" s="308"/>
      <c r="U29" s="308"/>
      <c r="V29" s="306"/>
      <c r="X29" s="2693" t="s">
        <v>7362</v>
      </c>
      <c r="Y29" s="2694"/>
      <c r="Z29" s="316"/>
      <c r="AA29" s="309"/>
      <c r="AB29" s="309"/>
      <c r="AC29" s="309"/>
      <c r="AD29" s="309"/>
    </row>
    <row r="30" spans="1:30" thickTop="1">
      <c r="A30" s="197"/>
      <c r="B30" s="2701" t="s">
        <v>7363</v>
      </c>
      <c r="C30" s="2702"/>
      <c r="D30" s="318" t="s">
        <v>681</v>
      </c>
      <c r="E30" s="318">
        <v>3</v>
      </c>
      <c r="F30" s="1919"/>
      <c r="G30" s="1920"/>
      <c r="H30" s="1921">
        <v>0</v>
      </c>
      <c r="I30" s="1920"/>
      <c r="J30" s="1922"/>
      <c r="K30" s="106"/>
      <c r="L30" s="323" t="s">
        <v>7364</v>
      </c>
      <c r="M30" s="301"/>
      <c r="N30" s="324"/>
      <c r="O30" s="301"/>
      <c r="P30" s="262"/>
      <c r="Q30" s="284">
        <f t="shared" ref="Q30:Q32" si="19">IF( SUM( S30:U30 ) = 0, 0, $S$5 )</f>
        <v>0</v>
      </c>
      <c r="R30" s="262"/>
      <c r="S30" s="307"/>
      <c r="U30" s="285">
        <f t="shared" ref="U30:U32" si="20" xml:space="preserve"> IF( ISNUMBER( H30 ), 0, 1 )</f>
        <v>0</v>
      </c>
      <c r="V30" s="262"/>
      <c r="X30" s="2701" t="s">
        <v>7363</v>
      </c>
      <c r="Y30" s="2702"/>
      <c r="Z30" s="319"/>
      <c r="AA30" s="320"/>
      <c r="AB30" s="321" t="s">
        <v>7365</v>
      </c>
      <c r="AC30" s="320"/>
      <c r="AD30" s="322"/>
    </row>
    <row r="31" spans="1:30" ht="15">
      <c r="A31" s="197"/>
      <c r="B31" s="2703" t="s">
        <v>7366</v>
      </c>
      <c r="C31" s="2704"/>
      <c r="D31" s="325" t="s">
        <v>681</v>
      </c>
      <c r="E31" s="325">
        <v>3</v>
      </c>
      <c r="F31" s="1923"/>
      <c r="G31" s="1924"/>
      <c r="H31" s="1925">
        <v>2.4710000000000001</v>
      </c>
      <c r="I31" s="1924"/>
      <c r="J31" s="1926"/>
      <c r="K31" s="106"/>
      <c r="L31" s="330" t="s">
        <v>7367</v>
      </c>
      <c r="M31" s="301"/>
      <c r="N31" s="331"/>
      <c r="O31" s="301"/>
      <c r="P31" s="262"/>
      <c r="Q31" s="284">
        <f t="shared" si="19"/>
        <v>0</v>
      </c>
      <c r="R31" s="262"/>
      <c r="S31" s="307"/>
      <c r="T31" s="270"/>
      <c r="U31" s="285">
        <f t="shared" si="20"/>
        <v>0</v>
      </c>
      <c r="V31" s="262"/>
      <c r="X31" s="2703" t="s">
        <v>7366</v>
      </c>
      <c r="Y31" s="2704"/>
      <c r="Z31" s="326"/>
      <c r="AA31" s="327"/>
      <c r="AB31" s="328" t="s">
        <v>7368</v>
      </c>
      <c r="AC31" s="327"/>
      <c r="AD31" s="329"/>
    </row>
    <row r="32" spans="1:30" ht="15">
      <c r="A32" s="197"/>
      <c r="B32" s="2703" t="s">
        <v>7369</v>
      </c>
      <c r="C32" s="2704"/>
      <c r="D32" s="325" t="s">
        <v>681</v>
      </c>
      <c r="E32" s="325">
        <v>3</v>
      </c>
      <c r="F32" s="1923"/>
      <c r="G32" s="1924"/>
      <c r="H32" s="1925">
        <v>32.272999999999996</v>
      </c>
      <c r="I32" s="1924"/>
      <c r="J32" s="1926"/>
      <c r="K32" s="106"/>
      <c r="L32" s="330" t="s">
        <v>7370</v>
      </c>
      <c r="M32" s="301"/>
      <c r="N32" s="331"/>
      <c r="O32" s="301"/>
      <c r="P32" s="262"/>
      <c r="Q32" s="284">
        <f t="shared" si="19"/>
        <v>0</v>
      </c>
      <c r="R32" s="262"/>
      <c r="S32" s="307"/>
      <c r="T32" s="270"/>
      <c r="U32" s="285">
        <f t="shared" si="20"/>
        <v>0</v>
      </c>
      <c r="V32" s="262"/>
      <c r="X32" s="2703" t="s">
        <v>7369</v>
      </c>
      <c r="Y32" s="2704"/>
      <c r="Z32" s="326"/>
      <c r="AA32" s="327"/>
      <c r="AB32" s="328" t="s">
        <v>7371</v>
      </c>
      <c r="AC32" s="327"/>
      <c r="AD32" s="329"/>
    </row>
    <row r="33" spans="1:30" thickBot="1">
      <c r="A33" s="197"/>
      <c r="B33" s="2699" t="s">
        <v>7235</v>
      </c>
      <c r="C33" s="2700"/>
      <c r="D33" s="332" t="s">
        <v>681</v>
      </c>
      <c r="E33" s="332">
        <v>3</v>
      </c>
      <c r="F33" s="1927"/>
      <c r="G33" s="1928"/>
      <c r="H33" s="1930">
        <f>IFERROR(SUM(H30:H32), 0)</f>
        <v>34.744</v>
      </c>
      <c r="I33" s="1928"/>
      <c r="J33" s="1929"/>
      <c r="K33" s="106"/>
      <c r="L33" s="300" t="s">
        <v>7372</v>
      </c>
      <c r="M33" s="301"/>
      <c r="N33" s="302"/>
      <c r="O33" s="301"/>
      <c r="P33" s="262"/>
      <c r="Q33" s="284"/>
      <c r="R33" s="262"/>
      <c r="S33" s="307"/>
      <c r="T33" s="270"/>
      <c r="V33" s="262"/>
      <c r="X33" s="2699" t="s">
        <v>7235</v>
      </c>
      <c r="Y33" s="2700"/>
      <c r="Z33" s="333"/>
      <c r="AA33" s="334"/>
      <c r="AB33" s="335" t="s">
        <v>7373</v>
      </c>
      <c r="AC33" s="334"/>
      <c r="AD33" s="336"/>
    </row>
    <row r="34" spans="1:30" ht="16.5"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504" t="s">
        <v>632</v>
      </c>
      <c r="B1" s="2504" t="s">
        <v>633</v>
      </c>
      <c r="C1" s="2504"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tabColor rgb="FF00B050"/>
    <pageSetUpPr fitToPage="1"/>
  </sheetPr>
  <dimension ref="A1:AE12"/>
  <sheetViews>
    <sheetView showGridLines="0" topLeftCell="F1" zoomScale="70" zoomScaleNormal="70" zoomScaleSheetLayoutView="100" workbookViewId="0">
      <pane ySplit="6" topLeftCell="A7" activePane="bottomLeft" state="frozen"/>
      <selection activeCell="H30" sqref="H30:H32"/>
      <selection pane="bottomLeft" activeCell="I8" sqref="I8"/>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0.25" style="224" bestFit="1" customWidth="1"/>
    <col min="18" max="18" width="1.625" style="263" customWidth="1"/>
    <col min="19" max="19" width="20.25" style="263" hidden="1" customWidth="1"/>
    <col min="20" max="22" width="1.625" style="263"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59" customFormat="1" ht="23.25">
      <c r="B1" s="2661" t="s">
        <v>7374</v>
      </c>
      <c r="C1" s="2661"/>
      <c r="D1" s="2661"/>
      <c r="E1" s="2661"/>
      <c r="F1" s="2661"/>
      <c r="G1" s="2661"/>
      <c r="H1" s="2661"/>
      <c r="I1" s="2661"/>
      <c r="J1" s="339"/>
      <c r="P1" s="340"/>
      <c r="Q1" s="267"/>
      <c r="R1" s="262"/>
      <c r="S1" s="263"/>
      <c r="T1" s="263"/>
      <c r="U1" s="263"/>
      <c r="V1" s="262"/>
      <c r="X1" s="2661" t="s">
        <v>7220</v>
      </c>
      <c r="Y1" s="2661"/>
      <c r="Z1" s="2661"/>
      <c r="AA1" s="2661"/>
      <c r="AB1" s="2661"/>
      <c r="AC1" s="2661"/>
      <c r="AD1" s="339"/>
      <c r="AE1" s="341"/>
    </row>
    <row r="2" spans="1:31" s="259" customFormat="1" ht="23.25">
      <c r="B2" s="2661" t="str">
        <f>SelectCompany!B4</f>
        <v>Northumbrian Water</v>
      </c>
      <c r="C2" s="2661"/>
      <c r="D2" s="2661"/>
      <c r="E2" s="2661"/>
      <c r="F2" s="2661"/>
      <c r="G2" s="2661"/>
      <c r="H2" s="2661"/>
      <c r="I2" s="2661"/>
      <c r="J2" s="339"/>
      <c r="P2" s="340"/>
      <c r="Q2" s="267"/>
      <c r="R2" s="262"/>
      <c r="S2" s="263"/>
      <c r="T2" s="263"/>
      <c r="U2" s="263"/>
      <c r="V2" s="262"/>
      <c r="X2" s="2661"/>
      <c r="Y2" s="2661"/>
      <c r="Z2" s="2661"/>
      <c r="AA2" s="2661"/>
      <c r="AB2" s="2661"/>
      <c r="AC2" s="2661"/>
      <c r="AD2" s="339"/>
      <c r="AE2" s="341"/>
    </row>
    <row r="3" spans="1:31" s="264" customFormat="1" ht="19.5">
      <c r="B3" s="2705" t="s">
        <v>7375</v>
      </c>
      <c r="C3" s="2706"/>
      <c r="D3" s="2706"/>
      <c r="E3" s="2706"/>
      <c r="F3" s="2706"/>
      <c r="G3" s="2706"/>
      <c r="H3" s="2706"/>
      <c r="I3" s="2706"/>
      <c r="J3" s="2706"/>
      <c r="K3" s="2706"/>
      <c r="L3" s="2706"/>
      <c r="M3" s="2706"/>
      <c r="N3" s="2706"/>
      <c r="P3" s="342"/>
      <c r="Q3" s="265" t="s">
        <v>7222</v>
      </c>
      <c r="R3" s="262"/>
      <c r="S3" s="263"/>
      <c r="T3" s="263"/>
      <c r="U3" s="263"/>
      <c r="V3" s="262"/>
      <c r="X3" s="2707" t="s">
        <v>7375</v>
      </c>
      <c r="Y3" s="2708"/>
      <c r="Z3" s="2708"/>
      <c r="AA3" s="2708"/>
      <c r="AB3" s="2708"/>
      <c r="AC3" s="2708"/>
      <c r="AD3" s="2709"/>
      <c r="AE3" s="343"/>
    </row>
    <row r="4" spans="1:31" ht="16.5" thickBot="1">
      <c r="B4" s="266"/>
      <c r="C4" s="266"/>
      <c r="D4" s="266"/>
      <c r="E4" s="266"/>
      <c r="F4" s="2710"/>
      <c r="G4" s="2710"/>
      <c r="H4" s="2710"/>
      <c r="I4" s="2710"/>
      <c r="J4" s="344"/>
      <c r="P4" s="345"/>
      <c r="Q4" s="267"/>
      <c r="R4" s="262"/>
      <c r="S4" s="2668" t="s">
        <v>7223</v>
      </c>
      <c r="T4" s="2668"/>
      <c r="U4" s="2668"/>
      <c r="V4" s="262"/>
      <c r="X4" s="266"/>
      <c r="Y4" s="266"/>
      <c r="Z4" s="2710"/>
      <c r="AA4" s="2710"/>
      <c r="AB4" s="2710"/>
      <c r="AC4" s="2710"/>
      <c r="AD4" s="344"/>
      <c r="AE4" s="346"/>
    </row>
    <row r="5" spans="1:31" ht="15.75" thickTop="1">
      <c r="A5" s="197"/>
      <c r="B5" s="2711" t="s">
        <v>7224</v>
      </c>
      <c r="C5" s="2673"/>
      <c r="D5" s="2670" t="s">
        <v>7225</v>
      </c>
      <c r="E5" s="2670" t="s">
        <v>670</v>
      </c>
      <c r="F5" s="2673" t="s">
        <v>7226</v>
      </c>
      <c r="G5" s="2673" t="s">
        <v>7227</v>
      </c>
      <c r="H5" s="2673"/>
      <c r="I5" s="2673"/>
      <c r="J5" s="2675" t="s">
        <v>7228</v>
      </c>
      <c r="K5" s="197"/>
      <c r="L5" s="2677" t="s">
        <v>7229</v>
      </c>
      <c r="M5" s="197"/>
      <c r="N5" s="2677" t="s">
        <v>7230</v>
      </c>
      <c r="O5" s="197"/>
      <c r="P5" s="345"/>
      <c r="Q5" s="267"/>
      <c r="R5" s="262"/>
      <c r="S5" s="269" t="s">
        <v>7231</v>
      </c>
      <c r="T5" s="270"/>
      <c r="U5" s="270"/>
      <c r="V5" s="262"/>
      <c r="X5" s="2711" t="s">
        <v>7224</v>
      </c>
      <c r="Y5" s="2673"/>
      <c r="Z5" s="2673" t="s">
        <v>7226</v>
      </c>
      <c r="AA5" s="2673" t="s">
        <v>7227</v>
      </c>
      <c r="AB5" s="2673"/>
      <c r="AC5" s="2673"/>
      <c r="AD5" s="2675" t="s">
        <v>7228</v>
      </c>
      <c r="AE5" s="317"/>
    </row>
    <row r="6" spans="1:31" ht="60.75" thickBot="1">
      <c r="A6" s="197"/>
      <c r="B6" s="2712"/>
      <c r="C6" s="2674"/>
      <c r="D6" s="2672"/>
      <c r="E6" s="2672"/>
      <c r="F6" s="2674"/>
      <c r="G6" s="271" t="s">
        <v>7232</v>
      </c>
      <c r="H6" s="271" t="s">
        <v>7233</v>
      </c>
      <c r="I6" s="271" t="s">
        <v>7234</v>
      </c>
      <c r="J6" s="2676"/>
      <c r="K6" s="197"/>
      <c r="L6" s="2678"/>
      <c r="M6" s="197"/>
      <c r="N6" s="2678"/>
      <c r="O6" s="197"/>
      <c r="P6" s="345"/>
      <c r="Q6" s="267"/>
      <c r="R6" s="262"/>
      <c r="S6" s="224"/>
      <c r="T6" s="224"/>
      <c r="U6" s="224"/>
      <c r="V6" s="262"/>
      <c r="X6" s="2712"/>
      <c r="Y6" s="2674"/>
      <c r="Z6" s="2674"/>
      <c r="AA6" s="271" t="s">
        <v>7232</v>
      </c>
      <c r="AB6" s="271" t="s">
        <v>7233</v>
      </c>
      <c r="AC6" s="271" t="s">
        <v>7234</v>
      </c>
      <c r="AD6" s="2676"/>
      <c r="AE6" s="317"/>
    </row>
    <row r="7" spans="1:31" ht="17.2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75" thickTop="1">
      <c r="A8" s="197"/>
      <c r="B8" s="2715" t="s">
        <v>7326</v>
      </c>
      <c r="C8" s="2716"/>
      <c r="D8" s="277" t="s">
        <v>681</v>
      </c>
      <c r="E8" s="277">
        <v>3</v>
      </c>
      <c r="F8" s="1952">
        <f>IFERROR('1A'!F21,0)</f>
        <v>-27.189999999999962</v>
      </c>
      <c r="G8" s="1952">
        <f>IFERROR('1A'!G21,0)</f>
        <v>-6.8209999999999784</v>
      </c>
      <c r="H8" s="1952">
        <f>IFERROR('1A'!H21,0)</f>
        <v>7.6810000000000018</v>
      </c>
      <c r="I8" s="1933">
        <f>IFERROR(G8-H8,0)</f>
        <v>-14.501999999999981</v>
      </c>
      <c r="J8" s="1953">
        <f>IFERROR(F8+I8,0)</f>
        <v>-41.691999999999943</v>
      </c>
      <c r="K8" s="197"/>
      <c r="L8" s="281" t="s">
        <v>7376</v>
      </c>
      <c r="M8" s="197"/>
      <c r="N8" s="283"/>
      <c r="O8" s="197"/>
      <c r="P8" s="345"/>
      <c r="Q8" s="284"/>
      <c r="R8" s="262"/>
      <c r="S8" s="270"/>
      <c r="T8" s="270"/>
      <c r="U8" s="270"/>
      <c r="V8" s="262"/>
      <c r="X8" s="2715" t="s">
        <v>7326</v>
      </c>
      <c r="Y8" s="2716"/>
      <c r="Z8" s="350" t="s">
        <v>7328</v>
      </c>
      <c r="AA8" s="350" t="s">
        <v>7329</v>
      </c>
      <c r="AB8" s="350" t="s">
        <v>7330</v>
      </c>
      <c r="AC8" s="279" t="s">
        <v>7331</v>
      </c>
      <c r="AD8" s="351" t="s">
        <v>7332</v>
      </c>
      <c r="AE8" s="352"/>
    </row>
    <row r="9" spans="1:31" ht="30">
      <c r="A9" s="197"/>
      <c r="B9" s="2703" t="s">
        <v>7377</v>
      </c>
      <c r="C9" s="2704"/>
      <c r="D9" s="325" t="s">
        <v>681</v>
      </c>
      <c r="E9" s="325">
        <v>3</v>
      </c>
      <c r="F9" s="287">
        <v>-31.445</v>
      </c>
      <c r="G9" s="287">
        <v>0</v>
      </c>
      <c r="H9" s="287">
        <v>-3.4999999999999698E-2</v>
      </c>
      <c r="I9" s="1937">
        <f t="shared" ref="I9:I11" si="0">IFERROR(G9-H9,0)</f>
        <v>3.4999999999999698E-2</v>
      </c>
      <c r="J9" s="1936">
        <f t="shared" ref="J9:J11" si="1">IFERROR(F9+I9,0)</f>
        <v>-31.41</v>
      </c>
      <c r="K9" s="197"/>
      <c r="L9" s="290" t="s">
        <v>7378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03" t="s">
        <v>7377</v>
      </c>
      <c r="Y9" s="2704"/>
      <c r="Z9" s="287" t="s">
        <v>7379</v>
      </c>
      <c r="AA9" s="287" t="s">
        <v>7380</v>
      </c>
      <c r="AB9" s="287" t="s">
        <v>7381</v>
      </c>
      <c r="AC9" s="288" t="s">
        <v>7382</v>
      </c>
      <c r="AD9" s="313" t="s">
        <v>7383</v>
      </c>
      <c r="AE9" s="352"/>
    </row>
    <row r="10" spans="1:31" ht="30">
      <c r="A10" s="197"/>
      <c r="B10" s="2717" t="s">
        <v>7384</v>
      </c>
      <c r="C10" s="2718"/>
      <c r="D10" s="286" t="s">
        <v>681</v>
      </c>
      <c r="E10" s="286">
        <v>3</v>
      </c>
      <c r="F10" s="287">
        <v>-2.6349999999999998</v>
      </c>
      <c r="G10" s="287">
        <v>0</v>
      </c>
      <c r="H10" s="287">
        <v>0</v>
      </c>
      <c r="I10" s="1937">
        <f t="shared" si="0"/>
        <v>0</v>
      </c>
      <c r="J10" s="1936">
        <f t="shared" si="1"/>
        <v>-2.6349999999999998</v>
      </c>
      <c r="K10" s="197"/>
      <c r="L10" s="290" t="s">
        <v>7385</v>
      </c>
      <c r="M10" s="197"/>
      <c r="N10" s="291"/>
      <c r="O10" s="197"/>
      <c r="P10" s="345"/>
      <c r="Q10" s="284">
        <f>IF( SUM( S10:U10 ) = 0, 0, $S$5 )</f>
        <v>0</v>
      </c>
      <c r="R10" s="262"/>
      <c r="S10" s="285">
        <f t="shared" ref="S10" si="5" xml:space="preserve"> IF( ISNUMBER( F10 ), 0, 1 )</f>
        <v>0</v>
      </c>
      <c r="T10" s="285">
        <f t="shared" si="3"/>
        <v>0</v>
      </c>
      <c r="U10" s="285">
        <f t="shared" si="4"/>
        <v>0</v>
      </c>
      <c r="V10" s="262"/>
      <c r="X10" s="2717" t="s">
        <v>7384</v>
      </c>
      <c r="Y10" s="2718"/>
      <c r="Z10" s="287" t="s">
        <v>7386</v>
      </c>
      <c r="AA10" s="287" t="s">
        <v>7387</v>
      </c>
      <c r="AB10" s="287" t="s">
        <v>7388</v>
      </c>
      <c r="AC10" s="288" t="s">
        <v>7389</v>
      </c>
      <c r="AD10" s="313" t="s">
        <v>7390</v>
      </c>
      <c r="AE10" s="352"/>
    </row>
    <row r="11" spans="1:31" ht="30.75" thickBot="1">
      <c r="A11" s="197"/>
      <c r="B11" s="2713" t="s">
        <v>7391</v>
      </c>
      <c r="C11" s="2714"/>
      <c r="D11" s="355" t="s">
        <v>681</v>
      </c>
      <c r="E11" s="355">
        <v>3</v>
      </c>
      <c r="F11" s="1939">
        <f>IFERROR(SUM( F8:F10 ),0)</f>
        <v>-61.26999999999996</v>
      </c>
      <c r="G11" s="1939">
        <f>IFERROR(SUM( G8:G10 ),0)</f>
        <v>-6.8209999999999784</v>
      </c>
      <c r="H11" s="1939">
        <f>IFERROR(SUM( H8:H10 ),0)</f>
        <v>7.6460000000000026</v>
      </c>
      <c r="I11" s="1939">
        <f t="shared" si="0"/>
        <v>-14.466999999999981</v>
      </c>
      <c r="J11" s="1932">
        <f t="shared" si="1"/>
        <v>-75.736999999999938</v>
      </c>
      <c r="K11" s="197"/>
      <c r="L11" s="356" t="s">
        <v>7392</v>
      </c>
      <c r="M11" s="197"/>
      <c r="N11" s="302"/>
      <c r="O11" s="197"/>
      <c r="P11" s="345"/>
      <c r="Q11" s="284"/>
      <c r="R11" s="262"/>
      <c r="S11" s="270"/>
      <c r="T11" s="270"/>
      <c r="U11" s="270"/>
      <c r="V11" s="262"/>
      <c r="X11" s="2713" t="s">
        <v>7391</v>
      </c>
      <c r="Y11" s="2714"/>
      <c r="Z11" s="298" t="s">
        <v>7393</v>
      </c>
      <c r="AA11" s="298" t="s">
        <v>7394</v>
      </c>
      <c r="AB11" s="298" t="s">
        <v>7395</v>
      </c>
      <c r="AC11" s="298" t="s">
        <v>7396</v>
      </c>
      <c r="AD11" s="315" t="s">
        <v>7397</v>
      </c>
      <c r="AE11" s="352"/>
    </row>
    <row r="12" spans="1:31" ht="15"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00B050"/>
    <pageSetUpPr fitToPage="1"/>
  </sheetPr>
  <dimension ref="A1:AD53"/>
  <sheetViews>
    <sheetView showGridLines="0" topLeftCell="D1" zoomScale="60" zoomScaleNormal="60" zoomScaleSheetLayoutView="100" workbookViewId="0">
      <pane ySplit="6" topLeftCell="A15" activePane="bottomLeft" state="frozen"/>
      <selection activeCell="H30" sqref="H30:H32"/>
      <selection pane="bottomLeft" activeCell="F30" sqref="F30"/>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5.125" style="224" customWidth="1"/>
    <col min="18" max="18" width="1.625" style="263" customWidth="1"/>
    <col min="19" max="21" width="8.125" style="263" hidden="1" customWidth="1"/>
    <col min="22" max="22" width="1.625" style="263"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59" customFormat="1" ht="23.25">
      <c r="B1" s="2661" t="s">
        <v>7398</v>
      </c>
      <c r="C1" s="2661"/>
      <c r="D1" s="2661"/>
      <c r="E1" s="2661"/>
      <c r="F1" s="2661"/>
      <c r="G1" s="2661"/>
      <c r="H1" s="2661"/>
      <c r="I1" s="2661"/>
      <c r="J1" s="339"/>
      <c r="P1" s="340"/>
      <c r="R1" s="361"/>
      <c r="S1" s="263"/>
      <c r="T1" s="263"/>
      <c r="U1" s="263"/>
      <c r="V1" s="361"/>
      <c r="X1" s="2661" t="s">
        <v>7220</v>
      </c>
      <c r="Y1" s="2661"/>
      <c r="Z1" s="2661"/>
      <c r="AA1" s="2661"/>
      <c r="AB1" s="2661"/>
      <c r="AC1" s="2661"/>
      <c r="AD1" s="339"/>
    </row>
    <row r="2" spans="1:30" s="259" customFormat="1" ht="23.25">
      <c r="B2" s="2661" t="str">
        <f>SelectCompany!B4</f>
        <v>Northumbrian Water</v>
      </c>
      <c r="C2" s="2661"/>
      <c r="D2" s="2661"/>
      <c r="E2" s="2661"/>
      <c r="F2" s="2661"/>
      <c r="G2" s="2661"/>
      <c r="H2" s="2661"/>
      <c r="I2" s="2661"/>
      <c r="J2" s="339"/>
      <c r="P2" s="340"/>
      <c r="R2" s="361"/>
      <c r="S2" s="263"/>
      <c r="T2" s="263"/>
      <c r="U2" s="263"/>
      <c r="V2" s="361"/>
      <c r="X2" s="2661"/>
      <c r="Y2" s="2661"/>
      <c r="Z2" s="2661"/>
      <c r="AA2" s="2661"/>
      <c r="AB2" s="2661"/>
      <c r="AC2" s="2661"/>
      <c r="AD2" s="339"/>
    </row>
    <row r="3" spans="1:30" s="264" customFormat="1" ht="19.5">
      <c r="B3" s="2662" t="s">
        <v>7399</v>
      </c>
      <c r="C3" s="2663"/>
      <c r="D3" s="2663"/>
      <c r="E3" s="2663"/>
      <c r="F3" s="2663"/>
      <c r="G3" s="2663"/>
      <c r="H3" s="2663"/>
      <c r="I3" s="2663"/>
      <c r="J3" s="2663"/>
      <c r="K3" s="2663"/>
      <c r="L3" s="2663"/>
      <c r="M3" s="2663"/>
      <c r="N3" s="2663"/>
      <c r="P3" s="342"/>
      <c r="Q3" s="265" t="s">
        <v>7222</v>
      </c>
      <c r="R3" s="361"/>
      <c r="S3" s="263"/>
      <c r="T3" s="263"/>
      <c r="U3" s="263"/>
      <c r="V3" s="361"/>
      <c r="X3" s="2664" t="s">
        <v>7399</v>
      </c>
      <c r="Y3" s="2665"/>
      <c r="Z3" s="2665"/>
      <c r="AA3" s="2665"/>
      <c r="AB3" s="2665"/>
      <c r="AC3" s="2665"/>
      <c r="AD3" s="2666"/>
    </row>
    <row r="4" spans="1:30" ht="16.5" thickBot="1">
      <c r="B4" s="266"/>
      <c r="C4" s="266"/>
      <c r="D4" s="266"/>
      <c r="E4" s="266"/>
      <c r="F4" s="2710"/>
      <c r="G4" s="2710"/>
      <c r="H4" s="2710"/>
      <c r="I4" s="2710"/>
      <c r="J4" s="344"/>
      <c r="P4" s="345"/>
      <c r="R4" s="361"/>
      <c r="S4" s="2668" t="s">
        <v>7223</v>
      </c>
      <c r="T4" s="2668"/>
      <c r="U4" s="2668"/>
      <c r="V4" s="361"/>
      <c r="X4" s="266"/>
      <c r="Y4" s="266"/>
      <c r="Z4" s="2710"/>
      <c r="AA4" s="2710"/>
      <c r="AB4" s="2710"/>
      <c r="AC4" s="2710"/>
      <c r="AD4" s="344"/>
    </row>
    <row r="5" spans="1:30" ht="15.75" thickTop="1">
      <c r="A5" s="197"/>
      <c r="B5" s="2711" t="s">
        <v>7224</v>
      </c>
      <c r="C5" s="2673"/>
      <c r="D5" s="2670" t="s">
        <v>7225</v>
      </c>
      <c r="E5" s="2670" t="s">
        <v>670</v>
      </c>
      <c r="F5" s="2673" t="s">
        <v>7226</v>
      </c>
      <c r="G5" s="2673" t="s">
        <v>7227</v>
      </c>
      <c r="H5" s="2673"/>
      <c r="I5" s="2673"/>
      <c r="J5" s="2675" t="s">
        <v>7228</v>
      </c>
      <c r="K5" s="197"/>
      <c r="L5" s="2677" t="s">
        <v>7229</v>
      </c>
      <c r="M5" s="197"/>
      <c r="N5" s="2677" t="s">
        <v>7230</v>
      </c>
      <c r="O5" s="197"/>
      <c r="P5" s="345"/>
      <c r="R5" s="361"/>
      <c r="S5" s="269" t="s">
        <v>7231</v>
      </c>
      <c r="T5" s="270"/>
      <c r="U5" s="270"/>
      <c r="V5" s="361"/>
      <c r="X5" s="2711" t="s">
        <v>7224</v>
      </c>
      <c r="Y5" s="2673"/>
      <c r="Z5" s="2673" t="s">
        <v>7226</v>
      </c>
      <c r="AA5" s="2673" t="s">
        <v>7227</v>
      </c>
      <c r="AB5" s="2673"/>
      <c r="AC5" s="2673"/>
      <c r="AD5" s="2675" t="s">
        <v>7228</v>
      </c>
    </row>
    <row r="6" spans="1:30" ht="45.75" thickBot="1">
      <c r="A6" s="197"/>
      <c r="B6" s="2712"/>
      <c r="C6" s="2674"/>
      <c r="D6" s="2672"/>
      <c r="E6" s="2672"/>
      <c r="F6" s="2674"/>
      <c r="G6" s="271" t="s">
        <v>7232</v>
      </c>
      <c r="H6" s="271" t="s">
        <v>7233</v>
      </c>
      <c r="I6" s="271" t="s">
        <v>7234</v>
      </c>
      <c r="J6" s="2676"/>
      <c r="K6" s="197"/>
      <c r="L6" s="2678"/>
      <c r="M6" s="197"/>
      <c r="N6" s="2678"/>
      <c r="O6" s="197"/>
      <c r="P6" s="345"/>
      <c r="R6" s="361"/>
      <c r="S6" s="224"/>
      <c r="T6" s="224"/>
      <c r="U6" s="224"/>
      <c r="V6" s="361"/>
      <c r="X6" s="2712"/>
      <c r="Y6" s="2674"/>
      <c r="Z6" s="2674"/>
      <c r="AA6" s="271" t="s">
        <v>7232</v>
      </c>
      <c r="AB6" s="271" t="s">
        <v>7233</v>
      </c>
      <c r="AC6" s="271" t="s">
        <v>7234</v>
      </c>
      <c r="AD6" s="2676"/>
    </row>
    <row r="7" spans="1:30" ht="17.2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693" t="s">
        <v>7400</v>
      </c>
      <c r="C8" s="2694"/>
      <c r="D8" s="362"/>
      <c r="E8" s="362"/>
      <c r="F8" s="83"/>
      <c r="G8" s="83"/>
      <c r="H8" s="83"/>
      <c r="I8" s="83"/>
      <c r="J8" s="349"/>
      <c r="K8" s="197"/>
      <c r="L8" s="178"/>
      <c r="M8" s="197"/>
      <c r="N8" s="197"/>
      <c r="O8" s="197"/>
      <c r="P8" s="345"/>
      <c r="R8" s="361"/>
      <c r="S8" s="224"/>
      <c r="T8" s="224"/>
      <c r="U8" s="224"/>
      <c r="V8" s="361"/>
      <c r="X8" s="2693" t="s">
        <v>7400</v>
      </c>
      <c r="Y8" s="2694"/>
      <c r="Z8" s="83"/>
      <c r="AA8" s="83"/>
      <c r="AB8" s="83"/>
      <c r="AC8" s="83"/>
      <c r="AD8" s="349"/>
    </row>
    <row r="9" spans="1:30" ht="15.75" thickTop="1">
      <c r="A9" s="197"/>
      <c r="B9" s="2715" t="s">
        <v>7401</v>
      </c>
      <c r="C9" s="2716"/>
      <c r="D9" s="277" t="s">
        <v>681</v>
      </c>
      <c r="E9" s="277">
        <v>3</v>
      </c>
      <c r="F9" s="278">
        <v>4998.1569999999992</v>
      </c>
      <c r="G9" s="278">
        <v>-69.570999999999998</v>
      </c>
      <c r="H9" s="278">
        <v>103.74199999999999</v>
      </c>
      <c r="I9" s="1933">
        <f>IFERROR(G9-H9,0)</f>
        <v>-173.31299999999999</v>
      </c>
      <c r="J9" s="1953">
        <f>IFERROR(F9+I9,0)</f>
        <v>4824.8439999999991</v>
      </c>
      <c r="K9" s="197"/>
      <c r="L9" s="281" t="s">
        <v>7402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15" t="s">
        <v>7401</v>
      </c>
      <c r="Y9" s="2716"/>
      <c r="Z9" s="278" t="s">
        <v>7403</v>
      </c>
      <c r="AA9" s="278" t="s">
        <v>7404</v>
      </c>
      <c r="AB9" s="278" t="s">
        <v>7405</v>
      </c>
      <c r="AC9" s="279" t="s">
        <v>7406</v>
      </c>
      <c r="AD9" s="351" t="s">
        <v>7407</v>
      </c>
    </row>
    <row r="10" spans="1:30" ht="15">
      <c r="A10" s="197"/>
      <c r="B10" s="2703" t="s">
        <v>7408</v>
      </c>
      <c r="C10" s="2704"/>
      <c r="D10" s="325" t="s">
        <v>681</v>
      </c>
      <c r="E10" s="325">
        <v>3</v>
      </c>
      <c r="F10" s="287">
        <v>54.993000000000009</v>
      </c>
      <c r="G10" s="287">
        <v>-2.6629999999999998</v>
      </c>
      <c r="H10" s="287">
        <v>0.11699999999999999</v>
      </c>
      <c r="I10" s="1937">
        <f>IFERROR(G10-H10,0)</f>
        <v>-2.78</v>
      </c>
      <c r="J10" s="1936">
        <f t="shared" ref="J10:J15" si="2">IFERROR(F10+I10,0)</f>
        <v>52.213000000000008</v>
      </c>
      <c r="K10" s="197"/>
      <c r="L10" s="290" t="s">
        <v>7409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703" t="s">
        <v>7408</v>
      </c>
      <c r="Y10" s="2704"/>
      <c r="Z10" s="287" t="s">
        <v>7410</v>
      </c>
      <c r="AA10" s="287" t="s">
        <v>7411</v>
      </c>
      <c r="AB10" s="287" t="s">
        <v>7412</v>
      </c>
      <c r="AC10" s="288" t="s">
        <v>7413</v>
      </c>
      <c r="AD10" s="313" t="s">
        <v>7414</v>
      </c>
    </row>
    <row r="11" spans="1:30" ht="15">
      <c r="A11" s="197"/>
      <c r="B11" s="2717" t="s">
        <v>7415</v>
      </c>
      <c r="C11" s="2718"/>
      <c r="D11" s="286" t="s">
        <v>681</v>
      </c>
      <c r="E11" s="286">
        <v>3</v>
      </c>
      <c r="F11" s="287">
        <v>1.8960000000000001</v>
      </c>
      <c r="G11" s="287">
        <v>0</v>
      </c>
      <c r="H11" s="287">
        <v>1.8959999999999999</v>
      </c>
      <c r="I11" s="1937">
        <f t="shared" ref="I11:I15" si="5">IFERROR(G11-H11,0)</f>
        <v>-1.8959999999999999</v>
      </c>
      <c r="J11" s="1936">
        <f t="shared" si="2"/>
        <v>2.2204460492503131E-16</v>
      </c>
      <c r="K11" s="197"/>
      <c r="L11" s="290" t="s">
        <v>7416</v>
      </c>
      <c r="M11" s="197"/>
      <c r="N11" s="291"/>
      <c r="O11" s="197"/>
      <c r="P11" s="363"/>
      <c r="Q11" s="284">
        <f t="shared" si="3"/>
        <v>0</v>
      </c>
      <c r="R11" s="361"/>
      <c r="S11" s="285">
        <f t="shared" si="4"/>
        <v>0</v>
      </c>
      <c r="T11" s="285">
        <f t="shared" si="0"/>
        <v>0</v>
      </c>
      <c r="U11" s="285">
        <f t="shared" si="1"/>
        <v>0</v>
      </c>
      <c r="V11" s="361"/>
      <c r="X11" s="2717" t="s">
        <v>7415</v>
      </c>
      <c r="Y11" s="2718"/>
      <c r="Z11" s="287" t="s">
        <v>7417</v>
      </c>
      <c r="AA11" s="287" t="s">
        <v>7418</v>
      </c>
      <c r="AB11" s="287" t="s">
        <v>7419</v>
      </c>
      <c r="AC11" s="288" t="s">
        <v>7420</v>
      </c>
      <c r="AD11" s="313" t="s">
        <v>7421</v>
      </c>
    </row>
    <row r="12" spans="1:30" ht="15">
      <c r="A12" s="197"/>
      <c r="B12" s="2679" t="s">
        <v>7422</v>
      </c>
      <c r="C12" s="2680"/>
      <c r="D12" s="286" t="s">
        <v>681</v>
      </c>
      <c r="E12" s="286">
        <v>3</v>
      </c>
      <c r="F12" s="287">
        <v>5.0999999999999997E-2</v>
      </c>
      <c r="G12" s="287">
        <v>0</v>
      </c>
      <c r="H12" s="287">
        <v>0</v>
      </c>
      <c r="I12" s="1937">
        <f t="shared" si="5"/>
        <v>0</v>
      </c>
      <c r="J12" s="1936">
        <f t="shared" si="2"/>
        <v>5.0999999999999997E-2</v>
      </c>
      <c r="K12" s="197"/>
      <c r="L12" s="290" t="s">
        <v>7423</v>
      </c>
      <c r="M12" s="197"/>
      <c r="N12" s="291"/>
      <c r="O12" s="197"/>
      <c r="P12" s="363"/>
      <c r="Q12" s="284">
        <f t="shared" si="3"/>
        <v>0</v>
      </c>
      <c r="R12" s="361"/>
      <c r="S12" s="285">
        <f t="shared" si="4"/>
        <v>0</v>
      </c>
      <c r="T12" s="285">
        <f t="shared" si="0"/>
        <v>0</v>
      </c>
      <c r="U12" s="285">
        <f t="shared" si="1"/>
        <v>0</v>
      </c>
      <c r="V12" s="361"/>
      <c r="X12" s="2679" t="s">
        <v>7422</v>
      </c>
      <c r="Y12" s="2680"/>
      <c r="Z12" s="287" t="s">
        <v>7424</v>
      </c>
      <c r="AA12" s="287" t="s">
        <v>7425</v>
      </c>
      <c r="AB12" s="287" t="s">
        <v>7426</v>
      </c>
      <c r="AC12" s="288" t="s">
        <v>7427</v>
      </c>
      <c r="AD12" s="313" t="s">
        <v>7428</v>
      </c>
    </row>
    <row r="13" spans="1:30" ht="15">
      <c r="A13" s="197"/>
      <c r="B13" s="2719" t="s">
        <v>7429</v>
      </c>
      <c r="C13" s="2720"/>
      <c r="D13" s="286" t="s">
        <v>681</v>
      </c>
      <c r="E13" s="286">
        <v>3</v>
      </c>
      <c r="F13" s="287">
        <v>0</v>
      </c>
      <c r="G13" s="287">
        <v>0</v>
      </c>
      <c r="H13" s="287">
        <v>0</v>
      </c>
      <c r="I13" s="1937">
        <f t="shared" si="5"/>
        <v>0</v>
      </c>
      <c r="J13" s="1936">
        <f t="shared" si="2"/>
        <v>0</v>
      </c>
      <c r="K13" s="197"/>
      <c r="L13" s="290" t="s">
        <v>7430</v>
      </c>
      <c r="M13" s="197"/>
      <c r="N13" s="291"/>
      <c r="O13" s="197"/>
      <c r="P13" s="363"/>
      <c r="Q13" s="284">
        <f t="shared" si="3"/>
        <v>0</v>
      </c>
      <c r="R13" s="361"/>
      <c r="S13" s="285">
        <f t="shared" si="4"/>
        <v>0</v>
      </c>
      <c r="T13" s="285">
        <f t="shared" si="0"/>
        <v>0</v>
      </c>
      <c r="U13" s="285">
        <f t="shared" si="1"/>
        <v>0</v>
      </c>
      <c r="V13" s="361"/>
      <c r="X13" s="2719" t="s">
        <v>7429</v>
      </c>
      <c r="Y13" s="2720"/>
      <c r="Z13" s="287" t="s">
        <v>7431</v>
      </c>
      <c r="AA13" s="287" t="s">
        <v>7432</v>
      </c>
      <c r="AB13" s="287" t="s">
        <v>7433</v>
      </c>
      <c r="AC13" s="288" t="s">
        <v>7434</v>
      </c>
      <c r="AD13" s="313" t="s">
        <v>7435</v>
      </c>
    </row>
    <row r="14" spans="1:30" ht="15">
      <c r="A14" s="197"/>
      <c r="B14" s="2703" t="s">
        <v>7436</v>
      </c>
      <c r="C14" s="2704"/>
      <c r="D14" s="325" t="s">
        <v>681</v>
      </c>
      <c r="E14" s="325">
        <v>3</v>
      </c>
      <c r="F14" s="287">
        <v>0</v>
      </c>
      <c r="G14" s="287">
        <v>0</v>
      </c>
      <c r="H14" s="287">
        <v>0</v>
      </c>
      <c r="I14" s="1937">
        <f t="shared" si="5"/>
        <v>0</v>
      </c>
      <c r="J14" s="1936">
        <f t="shared" si="2"/>
        <v>0</v>
      </c>
      <c r="K14" s="197"/>
      <c r="L14" s="290" t="s">
        <v>7437</v>
      </c>
      <c r="M14" s="197"/>
      <c r="N14" s="291"/>
      <c r="O14" s="197"/>
      <c r="P14" s="363"/>
      <c r="Q14" s="284">
        <f t="shared" si="3"/>
        <v>0</v>
      </c>
      <c r="R14" s="361"/>
      <c r="S14" s="285">
        <f t="shared" si="4"/>
        <v>0</v>
      </c>
      <c r="T14" s="285">
        <f t="shared" si="0"/>
        <v>0</v>
      </c>
      <c r="U14" s="285">
        <f t="shared" si="1"/>
        <v>0</v>
      </c>
      <c r="V14" s="361"/>
      <c r="X14" s="2703" t="s">
        <v>7436</v>
      </c>
      <c r="Y14" s="2704"/>
      <c r="Z14" s="287" t="s">
        <v>7438</v>
      </c>
      <c r="AA14" s="287" t="s">
        <v>7439</v>
      </c>
      <c r="AB14" s="287" t="s">
        <v>7440</v>
      </c>
      <c r="AC14" s="288" t="s">
        <v>7441</v>
      </c>
      <c r="AD14" s="313" t="s">
        <v>7442</v>
      </c>
    </row>
    <row r="15" spans="1:30" ht="15.75" thickBot="1">
      <c r="A15" s="197"/>
      <c r="B15" s="2721" t="s">
        <v>7443</v>
      </c>
      <c r="C15" s="2722"/>
      <c r="D15" s="364" t="s">
        <v>681</v>
      </c>
      <c r="E15" s="364">
        <v>3</v>
      </c>
      <c r="F15" s="1939">
        <f>IFERROR(SUM(F9:F14),0)</f>
        <v>5055.0969999999998</v>
      </c>
      <c r="G15" s="1939">
        <f>IFERROR(SUM(G9:G14),0)</f>
        <v>-72.233999999999995</v>
      </c>
      <c r="H15" s="1939">
        <f>IFERROR(SUM(H9:H14),0)</f>
        <v>105.755</v>
      </c>
      <c r="I15" s="1939">
        <f t="shared" si="5"/>
        <v>-177.98899999999998</v>
      </c>
      <c r="J15" s="1932">
        <f t="shared" si="2"/>
        <v>4877.1080000000002</v>
      </c>
      <c r="K15" s="197"/>
      <c r="L15" s="356" t="s">
        <v>7444</v>
      </c>
      <c r="M15" s="197"/>
      <c r="N15" s="302"/>
      <c r="O15" s="197"/>
      <c r="P15" s="363"/>
      <c r="R15" s="361"/>
      <c r="V15" s="361"/>
      <c r="X15" s="2721" t="s">
        <v>7445</v>
      </c>
      <c r="Y15" s="2722"/>
      <c r="Z15" s="298" t="s">
        <v>7446</v>
      </c>
      <c r="AA15" s="298" t="s">
        <v>7447</v>
      </c>
      <c r="AB15" s="298" t="s">
        <v>7448</v>
      </c>
      <c r="AC15" s="298" t="s">
        <v>7449</v>
      </c>
      <c r="AD15" s="315" t="s">
        <v>7450</v>
      </c>
    </row>
    <row r="16" spans="1:30" ht="17.25"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5" thickTop="1" thickBot="1">
      <c r="A17" s="197"/>
      <c r="B17" s="2693" t="s">
        <v>7451</v>
      </c>
      <c r="C17" s="2694"/>
      <c r="D17" s="362"/>
      <c r="E17" s="362"/>
      <c r="F17" s="1954"/>
      <c r="G17" s="1954"/>
      <c r="H17" s="1954"/>
      <c r="I17" s="1954"/>
      <c r="J17" s="1955"/>
      <c r="K17" s="197"/>
      <c r="L17" s="178"/>
      <c r="M17" s="197"/>
      <c r="N17" s="197"/>
      <c r="O17" s="197"/>
      <c r="P17" s="363"/>
      <c r="R17" s="361"/>
      <c r="V17" s="361"/>
      <c r="X17" s="2693" t="s">
        <v>7451</v>
      </c>
      <c r="Y17" s="2694"/>
      <c r="Z17" s="366"/>
      <c r="AA17" s="366"/>
      <c r="AB17" s="366"/>
      <c r="AC17" s="366"/>
      <c r="AD17" s="367"/>
    </row>
    <row r="18" spans="1:30" ht="15.75" thickTop="1">
      <c r="A18" s="197"/>
      <c r="B18" s="2715" t="s">
        <v>7452</v>
      </c>
      <c r="C18" s="2716"/>
      <c r="D18" s="277" t="s">
        <v>681</v>
      </c>
      <c r="E18" s="277">
        <v>3</v>
      </c>
      <c r="F18" s="278">
        <v>8.0500000000000007</v>
      </c>
      <c r="G18" s="278">
        <v>0</v>
      </c>
      <c r="H18" s="278">
        <v>0.45200000000000001</v>
      </c>
      <c r="I18" s="1933">
        <f t="shared" ref="I18:I22" si="6">IFERROR(G18-H18,0)</f>
        <v>-0.45200000000000001</v>
      </c>
      <c r="J18" s="1953">
        <f t="shared" ref="J18:J22" si="7">IFERROR(F18+I18,0)</f>
        <v>7.5980000000000008</v>
      </c>
      <c r="K18" s="197"/>
      <c r="L18" s="281" t="s">
        <v>7453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15" t="s">
        <v>7452</v>
      </c>
      <c r="Y18" s="2716"/>
      <c r="Z18" s="278" t="s">
        <v>7454</v>
      </c>
      <c r="AA18" s="278" t="s">
        <v>7455</v>
      </c>
      <c r="AB18" s="278" t="s">
        <v>7456</v>
      </c>
      <c r="AC18" s="279" t="s">
        <v>7457</v>
      </c>
      <c r="AD18" s="351" t="s">
        <v>7458</v>
      </c>
    </row>
    <row r="19" spans="1:30" ht="15">
      <c r="A19" s="197"/>
      <c r="B19" s="2703" t="s">
        <v>7459</v>
      </c>
      <c r="C19" s="2704"/>
      <c r="D19" s="325" t="s">
        <v>681</v>
      </c>
      <c r="E19" s="325">
        <v>3</v>
      </c>
      <c r="F19" s="287">
        <v>246.47200000000001</v>
      </c>
      <c r="G19" s="287">
        <v>2.8740000000000006</v>
      </c>
      <c r="H19" s="287">
        <v>5.2359999999999998</v>
      </c>
      <c r="I19" s="1937">
        <f t="shared" si="6"/>
        <v>-2.3619999999999992</v>
      </c>
      <c r="J19" s="1936">
        <f t="shared" si="7"/>
        <v>244.11</v>
      </c>
      <c r="K19" s="197"/>
      <c r="L19" s="290" t="s">
        <v>7460</v>
      </c>
      <c r="M19" s="197"/>
      <c r="N19" s="291"/>
      <c r="O19" s="197"/>
      <c r="P19" s="363"/>
      <c r="Q19" s="284">
        <f t="shared" si="8"/>
        <v>0</v>
      </c>
      <c r="R19" s="361"/>
      <c r="S19" s="285">
        <f t="shared" si="9"/>
        <v>0</v>
      </c>
      <c r="T19" s="285">
        <f t="shared" si="10"/>
        <v>0</v>
      </c>
      <c r="U19" s="285">
        <f t="shared" si="11"/>
        <v>0</v>
      </c>
      <c r="V19" s="361"/>
      <c r="X19" s="2703" t="s">
        <v>7459</v>
      </c>
      <c r="Y19" s="2704"/>
      <c r="Z19" s="287" t="s">
        <v>7461</v>
      </c>
      <c r="AA19" s="287" t="s">
        <v>7462</v>
      </c>
      <c r="AB19" s="287" t="s">
        <v>7463</v>
      </c>
      <c r="AC19" s="288" t="s">
        <v>7464</v>
      </c>
      <c r="AD19" s="313" t="s">
        <v>7465</v>
      </c>
    </row>
    <row r="20" spans="1:30" ht="15">
      <c r="A20" s="197"/>
      <c r="B20" s="2683" t="s">
        <v>7429</v>
      </c>
      <c r="C20" s="2684"/>
      <c r="D20" s="292" t="s">
        <v>681</v>
      </c>
      <c r="E20" s="292">
        <v>3</v>
      </c>
      <c r="F20" s="287">
        <v>0</v>
      </c>
      <c r="G20" s="287">
        <v>0</v>
      </c>
      <c r="H20" s="287">
        <v>0</v>
      </c>
      <c r="I20" s="1937">
        <f t="shared" si="6"/>
        <v>0</v>
      </c>
      <c r="J20" s="1936">
        <f t="shared" si="7"/>
        <v>0</v>
      </c>
      <c r="K20" s="197"/>
      <c r="L20" s="290" t="s">
        <v>7466</v>
      </c>
      <c r="M20" s="197"/>
      <c r="N20" s="291"/>
      <c r="O20" s="197"/>
      <c r="P20" s="363"/>
      <c r="Q20" s="284">
        <f t="shared" si="8"/>
        <v>0</v>
      </c>
      <c r="R20" s="361"/>
      <c r="S20" s="285">
        <f t="shared" si="9"/>
        <v>0</v>
      </c>
      <c r="T20" s="285">
        <f t="shared" si="10"/>
        <v>0</v>
      </c>
      <c r="U20" s="285">
        <f t="shared" si="11"/>
        <v>0</v>
      </c>
      <c r="V20" s="361"/>
      <c r="X20" s="2683" t="s">
        <v>7429</v>
      </c>
      <c r="Y20" s="2684"/>
      <c r="Z20" s="287" t="s">
        <v>7467</v>
      </c>
      <c r="AA20" s="287" t="s">
        <v>7468</v>
      </c>
      <c r="AB20" s="287" t="s">
        <v>7469</v>
      </c>
      <c r="AC20" s="288" t="s">
        <v>7470</v>
      </c>
      <c r="AD20" s="313" t="s">
        <v>7471</v>
      </c>
    </row>
    <row r="21" spans="1:30" ht="15">
      <c r="A21" s="197"/>
      <c r="B21" s="2679" t="s">
        <v>7472</v>
      </c>
      <c r="C21" s="2680"/>
      <c r="D21" s="286" t="s">
        <v>681</v>
      </c>
      <c r="E21" s="286">
        <v>3</v>
      </c>
      <c r="F21" s="287">
        <v>146.59100000000001</v>
      </c>
      <c r="G21" s="287">
        <v>0</v>
      </c>
      <c r="H21" s="287">
        <v>1.65</v>
      </c>
      <c r="I21" s="1937">
        <f t="shared" si="6"/>
        <v>-1.65</v>
      </c>
      <c r="J21" s="1936">
        <f t="shared" si="7"/>
        <v>144.941</v>
      </c>
      <c r="K21" s="197"/>
      <c r="L21" s="290" t="s">
        <v>7473</v>
      </c>
      <c r="M21" s="197"/>
      <c r="N21" s="291"/>
      <c r="O21" s="197"/>
      <c r="P21" s="363"/>
      <c r="Q21" s="284">
        <f t="shared" si="8"/>
        <v>0</v>
      </c>
      <c r="R21" s="361"/>
      <c r="S21" s="285">
        <f t="shared" si="9"/>
        <v>0</v>
      </c>
      <c r="T21" s="285">
        <f t="shared" si="10"/>
        <v>0</v>
      </c>
      <c r="U21" s="285">
        <f t="shared" si="11"/>
        <v>0</v>
      </c>
      <c r="V21" s="361"/>
      <c r="X21" s="2679" t="s">
        <v>7472</v>
      </c>
      <c r="Y21" s="2680"/>
      <c r="Z21" s="287" t="s">
        <v>7474</v>
      </c>
      <c r="AA21" s="287" t="s">
        <v>7475</v>
      </c>
      <c r="AB21" s="287" t="s">
        <v>7476</v>
      </c>
      <c r="AC21" s="288" t="s">
        <v>7477</v>
      </c>
      <c r="AD21" s="313" t="s">
        <v>7478</v>
      </c>
    </row>
    <row r="22" spans="1:30" ht="15.75" thickBot="1">
      <c r="A22" s="197"/>
      <c r="B22" s="2723" t="s">
        <v>7479</v>
      </c>
      <c r="C22" s="2724"/>
      <c r="D22" s="355" t="s">
        <v>681</v>
      </c>
      <c r="E22" s="355">
        <v>3</v>
      </c>
      <c r="F22" s="1939">
        <f>IFERROR(SUM(F18:F21),0)</f>
        <v>401.11300000000006</v>
      </c>
      <c r="G22" s="1939">
        <f>IFERROR(SUM(G18:G21),0)</f>
        <v>2.8740000000000006</v>
      </c>
      <c r="H22" s="1939">
        <f>IFERROR(SUM(H18:H21),0)</f>
        <v>7.3379999999999992</v>
      </c>
      <c r="I22" s="1939">
        <f t="shared" si="6"/>
        <v>-4.4639999999999986</v>
      </c>
      <c r="J22" s="1932">
        <f t="shared" si="7"/>
        <v>396.64900000000006</v>
      </c>
      <c r="K22" s="197"/>
      <c r="L22" s="356" t="s">
        <v>7480</v>
      </c>
      <c r="M22" s="197"/>
      <c r="N22" s="302"/>
      <c r="O22" s="197"/>
      <c r="P22" s="363"/>
      <c r="R22" s="361"/>
      <c r="V22" s="361"/>
      <c r="X22" s="2723" t="s">
        <v>7481</v>
      </c>
      <c r="Y22" s="2724"/>
      <c r="Z22" s="298" t="s">
        <v>7482</v>
      </c>
      <c r="AA22" s="298" t="s">
        <v>7483</v>
      </c>
      <c r="AB22" s="298" t="s">
        <v>7484</v>
      </c>
      <c r="AC22" s="298" t="s">
        <v>7485</v>
      </c>
      <c r="AD22" s="315" t="s">
        <v>7486</v>
      </c>
    </row>
    <row r="23" spans="1:30" ht="17.25"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5" thickTop="1" thickBot="1">
      <c r="A24" s="197"/>
      <c r="B24" s="2693" t="s">
        <v>7487</v>
      </c>
      <c r="C24" s="2694"/>
      <c r="D24" s="362"/>
      <c r="E24" s="362"/>
      <c r="F24" s="1954"/>
      <c r="G24" s="1954"/>
      <c r="H24" s="1954"/>
      <c r="I24" s="1954"/>
      <c r="J24" s="1955"/>
      <c r="K24" s="197"/>
      <c r="L24" s="178"/>
      <c r="M24" s="197"/>
      <c r="N24" s="197"/>
      <c r="O24" s="197"/>
      <c r="P24" s="363"/>
      <c r="R24" s="370"/>
      <c r="V24" s="370"/>
      <c r="X24" s="2693" t="s">
        <v>7487</v>
      </c>
      <c r="Y24" s="2694"/>
      <c r="Z24" s="366"/>
      <c r="AA24" s="366"/>
      <c r="AB24" s="366"/>
      <c r="AC24" s="366"/>
      <c r="AD24" s="367"/>
    </row>
    <row r="25" spans="1:30" ht="15.75" thickTop="1">
      <c r="A25" s="197"/>
      <c r="B25" s="2715" t="s">
        <v>7488</v>
      </c>
      <c r="C25" s="2716"/>
      <c r="D25" s="277" t="s">
        <v>681</v>
      </c>
      <c r="E25" s="277">
        <v>3</v>
      </c>
      <c r="F25" s="278">
        <v>-182.92699999999996</v>
      </c>
      <c r="G25" s="278">
        <v>-145.12699999999998</v>
      </c>
      <c r="H25" s="278">
        <v>-7.4459999999999997</v>
      </c>
      <c r="I25" s="1933">
        <f t="shared" ref="I25:I31" si="12">IFERROR(G25-H25,0)</f>
        <v>-137.68099999999998</v>
      </c>
      <c r="J25" s="1953">
        <f t="shared" ref="J25:J31" si="13">IFERROR(F25+I25,0)</f>
        <v>-320.60799999999995</v>
      </c>
      <c r="K25" s="197"/>
      <c r="L25" s="281" t="s">
        <v>7489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15" t="s">
        <v>7488</v>
      </c>
      <c r="Y25" s="2716"/>
      <c r="Z25" s="278" t="s">
        <v>7490</v>
      </c>
      <c r="AA25" s="278" t="s">
        <v>7491</v>
      </c>
      <c r="AB25" s="278" t="s">
        <v>7492</v>
      </c>
      <c r="AC25" s="279" t="s">
        <v>7493</v>
      </c>
      <c r="AD25" s="351" t="s">
        <v>7494</v>
      </c>
    </row>
    <row r="26" spans="1:30" ht="15">
      <c r="A26" s="197"/>
      <c r="B26" s="2703" t="s">
        <v>7495</v>
      </c>
      <c r="C26" s="2704"/>
      <c r="D26" s="325" t="s">
        <v>681</v>
      </c>
      <c r="E26" s="325">
        <v>3</v>
      </c>
      <c r="F26" s="287">
        <v>-37.433999999999997</v>
      </c>
      <c r="G26" s="287">
        <v>0</v>
      </c>
      <c r="H26" s="287">
        <v>-0.40799999999999997</v>
      </c>
      <c r="I26" s="1937">
        <f t="shared" si="12"/>
        <v>0.40799999999999997</v>
      </c>
      <c r="J26" s="1936">
        <f t="shared" si="13"/>
        <v>-37.025999999999996</v>
      </c>
      <c r="K26" s="197"/>
      <c r="L26" s="290" t="s">
        <v>7496</v>
      </c>
      <c r="M26" s="197"/>
      <c r="N26" s="291"/>
      <c r="O26" s="197"/>
      <c r="P26" s="363"/>
      <c r="Q26" s="284">
        <f t="shared" si="14"/>
        <v>0</v>
      </c>
      <c r="R26" s="361"/>
      <c r="S26" s="285">
        <f t="shared" si="15"/>
        <v>0</v>
      </c>
      <c r="T26" s="285">
        <f t="shared" si="16"/>
        <v>0</v>
      </c>
      <c r="U26" s="285">
        <f t="shared" si="17"/>
        <v>0</v>
      </c>
      <c r="V26" s="361"/>
      <c r="X26" s="2703" t="s">
        <v>7495</v>
      </c>
      <c r="Y26" s="2704"/>
      <c r="Z26" s="287" t="s">
        <v>7497</v>
      </c>
      <c r="AA26" s="287" t="s">
        <v>7498</v>
      </c>
      <c r="AB26" s="287" t="s">
        <v>7499</v>
      </c>
      <c r="AC26" s="288" t="s">
        <v>7500</v>
      </c>
      <c r="AD26" s="313" t="s">
        <v>7501</v>
      </c>
    </row>
    <row r="27" spans="1:30" ht="15">
      <c r="A27" s="197"/>
      <c r="B27" s="2683" t="s">
        <v>7502</v>
      </c>
      <c r="C27" s="2684"/>
      <c r="D27" s="292" t="s">
        <v>681</v>
      </c>
      <c r="E27" s="292">
        <v>3</v>
      </c>
      <c r="F27" s="287">
        <v>-208.48099999999997</v>
      </c>
      <c r="G27" s="287">
        <v>145.97799999999998</v>
      </c>
      <c r="H27" s="287">
        <v>0</v>
      </c>
      <c r="I27" s="1937">
        <f t="shared" si="12"/>
        <v>145.97799999999998</v>
      </c>
      <c r="J27" s="1936">
        <f t="shared" si="13"/>
        <v>-62.502999999999986</v>
      </c>
      <c r="K27" s="197"/>
      <c r="L27" s="290" t="s">
        <v>7503</v>
      </c>
      <c r="M27" s="197"/>
      <c r="N27" s="291"/>
      <c r="O27" s="197"/>
      <c r="P27" s="363"/>
      <c r="Q27" s="284">
        <f t="shared" si="14"/>
        <v>0</v>
      </c>
      <c r="R27" s="361"/>
      <c r="S27" s="285">
        <f t="shared" si="15"/>
        <v>0</v>
      </c>
      <c r="T27" s="285">
        <f t="shared" si="16"/>
        <v>0</v>
      </c>
      <c r="U27" s="285">
        <f t="shared" si="17"/>
        <v>0</v>
      </c>
      <c r="V27" s="361"/>
      <c r="X27" s="2683" t="s">
        <v>7502</v>
      </c>
      <c r="Y27" s="2684"/>
      <c r="Z27" s="287" t="s">
        <v>7504</v>
      </c>
      <c r="AA27" s="287" t="s">
        <v>7505</v>
      </c>
      <c r="AB27" s="287" t="s">
        <v>7506</v>
      </c>
      <c r="AC27" s="288" t="s">
        <v>7507</v>
      </c>
      <c r="AD27" s="313" t="s">
        <v>7508</v>
      </c>
    </row>
    <row r="28" spans="1:30" ht="15">
      <c r="A28" s="197"/>
      <c r="B28" s="2679" t="s">
        <v>7429</v>
      </c>
      <c r="C28" s="2680"/>
      <c r="D28" s="286" t="s">
        <v>681</v>
      </c>
      <c r="E28" s="286">
        <v>3</v>
      </c>
      <c r="F28" s="287">
        <v>0</v>
      </c>
      <c r="G28" s="287">
        <v>0</v>
      </c>
      <c r="H28" s="287">
        <v>0</v>
      </c>
      <c r="I28" s="1937">
        <f t="shared" si="12"/>
        <v>0</v>
      </c>
      <c r="J28" s="1936">
        <f t="shared" si="13"/>
        <v>0</v>
      </c>
      <c r="K28" s="197"/>
      <c r="L28" s="290" t="s">
        <v>7509</v>
      </c>
      <c r="M28" s="197"/>
      <c r="N28" s="291"/>
      <c r="O28" s="197"/>
      <c r="P28" s="363"/>
      <c r="Q28" s="284">
        <f t="shared" si="14"/>
        <v>0</v>
      </c>
      <c r="R28" s="361"/>
      <c r="S28" s="285">
        <f t="shared" si="15"/>
        <v>0</v>
      </c>
      <c r="T28" s="285">
        <f t="shared" si="16"/>
        <v>0</v>
      </c>
      <c r="U28" s="285">
        <f t="shared" si="17"/>
        <v>0</v>
      </c>
      <c r="V28" s="361"/>
      <c r="X28" s="2679" t="s">
        <v>7429</v>
      </c>
      <c r="Y28" s="2680"/>
      <c r="Z28" s="287" t="s">
        <v>7510</v>
      </c>
      <c r="AA28" s="287" t="s">
        <v>7511</v>
      </c>
      <c r="AB28" s="287" t="s">
        <v>7512</v>
      </c>
      <c r="AC28" s="288" t="s">
        <v>7513</v>
      </c>
      <c r="AD28" s="313" t="s">
        <v>7514</v>
      </c>
    </row>
    <row r="29" spans="1:30" ht="15">
      <c r="A29" s="197"/>
      <c r="B29" s="2719" t="s">
        <v>7515</v>
      </c>
      <c r="C29" s="2720"/>
      <c r="D29" s="286" t="s">
        <v>681</v>
      </c>
      <c r="E29" s="286">
        <v>3</v>
      </c>
      <c r="F29" s="287">
        <v>0</v>
      </c>
      <c r="G29" s="287">
        <v>0</v>
      </c>
      <c r="H29" s="287">
        <v>0</v>
      </c>
      <c r="I29" s="1937">
        <f t="shared" si="12"/>
        <v>0</v>
      </c>
      <c r="J29" s="1936">
        <f t="shared" si="13"/>
        <v>0</v>
      </c>
      <c r="K29" s="197"/>
      <c r="L29" s="290" t="s">
        <v>7516</v>
      </c>
      <c r="M29" s="197"/>
      <c r="N29" s="291"/>
      <c r="O29" s="197"/>
      <c r="P29" s="363"/>
      <c r="Q29" s="284">
        <f t="shared" si="14"/>
        <v>0</v>
      </c>
      <c r="R29" s="361"/>
      <c r="S29" s="285">
        <f t="shared" si="15"/>
        <v>0</v>
      </c>
      <c r="T29" s="285">
        <f t="shared" si="16"/>
        <v>0</v>
      </c>
      <c r="U29" s="285">
        <f t="shared" si="17"/>
        <v>0</v>
      </c>
      <c r="V29" s="361"/>
      <c r="X29" s="2719" t="s">
        <v>7515</v>
      </c>
      <c r="Y29" s="2720"/>
      <c r="Z29" s="287" t="s">
        <v>7517</v>
      </c>
      <c r="AA29" s="287" t="s">
        <v>7518</v>
      </c>
      <c r="AB29" s="287" t="s">
        <v>7519</v>
      </c>
      <c r="AC29" s="288" t="s">
        <v>7520</v>
      </c>
      <c r="AD29" s="313" t="s">
        <v>7521</v>
      </c>
    </row>
    <row r="30" spans="1:30" ht="15">
      <c r="A30" s="197"/>
      <c r="B30" s="2719" t="s">
        <v>7522</v>
      </c>
      <c r="C30" s="2720"/>
      <c r="D30" s="286" t="s">
        <v>681</v>
      </c>
      <c r="E30" s="286">
        <v>3</v>
      </c>
      <c r="F30" s="287">
        <v>-0.1</v>
      </c>
      <c r="G30" s="287">
        <v>0</v>
      </c>
      <c r="H30" s="287">
        <v>0</v>
      </c>
      <c r="I30" s="1937">
        <f t="shared" si="12"/>
        <v>0</v>
      </c>
      <c r="J30" s="1936">
        <f t="shared" si="13"/>
        <v>-0.1</v>
      </c>
      <c r="K30" s="197"/>
      <c r="L30" s="290" t="s">
        <v>7523</v>
      </c>
      <c r="M30" s="197"/>
      <c r="N30" s="291"/>
      <c r="O30" s="197"/>
      <c r="P30" s="363"/>
      <c r="Q30" s="284">
        <f t="shared" si="14"/>
        <v>0</v>
      </c>
      <c r="R30" s="370"/>
      <c r="S30" s="285">
        <f t="shared" si="15"/>
        <v>0</v>
      </c>
      <c r="T30" s="285">
        <f t="shared" si="16"/>
        <v>0</v>
      </c>
      <c r="U30" s="285">
        <f t="shared" si="17"/>
        <v>0</v>
      </c>
      <c r="V30" s="370"/>
      <c r="X30" s="2719" t="s">
        <v>7522</v>
      </c>
      <c r="Y30" s="2720"/>
      <c r="Z30" s="287" t="s">
        <v>7524</v>
      </c>
      <c r="AA30" s="287" t="s">
        <v>7525</v>
      </c>
      <c r="AB30" s="287" t="s">
        <v>7526</v>
      </c>
      <c r="AC30" s="288" t="s">
        <v>7527</v>
      </c>
      <c r="AD30" s="313" t="s">
        <v>7528</v>
      </c>
    </row>
    <row r="31" spans="1:30" ht="15.75" thickBot="1">
      <c r="A31" s="197"/>
      <c r="B31" s="2699" t="s">
        <v>7529</v>
      </c>
      <c r="C31" s="2700"/>
      <c r="D31" s="332" t="s">
        <v>681</v>
      </c>
      <c r="E31" s="332">
        <v>3</v>
      </c>
      <c r="F31" s="1939">
        <f>IFERROR(SUM(F25:F30),0)</f>
        <v>-428.94199999999995</v>
      </c>
      <c r="G31" s="1939">
        <f>IFERROR(SUM(G25:G30),0)</f>
        <v>0.85099999999999909</v>
      </c>
      <c r="H31" s="1939">
        <f>IFERROR(SUM(H25:H30),0)</f>
        <v>-7.8540000000000001</v>
      </c>
      <c r="I31" s="1939">
        <f t="shared" si="12"/>
        <v>8.7049999999999983</v>
      </c>
      <c r="J31" s="1932">
        <f t="shared" si="13"/>
        <v>-420.23699999999997</v>
      </c>
      <c r="K31" s="197"/>
      <c r="L31" s="356" t="s">
        <v>7530</v>
      </c>
      <c r="M31" s="197"/>
      <c r="N31" s="302"/>
      <c r="O31" s="197"/>
      <c r="P31" s="363"/>
      <c r="R31" s="370"/>
      <c r="V31" s="370"/>
      <c r="X31" s="2699" t="s">
        <v>7445</v>
      </c>
      <c r="Y31" s="2700"/>
      <c r="Z31" s="298" t="s">
        <v>7531</v>
      </c>
      <c r="AA31" s="298" t="s">
        <v>7532</v>
      </c>
      <c r="AB31" s="298" t="s">
        <v>7533</v>
      </c>
      <c r="AC31" s="298" t="s">
        <v>7534</v>
      </c>
      <c r="AD31" s="315" t="s">
        <v>7535</v>
      </c>
    </row>
    <row r="32" spans="1:30" ht="17.25"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5" thickTop="1" thickBot="1">
      <c r="A33" s="197"/>
      <c r="B33" s="2725" t="s">
        <v>7536</v>
      </c>
      <c r="C33" s="2726"/>
      <c r="D33" s="371" t="s">
        <v>681</v>
      </c>
      <c r="E33" s="371">
        <v>3</v>
      </c>
      <c r="F33" s="372">
        <f xml:space="preserve"> IFERROR(F22 + F31,0)</f>
        <v>-27.828999999999894</v>
      </c>
      <c r="G33" s="372">
        <f xml:space="preserve"> IFERROR(G22 + G31,0)</f>
        <v>3.7249999999999996</v>
      </c>
      <c r="H33" s="372">
        <f xml:space="preserve"> IFERROR(H22 + H31,0)</f>
        <v>-0.5160000000000009</v>
      </c>
      <c r="I33" s="372">
        <f>IFERROR(G33-H33,0)</f>
        <v>4.2410000000000005</v>
      </c>
      <c r="J33" s="373">
        <f>IFERROR(F33+I33,0)</f>
        <v>-23.587999999999894</v>
      </c>
      <c r="K33" s="197"/>
      <c r="L33" s="374" t="s">
        <v>7537</v>
      </c>
      <c r="M33" s="197"/>
      <c r="N33" s="375"/>
      <c r="O33" s="197"/>
      <c r="P33" s="363"/>
      <c r="R33" s="361"/>
      <c r="V33" s="361"/>
      <c r="X33" s="2725" t="s">
        <v>7536</v>
      </c>
      <c r="Y33" s="2726"/>
      <c r="Z33" s="372" t="s">
        <v>7538</v>
      </c>
      <c r="AA33" s="372" t="s">
        <v>7539</v>
      </c>
      <c r="AB33" s="372" t="s">
        <v>7540</v>
      </c>
      <c r="AC33" s="372" t="s">
        <v>7541</v>
      </c>
      <c r="AD33" s="373" t="s">
        <v>7542</v>
      </c>
    </row>
    <row r="34" spans="1:30" ht="17.25"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5" thickTop="1" thickBot="1">
      <c r="A35" s="197"/>
      <c r="B35" s="2693" t="s">
        <v>7543</v>
      </c>
      <c r="C35" s="2694"/>
      <c r="D35" s="362"/>
      <c r="E35" s="362"/>
      <c r="F35" s="1954"/>
      <c r="G35" s="1954"/>
      <c r="H35" s="1954"/>
      <c r="I35" s="1954"/>
      <c r="J35" s="1955"/>
      <c r="K35" s="197"/>
      <c r="L35" s="178"/>
      <c r="M35" s="197"/>
      <c r="N35" s="197"/>
      <c r="O35" s="197"/>
      <c r="P35" s="363"/>
      <c r="R35" s="361"/>
      <c r="V35" s="361"/>
      <c r="X35" s="2693" t="s">
        <v>7543</v>
      </c>
      <c r="Y35" s="2694"/>
      <c r="Z35" s="366"/>
      <c r="AA35" s="366"/>
      <c r="AB35" s="366"/>
      <c r="AC35" s="366"/>
      <c r="AD35" s="367"/>
    </row>
    <row r="36" spans="1:30" ht="15.75" thickTop="1">
      <c r="A36" s="197"/>
      <c r="B36" s="2715" t="s">
        <v>7488</v>
      </c>
      <c r="C36" s="2716"/>
      <c r="D36" s="277" t="s">
        <v>681</v>
      </c>
      <c r="E36" s="277">
        <v>3</v>
      </c>
      <c r="F36" s="278">
        <v>0</v>
      </c>
      <c r="G36" s="278">
        <v>0</v>
      </c>
      <c r="H36" s="278">
        <v>0</v>
      </c>
      <c r="I36" s="1933">
        <f t="shared" ref="I36:I45" si="18">IFERROR(G36-H36,0)</f>
        <v>0</v>
      </c>
      <c r="J36" s="1953">
        <f t="shared" ref="J36:J45" si="19">IFERROR(F36+I36,0)</f>
        <v>0</v>
      </c>
      <c r="K36" s="197"/>
      <c r="L36" s="281" t="s">
        <v>7544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15" t="s">
        <v>7488</v>
      </c>
      <c r="Y36" s="2716"/>
      <c r="Z36" s="278" t="s">
        <v>7545</v>
      </c>
      <c r="AA36" s="278" t="s">
        <v>7546</v>
      </c>
      <c r="AB36" s="278" t="s">
        <v>7547</v>
      </c>
      <c r="AC36" s="279" t="s">
        <v>7548</v>
      </c>
      <c r="AD36" s="351" t="s">
        <v>7549</v>
      </c>
    </row>
    <row r="37" spans="1:30" ht="15">
      <c r="A37" s="197"/>
      <c r="B37" s="2703" t="s">
        <v>7502</v>
      </c>
      <c r="C37" s="2704"/>
      <c r="D37" s="325" t="s">
        <v>681</v>
      </c>
      <c r="E37" s="325">
        <v>3</v>
      </c>
      <c r="F37" s="287">
        <v>-3420.62</v>
      </c>
      <c r="G37" s="287">
        <v>0</v>
      </c>
      <c r="H37" s="287">
        <v>0</v>
      </c>
      <c r="I37" s="1937">
        <f t="shared" si="18"/>
        <v>0</v>
      </c>
      <c r="J37" s="1936">
        <f t="shared" si="19"/>
        <v>-3420.62</v>
      </c>
      <c r="K37" s="197"/>
      <c r="L37" s="290" t="s">
        <v>7550</v>
      </c>
      <c r="M37" s="197"/>
      <c r="N37" s="291"/>
      <c r="O37" s="197"/>
      <c r="P37" s="363"/>
      <c r="Q37" s="284">
        <f t="shared" si="20"/>
        <v>0</v>
      </c>
      <c r="R37" s="377"/>
      <c r="S37" s="285">
        <f t="shared" si="21"/>
        <v>0</v>
      </c>
      <c r="T37" s="285">
        <f t="shared" si="22"/>
        <v>0</v>
      </c>
      <c r="U37" s="285">
        <f t="shared" si="23"/>
        <v>0</v>
      </c>
      <c r="V37" s="377"/>
      <c r="X37" s="2703" t="s">
        <v>7502</v>
      </c>
      <c r="Y37" s="2704"/>
      <c r="Z37" s="287" t="s">
        <v>7551</v>
      </c>
      <c r="AA37" s="287" t="s">
        <v>7552</v>
      </c>
      <c r="AB37" s="287" t="s">
        <v>7553</v>
      </c>
      <c r="AC37" s="288" t="s">
        <v>7554</v>
      </c>
      <c r="AD37" s="313" t="s">
        <v>7555</v>
      </c>
    </row>
    <row r="38" spans="1:30" ht="15">
      <c r="A38" s="197"/>
      <c r="B38" s="2683" t="s">
        <v>7429</v>
      </c>
      <c r="C38" s="2684"/>
      <c r="D38" s="292" t="s">
        <v>681</v>
      </c>
      <c r="E38" s="292">
        <v>3</v>
      </c>
      <c r="F38" s="287">
        <v>-87.07</v>
      </c>
      <c r="G38" s="287">
        <v>0</v>
      </c>
      <c r="H38" s="287">
        <v>0</v>
      </c>
      <c r="I38" s="1937">
        <f t="shared" si="18"/>
        <v>0</v>
      </c>
      <c r="J38" s="1936">
        <f t="shared" si="19"/>
        <v>-87.07</v>
      </c>
      <c r="K38" s="197"/>
      <c r="L38" s="290" t="s">
        <v>7556</v>
      </c>
      <c r="M38" s="197"/>
      <c r="N38" s="291"/>
      <c r="O38" s="197"/>
      <c r="P38" s="363"/>
      <c r="Q38" s="284">
        <f t="shared" si="20"/>
        <v>0</v>
      </c>
      <c r="R38" s="361"/>
      <c r="S38" s="285">
        <f t="shared" si="21"/>
        <v>0</v>
      </c>
      <c r="T38" s="285">
        <f t="shared" si="22"/>
        <v>0</v>
      </c>
      <c r="U38" s="285">
        <f t="shared" si="23"/>
        <v>0</v>
      </c>
      <c r="V38" s="361"/>
      <c r="X38" s="2683" t="s">
        <v>7429</v>
      </c>
      <c r="Y38" s="2684"/>
      <c r="Z38" s="287" t="s">
        <v>7557</v>
      </c>
      <c r="AA38" s="287" t="s">
        <v>7558</v>
      </c>
      <c r="AB38" s="287" t="s">
        <v>7559</v>
      </c>
      <c r="AC38" s="288" t="s">
        <v>7560</v>
      </c>
      <c r="AD38" s="313" t="s">
        <v>7561</v>
      </c>
    </row>
    <row r="39" spans="1:30" ht="15">
      <c r="A39" s="197"/>
      <c r="B39" s="2679" t="s">
        <v>7562</v>
      </c>
      <c r="C39" s="2680"/>
      <c r="D39" s="286" t="s">
        <v>681</v>
      </c>
      <c r="E39" s="286">
        <v>3</v>
      </c>
      <c r="F39" s="287">
        <v>17.896999999999998</v>
      </c>
      <c r="G39" s="287">
        <v>0</v>
      </c>
      <c r="H39" s="287">
        <v>0.30099999999999999</v>
      </c>
      <c r="I39" s="1937">
        <f t="shared" si="18"/>
        <v>-0.30099999999999999</v>
      </c>
      <c r="J39" s="1936">
        <f t="shared" si="19"/>
        <v>17.596</v>
      </c>
      <c r="K39" s="197"/>
      <c r="L39" s="290" t="s">
        <v>7563</v>
      </c>
      <c r="M39" s="197"/>
      <c r="N39" s="291"/>
      <c r="O39" s="197"/>
      <c r="P39" s="363"/>
      <c r="Q39" s="284">
        <f t="shared" si="20"/>
        <v>0</v>
      </c>
      <c r="R39" s="361"/>
      <c r="S39" s="285">
        <f t="shared" si="21"/>
        <v>0</v>
      </c>
      <c r="T39" s="285">
        <f t="shared" si="22"/>
        <v>0</v>
      </c>
      <c r="U39" s="285">
        <f t="shared" si="23"/>
        <v>0</v>
      </c>
      <c r="V39" s="361"/>
      <c r="X39" s="2679" t="s">
        <v>7562</v>
      </c>
      <c r="Y39" s="2680"/>
      <c r="Z39" s="287" t="s">
        <v>7564</v>
      </c>
      <c r="AA39" s="287" t="s">
        <v>7565</v>
      </c>
      <c r="AB39" s="287" t="s">
        <v>7566</v>
      </c>
      <c r="AC39" s="288" t="s">
        <v>7567</v>
      </c>
      <c r="AD39" s="313" t="s">
        <v>7568</v>
      </c>
    </row>
    <row r="40" spans="1:30" ht="15">
      <c r="A40" s="197"/>
      <c r="B40" s="2719" t="s">
        <v>7522</v>
      </c>
      <c r="C40" s="2720"/>
      <c r="D40" s="286" t="s">
        <v>681</v>
      </c>
      <c r="E40" s="286">
        <v>3</v>
      </c>
      <c r="F40" s="287">
        <v>-3.8180000000000001</v>
      </c>
      <c r="G40" s="287">
        <v>0</v>
      </c>
      <c r="H40" s="287">
        <v>0</v>
      </c>
      <c r="I40" s="1937">
        <f t="shared" si="18"/>
        <v>0</v>
      </c>
      <c r="J40" s="1936">
        <f t="shared" si="19"/>
        <v>-3.8180000000000001</v>
      </c>
      <c r="K40" s="197"/>
      <c r="L40" s="290" t="s">
        <v>7569</v>
      </c>
      <c r="M40" s="197"/>
      <c r="N40" s="291"/>
      <c r="O40" s="197"/>
      <c r="P40" s="363"/>
      <c r="Q40" s="284">
        <f t="shared" si="20"/>
        <v>0</v>
      </c>
      <c r="R40" s="361"/>
      <c r="S40" s="285">
        <f t="shared" si="21"/>
        <v>0</v>
      </c>
      <c r="T40" s="285">
        <f t="shared" si="22"/>
        <v>0</v>
      </c>
      <c r="U40" s="285">
        <f t="shared" si="23"/>
        <v>0</v>
      </c>
      <c r="V40" s="361"/>
      <c r="X40" s="2719" t="s">
        <v>7522</v>
      </c>
      <c r="Y40" s="2720"/>
      <c r="Z40" s="287" t="s">
        <v>7570</v>
      </c>
      <c r="AA40" s="287" t="s">
        <v>7571</v>
      </c>
      <c r="AB40" s="287" t="s">
        <v>7572</v>
      </c>
      <c r="AC40" s="288" t="s">
        <v>7573</v>
      </c>
      <c r="AD40" s="313" t="s">
        <v>7574</v>
      </c>
    </row>
    <row r="41" spans="1:30" ht="30">
      <c r="A41" s="197"/>
      <c r="B41" s="2719" t="s">
        <v>7575</v>
      </c>
      <c r="C41" s="2720"/>
      <c r="D41" s="286" t="s">
        <v>681</v>
      </c>
      <c r="E41" s="286">
        <v>3</v>
      </c>
      <c r="F41" s="287">
        <v>-398.09899999999999</v>
      </c>
      <c r="G41" s="287">
        <v>0</v>
      </c>
      <c r="H41" s="287">
        <v>-78.857000000000014</v>
      </c>
      <c r="I41" s="1937">
        <f t="shared" si="18"/>
        <v>78.857000000000014</v>
      </c>
      <c r="J41" s="1936">
        <f t="shared" si="19"/>
        <v>-319.24199999999996</v>
      </c>
      <c r="K41" s="197"/>
      <c r="L41" s="290" t="s">
        <v>7576</v>
      </c>
      <c r="M41" s="197"/>
      <c r="N41" s="291"/>
      <c r="O41" s="197"/>
      <c r="P41" s="363"/>
      <c r="Q41" s="284">
        <f t="shared" si="20"/>
        <v>0</v>
      </c>
      <c r="R41" s="361"/>
      <c r="S41" s="285">
        <f t="shared" si="21"/>
        <v>0</v>
      </c>
      <c r="T41" s="285">
        <f t="shared" si="22"/>
        <v>0</v>
      </c>
      <c r="U41" s="285">
        <f t="shared" si="23"/>
        <v>0</v>
      </c>
      <c r="V41" s="361"/>
      <c r="X41" s="2719" t="s">
        <v>7577</v>
      </c>
      <c r="Y41" s="2720"/>
      <c r="Z41" s="287" t="s">
        <v>7578</v>
      </c>
      <c r="AA41" s="287" t="s">
        <v>7579</v>
      </c>
      <c r="AB41" s="287" t="s">
        <v>7580</v>
      </c>
      <c r="AC41" s="288" t="s">
        <v>7581</v>
      </c>
      <c r="AD41" s="313" t="s">
        <v>7582</v>
      </c>
    </row>
    <row r="42" spans="1:30" ht="30">
      <c r="A42" s="197"/>
      <c r="B42" s="2703" t="s">
        <v>7583</v>
      </c>
      <c r="C42" s="2704"/>
      <c r="D42" s="325" t="s">
        <v>681</v>
      </c>
      <c r="E42" s="325">
        <v>3</v>
      </c>
      <c r="F42" s="287">
        <v>-169.46899999999999</v>
      </c>
      <c r="G42" s="287">
        <v>0</v>
      </c>
      <c r="H42" s="287">
        <v>0</v>
      </c>
      <c r="I42" s="1937">
        <f t="shared" si="18"/>
        <v>0</v>
      </c>
      <c r="J42" s="1936">
        <f t="shared" si="19"/>
        <v>-169.46899999999999</v>
      </c>
      <c r="K42" s="197"/>
      <c r="L42" s="290" t="s">
        <v>7584</v>
      </c>
      <c r="M42" s="197"/>
      <c r="N42" s="291"/>
      <c r="O42" s="197"/>
      <c r="P42" s="363"/>
      <c r="Q42" s="284">
        <f t="shared" si="20"/>
        <v>0</v>
      </c>
      <c r="R42" s="361"/>
      <c r="S42" s="285">
        <f t="shared" si="21"/>
        <v>0</v>
      </c>
      <c r="T42" s="285">
        <f t="shared" si="22"/>
        <v>0</v>
      </c>
      <c r="U42" s="285">
        <f t="shared" si="23"/>
        <v>0</v>
      </c>
      <c r="V42" s="361"/>
      <c r="X42" s="2703" t="s">
        <v>7583</v>
      </c>
      <c r="Y42" s="2704"/>
      <c r="Z42" s="287" t="s">
        <v>7585</v>
      </c>
      <c r="AA42" s="287" t="s">
        <v>7586</v>
      </c>
      <c r="AB42" s="287" t="s">
        <v>7587</v>
      </c>
      <c r="AC42" s="288" t="s">
        <v>7588</v>
      </c>
      <c r="AD42" s="313" t="s">
        <v>7589</v>
      </c>
    </row>
    <row r="43" spans="1:30" ht="30">
      <c r="A43" s="197"/>
      <c r="B43" s="2683" t="s">
        <v>7590</v>
      </c>
      <c r="C43" s="2684"/>
      <c r="D43" s="292" t="s">
        <v>681</v>
      </c>
      <c r="E43" s="292">
        <v>3</v>
      </c>
      <c r="F43" s="287">
        <v>0</v>
      </c>
      <c r="G43" s="287">
        <v>0</v>
      </c>
      <c r="H43" s="287">
        <v>0</v>
      </c>
      <c r="I43" s="1937">
        <f t="shared" si="18"/>
        <v>0</v>
      </c>
      <c r="J43" s="1936">
        <f t="shared" si="19"/>
        <v>0</v>
      </c>
      <c r="K43" s="197"/>
      <c r="L43" s="290" t="s">
        <v>7591</v>
      </c>
      <c r="M43" s="197"/>
      <c r="N43" s="291"/>
      <c r="O43" s="197"/>
      <c r="P43" s="363"/>
      <c r="Q43" s="284">
        <f t="shared" si="20"/>
        <v>0</v>
      </c>
      <c r="R43" s="361"/>
      <c r="S43" s="285">
        <f t="shared" si="21"/>
        <v>0</v>
      </c>
      <c r="T43" s="285">
        <f t="shared" si="22"/>
        <v>0</v>
      </c>
      <c r="U43" s="285">
        <f t="shared" si="23"/>
        <v>0</v>
      </c>
      <c r="V43" s="361"/>
      <c r="X43" s="2683" t="s">
        <v>7590</v>
      </c>
      <c r="Y43" s="2684"/>
      <c r="Z43" s="287" t="s">
        <v>7592</v>
      </c>
      <c r="AA43" s="287" t="s">
        <v>7593</v>
      </c>
      <c r="AB43" s="287" t="s">
        <v>7594</v>
      </c>
      <c r="AC43" s="288" t="s">
        <v>7595</v>
      </c>
      <c r="AD43" s="313" t="s">
        <v>7596</v>
      </c>
    </row>
    <row r="44" spans="1:30" ht="15">
      <c r="A44" s="197"/>
      <c r="B44" s="2679" t="s">
        <v>7319</v>
      </c>
      <c r="C44" s="2680"/>
      <c r="D44" s="286" t="s">
        <v>681</v>
      </c>
      <c r="E44" s="286">
        <v>3</v>
      </c>
      <c r="F44" s="287">
        <v>-619.58199999999999</v>
      </c>
      <c r="G44" s="287">
        <v>17.231000000000108</v>
      </c>
      <c r="H44" s="287">
        <v>-5.4619999999999997</v>
      </c>
      <c r="I44" s="1937">
        <f t="shared" si="18"/>
        <v>22.693000000000108</v>
      </c>
      <c r="J44" s="1936">
        <f t="shared" si="19"/>
        <v>-596.8889999999999</v>
      </c>
      <c r="K44" s="197"/>
      <c r="L44" s="290" t="s">
        <v>7597</v>
      </c>
      <c r="M44" s="197"/>
      <c r="N44" s="291"/>
      <c r="O44" s="197"/>
      <c r="P44" s="363"/>
      <c r="Q44" s="284">
        <f t="shared" si="20"/>
        <v>0</v>
      </c>
      <c r="R44" s="361"/>
      <c r="S44" s="285">
        <f t="shared" si="21"/>
        <v>0</v>
      </c>
      <c r="T44" s="285">
        <f t="shared" si="22"/>
        <v>0</v>
      </c>
      <c r="U44" s="285">
        <f t="shared" si="23"/>
        <v>0</v>
      </c>
      <c r="V44" s="361"/>
      <c r="X44" s="2679" t="s">
        <v>7319</v>
      </c>
      <c r="Y44" s="2680"/>
      <c r="Z44" s="287" t="s">
        <v>7598</v>
      </c>
      <c r="AA44" s="287" t="s">
        <v>7599</v>
      </c>
      <c r="AB44" s="287" t="s">
        <v>7600</v>
      </c>
      <c r="AC44" s="288" t="s">
        <v>7601</v>
      </c>
      <c r="AD44" s="313" t="s">
        <v>7602</v>
      </c>
    </row>
    <row r="45" spans="1:30" ht="15.75" thickBot="1">
      <c r="A45" s="197"/>
      <c r="B45" s="2723" t="s">
        <v>7603</v>
      </c>
      <c r="C45" s="2724"/>
      <c r="D45" s="355" t="s">
        <v>681</v>
      </c>
      <c r="E45" s="355">
        <v>3</v>
      </c>
      <c r="F45" s="1939">
        <f>IFERROR(SUM(F36:F44),0)</f>
        <v>-4680.7610000000004</v>
      </c>
      <c r="G45" s="1939">
        <f>IFERROR(SUM(G36:G44),0)</f>
        <v>17.231000000000108</v>
      </c>
      <c r="H45" s="1939">
        <f>IFERROR(SUM(H36:H44),0)</f>
        <v>-84.018000000000015</v>
      </c>
      <c r="I45" s="1939">
        <f t="shared" si="18"/>
        <v>101.24900000000012</v>
      </c>
      <c r="J45" s="1932">
        <f t="shared" si="19"/>
        <v>-4579.5120000000006</v>
      </c>
      <c r="K45" s="197"/>
      <c r="L45" s="356" t="s">
        <v>7604</v>
      </c>
      <c r="M45" s="197"/>
      <c r="N45" s="302"/>
      <c r="O45" s="197"/>
      <c r="P45" s="363"/>
      <c r="R45" s="361"/>
      <c r="V45" s="361"/>
      <c r="X45" s="2723" t="s">
        <v>7445</v>
      </c>
      <c r="Y45" s="2724"/>
      <c r="Z45" s="298" t="s">
        <v>7605</v>
      </c>
      <c r="AA45" s="298" t="s">
        <v>7606</v>
      </c>
      <c r="AB45" s="298" t="s">
        <v>7607</v>
      </c>
      <c r="AC45" s="298" t="s">
        <v>7608</v>
      </c>
      <c r="AD45" s="315" t="s">
        <v>7609</v>
      </c>
    </row>
    <row r="46" spans="1:30" ht="17.25"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5" thickTop="1" thickBot="1">
      <c r="A47" s="197"/>
      <c r="B47" s="2725" t="s">
        <v>7610</v>
      </c>
      <c r="C47" s="2726"/>
      <c r="D47" s="371" t="s">
        <v>681</v>
      </c>
      <c r="E47" s="371">
        <v>3</v>
      </c>
      <c r="F47" s="372">
        <f>IFERROR(F15 + F33 + F45,0)</f>
        <v>346.50699999999961</v>
      </c>
      <c r="G47" s="372">
        <f>IFERROR(G15 + G33 + G45,0)</f>
        <v>-51.277999999999892</v>
      </c>
      <c r="H47" s="372">
        <f>IFERROR(H15 + H33 + H45,0)</f>
        <v>21.220999999999975</v>
      </c>
      <c r="I47" s="372">
        <f t="shared" ref="I47" si="24">IFERROR(G47-H47,0)</f>
        <v>-72.498999999999867</v>
      </c>
      <c r="J47" s="373">
        <f t="shared" ref="J47" si="25">IFERROR(F47+I47,0)</f>
        <v>274.00799999999975</v>
      </c>
      <c r="K47" s="197"/>
      <c r="L47" s="374" t="s">
        <v>7611</v>
      </c>
      <c r="M47" s="197"/>
      <c r="N47" s="375"/>
      <c r="O47" s="197"/>
      <c r="P47" s="363"/>
      <c r="R47" s="361"/>
      <c r="V47" s="361"/>
      <c r="X47" s="2725" t="s">
        <v>7610</v>
      </c>
      <c r="Y47" s="2726"/>
      <c r="Z47" s="372" t="s">
        <v>7612</v>
      </c>
      <c r="AA47" s="372" t="s">
        <v>7613</v>
      </c>
      <c r="AB47" s="372" t="s">
        <v>7614</v>
      </c>
      <c r="AC47" s="372" t="s">
        <v>7615</v>
      </c>
      <c r="AD47" s="373" t="s">
        <v>7616</v>
      </c>
    </row>
    <row r="48" spans="1:30" ht="17.25"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5" thickTop="1" thickBot="1">
      <c r="A49" s="197"/>
      <c r="B49" s="2693" t="s">
        <v>7617</v>
      </c>
      <c r="C49" s="2694"/>
      <c r="D49" s="362"/>
      <c r="E49" s="362"/>
      <c r="F49" s="1955"/>
      <c r="G49" s="1955"/>
      <c r="H49" s="1955"/>
      <c r="I49" s="1955"/>
      <c r="J49" s="1955"/>
      <c r="K49" s="106"/>
      <c r="L49" s="305"/>
      <c r="M49" s="197"/>
      <c r="N49" s="197"/>
      <c r="O49" s="197"/>
      <c r="P49" s="363"/>
      <c r="R49" s="361"/>
      <c r="V49" s="361"/>
      <c r="X49" s="2693" t="s">
        <v>7617</v>
      </c>
      <c r="Y49" s="2694"/>
      <c r="Z49" s="367"/>
      <c r="AA49" s="367"/>
      <c r="AB49" s="367"/>
      <c r="AC49" s="367"/>
      <c r="AD49" s="367"/>
    </row>
    <row r="50" spans="1:30" ht="15.75" thickTop="1">
      <c r="A50" s="197"/>
      <c r="B50" s="2715" t="s">
        <v>7618</v>
      </c>
      <c r="C50" s="2716"/>
      <c r="D50" s="277" t="s">
        <v>681</v>
      </c>
      <c r="E50" s="277">
        <v>3</v>
      </c>
      <c r="F50" s="278">
        <v>122.65</v>
      </c>
      <c r="G50" s="278">
        <v>0</v>
      </c>
      <c r="H50" s="278">
        <v>30.6</v>
      </c>
      <c r="I50" s="1933">
        <f t="shared" ref="I50:I52" si="26">IFERROR(G50-H50,0)</f>
        <v>-30.6</v>
      </c>
      <c r="J50" s="1953">
        <f t="shared" ref="J50:J52" si="27">IFERROR(F50+I50,0)</f>
        <v>92.050000000000011</v>
      </c>
      <c r="K50" s="197"/>
      <c r="L50" s="281" t="s">
        <v>7619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15" t="s">
        <v>7618</v>
      </c>
      <c r="Y50" s="2716"/>
      <c r="Z50" s="278" t="s">
        <v>7620</v>
      </c>
      <c r="AA50" s="278" t="s">
        <v>7621</v>
      </c>
      <c r="AB50" s="278" t="s">
        <v>7622</v>
      </c>
      <c r="AC50" s="279" t="s">
        <v>7623</v>
      </c>
      <c r="AD50" s="351" t="s">
        <v>7624</v>
      </c>
    </row>
    <row r="51" spans="1:30" ht="15">
      <c r="A51" s="197"/>
      <c r="B51" s="2703" t="s">
        <v>7625</v>
      </c>
      <c r="C51" s="2704"/>
      <c r="D51" s="325" t="s">
        <v>681</v>
      </c>
      <c r="E51" s="325">
        <v>3</v>
      </c>
      <c r="F51" s="287">
        <v>223.85700000000008</v>
      </c>
      <c r="G51" s="287">
        <v>-51.277999999999999</v>
      </c>
      <c r="H51" s="287">
        <v>-9.3790000000000084</v>
      </c>
      <c r="I51" s="1937">
        <f t="shared" si="26"/>
        <v>-41.898999999999987</v>
      </c>
      <c r="J51" s="1936">
        <f t="shared" si="27"/>
        <v>181.95800000000008</v>
      </c>
      <c r="K51" s="197"/>
      <c r="L51" s="290" t="s">
        <v>7626</v>
      </c>
      <c r="M51" s="197"/>
      <c r="N51" s="291"/>
      <c r="O51" s="197"/>
      <c r="P51" s="363"/>
      <c r="Q51" s="284">
        <f t="shared" si="28"/>
        <v>0</v>
      </c>
      <c r="R51" s="361"/>
      <c r="S51" s="285">
        <f t="shared" si="29"/>
        <v>0</v>
      </c>
      <c r="T51" s="285">
        <f t="shared" si="30"/>
        <v>0</v>
      </c>
      <c r="U51" s="285">
        <f t="shared" si="31"/>
        <v>0</v>
      </c>
      <c r="V51" s="361"/>
      <c r="X51" s="2703" t="s">
        <v>7625</v>
      </c>
      <c r="Y51" s="2704"/>
      <c r="Z51" s="287" t="s">
        <v>7627</v>
      </c>
      <c r="AA51" s="287" t="s">
        <v>7628</v>
      </c>
      <c r="AB51" s="287" t="s">
        <v>7629</v>
      </c>
      <c r="AC51" s="288" t="s">
        <v>7630</v>
      </c>
      <c r="AD51" s="313" t="s">
        <v>7631</v>
      </c>
    </row>
    <row r="52" spans="1:30" ht="15.75" thickBot="1">
      <c r="A52" s="197"/>
      <c r="B52" s="2721" t="s">
        <v>7632</v>
      </c>
      <c r="C52" s="2722"/>
      <c r="D52" s="364" t="s">
        <v>681</v>
      </c>
      <c r="E52" s="364">
        <v>3</v>
      </c>
      <c r="F52" s="1939">
        <f>IFERROR(SUM(F50:F51),0)</f>
        <v>346.50700000000006</v>
      </c>
      <c r="G52" s="1939">
        <f>IFERROR(SUM(G50:G51),0)</f>
        <v>-51.277999999999999</v>
      </c>
      <c r="H52" s="1939">
        <f>IFERROR(SUM(H50:H51),0)</f>
        <v>21.220999999999993</v>
      </c>
      <c r="I52" s="1939">
        <f t="shared" si="26"/>
        <v>-72.498999999999995</v>
      </c>
      <c r="J52" s="1932">
        <f t="shared" si="27"/>
        <v>274.00800000000004</v>
      </c>
      <c r="K52" s="197"/>
      <c r="L52" s="356" t="s">
        <v>7633</v>
      </c>
      <c r="M52" s="197"/>
      <c r="N52" s="302"/>
      <c r="O52" s="197"/>
      <c r="P52" s="363"/>
      <c r="R52" s="361"/>
      <c r="V52" s="361"/>
      <c r="X52" s="2721" t="s">
        <v>7632</v>
      </c>
      <c r="Y52" s="2722"/>
      <c r="Z52" s="298" t="s">
        <v>7634</v>
      </c>
      <c r="AA52" s="298" t="s">
        <v>7635</v>
      </c>
      <c r="AB52" s="298" t="s">
        <v>7636</v>
      </c>
      <c r="AC52" s="298" t="s">
        <v>7637</v>
      </c>
      <c r="AD52" s="315" t="s">
        <v>7638</v>
      </c>
    </row>
    <row r="53" spans="1:30" ht="15.75"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tabColor rgb="FF00B050"/>
    <pageSetUpPr fitToPage="1"/>
  </sheetPr>
  <dimension ref="B1:AD39"/>
  <sheetViews>
    <sheetView showGridLines="0" topLeftCell="B4" zoomScale="70" zoomScaleNormal="70" zoomScaleSheetLayoutView="100" workbookViewId="0">
      <selection activeCell="F5" sqref="F5:F6"/>
    </sheetView>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625" style="197" customWidth="1"/>
    <col min="12" max="12" width="17.25" style="197" bestFit="1" customWidth="1"/>
    <col min="13" max="13" width="1.625" style="197" customWidth="1"/>
    <col min="14" max="14" width="31.25" style="197" bestFit="1" customWidth="1"/>
    <col min="15" max="15" width="1.625" style="197" customWidth="1"/>
    <col min="16" max="16" width="1.625" style="224" customWidth="1"/>
    <col min="17" max="17" width="25.125" style="224" customWidth="1"/>
    <col min="18" max="18" width="1.625" style="263" customWidth="1"/>
    <col min="19" max="21" width="8.125" style="263" hidden="1" customWidth="1"/>
    <col min="22" max="22" width="1.625" style="263"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59" customFormat="1" ht="23.25">
      <c r="B1" s="2661" t="s">
        <v>7639</v>
      </c>
      <c r="C1" s="2661"/>
      <c r="D1" s="2661"/>
      <c r="E1" s="2661"/>
      <c r="F1" s="2661"/>
      <c r="G1" s="2661"/>
      <c r="H1" s="2661"/>
      <c r="I1" s="2661"/>
      <c r="J1" s="339"/>
      <c r="P1" s="340"/>
      <c r="Q1" s="267"/>
      <c r="R1" s="361"/>
      <c r="S1" s="263"/>
      <c r="T1" s="263"/>
      <c r="U1" s="263"/>
      <c r="V1" s="361"/>
      <c r="X1" s="2661" t="s">
        <v>7220</v>
      </c>
      <c r="Y1" s="2661"/>
      <c r="Z1" s="2661"/>
      <c r="AA1" s="2661"/>
      <c r="AB1" s="2661"/>
      <c r="AC1" s="2661"/>
      <c r="AD1" s="339"/>
    </row>
    <row r="2" spans="2:30" s="259" customFormat="1" ht="23.25">
      <c r="B2" s="2661" t="str">
        <f>SelectCompany!B4</f>
        <v>Northumbrian Water</v>
      </c>
      <c r="C2" s="2661"/>
      <c r="D2" s="2661"/>
      <c r="E2" s="2661"/>
      <c r="F2" s="2661"/>
      <c r="G2" s="2661"/>
      <c r="H2" s="2661"/>
      <c r="I2" s="2661"/>
      <c r="J2" s="339"/>
      <c r="P2" s="340"/>
      <c r="Q2" s="267"/>
      <c r="R2" s="361"/>
      <c r="S2" s="263"/>
      <c r="T2" s="263"/>
      <c r="U2" s="263"/>
      <c r="V2" s="361"/>
      <c r="X2" s="2661"/>
      <c r="Y2" s="2661"/>
      <c r="Z2" s="2661"/>
      <c r="AA2" s="2661"/>
      <c r="AB2" s="2661"/>
      <c r="AC2" s="2661"/>
      <c r="AD2" s="339"/>
    </row>
    <row r="3" spans="2:30" s="259" customFormat="1" ht="19.5">
      <c r="B3" s="2662" t="s">
        <v>7640</v>
      </c>
      <c r="C3" s="2663"/>
      <c r="D3" s="2663"/>
      <c r="E3" s="2663"/>
      <c r="F3" s="2663"/>
      <c r="G3" s="2663"/>
      <c r="H3" s="2663"/>
      <c r="I3" s="2663"/>
      <c r="J3" s="2663"/>
      <c r="K3" s="2663"/>
      <c r="L3" s="2663"/>
      <c r="M3" s="2663"/>
      <c r="N3" s="2663"/>
      <c r="P3" s="342"/>
      <c r="Q3" s="265" t="s">
        <v>7222</v>
      </c>
      <c r="R3" s="361"/>
      <c r="S3" s="263"/>
      <c r="T3" s="263"/>
      <c r="U3" s="263"/>
      <c r="V3" s="361"/>
      <c r="X3" s="2664" t="s">
        <v>7640</v>
      </c>
      <c r="Y3" s="2665"/>
      <c r="Z3" s="2665"/>
      <c r="AA3" s="2665"/>
      <c r="AB3" s="2665"/>
      <c r="AC3" s="2665"/>
      <c r="AD3" s="2666"/>
    </row>
    <row r="4" spans="2:30" ht="16.5" thickBot="1">
      <c r="B4" s="266"/>
      <c r="C4" s="266"/>
      <c r="D4" s="266"/>
      <c r="E4" s="266"/>
      <c r="F4" s="2710"/>
      <c r="G4" s="2710"/>
      <c r="H4" s="2710"/>
      <c r="I4" s="2710"/>
      <c r="J4" s="344"/>
      <c r="L4" s="224"/>
      <c r="P4" s="345"/>
      <c r="Q4" s="267"/>
      <c r="R4" s="361"/>
      <c r="S4" s="2668" t="s">
        <v>7223</v>
      </c>
      <c r="T4" s="2668"/>
      <c r="U4" s="2668"/>
      <c r="V4" s="361"/>
      <c r="X4" s="266"/>
      <c r="Y4" s="266"/>
      <c r="Z4" s="2710"/>
      <c r="AA4" s="2710"/>
      <c r="AB4" s="2710"/>
      <c r="AC4" s="2710"/>
      <c r="AD4" s="344"/>
    </row>
    <row r="5" spans="2:30" ht="15.75" thickTop="1">
      <c r="B5" s="2669" t="s">
        <v>7224</v>
      </c>
      <c r="C5" s="2670"/>
      <c r="D5" s="2670" t="s">
        <v>7225</v>
      </c>
      <c r="E5" s="2670" t="s">
        <v>670</v>
      </c>
      <c r="F5" s="2673" t="s">
        <v>7226</v>
      </c>
      <c r="G5" s="2673" t="s">
        <v>7227</v>
      </c>
      <c r="H5" s="2673"/>
      <c r="I5" s="2673"/>
      <c r="J5" s="2675" t="s">
        <v>7228</v>
      </c>
      <c r="L5" s="2677" t="s">
        <v>7229</v>
      </c>
      <c r="N5" s="2677" t="s">
        <v>7230</v>
      </c>
      <c r="P5" s="345"/>
      <c r="Q5" s="267"/>
      <c r="R5" s="361"/>
      <c r="S5" s="269" t="s">
        <v>7231</v>
      </c>
      <c r="T5" s="270"/>
      <c r="U5" s="270"/>
      <c r="V5" s="361"/>
      <c r="X5" s="2669" t="s">
        <v>7224</v>
      </c>
      <c r="Y5" s="2670"/>
      <c r="Z5" s="2673" t="s">
        <v>7226</v>
      </c>
      <c r="AA5" s="2673" t="s">
        <v>7227</v>
      </c>
      <c r="AB5" s="2673"/>
      <c r="AC5" s="2673"/>
      <c r="AD5" s="2675" t="s">
        <v>7228</v>
      </c>
    </row>
    <row r="6" spans="2:30" ht="60.75" thickBot="1">
      <c r="B6" s="2671"/>
      <c r="C6" s="2672"/>
      <c r="D6" s="2672"/>
      <c r="E6" s="2672"/>
      <c r="F6" s="2674"/>
      <c r="G6" s="271" t="s">
        <v>7232</v>
      </c>
      <c r="H6" s="271" t="s">
        <v>7233</v>
      </c>
      <c r="I6" s="271" t="s">
        <v>7234</v>
      </c>
      <c r="J6" s="2676"/>
      <c r="L6" s="2678"/>
      <c r="N6" s="2678"/>
      <c r="P6" s="345"/>
      <c r="Q6" s="267"/>
      <c r="R6" s="361"/>
      <c r="S6" s="224"/>
      <c r="T6" s="224"/>
      <c r="U6" s="224"/>
      <c r="V6" s="361"/>
      <c r="X6" s="2671"/>
      <c r="Y6" s="2672"/>
      <c r="Z6" s="2674"/>
      <c r="AA6" s="271" t="s">
        <v>7232</v>
      </c>
      <c r="AB6" s="271" t="s">
        <v>7233</v>
      </c>
      <c r="AC6" s="271" t="s">
        <v>7234</v>
      </c>
      <c r="AD6" s="2676"/>
    </row>
    <row r="7" spans="2:30" ht="17.2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693" t="s">
        <v>7641</v>
      </c>
      <c r="C8" s="2694"/>
      <c r="D8" s="362"/>
      <c r="E8" s="362"/>
      <c r="F8" s="83"/>
      <c r="G8" s="83"/>
      <c r="H8" s="83"/>
      <c r="I8" s="83"/>
      <c r="J8" s="349"/>
      <c r="P8" s="345"/>
      <c r="Q8" s="267"/>
      <c r="R8" s="361"/>
      <c r="S8" s="224"/>
      <c r="T8" s="224"/>
      <c r="U8" s="224"/>
      <c r="V8" s="361"/>
      <c r="X8" s="2693" t="s">
        <v>7641</v>
      </c>
      <c r="Y8" s="2694"/>
      <c r="Z8" s="83"/>
      <c r="AA8" s="83"/>
      <c r="AB8" s="83"/>
      <c r="AC8" s="83"/>
      <c r="AD8" s="349"/>
    </row>
    <row r="9" spans="2:30" ht="15.75" thickTop="1">
      <c r="B9" s="2715" t="s">
        <v>7256</v>
      </c>
      <c r="C9" s="2716"/>
      <c r="D9" s="277" t="s">
        <v>681</v>
      </c>
      <c r="E9" s="277">
        <v>3</v>
      </c>
      <c r="F9" s="1952">
        <f>IFERROR('1A'!F11,0)</f>
        <v>211.42200000000003</v>
      </c>
      <c r="G9" s="1952">
        <f>IFERROR('1A'!G11,0)</f>
        <v>-10.300000000000004</v>
      </c>
      <c r="H9" s="1952">
        <f>IFERROR('1A'!H11,0)</f>
        <v>6.9700000000000015</v>
      </c>
      <c r="I9" s="1933">
        <f>IFERROR(G9-H9,0)</f>
        <v>-17.270000000000007</v>
      </c>
      <c r="J9" s="1953">
        <f t="shared" ref="J9:J20" si="0">IFERROR(F9+I9,0)</f>
        <v>194.15200000000002</v>
      </c>
      <c r="L9" s="281" t="s">
        <v>7642</v>
      </c>
      <c r="N9" s="283"/>
      <c r="P9" s="363"/>
      <c r="Q9" s="267"/>
      <c r="R9" s="361"/>
      <c r="S9" s="270"/>
      <c r="T9" s="270"/>
      <c r="U9" s="270"/>
      <c r="V9" s="361"/>
      <c r="X9" s="2715" t="s">
        <v>7256</v>
      </c>
      <c r="Y9" s="2716"/>
      <c r="Z9" s="350" t="s">
        <v>7258</v>
      </c>
      <c r="AA9" s="350" t="s">
        <v>7259</v>
      </c>
      <c r="AB9" s="350" t="s">
        <v>7260</v>
      </c>
      <c r="AC9" s="279" t="s">
        <v>7261</v>
      </c>
      <c r="AD9" s="351" t="s">
        <v>7262</v>
      </c>
    </row>
    <row r="10" spans="2:30">
      <c r="B10" s="2703" t="s">
        <v>7263</v>
      </c>
      <c r="C10" s="2704"/>
      <c r="D10" s="325" t="s">
        <v>681</v>
      </c>
      <c r="E10" s="325">
        <v>3</v>
      </c>
      <c r="F10" s="287">
        <v>0</v>
      </c>
      <c r="G10" s="287">
        <v>11.425000000000001</v>
      </c>
      <c r="H10" s="287">
        <v>1.0629999999999999</v>
      </c>
      <c r="I10" s="1937">
        <f t="shared" ref="I10:I20" si="1">IFERROR(G10-H10,0)</f>
        <v>10.362</v>
      </c>
      <c r="J10" s="1936">
        <f t="shared" si="0"/>
        <v>10.362</v>
      </c>
      <c r="L10" s="290" t="s">
        <v>7643</v>
      </c>
      <c r="N10" s="291"/>
      <c r="P10" s="363"/>
      <c r="Q10" s="267"/>
      <c r="R10" s="361"/>
      <c r="S10" s="270"/>
      <c r="T10" s="270"/>
      <c r="U10" s="270"/>
      <c r="V10" s="361"/>
      <c r="X10" s="2703" t="s">
        <v>7263</v>
      </c>
      <c r="Y10" s="2704"/>
      <c r="Z10" s="740" t="s">
        <v>7644</v>
      </c>
      <c r="AA10" s="740" t="s">
        <v>7645</v>
      </c>
      <c r="AB10" s="740" t="s">
        <v>7646</v>
      </c>
      <c r="AC10" s="288" t="s">
        <v>7647</v>
      </c>
      <c r="AD10" s="313" t="s">
        <v>7648</v>
      </c>
    </row>
    <row r="11" spans="2:30">
      <c r="B11" s="2683" t="s">
        <v>7649</v>
      </c>
      <c r="C11" s="2684"/>
      <c r="D11" s="292" t="s">
        <v>681</v>
      </c>
      <c r="E11" s="292">
        <v>3</v>
      </c>
      <c r="F11" s="287">
        <v>151.017</v>
      </c>
      <c r="G11" s="287">
        <v>-2.0990000000000002</v>
      </c>
      <c r="H11" s="287">
        <v>3.0880000000000001</v>
      </c>
      <c r="I11" s="1937">
        <f t="shared" si="1"/>
        <v>-5.1870000000000003</v>
      </c>
      <c r="J11" s="1936">
        <f t="shared" si="0"/>
        <v>145.82999999999998</v>
      </c>
      <c r="L11" s="290" t="s">
        <v>7650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683" t="s">
        <v>7649</v>
      </c>
      <c r="Y11" s="2684"/>
      <c r="Z11" s="287" t="s">
        <v>7651</v>
      </c>
      <c r="AA11" s="287" t="s">
        <v>7652</v>
      </c>
      <c r="AB11" s="287" t="s">
        <v>7653</v>
      </c>
      <c r="AC11" s="288" t="s">
        <v>7654</v>
      </c>
      <c r="AD11" s="313" t="s">
        <v>7655</v>
      </c>
    </row>
    <row r="12" spans="2:30">
      <c r="B12" s="2679" t="s">
        <v>7656</v>
      </c>
      <c r="C12" s="2680"/>
      <c r="D12" s="286" t="s">
        <v>681</v>
      </c>
      <c r="E12" s="286">
        <v>3</v>
      </c>
      <c r="F12" s="287">
        <v>0</v>
      </c>
      <c r="G12" s="287">
        <v>0</v>
      </c>
      <c r="H12" s="287">
        <v>0</v>
      </c>
      <c r="I12" s="1937">
        <f t="shared" si="1"/>
        <v>0</v>
      </c>
      <c r="J12" s="1936">
        <f t="shared" si="0"/>
        <v>0</v>
      </c>
      <c r="L12" s="290" t="s">
        <v>7657</v>
      </c>
      <c r="N12" s="291"/>
      <c r="P12" s="363"/>
      <c r="Q12" s="284">
        <f t="shared" si="2"/>
        <v>0</v>
      </c>
      <c r="R12" s="361"/>
      <c r="S12" s="285">
        <f t="shared" ref="S12:S16" si="6" xml:space="preserve"> IF( ISNUMBER( F12 ), 0, 1 )</f>
        <v>0</v>
      </c>
      <c r="T12" s="285">
        <f t="shared" si="4"/>
        <v>0</v>
      </c>
      <c r="U12" s="285">
        <f t="shared" si="5"/>
        <v>0</v>
      </c>
      <c r="V12" s="361"/>
      <c r="X12" s="2679" t="s">
        <v>7658</v>
      </c>
      <c r="Y12" s="2680"/>
      <c r="Z12" s="287" t="s">
        <v>7659</v>
      </c>
      <c r="AA12" s="287" t="s">
        <v>7660</v>
      </c>
      <c r="AB12" s="287" t="s">
        <v>7661</v>
      </c>
      <c r="AC12" s="288" t="s">
        <v>7662</v>
      </c>
      <c r="AD12" s="313" t="s">
        <v>7663</v>
      </c>
    </row>
    <row r="13" spans="2:30">
      <c r="B13" s="2719" t="s">
        <v>7664</v>
      </c>
      <c r="C13" s="2720"/>
      <c r="D13" s="286" t="s">
        <v>681</v>
      </c>
      <c r="E13" s="286">
        <v>3</v>
      </c>
      <c r="F13" s="287">
        <v>-1.9969999999999895</v>
      </c>
      <c r="G13" s="287">
        <v>0.97399999999998954</v>
      </c>
      <c r="H13" s="287">
        <v>1.4159999999999997</v>
      </c>
      <c r="I13" s="1937">
        <f t="shared" si="1"/>
        <v>-0.44200000000001016</v>
      </c>
      <c r="J13" s="1936">
        <f t="shared" si="0"/>
        <v>-2.4389999999999996</v>
      </c>
      <c r="L13" s="290" t="s">
        <v>7665</v>
      </c>
      <c r="N13" s="291"/>
      <c r="P13" s="363"/>
      <c r="Q13" s="284">
        <f t="shared" si="2"/>
        <v>0</v>
      </c>
      <c r="R13" s="361"/>
      <c r="S13" s="285">
        <f t="shared" si="6"/>
        <v>0</v>
      </c>
      <c r="T13" s="285">
        <f t="shared" si="4"/>
        <v>0</v>
      </c>
      <c r="U13" s="285">
        <f t="shared" si="5"/>
        <v>0</v>
      </c>
      <c r="V13" s="361"/>
      <c r="X13" s="2719" t="s">
        <v>7664</v>
      </c>
      <c r="Y13" s="2720"/>
      <c r="Z13" s="287" t="s">
        <v>7666</v>
      </c>
      <c r="AA13" s="287" t="s">
        <v>7667</v>
      </c>
      <c r="AB13" s="287" t="s">
        <v>7668</v>
      </c>
      <c r="AC13" s="288" t="s">
        <v>7669</v>
      </c>
      <c r="AD13" s="313" t="s">
        <v>7670</v>
      </c>
    </row>
    <row r="14" spans="2:30">
      <c r="B14" s="2703" t="s">
        <v>7671</v>
      </c>
      <c r="C14" s="2704"/>
      <c r="D14" s="325" t="s">
        <v>681</v>
      </c>
      <c r="E14" s="325">
        <v>3</v>
      </c>
      <c r="F14" s="287">
        <v>-39.085999999999999</v>
      </c>
      <c r="G14" s="287">
        <v>0</v>
      </c>
      <c r="H14" s="287">
        <v>-0.17</v>
      </c>
      <c r="I14" s="1937">
        <f t="shared" si="1"/>
        <v>0.17</v>
      </c>
      <c r="J14" s="1936">
        <f t="shared" si="0"/>
        <v>-38.915999999999997</v>
      </c>
      <c r="L14" s="290" t="s">
        <v>7672</v>
      </c>
      <c r="N14" s="291"/>
      <c r="P14" s="363"/>
      <c r="Q14" s="284">
        <f t="shared" si="2"/>
        <v>0</v>
      </c>
      <c r="R14" s="361"/>
      <c r="S14" s="285">
        <f t="shared" si="6"/>
        <v>0</v>
      </c>
      <c r="T14" s="285">
        <f t="shared" si="4"/>
        <v>0</v>
      </c>
      <c r="U14" s="285">
        <f t="shared" si="5"/>
        <v>0</v>
      </c>
      <c r="V14" s="361"/>
      <c r="X14" s="2703" t="s">
        <v>7671</v>
      </c>
      <c r="Y14" s="2704"/>
      <c r="Z14" s="287" t="s">
        <v>7673</v>
      </c>
      <c r="AA14" s="287" t="s">
        <v>7674</v>
      </c>
      <c r="AB14" s="287" t="s">
        <v>7675</v>
      </c>
      <c r="AC14" s="288" t="s">
        <v>7676</v>
      </c>
      <c r="AD14" s="313" t="s">
        <v>7677</v>
      </c>
    </row>
    <row r="15" spans="2:30">
      <c r="B15" s="2683" t="s">
        <v>7678</v>
      </c>
      <c r="C15" s="2684"/>
      <c r="D15" s="292" t="s">
        <v>681</v>
      </c>
      <c r="E15" s="292">
        <v>3</v>
      </c>
      <c r="F15" s="287">
        <v>-14.738</v>
      </c>
      <c r="G15" s="287">
        <v>1.796</v>
      </c>
      <c r="H15" s="287">
        <v>-7.0709999999999997</v>
      </c>
      <c r="I15" s="1937">
        <f t="shared" si="1"/>
        <v>8.8669999999999991</v>
      </c>
      <c r="J15" s="1936">
        <f t="shared" si="0"/>
        <v>-5.8710000000000004</v>
      </c>
      <c r="L15" s="290" t="s">
        <v>7679</v>
      </c>
      <c r="N15" s="291"/>
      <c r="P15" s="363"/>
      <c r="Q15" s="284">
        <f t="shared" si="2"/>
        <v>0</v>
      </c>
      <c r="R15" s="361"/>
      <c r="S15" s="285">
        <f t="shared" si="6"/>
        <v>0</v>
      </c>
      <c r="T15" s="285">
        <f t="shared" si="4"/>
        <v>0</v>
      </c>
      <c r="U15" s="285">
        <f t="shared" si="5"/>
        <v>0</v>
      </c>
      <c r="V15" s="361"/>
      <c r="X15" s="2683" t="s">
        <v>7678</v>
      </c>
      <c r="Y15" s="2684"/>
      <c r="Z15" s="287" t="s">
        <v>7680</v>
      </c>
      <c r="AA15" s="287" t="s">
        <v>7681</v>
      </c>
      <c r="AB15" s="287" t="s">
        <v>7682</v>
      </c>
      <c r="AC15" s="288" t="s">
        <v>7683</v>
      </c>
      <c r="AD15" s="313" t="s">
        <v>7684</v>
      </c>
    </row>
    <row r="16" spans="2:30">
      <c r="B16" s="2719" t="s">
        <v>7685</v>
      </c>
      <c r="C16" s="2720"/>
      <c r="D16" s="286" t="s">
        <v>681</v>
      </c>
      <c r="E16" s="286">
        <v>3</v>
      </c>
      <c r="F16" s="287">
        <v>0</v>
      </c>
      <c r="G16" s="287">
        <v>-1.796</v>
      </c>
      <c r="H16" s="287">
        <v>-0.26800000000000002</v>
      </c>
      <c r="I16" s="1937">
        <f t="shared" si="1"/>
        <v>-1.528</v>
      </c>
      <c r="J16" s="1936">
        <f t="shared" si="0"/>
        <v>-1.528</v>
      </c>
      <c r="L16" s="290" t="s">
        <v>7686</v>
      </c>
      <c r="N16" s="291"/>
      <c r="P16" s="363"/>
      <c r="Q16" s="284">
        <f t="shared" si="2"/>
        <v>0</v>
      </c>
      <c r="R16" s="361"/>
      <c r="S16" s="285">
        <f t="shared" si="6"/>
        <v>0</v>
      </c>
      <c r="T16" s="285">
        <f t="shared" si="4"/>
        <v>0</v>
      </c>
      <c r="U16" s="285">
        <f t="shared" si="5"/>
        <v>0</v>
      </c>
      <c r="V16" s="361"/>
      <c r="X16" s="2719" t="s">
        <v>7685</v>
      </c>
      <c r="Y16" s="2720"/>
      <c r="Z16" s="287" t="s">
        <v>7687</v>
      </c>
      <c r="AA16" s="287" t="s">
        <v>7688</v>
      </c>
      <c r="AB16" s="287" t="s">
        <v>7689</v>
      </c>
      <c r="AC16" s="288" t="s">
        <v>7690</v>
      </c>
      <c r="AD16" s="313" t="s">
        <v>7691</v>
      </c>
    </row>
    <row r="17" spans="2:30">
      <c r="B17" s="2703" t="s">
        <v>7692</v>
      </c>
      <c r="C17" s="2704"/>
      <c r="D17" s="325" t="s">
        <v>681</v>
      </c>
      <c r="E17" s="325">
        <v>3</v>
      </c>
      <c r="F17" s="1937">
        <f>IFERROR(SUM(F9:F16),0)</f>
        <v>306.61799999999999</v>
      </c>
      <c r="G17" s="1937">
        <f>IFERROR(SUM(G9:G16),0)</f>
        <v>-1.4210854715202004E-14</v>
      </c>
      <c r="H17" s="1937">
        <f>IFERROR(SUM(H9:H16),0)</f>
        <v>5.0280000000000031</v>
      </c>
      <c r="I17" s="1937">
        <f t="shared" si="1"/>
        <v>-5.0280000000000173</v>
      </c>
      <c r="J17" s="1936">
        <f t="shared" si="0"/>
        <v>301.58999999999997</v>
      </c>
      <c r="L17" s="290" t="s">
        <v>7693</v>
      </c>
      <c r="N17" s="291"/>
      <c r="P17" s="363"/>
      <c r="Q17" s="267"/>
      <c r="R17" s="361"/>
      <c r="S17" s="270"/>
      <c r="T17" s="270"/>
      <c r="U17" s="270"/>
      <c r="V17" s="361"/>
      <c r="X17" s="2703" t="s">
        <v>7692</v>
      </c>
      <c r="Y17" s="2704"/>
      <c r="Z17" s="288" t="s">
        <v>7694</v>
      </c>
      <c r="AA17" s="288" t="s">
        <v>7695</v>
      </c>
      <c r="AB17" s="288" t="s">
        <v>7696</v>
      </c>
      <c r="AC17" s="288" t="s">
        <v>7697</v>
      </c>
      <c r="AD17" s="313" t="s">
        <v>7698</v>
      </c>
    </row>
    <row r="18" spans="2:30">
      <c r="B18" s="2727" t="s">
        <v>7699</v>
      </c>
      <c r="C18" s="2728"/>
      <c r="D18" s="292" t="s">
        <v>681</v>
      </c>
      <c r="E18" s="292">
        <v>3</v>
      </c>
      <c r="F18" s="287">
        <v>-99.736000000000004</v>
      </c>
      <c r="G18" s="287">
        <v>0</v>
      </c>
      <c r="H18" s="287">
        <v>-4.3999999999999997E-2</v>
      </c>
      <c r="I18" s="1937">
        <f t="shared" si="1"/>
        <v>4.3999999999999997E-2</v>
      </c>
      <c r="J18" s="1936">
        <f t="shared" si="0"/>
        <v>-99.692000000000007</v>
      </c>
      <c r="L18" s="290" t="s">
        <v>7700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27" t="s">
        <v>7699</v>
      </c>
      <c r="Y18" s="2728"/>
      <c r="Z18" s="287" t="s">
        <v>7701</v>
      </c>
      <c r="AA18" s="287" t="s">
        <v>7702</v>
      </c>
      <c r="AB18" s="287" t="s">
        <v>7703</v>
      </c>
      <c r="AC18" s="288" t="s">
        <v>7704</v>
      </c>
      <c r="AD18" s="313" t="s">
        <v>7705</v>
      </c>
    </row>
    <row r="19" spans="2:30">
      <c r="B19" s="2685" t="s">
        <v>7706</v>
      </c>
      <c r="C19" s="2686"/>
      <c r="D19" s="293" t="s">
        <v>681</v>
      </c>
      <c r="E19" s="293">
        <v>3</v>
      </c>
      <c r="F19" s="287">
        <v>3.069</v>
      </c>
      <c r="G19" s="287">
        <v>0</v>
      </c>
      <c r="H19" s="287">
        <v>0</v>
      </c>
      <c r="I19" s="1937">
        <f t="shared" si="1"/>
        <v>0</v>
      </c>
      <c r="J19" s="1936">
        <f t="shared" si="0"/>
        <v>3.069</v>
      </c>
      <c r="L19" s="290" t="s">
        <v>7707</v>
      </c>
      <c r="N19" s="291"/>
      <c r="P19" s="363"/>
      <c r="Q19" s="284">
        <f t="shared" si="2"/>
        <v>0</v>
      </c>
      <c r="R19" s="361"/>
      <c r="S19" s="285">
        <f t="shared" si="7"/>
        <v>0</v>
      </c>
      <c r="T19" s="285">
        <f t="shared" si="8"/>
        <v>0</v>
      </c>
      <c r="U19" s="285">
        <f t="shared" si="9"/>
        <v>0</v>
      </c>
      <c r="V19" s="361"/>
      <c r="X19" s="2685" t="s">
        <v>7706</v>
      </c>
      <c r="Y19" s="2686"/>
      <c r="Z19" s="287" t="s">
        <v>7708</v>
      </c>
      <c r="AA19" s="287" t="s">
        <v>7709</v>
      </c>
      <c r="AB19" s="287" t="s">
        <v>7710</v>
      </c>
      <c r="AC19" s="288" t="s">
        <v>7711</v>
      </c>
      <c r="AD19" s="313" t="s">
        <v>7712</v>
      </c>
    </row>
    <row r="20" spans="2:30" ht="15.75" thickBot="1">
      <c r="B20" s="2729" t="s">
        <v>7713</v>
      </c>
      <c r="C20" s="2730"/>
      <c r="D20" s="382" t="s">
        <v>681</v>
      </c>
      <c r="E20" s="382">
        <v>3</v>
      </c>
      <c r="F20" s="1939">
        <f>IFERROR(SUM(F17:F19),0)</f>
        <v>209.95099999999999</v>
      </c>
      <c r="G20" s="1939">
        <f>IFERROR(SUM(G17:G19),0)</f>
        <v>-1.4210854715202004E-14</v>
      </c>
      <c r="H20" s="1939">
        <f>IFERROR(SUM(H17:H19),0)</f>
        <v>4.9840000000000035</v>
      </c>
      <c r="I20" s="1939">
        <f t="shared" si="1"/>
        <v>-4.9840000000000177</v>
      </c>
      <c r="J20" s="1932">
        <f t="shared" si="0"/>
        <v>204.96699999999998</v>
      </c>
      <c r="L20" s="356" t="s">
        <v>7714</v>
      </c>
      <c r="N20" s="302"/>
      <c r="P20" s="363"/>
      <c r="Q20" s="267"/>
      <c r="R20" s="361"/>
      <c r="S20" s="270"/>
      <c r="T20" s="270"/>
      <c r="U20" s="270"/>
      <c r="V20" s="361"/>
      <c r="X20" s="2729" t="s">
        <v>7713</v>
      </c>
      <c r="Y20" s="2730"/>
      <c r="Z20" s="298" t="s">
        <v>7715</v>
      </c>
      <c r="AA20" s="298" t="s">
        <v>7716</v>
      </c>
      <c r="AB20" s="298" t="s">
        <v>7717</v>
      </c>
      <c r="AC20" s="298" t="s">
        <v>7718</v>
      </c>
      <c r="AD20" s="315" t="s">
        <v>7719</v>
      </c>
    </row>
    <row r="21" spans="2:30" ht="17.25"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5" thickTop="1" thickBot="1">
      <c r="B22" s="2693" t="s">
        <v>7720</v>
      </c>
      <c r="C22" s="2694"/>
      <c r="D22" s="362"/>
      <c r="E22" s="362"/>
      <c r="F22" s="1954"/>
      <c r="G22" s="1954"/>
      <c r="H22" s="1954"/>
      <c r="I22" s="1954"/>
      <c r="J22" s="1955"/>
      <c r="P22" s="363"/>
      <c r="Q22" s="267"/>
      <c r="R22" s="361"/>
      <c r="S22" s="270"/>
      <c r="T22" s="270"/>
      <c r="U22" s="270"/>
      <c r="V22" s="361"/>
      <c r="X22" s="2693" t="s">
        <v>7720</v>
      </c>
      <c r="Y22" s="2694"/>
      <c r="Z22" s="366"/>
      <c r="AA22" s="366"/>
      <c r="AB22" s="366"/>
      <c r="AC22" s="366"/>
      <c r="AD22" s="367"/>
    </row>
    <row r="23" spans="2:30" ht="15.75" thickTop="1">
      <c r="B23" s="2715" t="s">
        <v>7721</v>
      </c>
      <c r="C23" s="2716"/>
      <c r="D23" s="277" t="s">
        <v>681</v>
      </c>
      <c r="E23" s="277">
        <v>3</v>
      </c>
      <c r="F23" s="278">
        <v>-283.08</v>
      </c>
      <c r="G23" s="278">
        <v>0</v>
      </c>
      <c r="H23" s="278">
        <v>-2.2209999999999965</v>
      </c>
      <c r="I23" s="1933">
        <f t="shared" ref="I23:I27" si="10">IFERROR(G23-H23,0)</f>
        <v>2.2209999999999965</v>
      </c>
      <c r="J23" s="1953">
        <f>IFERROR(F23+I23,0)</f>
        <v>-280.85899999999998</v>
      </c>
      <c r="L23" s="281" t="s">
        <v>7722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15" t="s">
        <v>7721</v>
      </c>
      <c r="Y23" s="2716"/>
      <c r="Z23" s="278" t="s">
        <v>7723</v>
      </c>
      <c r="AA23" s="278" t="s">
        <v>7724</v>
      </c>
      <c r="AB23" s="278" t="s">
        <v>7725</v>
      </c>
      <c r="AC23" s="279" t="s">
        <v>7726</v>
      </c>
      <c r="AD23" s="351" t="s">
        <v>7727</v>
      </c>
    </row>
    <row r="24" spans="2:30">
      <c r="B24" s="2703" t="s">
        <v>7728</v>
      </c>
      <c r="C24" s="2704"/>
      <c r="D24" s="325" t="s">
        <v>681</v>
      </c>
      <c r="E24" s="325">
        <v>3</v>
      </c>
      <c r="F24" s="287">
        <v>15.401</v>
      </c>
      <c r="G24" s="287">
        <v>0</v>
      </c>
      <c r="H24" s="287">
        <v>0</v>
      </c>
      <c r="I24" s="1937">
        <f t="shared" si="10"/>
        <v>0</v>
      </c>
      <c r="J24" s="1936">
        <f>IFERROR(F24+I24,0)</f>
        <v>15.401</v>
      </c>
      <c r="L24" s="290" t="s">
        <v>7729</v>
      </c>
      <c r="N24" s="291"/>
      <c r="P24" s="363"/>
      <c r="Q24" s="284">
        <f t="shared" si="11"/>
        <v>0</v>
      </c>
      <c r="R24" s="370"/>
      <c r="S24" s="285">
        <f t="shared" si="12"/>
        <v>0</v>
      </c>
      <c r="T24" s="285">
        <f t="shared" si="13"/>
        <v>0</v>
      </c>
      <c r="U24" s="285">
        <f t="shared" si="14"/>
        <v>0</v>
      </c>
      <c r="V24" s="370"/>
      <c r="X24" s="2703" t="s">
        <v>7728</v>
      </c>
      <c r="Y24" s="2704"/>
      <c r="Z24" s="287" t="s">
        <v>7730</v>
      </c>
      <c r="AA24" s="287" t="s">
        <v>7731</v>
      </c>
      <c r="AB24" s="287" t="s">
        <v>7732</v>
      </c>
      <c r="AC24" s="288" t="s">
        <v>7733</v>
      </c>
      <c r="AD24" s="313" t="s">
        <v>7734</v>
      </c>
    </row>
    <row r="25" spans="2:30">
      <c r="B25" s="2683" t="s">
        <v>7735</v>
      </c>
      <c r="C25" s="2684"/>
      <c r="D25" s="292" t="s">
        <v>681</v>
      </c>
      <c r="E25" s="292">
        <v>3</v>
      </c>
      <c r="F25" s="287">
        <v>6.3970000000000002</v>
      </c>
      <c r="G25" s="287">
        <v>0</v>
      </c>
      <c r="H25" s="287">
        <v>0.26800000000000002</v>
      </c>
      <c r="I25" s="1937">
        <f t="shared" si="10"/>
        <v>-0.26800000000000002</v>
      </c>
      <c r="J25" s="1936">
        <f>IFERROR(F25+I25,0)</f>
        <v>6.1290000000000004</v>
      </c>
      <c r="L25" s="290" t="s">
        <v>7736</v>
      </c>
      <c r="N25" s="291"/>
      <c r="P25" s="363"/>
      <c r="Q25" s="284">
        <f t="shared" si="11"/>
        <v>0</v>
      </c>
      <c r="R25" s="370"/>
      <c r="S25" s="285">
        <f t="shared" si="12"/>
        <v>0</v>
      </c>
      <c r="T25" s="285">
        <f t="shared" si="13"/>
        <v>0</v>
      </c>
      <c r="U25" s="285">
        <f t="shared" si="14"/>
        <v>0</v>
      </c>
      <c r="V25" s="370"/>
      <c r="X25" s="2683" t="s">
        <v>7735</v>
      </c>
      <c r="Y25" s="2684"/>
      <c r="Z25" s="287" t="s">
        <v>7737</v>
      </c>
      <c r="AA25" s="287" t="s">
        <v>7738</v>
      </c>
      <c r="AB25" s="287" t="s">
        <v>7739</v>
      </c>
      <c r="AC25" s="288" t="s">
        <v>7740</v>
      </c>
      <c r="AD25" s="313" t="s">
        <v>7741</v>
      </c>
    </row>
    <row r="26" spans="2:30">
      <c r="B26" s="2679" t="s">
        <v>7742</v>
      </c>
      <c r="C26" s="2680"/>
      <c r="D26" s="286" t="s">
        <v>681</v>
      </c>
      <c r="E26" s="286">
        <v>3</v>
      </c>
      <c r="F26" s="287">
        <v>0</v>
      </c>
      <c r="G26" s="287">
        <v>0</v>
      </c>
      <c r="H26" s="287">
        <v>0</v>
      </c>
      <c r="I26" s="1937">
        <f t="shared" si="10"/>
        <v>0</v>
      </c>
      <c r="J26" s="1936">
        <f>IFERROR(F26+I26,0)</f>
        <v>0</v>
      </c>
      <c r="L26" s="290" t="s">
        <v>7743</v>
      </c>
      <c r="N26" s="291"/>
      <c r="P26" s="363"/>
      <c r="Q26" s="284">
        <f t="shared" si="11"/>
        <v>0</v>
      </c>
      <c r="R26" s="361"/>
      <c r="S26" s="285">
        <f t="shared" si="12"/>
        <v>0</v>
      </c>
      <c r="T26" s="285">
        <f t="shared" si="13"/>
        <v>0</v>
      </c>
      <c r="U26" s="285">
        <f t="shared" si="14"/>
        <v>0</v>
      </c>
      <c r="V26" s="361"/>
      <c r="X26" s="2679" t="s">
        <v>7742</v>
      </c>
      <c r="Y26" s="2680"/>
      <c r="Z26" s="287" t="s">
        <v>7744</v>
      </c>
      <c r="AA26" s="287" t="s">
        <v>7745</v>
      </c>
      <c r="AB26" s="287" t="s">
        <v>7746</v>
      </c>
      <c r="AC26" s="288" t="s">
        <v>7747</v>
      </c>
      <c r="AD26" s="313" t="s">
        <v>7748</v>
      </c>
    </row>
    <row r="27" spans="2:30" ht="15.75" thickBot="1">
      <c r="B27" s="2723" t="s">
        <v>7749</v>
      </c>
      <c r="C27" s="2724"/>
      <c r="D27" s="355" t="s">
        <v>681</v>
      </c>
      <c r="E27" s="355">
        <v>3</v>
      </c>
      <c r="F27" s="1939">
        <f>IFERROR(SUM(F23:F26),0)</f>
        <v>-261.28199999999998</v>
      </c>
      <c r="G27" s="1939">
        <f>IFERROR(SUM(G23:G26),0)</f>
        <v>0</v>
      </c>
      <c r="H27" s="1939">
        <f>IFERROR(SUM(H23:H26),0)</f>
        <v>-1.9529999999999965</v>
      </c>
      <c r="I27" s="1939">
        <f t="shared" si="10"/>
        <v>1.9529999999999965</v>
      </c>
      <c r="J27" s="1932">
        <f>IFERROR(F27+I27,0)</f>
        <v>-259.32900000000001</v>
      </c>
      <c r="L27" s="356" t="s">
        <v>7750</v>
      </c>
      <c r="N27" s="302"/>
      <c r="P27" s="363"/>
      <c r="Q27" s="267"/>
      <c r="R27" s="361"/>
      <c r="S27" s="270"/>
      <c r="T27" s="270"/>
      <c r="U27" s="270"/>
      <c r="V27" s="361"/>
      <c r="X27" s="2723" t="s">
        <v>7749</v>
      </c>
      <c r="Y27" s="2724"/>
      <c r="Z27" s="298" t="s">
        <v>7751</v>
      </c>
      <c r="AA27" s="298" t="s">
        <v>7752</v>
      </c>
      <c r="AB27" s="298" t="s">
        <v>7753</v>
      </c>
      <c r="AC27" s="298" t="s">
        <v>7754</v>
      </c>
      <c r="AD27" s="315" t="s">
        <v>7755</v>
      </c>
    </row>
    <row r="28" spans="2:30" ht="16.5"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5" thickTop="1" thickBot="1">
      <c r="B29" s="2731" t="s">
        <v>7756</v>
      </c>
      <c r="C29" s="2732"/>
      <c r="D29" s="384" t="s">
        <v>681</v>
      </c>
      <c r="E29" s="384">
        <v>3</v>
      </c>
      <c r="F29" s="1957">
        <f>IFERROR(F20+F27,0)</f>
        <v>-51.330999999999989</v>
      </c>
      <c r="G29" s="1957">
        <f>IFERROR(G20+G27,0)</f>
        <v>-1.4210854715202004E-14</v>
      </c>
      <c r="H29" s="1957">
        <f>IFERROR(H20+H27,0)</f>
        <v>3.0310000000000068</v>
      </c>
      <c r="I29" s="1957">
        <f t="shared" ref="I29" si="15">IFERROR(G29-H29,0)</f>
        <v>-3.031000000000021</v>
      </c>
      <c r="J29" s="1958">
        <f>IFERROR(F29+I29,0)</f>
        <v>-54.362000000000009</v>
      </c>
      <c r="L29" s="374" t="s">
        <v>7757</v>
      </c>
      <c r="N29" s="375"/>
      <c r="P29" s="363"/>
      <c r="Q29" s="267"/>
      <c r="R29" s="361"/>
      <c r="S29" s="270"/>
      <c r="T29" s="270"/>
      <c r="U29" s="270"/>
      <c r="V29" s="361"/>
      <c r="X29" s="2731" t="s">
        <v>7756</v>
      </c>
      <c r="Y29" s="2732"/>
      <c r="Z29" s="385" t="s">
        <v>7758</v>
      </c>
      <c r="AA29" s="385" t="s">
        <v>7759</v>
      </c>
      <c r="AB29" s="385" t="s">
        <v>7760</v>
      </c>
      <c r="AC29" s="385" t="s">
        <v>7761</v>
      </c>
      <c r="AD29" s="386" t="s">
        <v>7762</v>
      </c>
    </row>
    <row r="30" spans="2:30" ht="17.25"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7.25" thickTop="1" thickBot="1">
      <c r="B31" s="2693" t="s">
        <v>7763</v>
      </c>
      <c r="C31" s="2694"/>
      <c r="D31" s="362"/>
      <c r="E31" s="362"/>
      <c r="F31" s="1954"/>
      <c r="G31" s="1954"/>
      <c r="H31" s="1954"/>
      <c r="I31" s="1954"/>
      <c r="J31" s="1955"/>
      <c r="L31" s="260"/>
      <c r="P31" s="363"/>
      <c r="Q31" s="267"/>
      <c r="R31" s="370"/>
      <c r="S31" s="270"/>
      <c r="T31" s="270"/>
      <c r="U31" s="270"/>
      <c r="V31" s="370"/>
      <c r="X31" s="2693" t="s">
        <v>7763</v>
      </c>
      <c r="Y31" s="2694"/>
      <c r="Z31" s="366"/>
      <c r="AA31" s="366"/>
      <c r="AB31" s="366"/>
      <c r="AC31" s="366"/>
      <c r="AD31" s="367"/>
    </row>
    <row r="32" spans="2:30" ht="15.75" thickTop="1">
      <c r="B32" s="2715" t="s">
        <v>7764</v>
      </c>
      <c r="C32" s="2716"/>
      <c r="D32" s="277" t="s">
        <v>681</v>
      </c>
      <c r="E32" s="277">
        <v>3</v>
      </c>
      <c r="F32" s="278">
        <v>-110.8</v>
      </c>
      <c r="G32" s="278">
        <v>0</v>
      </c>
      <c r="H32" s="278">
        <v>0</v>
      </c>
      <c r="I32" s="1933">
        <f t="shared" ref="I32:I35" si="16">IFERROR(G32-H32,0)</f>
        <v>0</v>
      </c>
      <c r="J32" s="1953">
        <f>IFERROR(F32+I32,0)</f>
        <v>-110.8</v>
      </c>
      <c r="L32" s="281" t="s">
        <v>7765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15" t="s">
        <v>7764</v>
      </c>
      <c r="Y32" s="2716"/>
      <c r="Z32" s="278" t="s">
        <v>7766</v>
      </c>
      <c r="AA32" s="278" t="s">
        <v>7767</v>
      </c>
      <c r="AB32" s="278" t="s">
        <v>7768</v>
      </c>
      <c r="AC32" s="279" t="s">
        <v>7769</v>
      </c>
      <c r="AD32" s="351" t="s">
        <v>7770</v>
      </c>
    </row>
    <row r="33" spans="2:30">
      <c r="B33" s="2703" t="s">
        <v>7771</v>
      </c>
      <c r="C33" s="2704"/>
      <c r="D33" s="325" t="s">
        <v>681</v>
      </c>
      <c r="E33" s="325">
        <v>3</v>
      </c>
      <c r="F33" s="287">
        <v>248.71299999999999</v>
      </c>
      <c r="G33" s="287">
        <v>0</v>
      </c>
      <c r="H33" s="287">
        <v>-1.6409999999999998</v>
      </c>
      <c r="I33" s="1937">
        <f t="shared" si="16"/>
        <v>1.6409999999999998</v>
      </c>
      <c r="J33" s="1936">
        <f>IFERROR(F33+I33,0)</f>
        <v>250.35399999999998</v>
      </c>
      <c r="L33" s="290" t="s">
        <v>7772</v>
      </c>
      <c r="N33" s="291"/>
      <c r="P33" s="363"/>
      <c r="Q33" s="284">
        <f t="shared" si="17"/>
        <v>0</v>
      </c>
      <c r="R33" s="361"/>
      <c r="S33" s="285">
        <f t="shared" si="18"/>
        <v>0</v>
      </c>
      <c r="T33" s="285">
        <f t="shared" si="19"/>
        <v>0</v>
      </c>
      <c r="U33" s="285">
        <f t="shared" si="20"/>
        <v>0</v>
      </c>
      <c r="V33" s="361"/>
      <c r="X33" s="2703" t="s">
        <v>7771</v>
      </c>
      <c r="Y33" s="2704"/>
      <c r="Z33" s="287" t="s">
        <v>7773</v>
      </c>
      <c r="AA33" s="287" t="s">
        <v>7774</v>
      </c>
      <c r="AB33" s="287" t="s">
        <v>7775</v>
      </c>
      <c r="AC33" s="288" t="s">
        <v>7776</v>
      </c>
      <c r="AD33" s="313" t="s">
        <v>7777</v>
      </c>
    </row>
    <row r="34" spans="2:30">
      <c r="B34" s="2683" t="s">
        <v>7778</v>
      </c>
      <c r="C34" s="2684"/>
      <c r="D34" s="292" t="s">
        <v>681</v>
      </c>
      <c r="E34" s="292">
        <v>3</v>
      </c>
      <c r="F34" s="287">
        <v>0</v>
      </c>
      <c r="G34" s="287">
        <v>0</v>
      </c>
      <c r="H34" s="287">
        <v>0</v>
      </c>
      <c r="I34" s="1937">
        <f t="shared" si="16"/>
        <v>0</v>
      </c>
      <c r="J34" s="1936">
        <f>IFERROR(F34+I34,0)</f>
        <v>0</v>
      </c>
      <c r="L34" s="290" t="s">
        <v>7779</v>
      </c>
      <c r="N34" s="291"/>
      <c r="P34" s="363"/>
      <c r="Q34" s="284">
        <f t="shared" si="17"/>
        <v>0</v>
      </c>
      <c r="R34" s="361"/>
      <c r="S34" s="285">
        <f t="shared" si="18"/>
        <v>0</v>
      </c>
      <c r="T34" s="285">
        <f t="shared" si="19"/>
        <v>0</v>
      </c>
      <c r="U34" s="285">
        <f t="shared" si="20"/>
        <v>0</v>
      </c>
      <c r="V34" s="361"/>
      <c r="X34" s="2683" t="s">
        <v>7778</v>
      </c>
      <c r="Y34" s="2684"/>
      <c r="Z34" s="287" t="s">
        <v>7780</v>
      </c>
      <c r="AA34" s="287" t="s">
        <v>7781</v>
      </c>
      <c r="AB34" s="287" t="s">
        <v>7782</v>
      </c>
      <c r="AC34" s="288" t="s">
        <v>7783</v>
      </c>
      <c r="AD34" s="313" t="s">
        <v>7784</v>
      </c>
    </row>
    <row r="35" spans="2:30" ht="15.75" thickBot="1">
      <c r="B35" s="2713" t="s">
        <v>7785</v>
      </c>
      <c r="C35" s="2714"/>
      <c r="D35" s="355" t="s">
        <v>681</v>
      </c>
      <c r="E35" s="355">
        <v>3</v>
      </c>
      <c r="F35" s="1939">
        <f>IFERROR(SUM(F32:F34),0)</f>
        <v>137.91300000000001</v>
      </c>
      <c r="G35" s="1939">
        <f>IFERROR(SUM(G32:G34),0)</f>
        <v>0</v>
      </c>
      <c r="H35" s="1939">
        <f>IFERROR(SUM(H32:H34),0)</f>
        <v>-1.6409999999999998</v>
      </c>
      <c r="I35" s="1939">
        <f t="shared" si="16"/>
        <v>1.6409999999999998</v>
      </c>
      <c r="J35" s="1932">
        <f>IFERROR(F35+I35,0)</f>
        <v>139.554</v>
      </c>
      <c r="L35" s="356" t="s">
        <v>7786</v>
      </c>
      <c r="N35" s="302"/>
      <c r="P35" s="363"/>
      <c r="Q35" s="267"/>
      <c r="R35" s="361"/>
      <c r="S35" s="270"/>
      <c r="T35" s="270"/>
      <c r="U35" s="270"/>
      <c r="V35" s="361"/>
      <c r="X35" s="2713" t="s">
        <v>7785</v>
      </c>
      <c r="Y35" s="2714"/>
      <c r="Z35" s="298" t="s">
        <v>7787</v>
      </c>
      <c r="AA35" s="298" t="s">
        <v>7788</v>
      </c>
      <c r="AB35" s="298" t="s">
        <v>7789</v>
      </c>
      <c r="AC35" s="298" t="s">
        <v>7790</v>
      </c>
      <c r="AD35" s="315" t="s">
        <v>7791</v>
      </c>
    </row>
    <row r="36" spans="2:30" ht="17.25"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5" thickTop="1" thickBot="1">
      <c r="B37" s="2725" t="s">
        <v>7792</v>
      </c>
      <c r="C37" s="2726"/>
      <c r="D37" s="371" t="s">
        <v>681</v>
      </c>
      <c r="E37" s="371">
        <v>3</v>
      </c>
      <c r="F37" s="1957">
        <f>IFERROR(F29+F35,0)</f>
        <v>86.582000000000022</v>
      </c>
      <c r="G37" s="1957">
        <f>IFERROR(G29+G35,0)</f>
        <v>-1.4210854715202004E-14</v>
      </c>
      <c r="H37" s="1957">
        <f>IFERROR(H29+H35,0)</f>
        <v>1.390000000000007</v>
      </c>
      <c r="I37" s="1957">
        <f t="shared" ref="I37" si="21">IFERROR(G37-H37,0)</f>
        <v>-1.3900000000000212</v>
      </c>
      <c r="J37" s="1958">
        <f>IFERROR(F37+I37,0)</f>
        <v>85.192000000000007</v>
      </c>
      <c r="L37" s="374" t="s">
        <v>7793</v>
      </c>
      <c r="N37" s="375"/>
      <c r="P37" s="363"/>
      <c r="Q37" s="267"/>
      <c r="R37" s="377"/>
      <c r="S37" s="270"/>
      <c r="T37" s="270"/>
      <c r="U37" s="270"/>
      <c r="V37" s="377"/>
      <c r="X37" s="2725" t="s">
        <v>7792</v>
      </c>
      <c r="Y37" s="2726"/>
      <c r="Z37" s="385" t="s">
        <v>7794</v>
      </c>
      <c r="AA37" s="385" t="s">
        <v>7795</v>
      </c>
      <c r="AB37" s="385" t="s">
        <v>7796</v>
      </c>
      <c r="AC37" s="385" t="s">
        <v>7797</v>
      </c>
      <c r="AD37" s="386" t="s">
        <v>7798</v>
      </c>
    </row>
    <row r="38" spans="2:30" ht="15.75" thickTop="1">
      <c r="Q38" s="267"/>
      <c r="S38" s="270"/>
      <c r="T38" s="270"/>
      <c r="U38" s="270"/>
    </row>
    <row r="39" spans="2:30">
      <c r="Q39" s="267"/>
      <c r="S39" s="270"/>
      <c r="T39" s="270"/>
      <c r="U39" s="270"/>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00B050"/>
    <pageSetUpPr fitToPage="1"/>
  </sheetPr>
  <dimension ref="A1:AD37"/>
  <sheetViews>
    <sheetView showGridLines="0" zoomScale="50" zoomScaleNormal="50" zoomScaleSheetLayoutView="100" workbookViewId="0">
      <pane ySplit="6" topLeftCell="A7" activePane="bottomLeft" state="frozen"/>
      <selection activeCell="H30" sqref="H30:H32"/>
      <selection pane="bottomLeft" activeCell="I18" sqref="I18"/>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63" customWidth="1"/>
    <col min="18" max="22" width="8.125" style="263" hidden="1" customWidth="1"/>
    <col min="23" max="23" width="1.625" style="263"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89" customFormat="1" ht="23.25">
      <c r="B1" s="2661" t="s">
        <v>7799</v>
      </c>
      <c r="C1" s="2661"/>
      <c r="D1" s="2661"/>
      <c r="E1" s="2661"/>
      <c r="F1" s="2661"/>
      <c r="G1" s="2661"/>
      <c r="H1" s="2661"/>
      <c r="I1" s="2661"/>
      <c r="J1" s="339"/>
      <c r="K1" s="259"/>
      <c r="O1" s="340"/>
      <c r="P1" s="267"/>
      <c r="Q1" s="361"/>
      <c r="R1" s="263"/>
      <c r="S1" s="263"/>
      <c r="T1" s="263"/>
      <c r="U1" s="263"/>
      <c r="V1" s="263"/>
      <c r="W1" s="361"/>
      <c r="Y1" s="2661" t="s">
        <v>7220</v>
      </c>
      <c r="Z1" s="2661"/>
      <c r="AA1" s="2661"/>
      <c r="AB1" s="2661"/>
      <c r="AC1" s="2661"/>
      <c r="AD1" s="2661"/>
    </row>
    <row r="2" spans="1:30" s="389" customFormat="1" ht="23.25">
      <c r="B2" s="2661" t="str">
        <f>SelectCompany!B4</f>
        <v>Northumbrian Water</v>
      </c>
      <c r="C2" s="2661"/>
      <c r="D2" s="2661"/>
      <c r="E2" s="2661"/>
      <c r="F2" s="2661"/>
      <c r="G2" s="2661"/>
      <c r="H2" s="2661"/>
      <c r="I2" s="2661"/>
      <c r="J2" s="339"/>
      <c r="K2" s="259"/>
      <c r="O2" s="340"/>
      <c r="P2" s="267"/>
      <c r="Q2" s="361"/>
      <c r="R2" s="263"/>
      <c r="S2" s="263"/>
      <c r="T2" s="263"/>
      <c r="U2" s="263"/>
      <c r="V2" s="263"/>
      <c r="W2" s="361"/>
      <c r="Y2" s="2661"/>
      <c r="Z2" s="2661"/>
      <c r="AA2" s="2661"/>
      <c r="AB2" s="2661"/>
      <c r="AC2" s="2661"/>
      <c r="AD2" s="390"/>
    </row>
    <row r="3" spans="1:30" ht="19.5">
      <c r="B3" s="2662" t="s">
        <v>7800</v>
      </c>
      <c r="C3" s="2663"/>
      <c r="D3" s="2663"/>
      <c r="E3" s="2663"/>
      <c r="F3" s="2663"/>
      <c r="G3" s="2663"/>
      <c r="H3" s="2663"/>
      <c r="I3" s="2663"/>
      <c r="J3" s="2663"/>
      <c r="K3" s="2663"/>
      <c r="L3" s="2663"/>
      <c r="M3" s="2663"/>
      <c r="O3" s="342"/>
      <c r="P3" s="265" t="s">
        <v>7222</v>
      </c>
      <c r="Q3" s="361"/>
      <c r="W3" s="361"/>
      <c r="Y3" s="2664" t="s">
        <v>7800</v>
      </c>
      <c r="Z3" s="2665"/>
      <c r="AA3" s="2665"/>
      <c r="AB3" s="2665"/>
      <c r="AC3" s="2665"/>
      <c r="AD3" s="2665"/>
    </row>
    <row r="4" spans="1:30" ht="15.75" thickBot="1">
      <c r="B4" s="266"/>
      <c r="C4" s="266"/>
      <c r="D4" s="266"/>
      <c r="O4" s="345"/>
      <c r="P4" s="267"/>
      <c r="Q4" s="361"/>
      <c r="R4" s="2668" t="s">
        <v>7223</v>
      </c>
      <c r="S4" s="2668"/>
      <c r="T4" s="2668"/>
      <c r="U4" s="2668"/>
      <c r="V4" s="2668"/>
      <c r="W4" s="361"/>
      <c r="Y4" s="266"/>
    </row>
    <row r="5" spans="1:30" ht="15.75" thickTop="1">
      <c r="A5" s="197"/>
      <c r="B5" s="2711" t="s">
        <v>7224</v>
      </c>
      <c r="C5" s="2670" t="s">
        <v>7225</v>
      </c>
      <c r="D5" s="2670" t="s">
        <v>670</v>
      </c>
      <c r="E5" s="2673" t="s">
        <v>7801</v>
      </c>
      <c r="F5" s="2673" t="s">
        <v>7802</v>
      </c>
      <c r="G5" s="2673" t="s">
        <v>7803</v>
      </c>
      <c r="H5" s="2673"/>
      <c r="I5" s="2675" t="s">
        <v>7445</v>
      </c>
      <c r="J5" s="197"/>
      <c r="K5" s="2677" t="s">
        <v>7229</v>
      </c>
      <c r="L5" s="197"/>
      <c r="M5" s="2677" t="s">
        <v>7230</v>
      </c>
      <c r="N5" s="197"/>
      <c r="O5" s="345"/>
      <c r="P5" s="267"/>
      <c r="Q5" s="361"/>
      <c r="R5" s="269" t="s">
        <v>7231</v>
      </c>
      <c r="S5" s="270"/>
      <c r="T5" s="270"/>
      <c r="U5" s="270"/>
      <c r="V5" s="270"/>
      <c r="W5" s="361"/>
      <c r="Y5" s="2711" t="s">
        <v>7224</v>
      </c>
      <c r="Z5" s="2673" t="s">
        <v>7801</v>
      </c>
      <c r="AA5" s="2673" t="s">
        <v>7802</v>
      </c>
      <c r="AB5" s="2673" t="s">
        <v>7803</v>
      </c>
      <c r="AC5" s="2673"/>
      <c r="AD5" s="2675" t="s">
        <v>7445</v>
      </c>
    </row>
    <row r="6" spans="1:30" ht="35.85" customHeight="1" thickBot="1">
      <c r="A6" s="197"/>
      <c r="B6" s="2712"/>
      <c r="C6" s="2672"/>
      <c r="D6" s="2672"/>
      <c r="E6" s="2674"/>
      <c r="F6" s="2674"/>
      <c r="G6" s="391" t="s">
        <v>7804</v>
      </c>
      <c r="H6" s="391" t="s">
        <v>7805</v>
      </c>
      <c r="I6" s="2676"/>
      <c r="J6" s="197"/>
      <c r="K6" s="2678"/>
      <c r="L6" s="197"/>
      <c r="M6" s="2678"/>
      <c r="N6" s="197"/>
      <c r="O6" s="345"/>
      <c r="P6" s="267"/>
      <c r="Q6" s="361"/>
      <c r="R6" s="224"/>
      <c r="S6" s="224"/>
      <c r="T6" s="224"/>
      <c r="U6" s="224"/>
      <c r="V6" s="224"/>
      <c r="W6" s="361"/>
      <c r="Y6" s="2712"/>
      <c r="Z6" s="2674"/>
      <c r="AA6" s="2674"/>
      <c r="AB6" s="391" t="s">
        <v>7804</v>
      </c>
      <c r="AC6" s="391" t="s">
        <v>7805</v>
      </c>
      <c r="AD6" s="2676"/>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7.25" thickTop="1" thickBot="1">
      <c r="A8" s="197"/>
      <c r="B8" s="393" t="s">
        <v>7806</v>
      </c>
      <c r="C8" s="394"/>
      <c r="D8" s="394"/>
      <c r="E8" s="347"/>
      <c r="F8" s="395"/>
      <c r="G8" s="395"/>
      <c r="H8" s="395"/>
      <c r="I8" s="83"/>
      <c r="J8" s="197"/>
      <c r="K8" s="197"/>
      <c r="L8" s="197"/>
      <c r="M8" s="197"/>
      <c r="N8" s="197"/>
      <c r="O8" s="345"/>
      <c r="P8" s="267"/>
      <c r="Q8" s="361"/>
      <c r="R8" s="224"/>
      <c r="S8" s="224"/>
      <c r="T8" s="224"/>
      <c r="U8" s="224"/>
      <c r="V8" s="224"/>
      <c r="W8" s="361"/>
      <c r="Y8" s="393" t="s">
        <v>7806</v>
      </c>
      <c r="Z8" s="347"/>
      <c r="AA8" s="395"/>
      <c r="AB8" s="395"/>
      <c r="AC8" s="395"/>
      <c r="AD8" s="83"/>
    </row>
    <row r="9" spans="1:30" ht="15.75" thickTop="1">
      <c r="A9" s="197"/>
      <c r="B9" s="396" t="s">
        <v>7807</v>
      </c>
      <c r="C9" s="277" t="s">
        <v>681</v>
      </c>
      <c r="D9" s="277">
        <v>3</v>
      </c>
      <c r="E9" s="278">
        <v>2142.712</v>
      </c>
      <c r="F9" s="278">
        <v>19.503</v>
      </c>
      <c r="G9" s="278">
        <v>1203.4949999999999</v>
      </c>
      <c r="H9" s="278">
        <v>117.413</v>
      </c>
      <c r="I9" s="1934">
        <f>IFERROR(SUM(E9:H9 ),0)</f>
        <v>3483.123</v>
      </c>
      <c r="J9" s="197"/>
      <c r="K9" s="281" t="s">
        <v>7808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7807</v>
      </c>
      <c r="Z9" s="278" t="s">
        <v>7809</v>
      </c>
      <c r="AA9" s="278" t="s">
        <v>7810</v>
      </c>
      <c r="AB9" s="278" t="s">
        <v>7811</v>
      </c>
      <c r="AC9" s="278" t="s">
        <v>7812</v>
      </c>
      <c r="AD9" s="280" t="s">
        <v>7813</v>
      </c>
    </row>
    <row r="10" spans="1:30" ht="15">
      <c r="A10" s="197"/>
      <c r="B10" s="397" t="s">
        <v>7590</v>
      </c>
      <c r="C10" s="325" t="s">
        <v>681</v>
      </c>
      <c r="D10" s="325">
        <v>3</v>
      </c>
      <c r="E10" s="2507">
        <f>-IFERROR('1C'!J43,0)</f>
        <v>0</v>
      </c>
      <c r="F10" s="1959"/>
      <c r="G10" s="1959"/>
      <c r="H10" s="1959"/>
      <c r="I10" s="289">
        <f>+E10</f>
        <v>0</v>
      </c>
      <c r="J10" s="197"/>
      <c r="K10" s="290" t="s">
        <v>7814</v>
      </c>
      <c r="L10" s="197"/>
      <c r="M10" s="291"/>
      <c r="N10" s="197"/>
      <c r="O10" s="363"/>
      <c r="P10" s="267"/>
      <c r="Q10" s="361"/>
      <c r="R10" s="267"/>
      <c r="S10" s="267"/>
      <c r="T10" s="267"/>
      <c r="U10" s="267"/>
      <c r="V10" s="267"/>
      <c r="W10" s="361"/>
      <c r="Y10" s="397" t="s">
        <v>7590</v>
      </c>
      <c r="Z10" s="398"/>
      <c r="AA10" s="399"/>
      <c r="AB10" s="399"/>
      <c r="AC10" s="399"/>
      <c r="AD10" s="400" t="s">
        <v>7815</v>
      </c>
    </row>
    <row r="11" spans="1:30" ht="15">
      <c r="A11" s="197"/>
      <c r="B11" s="401" t="s">
        <v>3993</v>
      </c>
      <c r="C11" s="292" t="s">
        <v>681</v>
      </c>
      <c r="D11" s="292">
        <v>3</v>
      </c>
      <c r="E11" s="2356">
        <f>SUM(E9:E10)</f>
        <v>2142.712</v>
      </c>
      <c r="F11" s="2356">
        <f>SUM(F9:F10)</f>
        <v>19.503</v>
      </c>
      <c r="G11" s="2356">
        <f>SUM(G9:G10)</f>
        <v>1203.4949999999999</v>
      </c>
      <c r="H11" s="2356">
        <f>SUM(H9:H10)</f>
        <v>117.413</v>
      </c>
      <c r="I11" s="1938">
        <f>SUM(E11:H11)</f>
        <v>3483.123</v>
      </c>
      <c r="J11" s="197"/>
      <c r="K11" s="290" t="s">
        <v>7816</v>
      </c>
      <c r="L11" s="197"/>
      <c r="M11" s="291"/>
      <c r="N11" s="197"/>
      <c r="O11" s="363"/>
      <c r="P11" s="267"/>
      <c r="Q11" s="361"/>
      <c r="R11" s="267"/>
      <c r="S11" s="267"/>
      <c r="T11" s="267"/>
      <c r="U11" s="267"/>
      <c r="V11" s="267"/>
      <c r="W11" s="361"/>
      <c r="Y11" s="401" t="s">
        <v>3993</v>
      </c>
      <c r="Z11" s="402"/>
      <c r="AA11" s="399"/>
      <c r="AB11" s="399"/>
      <c r="AC11" s="399"/>
      <c r="AD11" s="289" t="s">
        <v>7817</v>
      </c>
    </row>
    <row r="12" spans="1:30" ht="15">
      <c r="A12" s="197"/>
      <c r="B12" s="403" t="s">
        <v>3994</v>
      </c>
      <c r="C12" s="286" t="s">
        <v>681</v>
      </c>
      <c r="D12" s="286">
        <v>3</v>
      </c>
      <c r="E12" s="1960"/>
      <c r="F12" s="1959"/>
      <c r="G12" s="1959"/>
      <c r="H12" s="1959"/>
      <c r="I12" s="405">
        <v>0.65200000000000002</v>
      </c>
      <c r="J12" s="197"/>
      <c r="K12" s="290" t="s">
        <v>7818</v>
      </c>
      <c r="L12" s="197"/>
      <c r="M12" s="291"/>
      <c r="N12" s="197"/>
      <c r="O12" s="363"/>
      <c r="P12" s="284">
        <f t="shared" ref="P12:P13" si="0">IF( SUM( R12:V12 ) = 0, 0, $R$5 )</f>
        <v>0</v>
      </c>
      <c r="Q12" s="361"/>
      <c r="R12" s="267"/>
      <c r="S12" s="267"/>
      <c r="T12" s="267"/>
      <c r="U12" s="267"/>
      <c r="V12" s="285">
        <f xml:space="preserve"> IF( ISNUMBER( I12 ), 0, 1 )</f>
        <v>0</v>
      </c>
      <c r="W12" s="361"/>
      <c r="Y12" s="403" t="s">
        <v>3994</v>
      </c>
      <c r="Z12" s="404"/>
      <c r="AA12" s="399"/>
      <c r="AB12" s="399"/>
      <c r="AC12" s="399"/>
      <c r="AD12" s="405" t="s">
        <v>7819</v>
      </c>
    </row>
    <row r="13" spans="1:30" ht="15">
      <c r="A13" s="197"/>
      <c r="B13" s="403" t="s">
        <v>3995</v>
      </c>
      <c r="C13" s="286" t="s">
        <v>681</v>
      </c>
      <c r="D13" s="286">
        <v>3</v>
      </c>
      <c r="E13" s="1960"/>
      <c r="F13" s="1959"/>
      <c r="G13" s="1959"/>
      <c r="H13" s="1959"/>
      <c r="I13" s="405">
        <v>0</v>
      </c>
      <c r="J13" s="197"/>
      <c r="K13" s="290" t="s">
        <v>7820</v>
      </c>
      <c r="L13" s="197"/>
      <c r="M13" s="291"/>
      <c r="N13" s="197"/>
      <c r="O13" s="363"/>
      <c r="P13" s="284">
        <f t="shared" si="0"/>
        <v>0</v>
      </c>
      <c r="Q13" s="361"/>
      <c r="R13" s="267"/>
      <c r="S13" s="267"/>
      <c r="T13" s="267"/>
      <c r="U13" s="267"/>
      <c r="V13" s="285">
        <f xml:space="preserve"> IF( ISNUMBER( I13 ), 0, 1 )</f>
        <v>0</v>
      </c>
      <c r="W13" s="361"/>
      <c r="Y13" s="403" t="s">
        <v>3995</v>
      </c>
      <c r="Z13" s="404"/>
      <c r="AA13" s="399"/>
      <c r="AB13" s="399"/>
      <c r="AC13" s="399"/>
      <c r="AD13" s="405" t="s">
        <v>7821</v>
      </c>
    </row>
    <row r="14" spans="1:30" ht="15.75" thickBot="1">
      <c r="A14" s="197"/>
      <c r="B14" s="406" t="s">
        <v>7822</v>
      </c>
      <c r="C14" s="355" t="s">
        <v>681</v>
      </c>
      <c r="D14" s="355">
        <v>3</v>
      </c>
      <c r="E14" s="1961"/>
      <c r="F14" s="1962"/>
      <c r="G14" s="1962"/>
      <c r="H14" s="1962"/>
      <c r="I14" s="1940">
        <f>IFERROR(SUM( I11:I13 ),0)</f>
        <v>3483.7750000000001</v>
      </c>
      <c r="J14" s="197"/>
      <c r="K14" s="356" t="s">
        <v>7823</v>
      </c>
      <c r="L14" s="197"/>
      <c r="M14" s="302"/>
      <c r="N14" s="197"/>
      <c r="O14" s="363"/>
      <c r="P14" s="267"/>
      <c r="Q14" s="361"/>
      <c r="R14" s="267"/>
      <c r="S14" s="267"/>
      <c r="T14" s="267"/>
      <c r="U14" s="267"/>
      <c r="V14" s="267"/>
      <c r="W14" s="361"/>
      <c r="Y14" s="406" t="s">
        <v>7822</v>
      </c>
      <c r="Z14" s="407"/>
      <c r="AA14" s="408"/>
      <c r="AB14" s="408"/>
      <c r="AC14" s="408"/>
      <c r="AD14" s="299" t="s">
        <v>7824</v>
      </c>
    </row>
    <row r="15" spans="1:30" ht="16.5"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7.25" thickTop="1" thickBot="1">
      <c r="A16" s="197"/>
      <c r="B16" s="393" t="s">
        <v>7825</v>
      </c>
      <c r="C16" s="394"/>
      <c r="D16" s="394"/>
      <c r="E16" s="1965"/>
      <c r="F16" s="1966"/>
      <c r="G16" s="1966"/>
      <c r="H16" s="1966"/>
      <c r="I16" s="1964"/>
      <c r="J16" s="197"/>
      <c r="K16" s="197"/>
      <c r="L16" s="197"/>
      <c r="M16" s="197"/>
      <c r="N16" s="197"/>
      <c r="O16" s="363"/>
      <c r="P16" s="267"/>
      <c r="Q16" s="361"/>
      <c r="R16" s="267"/>
      <c r="S16" s="267"/>
      <c r="T16" s="267"/>
      <c r="U16" s="267"/>
      <c r="V16" s="267"/>
      <c r="W16" s="361"/>
      <c r="Y16" s="393" t="s">
        <v>7825</v>
      </c>
      <c r="Z16" s="347"/>
      <c r="AA16" s="395"/>
      <c r="AB16" s="395"/>
      <c r="AC16" s="395"/>
      <c r="AD16" s="83"/>
    </row>
    <row r="17" spans="1:30" ht="15.75" thickTop="1">
      <c r="A17" s="197"/>
      <c r="B17" s="396" t="s">
        <v>7825</v>
      </c>
      <c r="C17" s="277" t="s">
        <v>3137</v>
      </c>
      <c r="D17" s="277">
        <v>3</v>
      </c>
      <c r="E17" s="1967"/>
      <c r="F17" s="1967"/>
      <c r="G17" s="1967"/>
      <c r="H17" s="1967"/>
      <c r="I17" s="1973">
        <f>IFERROR(I14/(SUM('4C'!J46:N46)),0)</f>
        <v>0.68344370367231511</v>
      </c>
      <c r="J17" s="197"/>
      <c r="K17" s="281" t="s">
        <v>7826</v>
      </c>
      <c r="L17" s="197"/>
      <c r="M17" s="283"/>
      <c r="N17" s="197"/>
      <c r="O17" s="363"/>
      <c r="P17" s="267"/>
      <c r="Q17" s="361"/>
      <c r="R17" s="267"/>
      <c r="S17" s="267"/>
      <c r="T17" s="267"/>
      <c r="U17" s="267"/>
      <c r="V17" s="267"/>
      <c r="W17" s="361"/>
      <c r="Y17" s="396" t="s">
        <v>7825</v>
      </c>
      <c r="Z17" s="409"/>
      <c r="AA17" s="409"/>
      <c r="AB17" s="409"/>
      <c r="AC17" s="409"/>
      <c r="AD17" s="410" t="s">
        <v>7827</v>
      </c>
    </row>
    <row r="18" spans="1:30" ht="15.75" thickBot="1">
      <c r="A18" s="197"/>
      <c r="B18" s="411" t="s">
        <v>7828</v>
      </c>
      <c r="C18" s="332" t="s">
        <v>3137</v>
      </c>
      <c r="D18" s="332">
        <v>3</v>
      </c>
      <c r="E18" s="1968"/>
      <c r="F18" s="1969"/>
      <c r="G18" s="1969"/>
      <c r="H18" s="1969"/>
      <c r="I18" s="414">
        <v>0.68344000000000005</v>
      </c>
      <c r="J18" s="197"/>
      <c r="K18" s="356" t="s">
        <v>7829</v>
      </c>
      <c r="L18" s="197"/>
      <c r="M18" s="302"/>
      <c r="N18" s="197"/>
      <c r="O18" s="363"/>
      <c r="P18" s="284">
        <f>IF( SUM( R18:V18 ) = 0, 0, $R$5 )</f>
        <v>0</v>
      </c>
      <c r="Q18" s="361"/>
      <c r="R18" s="267"/>
      <c r="S18" s="267"/>
      <c r="T18" s="267"/>
      <c r="U18" s="267"/>
      <c r="V18" s="285">
        <f xml:space="preserve"> IF( ISNUMBER( I18 ), 0, 1 )</f>
        <v>0</v>
      </c>
      <c r="W18" s="361"/>
      <c r="Y18" s="411" t="s">
        <v>7828</v>
      </c>
      <c r="Z18" s="412"/>
      <c r="AA18" s="413"/>
      <c r="AB18" s="413"/>
      <c r="AC18" s="413"/>
      <c r="AD18" s="414" t="s">
        <v>7830</v>
      </c>
    </row>
    <row r="19" spans="1:30" ht="16.5"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7.25" thickTop="1" thickBot="1">
      <c r="A20" s="197"/>
      <c r="B20" s="393" t="s">
        <v>7831</v>
      </c>
      <c r="C20" s="394"/>
      <c r="D20" s="394"/>
      <c r="E20" s="1965"/>
      <c r="F20" s="1966"/>
      <c r="G20" s="1966"/>
      <c r="H20" s="1966"/>
      <c r="I20" s="1964"/>
      <c r="J20" s="197"/>
      <c r="K20" s="197"/>
      <c r="L20" s="197"/>
      <c r="M20" s="197"/>
      <c r="N20" s="197"/>
      <c r="O20" s="363"/>
      <c r="P20" s="267"/>
      <c r="Q20" s="361"/>
      <c r="R20" s="267"/>
      <c r="S20" s="267"/>
      <c r="T20" s="267"/>
      <c r="U20" s="267"/>
      <c r="V20" s="267"/>
      <c r="W20" s="361"/>
      <c r="Y20" s="393" t="s">
        <v>7831</v>
      </c>
      <c r="Z20" s="347"/>
      <c r="AA20" s="395"/>
      <c r="AB20" s="395"/>
      <c r="AC20" s="395"/>
      <c r="AD20" s="83"/>
    </row>
    <row r="21" spans="1:30" ht="15.75" thickTop="1">
      <c r="A21" s="197"/>
      <c r="B21" s="396" t="s">
        <v>7832</v>
      </c>
      <c r="C21" s="277" t="s">
        <v>681</v>
      </c>
      <c r="D21" s="277">
        <v>3</v>
      </c>
      <c r="E21" s="278">
        <v>93.29</v>
      </c>
      <c r="F21" s="278">
        <v>0.38900000000000001</v>
      </c>
      <c r="G21" s="278">
        <v>180.36600000000001</v>
      </c>
      <c r="H21" s="278">
        <v>12.179</v>
      </c>
      <c r="I21" s="416">
        <f>IFERROR(SUM(E21:H21 ),0)</f>
        <v>286.22399999999999</v>
      </c>
      <c r="J21" s="197"/>
      <c r="K21" s="281" t="s">
        <v>7833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7832</v>
      </c>
      <c r="Z21" s="278" t="s">
        <v>7834</v>
      </c>
      <c r="AA21" s="278" t="s">
        <v>7835</v>
      </c>
      <c r="AB21" s="278" t="s">
        <v>7836</v>
      </c>
      <c r="AC21" s="278" t="s">
        <v>7837</v>
      </c>
      <c r="AD21" s="416" t="s">
        <v>7838</v>
      </c>
    </row>
    <row r="22" spans="1:30" ht="15.75" thickBot="1">
      <c r="A22" s="197"/>
      <c r="B22" s="411" t="s">
        <v>7839</v>
      </c>
      <c r="C22" s="332" t="s">
        <v>681</v>
      </c>
      <c r="D22" s="332">
        <v>3</v>
      </c>
      <c r="E22" s="297">
        <v>93.29</v>
      </c>
      <c r="F22" s="297">
        <v>0.38900000000000001</v>
      </c>
      <c r="G22" s="297">
        <v>15.398999999999999</v>
      </c>
      <c r="H22" s="297">
        <v>0.28499999999999998</v>
      </c>
      <c r="I22" s="417">
        <f>IFERROR(SUM(E22:H22 ),0)</f>
        <v>109.363</v>
      </c>
      <c r="J22" s="197"/>
      <c r="K22" s="356" t="s">
        <v>7840</v>
      </c>
      <c r="L22" s="197"/>
      <c r="M22" s="302"/>
      <c r="N22" s="197"/>
      <c r="O22" s="363"/>
      <c r="P22" s="284">
        <f t="shared" si="1"/>
        <v>0</v>
      </c>
      <c r="Q22" s="361"/>
      <c r="R22" s="285">
        <f t="shared" si="2"/>
        <v>0</v>
      </c>
      <c r="S22" s="285">
        <f t="shared" si="3"/>
        <v>0</v>
      </c>
      <c r="T22" s="285">
        <f t="shared" si="4"/>
        <v>0</v>
      </c>
      <c r="U22" s="285">
        <f t="shared" si="5"/>
        <v>0</v>
      </c>
      <c r="V22" s="267"/>
      <c r="W22" s="361"/>
      <c r="Y22" s="411" t="s">
        <v>7839</v>
      </c>
      <c r="Z22" s="297" t="s">
        <v>7841</v>
      </c>
      <c r="AA22" s="297" t="s">
        <v>7842</v>
      </c>
      <c r="AB22" s="297" t="s">
        <v>7843</v>
      </c>
      <c r="AC22" s="297" t="s">
        <v>7844</v>
      </c>
      <c r="AD22" s="417" t="s">
        <v>7845</v>
      </c>
    </row>
    <row r="23" spans="1:30" ht="16.5"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7.25" thickTop="1" thickBot="1">
      <c r="A24" s="197"/>
      <c r="B24" s="393" t="s">
        <v>7846</v>
      </c>
      <c r="C24" s="394"/>
      <c r="D24" s="394"/>
      <c r="E24" s="1965"/>
      <c r="F24" s="1966"/>
      <c r="G24" s="1966"/>
      <c r="H24" s="1966"/>
      <c r="I24" s="1964"/>
      <c r="J24" s="197"/>
      <c r="K24" s="197"/>
      <c r="L24" s="197"/>
      <c r="M24" s="197"/>
      <c r="N24" s="197"/>
      <c r="O24" s="363"/>
      <c r="P24" s="267"/>
      <c r="Q24" s="370"/>
      <c r="R24" s="267"/>
      <c r="S24" s="267"/>
      <c r="T24" s="267"/>
      <c r="U24" s="267"/>
      <c r="V24" s="267"/>
      <c r="W24" s="370"/>
      <c r="Y24" s="393" t="s">
        <v>7846</v>
      </c>
      <c r="Z24" s="347"/>
      <c r="AA24" s="395"/>
      <c r="AB24" s="395"/>
      <c r="AC24" s="395"/>
      <c r="AD24" s="83"/>
    </row>
    <row r="25" spans="1:30" ht="16.5" customHeight="1" thickTop="1">
      <c r="A25" s="197"/>
      <c r="B25" s="396" t="s">
        <v>7847</v>
      </c>
      <c r="C25" s="277" t="s">
        <v>3137</v>
      </c>
      <c r="D25" s="277">
        <v>3</v>
      </c>
      <c r="E25" s="2357">
        <f>IFERROR(+E21/E11,0)</f>
        <v>4.3538282326322904E-2</v>
      </c>
      <c r="F25" s="2357">
        <f>IFERROR(+F21/F11,0)</f>
        <v>1.9945649387273754E-2</v>
      </c>
      <c r="G25" s="2357">
        <f>IFERROR(+G21/G11,0)</f>
        <v>0.14986850797053583</v>
      </c>
      <c r="H25" s="2357">
        <f>IFERROR(+H21/H11,0)</f>
        <v>0.10372786659058197</v>
      </c>
      <c r="I25" s="2358">
        <f>IFERROR(+I21/I11,0)</f>
        <v>8.217453130423473E-2</v>
      </c>
      <c r="J25" s="197"/>
      <c r="K25" s="281" t="s">
        <v>7848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7847</v>
      </c>
      <c r="Z25" s="418" t="s">
        <v>7849</v>
      </c>
      <c r="AA25" s="418" t="s">
        <v>7850</v>
      </c>
      <c r="AB25" s="418" t="s">
        <v>7851</v>
      </c>
      <c r="AC25" s="418" t="s">
        <v>7852</v>
      </c>
      <c r="AD25" s="2244" t="s">
        <v>7853</v>
      </c>
    </row>
    <row r="26" spans="1:30" ht="15.75" thickBot="1">
      <c r="A26" s="197"/>
      <c r="B26" s="411" t="s">
        <v>7854</v>
      </c>
      <c r="C26" s="332" t="s">
        <v>3137</v>
      </c>
      <c r="D26" s="332">
        <v>3</v>
      </c>
      <c r="E26" s="2359">
        <f>IFERROR(+E22/E11,0)</f>
        <v>4.3538282326322904E-2</v>
      </c>
      <c r="F26" s="2359">
        <f>IFERROR(+F22/F11,0)</f>
        <v>1.9945649387273754E-2</v>
      </c>
      <c r="G26" s="2359">
        <f>IFERROR(+G22/G11,0)</f>
        <v>1.2795233881320653E-2</v>
      </c>
      <c r="H26" s="2359">
        <f>IFERROR(+H22/H11,0)</f>
        <v>2.4273291713864734E-3</v>
      </c>
      <c r="I26" s="2360">
        <f>IFERROR(+I22/I11,0)</f>
        <v>3.1397972451733688E-2</v>
      </c>
      <c r="J26" s="197"/>
      <c r="K26" s="356" t="s">
        <v>7855</v>
      </c>
      <c r="L26" s="197"/>
      <c r="M26" s="302"/>
      <c r="N26" s="197"/>
      <c r="O26" s="363"/>
      <c r="P26" s="284">
        <f t="shared" si="6"/>
        <v>0</v>
      </c>
      <c r="Q26" s="361"/>
      <c r="R26" s="285">
        <f t="shared" si="7"/>
        <v>0</v>
      </c>
      <c r="S26" s="285">
        <f t="shared" si="8"/>
        <v>0</v>
      </c>
      <c r="T26" s="285">
        <f t="shared" si="9"/>
        <v>0</v>
      </c>
      <c r="U26" s="285">
        <f t="shared" si="10"/>
        <v>0</v>
      </c>
      <c r="V26" s="267"/>
      <c r="W26" s="361"/>
      <c r="Y26" s="411" t="s">
        <v>7854</v>
      </c>
      <c r="Z26" s="419" t="s">
        <v>7856</v>
      </c>
      <c r="AA26" s="419" t="s">
        <v>7857</v>
      </c>
      <c r="AB26" s="419" t="s">
        <v>7858</v>
      </c>
      <c r="AC26" s="419" t="s">
        <v>7859</v>
      </c>
      <c r="AD26" s="414" t="s">
        <v>7860</v>
      </c>
    </row>
    <row r="27" spans="1:30" ht="16.5"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7.25" thickTop="1" thickBot="1">
      <c r="A28" s="197"/>
      <c r="B28" s="393" t="s">
        <v>7861</v>
      </c>
      <c r="C28" s="394"/>
      <c r="D28" s="394"/>
      <c r="E28" s="1965"/>
      <c r="F28" s="1966"/>
      <c r="G28" s="1966"/>
      <c r="H28" s="1966"/>
      <c r="I28" s="1964"/>
      <c r="J28" s="197"/>
      <c r="K28" s="197"/>
      <c r="L28" s="197"/>
      <c r="M28" s="197"/>
      <c r="N28" s="197"/>
      <c r="O28" s="363"/>
      <c r="P28" s="267"/>
      <c r="Q28" s="361"/>
      <c r="R28" s="267"/>
      <c r="S28" s="267"/>
      <c r="T28" s="267"/>
      <c r="U28" s="267"/>
      <c r="V28" s="267"/>
      <c r="W28" s="361"/>
      <c r="Y28" s="393" t="s">
        <v>7861</v>
      </c>
      <c r="Z28" s="347"/>
      <c r="AA28" s="395"/>
      <c r="AB28" s="395"/>
      <c r="AC28" s="395"/>
      <c r="AD28" s="83"/>
    </row>
    <row r="29" spans="1:30" ht="16.5" thickTop="1" thickBot="1">
      <c r="A29" s="197"/>
      <c r="B29" s="420" t="s">
        <v>7862</v>
      </c>
      <c r="C29" s="371" t="s">
        <v>1523</v>
      </c>
      <c r="D29" s="371">
        <v>3</v>
      </c>
      <c r="E29" s="421">
        <v>8.9453047837523414</v>
      </c>
      <c r="F29" s="421">
        <v>5</v>
      </c>
      <c r="G29" s="421">
        <v>14.816433157572611</v>
      </c>
      <c r="H29" s="421">
        <v>16</v>
      </c>
      <c r="I29" s="719">
        <v>11.191896268657358</v>
      </c>
      <c r="J29" s="197"/>
      <c r="K29" s="374" t="s">
        <v>7863</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7862</v>
      </c>
      <c r="Z29" s="421" t="s">
        <v>7864</v>
      </c>
      <c r="AA29" s="421" t="s">
        <v>7865</v>
      </c>
      <c r="AB29" s="421" t="s">
        <v>7866</v>
      </c>
      <c r="AC29" s="421" t="s">
        <v>7867</v>
      </c>
      <c r="AD29" s="422" t="s">
        <v>7868</v>
      </c>
    </row>
    <row r="30" spans="1:30" ht="15.75"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00B050"/>
  </sheetPr>
  <dimension ref="A1:BD59"/>
  <sheetViews>
    <sheetView zoomScale="60" zoomScaleNormal="60" workbookViewId="0">
      <selection activeCell="P19" sqref="P19"/>
    </sheetView>
  </sheetViews>
  <sheetFormatPr defaultColWidth="8.625" defaultRowHeight="15"/>
  <cols>
    <col min="1" max="1" width="8.625" style="242"/>
    <col min="2" max="2" width="56.625" style="242" bestFit="1" customWidth="1"/>
    <col min="3" max="3" width="11.125" style="242" customWidth="1"/>
    <col min="4" max="4" width="9.75" style="242" customWidth="1"/>
    <col min="5" max="16" width="17.25" style="242" customWidth="1"/>
    <col min="17" max="19" width="8.625" style="242"/>
    <col min="20" max="20" width="19.75" style="242" customWidth="1"/>
    <col min="21" max="21" width="8.625" style="242"/>
    <col min="22" max="22" width="3.125" style="242" customWidth="1"/>
    <col min="23" max="23" width="29.25" style="242" bestFit="1" customWidth="1"/>
    <col min="24" max="24" width="3.5" style="242" customWidth="1"/>
    <col min="25" max="25" width="27.75" style="242" hidden="1" customWidth="1"/>
    <col min="26" max="37" width="8.625" style="242" hidden="1" customWidth="1"/>
    <col min="38" max="38" width="8.625" style="242"/>
    <col min="39" max="39" width="60.75" style="242" bestFit="1" customWidth="1"/>
    <col min="40" max="40" width="6.125" style="242" bestFit="1" customWidth="1"/>
    <col min="41" max="41" width="5.25" style="242" bestFit="1" customWidth="1"/>
    <col min="42" max="42" width="46.625" style="242" bestFit="1" customWidth="1"/>
    <col min="43" max="43" width="44.75" style="242" bestFit="1" customWidth="1"/>
    <col min="44" max="44" width="43" style="242" bestFit="1" customWidth="1"/>
    <col min="45" max="45" width="46.625" style="242" bestFit="1" customWidth="1"/>
    <col min="46" max="46" width="44.75" style="242" bestFit="1" customWidth="1"/>
    <col min="47" max="47" width="43" style="242" bestFit="1" customWidth="1"/>
    <col min="48" max="48" width="46.625" style="242" bestFit="1" customWidth="1"/>
    <col min="49" max="49" width="44.75" style="242" bestFit="1" customWidth="1"/>
    <col min="50" max="50" width="43" style="242" bestFit="1" customWidth="1"/>
    <col min="51" max="51" width="46.625" style="242" bestFit="1" customWidth="1"/>
    <col min="52" max="52" width="44.75" style="242" bestFit="1" customWidth="1"/>
    <col min="53" max="53" width="43" style="242" bestFit="1" customWidth="1"/>
    <col min="54" max="16384" width="8.625" style="242"/>
  </cols>
  <sheetData>
    <row r="1" spans="1:56" s="423" customFormat="1" ht="23.25">
      <c r="A1" s="1788"/>
      <c r="B1" s="2760" t="s">
        <v>7869</v>
      </c>
      <c r="C1" s="2760"/>
      <c r="D1" s="2760"/>
      <c r="E1" s="2760"/>
      <c r="F1" s="2760"/>
      <c r="G1" s="2760"/>
      <c r="H1" s="2760"/>
      <c r="I1" s="2760"/>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7220</v>
      </c>
      <c r="AN1" s="1802"/>
      <c r="AO1" s="1802"/>
      <c r="AP1" s="1802"/>
      <c r="AQ1" s="1802"/>
      <c r="AR1" s="1789"/>
      <c r="AS1" s="1790"/>
      <c r="AT1" s="1790"/>
      <c r="AU1" s="1790"/>
      <c r="AV1" s="1790"/>
      <c r="AW1" s="1790"/>
      <c r="AX1" s="1789"/>
      <c r="AY1" s="1790"/>
      <c r="AZ1" s="1788"/>
      <c r="BA1" s="1788"/>
      <c r="BB1" s="1788"/>
      <c r="BC1" s="1788"/>
      <c r="BD1" s="1788"/>
    </row>
    <row r="2" spans="1:56" s="423" customFormat="1" ht="23.25">
      <c r="A2" s="1788"/>
      <c r="B2" s="2760" t="str">
        <f>SelectCompany!B4</f>
        <v>Northumbrian Water</v>
      </c>
      <c r="C2" s="2760"/>
      <c r="D2" s="2760"/>
      <c r="E2" s="2760"/>
      <c r="F2" s="2760"/>
      <c r="G2" s="2760"/>
      <c r="H2" s="2760"/>
      <c r="I2" s="2760"/>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0.25">
      <c r="A3" s="1788"/>
      <c r="B3" s="2778" t="s">
        <v>7870</v>
      </c>
      <c r="C3" s="2778"/>
      <c r="D3" s="2778"/>
      <c r="E3" s="2778"/>
      <c r="F3" s="2778"/>
      <c r="G3" s="2778"/>
      <c r="H3" s="2778"/>
      <c r="I3" s="2778"/>
      <c r="J3" s="2778"/>
      <c r="K3" s="2778"/>
      <c r="L3" s="2778"/>
      <c r="M3" s="2778"/>
      <c r="N3" s="2778"/>
      <c r="O3" s="2778"/>
      <c r="P3" s="2778"/>
      <c r="Q3" s="2778"/>
      <c r="R3" s="2778"/>
      <c r="S3" s="2778"/>
      <c r="T3" s="2778"/>
      <c r="U3" s="1805"/>
      <c r="V3" s="340"/>
      <c r="W3" s="1803" t="s">
        <v>7222</v>
      </c>
      <c r="X3" s="1801"/>
      <c r="Y3" s="206"/>
      <c r="Z3" s="206"/>
      <c r="AA3" s="206"/>
      <c r="AB3" s="206"/>
      <c r="AC3" s="206"/>
      <c r="AD3" s="206"/>
      <c r="AE3" s="206"/>
      <c r="AF3" s="206"/>
      <c r="AG3" s="206"/>
      <c r="AH3" s="206"/>
      <c r="AI3" s="206"/>
      <c r="AJ3" s="206"/>
      <c r="AK3" s="1801"/>
      <c r="AL3" s="1788"/>
      <c r="AM3" s="2777" t="s">
        <v>7870</v>
      </c>
      <c r="AN3" s="2778"/>
      <c r="AO3" s="2778"/>
      <c r="AP3" s="2778"/>
      <c r="AQ3" s="2778"/>
      <c r="AR3" s="2778"/>
      <c r="AS3" s="2778"/>
      <c r="AT3" s="2778"/>
      <c r="AU3" s="2778"/>
      <c r="AV3" s="2778"/>
      <c r="AW3" s="2778"/>
      <c r="AX3" s="2778"/>
      <c r="AY3" s="2778"/>
      <c r="AZ3" s="2778"/>
      <c r="BA3" s="2778"/>
      <c r="BB3" s="1788"/>
      <c r="BC3" s="1788"/>
      <c r="BD3" s="1788"/>
    </row>
    <row r="4" spans="1:56" ht="16.5"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7223</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7.25" thickTop="1" thickBot="1">
      <c r="A5" s="1805"/>
      <c r="B5" s="1808"/>
      <c r="C5" s="1807"/>
      <c r="D5" s="1807"/>
      <c r="E5" s="2763" t="s">
        <v>7871</v>
      </c>
      <c r="F5" s="2764"/>
      <c r="G5" s="2764"/>
      <c r="H5" s="2764"/>
      <c r="I5" s="2764"/>
      <c r="J5" s="2764"/>
      <c r="K5" s="2764" t="s">
        <v>7872</v>
      </c>
      <c r="L5" s="2764"/>
      <c r="M5" s="2764"/>
      <c r="N5" s="2764"/>
      <c r="O5" s="2764"/>
      <c r="P5" s="2765"/>
      <c r="Q5" s="1805"/>
      <c r="R5" s="2766" t="s">
        <v>7229</v>
      </c>
      <c r="S5" s="1805"/>
      <c r="T5" s="2766" t="s">
        <v>7230</v>
      </c>
      <c r="U5" s="1805"/>
      <c r="V5" s="340"/>
      <c r="W5" s="1805"/>
      <c r="X5" s="1801"/>
      <c r="Y5" s="242" t="s">
        <v>7231</v>
      </c>
      <c r="AK5" s="1801"/>
      <c r="AL5" s="1805"/>
      <c r="AM5" s="1807"/>
      <c r="AN5" s="1807"/>
      <c r="AO5" s="1807"/>
      <c r="AP5" s="2763" t="s">
        <v>7873</v>
      </c>
      <c r="AQ5" s="2764"/>
      <c r="AR5" s="2764"/>
      <c r="AS5" s="2764"/>
      <c r="AT5" s="2764"/>
      <c r="AU5" s="2764"/>
      <c r="AV5" s="2764" t="s">
        <v>7872</v>
      </c>
      <c r="AW5" s="2764"/>
      <c r="AX5" s="2764"/>
      <c r="AY5" s="2764"/>
      <c r="AZ5" s="2764"/>
      <c r="BA5" s="2765"/>
      <c r="BB5" s="1805"/>
      <c r="BC5" s="1805"/>
      <c r="BD5" s="1805"/>
    </row>
    <row r="6" spans="1:56" ht="16.5" thickTop="1">
      <c r="A6" s="1805"/>
      <c r="B6" s="2769" t="s">
        <v>7224</v>
      </c>
      <c r="C6" s="2764"/>
      <c r="D6" s="2772"/>
      <c r="E6" s="2761" t="s">
        <v>7874</v>
      </c>
      <c r="F6" s="2761" t="s">
        <v>7875</v>
      </c>
      <c r="G6" s="2761" t="s">
        <v>7876</v>
      </c>
      <c r="H6" s="2761" t="s">
        <v>7874</v>
      </c>
      <c r="I6" s="2761" t="s">
        <v>7875</v>
      </c>
      <c r="J6" s="2761" t="s">
        <v>7876</v>
      </c>
      <c r="K6" s="2761" t="s">
        <v>7874</v>
      </c>
      <c r="L6" s="2761" t="s">
        <v>7875</v>
      </c>
      <c r="M6" s="2761" t="s">
        <v>7876</v>
      </c>
      <c r="N6" s="2761" t="s">
        <v>7874</v>
      </c>
      <c r="O6" s="2761" t="s">
        <v>7875</v>
      </c>
      <c r="P6" s="2775" t="s">
        <v>7876</v>
      </c>
      <c r="Q6" s="1805"/>
      <c r="R6" s="2767"/>
      <c r="S6" s="1805"/>
      <c r="T6" s="2767"/>
      <c r="U6" s="1805"/>
      <c r="V6" s="340"/>
      <c r="W6" s="1805"/>
      <c r="X6" s="1801"/>
      <c r="AK6" s="1801"/>
      <c r="AL6" s="1805"/>
      <c r="AM6" s="2769" t="s">
        <v>7224</v>
      </c>
      <c r="AN6" s="2764" t="s">
        <v>7225</v>
      </c>
      <c r="AO6" s="2772" t="s">
        <v>670</v>
      </c>
      <c r="AP6" s="2761" t="s">
        <v>7874</v>
      </c>
      <c r="AQ6" s="2761" t="s">
        <v>7875</v>
      </c>
      <c r="AR6" s="2761" t="s">
        <v>7876</v>
      </c>
      <c r="AS6" s="2761" t="s">
        <v>7874</v>
      </c>
      <c r="AT6" s="2761" t="s">
        <v>7875</v>
      </c>
      <c r="AU6" s="2761" t="s">
        <v>7876</v>
      </c>
      <c r="AV6" s="2761" t="s">
        <v>7874</v>
      </c>
      <c r="AW6" s="2761" t="s">
        <v>7875</v>
      </c>
      <c r="AX6" s="2761" t="s">
        <v>7876</v>
      </c>
      <c r="AY6" s="2761" t="s">
        <v>7874</v>
      </c>
      <c r="AZ6" s="2761" t="s">
        <v>7875</v>
      </c>
      <c r="BA6" s="2775" t="s">
        <v>7876</v>
      </c>
      <c r="BB6" s="1805"/>
      <c r="BC6" s="1805"/>
      <c r="BD6" s="1805"/>
    </row>
    <row r="7" spans="1:56" ht="47.85" customHeight="1" thickBot="1">
      <c r="A7" s="1805"/>
      <c r="B7" s="2770"/>
      <c r="C7" s="2771"/>
      <c r="D7" s="2773"/>
      <c r="E7" s="2774"/>
      <c r="F7" s="2774"/>
      <c r="G7" s="2774"/>
      <c r="H7" s="2762"/>
      <c r="I7" s="2762"/>
      <c r="J7" s="2762"/>
      <c r="K7" s="2762"/>
      <c r="L7" s="2762"/>
      <c r="M7" s="2762"/>
      <c r="N7" s="2762"/>
      <c r="O7" s="2762"/>
      <c r="P7" s="2776"/>
      <c r="Q7" s="1805"/>
      <c r="R7" s="2768"/>
      <c r="S7" s="1805"/>
      <c r="T7" s="2768"/>
      <c r="U7" s="1805"/>
      <c r="V7" s="340"/>
      <c r="W7" s="1805"/>
      <c r="X7" s="1801"/>
      <c r="Y7" s="1854"/>
      <c r="AK7" s="1801"/>
      <c r="AL7" s="1805"/>
      <c r="AM7" s="2770"/>
      <c r="AN7" s="2771"/>
      <c r="AO7" s="2773"/>
      <c r="AP7" s="2762"/>
      <c r="AQ7" s="2762"/>
      <c r="AR7" s="2762"/>
      <c r="AS7" s="2762"/>
      <c r="AT7" s="2762"/>
      <c r="AU7" s="2762"/>
      <c r="AV7" s="2762"/>
      <c r="AW7" s="2762"/>
      <c r="AX7" s="2762"/>
      <c r="AY7" s="2762"/>
      <c r="AZ7" s="2762"/>
      <c r="BA7" s="2776"/>
      <c r="BB7" s="1805"/>
      <c r="BC7" s="1805"/>
      <c r="BD7" s="1805"/>
    </row>
    <row r="8" spans="1:56" ht="17.25" thickTop="1" thickBot="1">
      <c r="A8" s="1805"/>
      <c r="B8" s="1807"/>
      <c r="C8" s="2757" t="s">
        <v>7225</v>
      </c>
      <c r="D8" s="2758"/>
      <c r="E8" s="2745" t="s">
        <v>3137</v>
      </c>
      <c r="F8" s="2746"/>
      <c r="G8" s="2747"/>
      <c r="H8" s="2745" t="s">
        <v>681</v>
      </c>
      <c r="I8" s="2746"/>
      <c r="J8" s="2747"/>
      <c r="K8" s="2745" t="s">
        <v>3137</v>
      </c>
      <c r="L8" s="2746"/>
      <c r="M8" s="2747"/>
      <c r="N8" s="2751" t="s">
        <v>681</v>
      </c>
      <c r="O8" s="2752"/>
      <c r="P8" s="2753"/>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7.25" thickTop="1" thickBot="1">
      <c r="A9" s="1805"/>
      <c r="B9" s="2245" t="s">
        <v>7877</v>
      </c>
      <c r="C9" s="2759" t="s">
        <v>670</v>
      </c>
      <c r="D9" s="2750"/>
      <c r="E9" s="2748">
        <v>2</v>
      </c>
      <c r="F9" s="2749"/>
      <c r="G9" s="2750"/>
      <c r="H9" s="2748">
        <v>3</v>
      </c>
      <c r="I9" s="2749"/>
      <c r="J9" s="2750"/>
      <c r="K9" s="2748">
        <v>2</v>
      </c>
      <c r="L9" s="2749"/>
      <c r="M9" s="2750"/>
      <c r="N9" s="2754">
        <v>3</v>
      </c>
      <c r="O9" s="2755"/>
      <c r="P9" s="2756"/>
      <c r="Q9" s="1805"/>
      <c r="R9" s="1805"/>
      <c r="S9" s="1805"/>
      <c r="T9" s="1805"/>
      <c r="U9" s="1805"/>
      <c r="V9" s="340"/>
      <c r="W9" s="1805"/>
      <c r="X9" s="1801"/>
      <c r="AK9" s="1801"/>
      <c r="AL9" s="1805"/>
      <c r="AM9" s="2245" t="s">
        <v>7877</v>
      </c>
      <c r="AN9" s="1807"/>
      <c r="AO9" s="1807"/>
      <c r="AP9" s="1807"/>
      <c r="AQ9" s="1807"/>
      <c r="AR9" s="1807"/>
      <c r="AS9" s="1807"/>
      <c r="AT9" s="1807"/>
      <c r="AU9" s="1807"/>
      <c r="AV9" s="1807"/>
      <c r="AW9" s="1807"/>
      <c r="AX9" s="1807"/>
      <c r="AY9" s="1807"/>
      <c r="AZ9" s="1807"/>
      <c r="BA9" s="1807"/>
      <c r="BB9" s="1805"/>
      <c r="BC9" s="1805"/>
      <c r="BD9" s="1805"/>
    </row>
    <row r="10" spans="1:56" ht="17.25" thickTop="1" thickBot="1">
      <c r="A10" s="1805"/>
      <c r="B10" s="420" t="s">
        <v>7877</v>
      </c>
      <c r="C10" s="2257" t="s">
        <v>681</v>
      </c>
      <c r="D10" s="2258">
        <v>3</v>
      </c>
      <c r="E10" s="2281">
        <v>1665.3920000000001</v>
      </c>
      <c r="F10" s="2259">
        <f>IFERROR(E10,0)</f>
        <v>1665.3920000000001</v>
      </c>
      <c r="G10" s="2281">
        <v>1266.596</v>
      </c>
      <c r="H10" s="2317"/>
      <c r="I10" s="2317"/>
      <c r="J10" s="2317"/>
      <c r="K10" s="2281">
        <v>1625.249</v>
      </c>
      <c r="L10" s="2259">
        <f>IFERROR(K10,0)</f>
        <v>1625.249</v>
      </c>
      <c r="M10" s="2281">
        <v>1230.8389999999999</v>
      </c>
      <c r="N10" s="2317"/>
      <c r="O10" s="2317"/>
      <c r="P10" s="2318"/>
      <c r="Q10" s="1805"/>
      <c r="R10" s="1810" t="s">
        <v>7878</v>
      </c>
      <c r="S10" s="1805"/>
      <c r="T10" s="1811"/>
      <c r="U10" s="1805"/>
      <c r="V10" s="340"/>
      <c r="W10" s="1804">
        <f>IF( SUM( Y10:AJ10 ) = 0, 0, $Y$5 )</f>
        <v>0</v>
      </c>
      <c r="X10" s="1801"/>
      <c r="Y10" s="1806">
        <f xml:space="preserve"> IF( ISNUMBER( E10 ), 0, 1 )</f>
        <v>0</v>
      </c>
      <c r="AA10" s="1806">
        <f xml:space="preserve"> IF( ISNUMBER( G10 ), 0, 1 )</f>
        <v>0</v>
      </c>
      <c r="AE10" s="1806">
        <f xml:space="preserve"> IF( ISNUMBER( K10 ), 0, 1 )</f>
        <v>0</v>
      </c>
      <c r="AG10" s="1806">
        <f xml:space="preserve"> IF( ISNUMBER( M10 ), 0, 1 )</f>
        <v>0</v>
      </c>
      <c r="AK10" s="1801"/>
      <c r="AL10" s="1805"/>
      <c r="AM10" s="420" t="s">
        <v>7877</v>
      </c>
      <c r="AN10" s="1809" t="s">
        <v>7879</v>
      </c>
      <c r="AO10" s="1809">
        <v>2</v>
      </c>
      <c r="AP10" s="1874" t="s">
        <v>7880</v>
      </c>
      <c r="AQ10" s="1888" t="s">
        <v>7881</v>
      </c>
      <c r="AR10" s="1874" t="s">
        <v>7882</v>
      </c>
      <c r="AS10" s="1888" t="s">
        <v>7880</v>
      </c>
      <c r="AT10" s="1888" t="s">
        <v>7881</v>
      </c>
      <c r="AU10" s="1888" t="s">
        <v>7882</v>
      </c>
      <c r="AV10" s="1874" t="s">
        <v>7883</v>
      </c>
      <c r="AW10" s="1888" t="s">
        <v>7884</v>
      </c>
      <c r="AX10" s="1874" t="s">
        <v>7885</v>
      </c>
      <c r="AY10" s="1888" t="s">
        <v>7883</v>
      </c>
      <c r="AZ10" s="1888" t="s">
        <v>7884</v>
      </c>
      <c r="BA10" s="1889" t="s">
        <v>7885</v>
      </c>
      <c r="BB10" s="1805"/>
      <c r="BC10" s="1805"/>
      <c r="BD10" s="1805"/>
    </row>
    <row r="11" spans="1:56" ht="17.25" thickTop="1" thickBot="1">
      <c r="A11" s="1805"/>
      <c r="B11" s="1808"/>
      <c r="C11" s="1807"/>
      <c r="D11" s="1807"/>
      <c r="E11" s="2249"/>
      <c r="F11" s="2249"/>
      <c r="G11" s="2249"/>
      <c r="H11" s="2260"/>
      <c r="I11" s="2260"/>
      <c r="J11" s="2260"/>
      <c r="K11" s="2249"/>
      <c r="L11" s="2249"/>
      <c r="M11" s="2249"/>
      <c r="N11" s="2260"/>
      <c r="O11" s="2260"/>
      <c r="P11" s="2260"/>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7.25" thickTop="1" thickBot="1">
      <c r="A12" s="1805"/>
      <c r="B12" s="393" t="s">
        <v>7886</v>
      </c>
      <c r="C12" s="1807"/>
      <c r="D12" s="1807"/>
      <c r="E12" s="2249"/>
      <c r="F12" s="2249"/>
      <c r="G12" s="2249"/>
      <c r="H12" s="2260"/>
      <c r="I12" s="2260"/>
      <c r="J12" s="2260"/>
      <c r="K12" s="2249"/>
      <c r="L12" s="2249"/>
      <c r="M12" s="2249"/>
      <c r="N12" s="2260"/>
      <c r="O12" s="1815"/>
      <c r="P12" s="1815"/>
      <c r="Q12" s="1805"/>
      <c r="R12" s="1805"/>
      <c r="S12" s="1805"/>
      <c r="T12" s="1805"/>
      <c r="U12" s="1805"/>
      <c r="V12" s="340"/>
      <c r="W12" s="1805"/>
      <c r="X12" s="1801"/>
      <c r="AK12" s="1801"/>
      <c r="AL12" s="1805"/>
      <c r="AM12" s="393" t="s">
        <v>7886</v>
      </c>
      <c r="AN12" s="1807"/>
      <c r="AO12" s="1807"/>
      <c r="AP12" s="1807"/>
      <c r="AQ12" s="1807"/>
      <c r="AR12" s="1807"/>
      <c r="AS12" s="1807"/>
      <c r="AT12" s="1807"/>
      <c r="AU12" s="1807"/>
      <c r="AV12" s="1807"/>
      <c r="AW12" s="1807"/>
      <c r="AX12" s="1807"/>
      <c r="AY12" s="1807"/>
      <c r="AZ12" s="1807"/>
      <c r="BA12" s="1807"/>
      <c r="BB12" s="1805"/>
      <c r="BC12" s="1805"/>
      <c r="BD12" s="1805"/>
    </row>
    <row r="13" spans="1:56" ht="17.25" thickTop="1" thickBot="1">
      <c r="A13" s="1805"/>
      <c r="B13" s="420" t="s">
        <v>7886</v>
      </c>
      <c r="C13" s="2736" t="s">
        <v>7887</v>
      </c>
      <c r="D13" s="2737"/>
      <c r="E13" s="1975">
        <v>4.4200000000000003E-2</v>
      </c>
      <c r="F13" s="1985">
        <f>IFERROR(+I13/F10,0)</f>
        <v>3.3615835310845735E-2</v>
      </c>
      <c r="G13" s="1989">
        <f>IFERROR(E13,0)</f>
        <v>4.4200000000000003E-2</v>
      </c>
      <c r="H13" s="2261">
        <f>IFERROR(+E10*E13,0)</f>
        <v>73.610326400000005</v>
      </c>
      <c r="I13" s="2262">
        <f>IFERROR(J13,0)</f>
        <v>55.983543200000007</v>
      </c>
      <c r="J13" s="2261">
        <f>IFERROR(+G10*G13,0)</f>
        <v>55.983543200000007</v>
      </c>
      <c r="K13" s="1975">
        <v>4.3900000000000002E-2</v>
      </c>
      <c r="L13" s="1985">
        <f>IFERROR(+O13/L10,0)</f>
        <v>3.3246494598673799E-2</v>
      </c>
      <c r="M13" s="1989">
        <f>IFERROR(K13,0)</f>
        <v>4.3900000000000002E-2</v>
      </c>
      <c r="N13" s="2261">
        <f>IFERROR(+K10*K13,0)</f>
        <v>71.348431099999999</v>
      </c>
      <c r="O13" s="2262">
        <f>IFERROR(P13,0)</f>
        <v>54.033832099999998</v>
      </c>
      <c r="P13" s="2299">
        <f>IFERROR(+M10*M13,0)</f>
        <v>54.033832099999998</v>
      </c>
      <c r="Q13" s="1805"/>
      <c r="R13" s="1810" t="s">
        <v>7888</v>
      </c>
      <c r="S13" s="1813"/>
      <c r="T13" s="1810"/>
      <c r="U13" s="1805"/>
      <c r="V13" s="340"/>
      <c r="W13" s="1804">
        <f>IF( SUM( Y13:AJ13 ) = 0, 0, $Y$5 )</f>
        <v>0</v>
      </c>
      <c r="X13" s="1801"/>
      <c r="Y13" s="1806">
        <f xml:space="preserve"> IF( ISNUMBER( E13 ), 0, 1 )</f>
        <v>0</v>
      </c>
      <c r="AE13" s="1806">
        <f xml:space="preserve"> IF( ISNUMBER( K13 ), 0, 1 )</f>
        <v>0</v>
      </c>
      <c r="AK13" s="1801"/>
      <c r="AL13" s="1805"/>
      <c r="AM13" s="420" t="s">
        <v>7886</v>
      </c>
      <c r="AN13" s="1809" t="s">
        <v>3137</v>
      </c>
      <c r="AO13" s="1809">
        <v>2</v>
      </c>
      <c r="AP13" s="1875" t="s">
        <v>7889</v>
      </c>
      <c r="AQ13" s="1855" t="s">
        <v>7890</v>
      </c>
      <c r="AR13" s="1891" t="s">
        <v>7891</v>
      </c>
      <c r="AS13" s="1856" t="s">
        <v>7892</v>
      </c>
      <c r="AT13" s="1890" t="s">
        <v>7893</v>
      </c>
      <c r="AU13" s="1856" t="s">
        <v>7894</v>
      </c>
      <c r="AV13" s="1875" t="s">
        <v>7895</v>
      </c>
      <c r="AW13" s="1855" t="s">
        <v>7896</v>
      </c>
      <c r="AX13" s="1891" t="s">
        <v>7897</v>
      </c>
      <c r="AY13" s="1856" t="s">
        <v>7898</v>
      </c>
      <c r="AZ13" s="1890" t="s">
        <v>7899</v>
      </c>
      <c r="BA13" s="1861" t="s">
        <v>7900</v>
      </c>
      <c r="BB13" s="1805"/>
      <c r="BC13" s="1805"/>
      <c r="BD13" s="1805"/>
    </row>
    <row r="14" spans="1:56" ht="16.5" thickTop="1">
      <c r="A14" s="1805"/>
      <c r="B14" s="1807"/>
      <c r="C14" s="1814"/>
      <c r="D14" s="1814"/>
      <c r="E14" s="2249"/>
      <c r="F14" s="2249"/>
      <c r="G14" s="2250"/>
      <c r="H14" s="1815"/>
      <c r="I14" s="1815"/>
      <c r="J14" s="1815"/>
      <c r="K14" s="2249"/>
      <c r="L14" s="2249"/>
      <c r="M14" s="2249"/>
      <c r="N14" s="2260"/>
      <c r="O14" s="2260"/>
      <c r="P14" s="2260"/>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5" thickBot="1">
      <c r="A15" s="1805"/>
      <c r="B15" s="1807"/>
      <c r="C15" s="1814"/>
      <c r="D15" s="1814"/>
      <c r="E15" s="2249"/>
      <c r="F15" s="2249"/>
      <c r="G15" s="2249"/>
      <c r="H15" s="2260"/>
      <c r="I15" s="2260"/>
      <c r="J15" s="2260"/>
      <c r="K15" s="2249"/>
      <c r="L15" s="2249"/>
      <c r="M15" s="2249"/>
      <c r="N15" s="2260"/>
      <c r="O15" s="2260"/>
      <c r="P15" s="2260"/>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7.25" thickTop="1" thickBot="1">
      <c r="A16" s="1805"/>
      <c r="B16" s="393" t="s">
        <v>7901</v>
      </c>
      <c r="C16" s="1814"/>
      <c r="D16" s="1814"/>
      <c r="E16" s="2249"/>
      <c r="F16" s="2249"/>
      <c r="G16" s="2249"/>
      <c r="H16" s="2260"/>
      <c r="I16" s="2260"/>
      <c r="J16" s="2260"/>
      <c r="K16" s="2249"/>
      <c r="L16" s="2249"/>
      <c r="M16" s="2249"/>
      <c r="N16" s="2260"/>
      <c r="O16" s="2260"/>
      <c r="P16" s="2260"/>
      <c r="Q16" s="1805"/>
      <c r="R16" s="1805"/>
      <c r="S16" s="1805"/>
      <c r="T16" s="1805"/>
      <c r="U16" s="1805"/>
      <c r="V16" s="340"/>
      <c r="W16" s="1805"/>
      <c r="X16" s="1801"/>
      <c r="AK16" s="1801"/>
      <c r="AL16" s="1805"/>
      <c r="AM16" s="393" t="s">
        <v>7901</v>
      </c>
      <c r="AN16" s="1814"/>
      <c r="AO16" s="1814"/>
      <c r="AP16" s="1815"/>
      <c r="AQ16" s="1815"/>
      <c r="AR16" s="1815"/>
      <c r="AS16" s="1816"/>
      <c r="AT16" s="1816"/>
      <c r="AU16" s="1816"/>
      <c r="AV16" s="1815"/>
      <c r="AW16" s="1815"/>
      <c r="AX16" s="1815"/>
      <c r="AY16" s="1816"/>
      <c r="AZ16" s="1816"/>
      <c r="BA16" s="1816"/>
      <c r="BB16" s="1805"/>
      <c r="BC16" s="1805"/>
      <c r="BD16" s="1805"/>
    </row>
    <row r="17" spans="1:56" ht="16.5" thickTop="1">
      <c r="A17" s="1805"/>
      <c r="B17" s="1817" t="s">
        <v>7902</v>
      </c>
      <c r="C17" s="2743" t="s">
        <v>7887</v>
      </c>
      <c r="D17" s="2744"/>
      <c r="E17" s="2246"/>
      <c r="F17" s="1986">
        <f>IFERROR(+E13-F13,0)</f>
        <v>1.0584164689154268E-2</v>
      </c>
      <c r="G17" s="1986">
        <f t="shared" ref="G17:G22" si="0">IFERROR(+J17/$G$10,0)</f>
        <v>1.287940274562686E-2</v>
      </c>
      <c r="H17" s="2263"/>
      <c r="I17" s="2264">
        <f>IFERROR(+H13-I13,0)</f>
        <v>17.626783199999998</v>
      </c>
      <c r="J17" s="2265">
        <v>16.312999999999999</v>
      </c>
      <c r="K17" s="2246"/>
      <c r="L17" s="1986">
        <f>IFERROR(+K13-L13,0)</f>
        <v>1.0653505401326202E-2</v>
      </c>
      <c r="M17" s="1986">
        <f t="shared" ref="M17:M22" si="1">IFERROR(+P17/$G$10,0)</f>
        <v>1.3195999355753531E-2</v>
      </c>
      <c r="N17" s="2263"/>
      <c r="O17" s="2264">
        <f>IFERROR(+N13-O13,0)</f>
        <v>17.314599000000001</v>
      </c>
      <c r="P17" s="2300">
        <v>16.713999999999999</v>
      </c>
      <c r="Q17" s="1805"/>
      <c r="R17" s="1820" t="s">
        <v>7903</v>
      </c>
      <c r="S17" s="1813"/>
      <c r="T17" s="1820"/>
      <c r="U17" s="1805"/>
      <c r="V17" s="340"/>
      <c r="W17" s="1804">
        <f t="shared" ref="W17:W22" si="2">IF( SUM( Y17:AJ17 ) = 0, 0, $Y$5 )</f>
        <v>0</v>
      </c>
      <c r="X17" s="1801"/>
      <c r="AD17" s="1806">
        <f xml:space="preserve"> IF( ISNUMBER( J17 ), 0, 1 )</f>
        <v>0</v>
      </c>
      <c r="AJ17" s="1806">
        <f xml:space="preserve"> IF( ISNUMBER( P17 ), 0, 1 )</f>
        <v>0</v>
      </c>
      <c r="AK17" s="1801"/>
      <c r="AL17" s="1805"/>
      <c r="AM17" s="1817" t="s">
        <v>7902</v>
      </c>
      <c r="AN17" s="1818" t="s">
        <v>3137</v>
      </c>
      <c r="AO17" s="1818">
        <v>2</v>
      </c>
      <c r="AP17" s="1819"/>
      <c r="AQ17" s="1857" t="s">
        <v>7904</v>
      </c>
      <c r="AR17" s="1857" t="s">
        <v>7905</v>
      </c>
      <c r="AS17" s="1819"/>
      <c r="AT17" s="1860" t="s">
        <v>7906</v>
      </c>
      <c r="AU17" s="1881" t="s">
        <v>7907</v>
      </c>
      <c r="AV17" s="1819"/>
      <c r="AW17" s="1857" t="s">
        <v>7908</v>
      </c>
      <c r="AX17" s="1857" t="s">
        <v>7909</v>
      </c>
      <c r="AY17" s="1819"/>
      <c r="AZ17" s="1860" t="s">
        <v>7910</v>
      </c>
      <c r="BA17" s="1876" t="s">
        <v>7911</v>
      </c>
      <c r="BB17" s="1805"/>
      <c r="BC17" s="1805"/>
      <c r="BD17" s="1805"/>
    </row>
    <row r="18" spans="1:56" ht="15.75">
      <c r="A18" s="1805"/>
      <c r="B18" s="1821" t="s">
        <v>7912</v>
      </c>
      <c r="C18" s="2739" t="s">
        <v>7887</v>
      </c>
      <c r="D18" s="2740"/>
      <c r="E18" s="2247"/>
      <c r="F18" s="1987">
        <f>IFERROR(+I18/$F$10,0)</f>
        <v>0</v>
      </c>
      <c r="G18" s="1987">
        <f t="shared" si="0"/>
        <v>0</v>
      </c>
      <c r="H18" s="2266"/>
      <c r="I18" s="2267">
        <f>IFERROR(J18,0)</f>
        <v>0</v>
      </c>
      <c r="J18" s="2268">
        <v>0</v>
      </c>
      <c r="K18" s="2247"/>
      <c r="L18" s="1987">
        <f>IFERROR(+O18/$F$10,0)</f>
        <v>0</v>
      </c>
      <c r="M18" s="1987">
        <f t="shared" si="1"/>
        <v>0</v>
      </c>
      <c r="N18" s="2266"/>
      <c r="O18" s="2267">
        <f>IFERROR(P18,0)</f>
        <v>0</v>
      </c>
      <c r="P18" s="2301">
        <v>0</v>
      </c>
      <c r="Q18" s="1805"/>
      <c r="R18" s="1824" t="s">
        <v>7913</v>
      </c>
      <c r="S18" s="1813"/>
      <c r="T18" s="1824"/>
      <c r="U18" s="1805"/>
      <c r="V18" s="340"/>
      <c r="W18" s="1804">
        <f t="shared" si="2"/>
        <v>0</v>
      </c>
      <c r="X18" s="1801"/>
      <c r="AD18" s="1806">
        <f t="shared" ref="AC18:AD22" si="3" xml:space="preserve"> IF( ISNUMBER( J18 ), 0, 1 )</f>
        <v>0</v>
      </c>
      <c r="AJ18" s="1806">
        <f t="shared" ref="AI18:AJ22" si="4" xml:space="preserve"> IF( ISNUMBER( P18 ), 0, 1 )</f>
        <v>0</v>
      </c>
      <c r="AK18" s="1801"/>
      <c r="AL18" s="1805"/>
      <c r="AM18" s="1821" t="s">
        <v>7912</v>
      </c>
      <c r="AN18" s="1822" t="s">
        <v>3137</v>
      </c>
      <c r="AO18" s="1822">
        <v>2</v>
      </c>
      <c r="AP18" s="1823"/>
      <c r="AQ18" s="1858" t="s">
        <v>7914</v>
      </c>
      <c r="AR18" s="1858" t="s">
        <v>7915</v>
      </c>
      <c r="AS18" s="1823"/>
      <c r="AT18" s="1892" t="s">
        <v>7916</v>
      </c>
      <c r="AU18" s="1879" t="s">
        <v>7917</v>
      </c>
      <c r="AV18" s="1823"/>
      <c r="AW18" s="1858" t="s">
        <v>7918</v>
      </c>
      <c r="AX18" s="1858" t="s">
        <v>7919</v>
      </c>
      <c r="AY18" s="1823"/>
      <c r="AZ18" s="1892" t="s">
        <v>7920</v>
      </c>
      <c r="BA18" s="1877" t="s">
        <v>7921</v>
      </c>
      <c r="BB18" s="1805"/>
      <c r="BC18" s="1805"/>
      <c r="BD18" s="1805"/>
    </row>
    <row r="19" spans="1:56" ht="15.75">
      <c r="A19" s="1805"/>
      <c r="B19" s="1821" t="s">
        <v>7922</v>
      </c>
      <c r="C19" s="2739" t="s">
        <v>7887</v>
      </c>
      <c r="D19" s="2740"/>
      <c r="E19" s="2247"/>
      <c r="F19" s="1987">
        <f>IFERROR(+I19/$F$10,0)</f>
        <v>1.8127263731301697E-2</v>
      </c>
      <c r="G19" s="1987">
        <f t="shared" si="0"/>
        <v>2.3834750780833035E-2</v>
      </c>
      <c r="H19" s="2266"/>
      <c r="I19" s="2267">
        <f>IFERROR(J19,0)</f>
        <v>30.189</v>
      </c>
      <c r="J19" s="2619">
        <v>30.189</v>
      </c>
      <c r="K19" s="2247"/>
      <c r="L19" s="1987">
        <f>IFERROR(+O19/$F$10,0)</f>
        <v>9.5815279525781321E-3</v>
      </c>
      <c r="M19" s="1987">
        <f t="shared" si="1"/>
        <v>1.2598334433394707E-2</v>
      </c>
      <c r="N19" s="2266"/>
      <c r="O19" s="2267">
        <f>IFERROR(P19,0)</f>
        <v>15.957000000000001</v>
      </c>
      <c r="P19" s="2620">
        <v>15.957000000000001</v>
      </c>
      <c r="Q19" s="1805"/>
      <c r="R19" s="1824" t="s">
        <v>7923</v>
      </c>
      <c r="S19" s="1813"/>
      <c r="T19" s="1824"/>
      <c r="U19" s="1805"/>
      <c r="V19" s="340"/>
      <c r="W19" s="1804">
        <f t="shared" si="2"/>
        <v>0</v>
      </c>
      <c r="X19" s="1801"/>
      <c r="AD19" s="1806">
        <f t="shared" si="3"/>
        <v>0</v>
      </c>
      <c r="AJ19" s="1806">
        <f t="shared" si="4"/>
        <v>0</v>
      </c>
      <c r="AK19" s="1801"/>
      <c r="AL19" s="1805"/>
      <c r="AM19" s="1821" t="s">
        <v>7922</v>
      </c>
      <c r="AN19" s="1822" t="s">
        <v>3137</v>
      </c>
      <c r="AO19" s="1822">
        <v>2</v>
      </c>
      <c r="AP19" s="1823"/>
      <c r="AQ19" s="1858" t="s">
        <v>7924</v>
      </c>
      <c r="AR19" s="1858" t="s">
        <v>7925</v>
      </c>
      <c r="AS19" s="1823"/>
      <c r="AT19" s="1892" t="s">
        <v>7926</v>
      </c>
      <c r="AU19" s="1879" t="s">
        <v>7927</v>
      </c>
      <c r="AV19" s="1823"/>
      <c r="AW19" s="1858" t="s">
        <v>7928</v>
      </c>
      <c r="AX19" s="1858" t="s">
        <v>7929</v>
      </c>
      <c r="AY19" s="1823"/>
      <c r="AZ19" s="1892" t="s">
        <v>7930</v>
      </c>
      <c r="BA19" s="1877" t="s">
        <v>7931</v>
      </c>
      <c r="BB19" s="1805"/>
      <c r="BC19" s="1805"/>
      <c r="BD19" s="1805"/>
    </row>
    <row r="20" spans="1:56" ht="15.75">
      <c r="A20" s="1805"/>
      <c r="B20" s="1821" t="s">
        <v>7932</v>
      </c>
      <c r="C20" s="2739" t="s">
        <v>7887</v>
      </c>
      <c r="D20" s="2740"/>
      <c r="E20" s="2247"/>
      <c r="F20" s="1987">
        <f>IFERROR(+I20/$F$10,0)</f>
        <v>0</v>
      </c>
      <c r="G20" s="1987">
        <f t="shared" si="0"/>
        <v>0</v>
      </c>
      <c r="H20" s="2266"/>
      <c r="I20" s="2267">
        <f>IFERROR(J20,0)</f>
        <v>0</v>
      </c>
      <c r="J20" s="2268">
        <v>0</v>
      </c>
      <c r="K20" s="2247"/>
      <c r="L20" s="1987">
        <f>IFERROR(+O20/$F$10,0)</f>
        <v>0</v>
      </c>
      <c r="M20" s="1987">
        <f t="shared" si="1"/>
        <v>0</v>
      </c>
      <c r="N20" s="2266"/>
      <c r="O20" s="2267">
        <f>IFERROR(P20,0)</f>
        <v>0</v>
      </c>
      <c r="P20" s="2301">
        <v>0</v>
      </c>
      <c r="Q20" s="1805"/>
      <c r="R20" s="1824" t="s">
        <v>7933</v>
      </c>
      <c r="S20" s="1813"/>
      <c r="T20" s="1824"/>
      <c r="U20" s="1805"/>
      <c r="V20" s="340"/>
      <c r="W20" s="1804">
        <f t="shared" si="2"/>
        <v>0</v>
      </c>
      <c r="X20" s="1801"/>
      <c r="AD20" s="1806">
        <f t="shared" si="3"/>
        <v>0</v>
      </c>
      <c r="AJ20" s="1806">
        <f t="shared" si="4"/>
        <v>0</v>
      </c>
      <c r="AK20" s="1801"/>
      <c r="AL20" s="1805"/>
      <c r="AM20" s="1821" t="s">
        <v>7932</v>
      </c>
      <c r="AN20" s="1822" t="s">
        <v>3137</v>
      </c>
      <c r="AO20" s="1822">
        <v>2</v>
      </c>
      <c r="AP20" s="1823"/>
      <c r="AQ20" s="1858" t="s">
        <v>7934</v>
      </c>
      <c r="AR20" s="1858" t="s">
        <v>7935</v>
      </c>
      <c r="AS20" s="1823"/>
      <c r="AT20" s="1892" t="s">
        <v>7936</v>
      </c>
      <c r="AU20" s="1879" t="s">
        <v>7937</v>
      </c>
      <c r="AV20" s="1823"/>
      <c r="AW20" s="1858" t="s">
        <v>7938</v>
      </c>
      <c r="AX20" s="1858" t="s">
        <v>7939</v>
      </c>
      <c r="AY20" s="1823"/>
      <c r="AZ20" s="1892" t="s">
        <v>7940</v>
      </c>
      <c r="BA20" s="1877" t="s">
        <v>7941</v>
      </c>
      <c r="BB20" s="1805"/>
      <c r="BC20" s="1805"/>
      <c r="BD20" s="1805"/>
    </row>
    <row r="21" spans="1:56" ht="15.75">
      <c r="A21" s="1805"/>
      <c r="B21" s="1821" t="s">
        <v>7942</v>
      </c>
      <c r="C21" s="2739" t="s">
        <v>7887</v>
      </c>
      <c r="D21" s="2740"/>
      <c r="E21" s="2247"/>
      <c r="F21" s="1987">
        <f>IFERROR(+I21/$F$10,0)</f>
        <v>4.3536897018840011E-2</v>
      </c>
      <c r="G21" s="1987">
        <f t="shared" si="0"/>
        <v>6.6683457077079039E-2</v>
      </c>
      <c r="H21" s="2266"/>
      <c r="I21" s="2268">
        <v>72.506</v>
      </c>
      <c r="J21" s="2268">
        <v>84.460999999999999</v>
      </c>
      <c r="K21" s="2247"/>
      <c r="L21" s="1987">
        <f>IFERROR(+O21/$F$10,0)</f>
        <v>1.7382093825357634E-2</v>
      </c>
      <c r="M21" s="1987">
        <f t="shared" si="1"/>
        <v>2.6965188584205227E-2</v>
      </c>
      <c r="N21" s="2266"/>
      <c r="O21" s="2268">
        <v>28.948</v>
      </c>
      <c r="P21" s="2301">
        <v>34.154000000000003</v>
      </c>
      <c r="Q21" s="1805"/>
      <c r="R21" s="1824" t="s">
        <v>7943</v>
      </c>
      <c r="S21" s="1813"/>
      <c r="T21" s="1824"/>
      <c r="U21" s="1805"/>
      <c r="V21" s="340"/>
      <c r="W21" s="1804">
        <f t="shared" si="2"/>
        <v>0</v>
      </c>
      <c r="X21" s="1801"/>
      <c r="AC21" s="1806">
        <f t="shared" si="3"/>
        <v>0</v>
      </c>
      <c r="AD21" s="1806">
        <f t="shared" si="3"/>
        <v>0</v>
      </c>
      <c r="AI21" s="1806">
        <f t="shared" si="4"/>
        <v>0</v>
      </c>
      <c r="AJ21" s="1806">
        <f t="shared" si="4"/>
        <v>0</v>
      </c>
      <c r="AK21" s="1801"/>
      <c r="AL21" s="1805"/>
      <c r="AM21" s="1821" t="s">
        <v>7942</v>
      </c>
      <c r="AN21" s="1822" t="s">
        <v>3137</v>
      </c>
      <c r="AO21" s="1822">
        <v>2</v>
      </c>
      <c r="AP21" s="1823"/>
      <c r="AQ21" s="1858" t="s">
        <v>7944</v>
      </c>
      <c r="AR21" s="1858" t="s">
        <v>7945</v>
      </c>
      <c r="AS21" s="1823"/>
      <c r="AT21" s="1879" t="s">
        <v>7946</v>
      </c>
      <c r="AU21" s="1879" t="s">
        <v>7947</v>
      </c>
      <c r="AV21" s="1823"/>
      <c r="AW21" s="1858" t="s">
        <v>7948</v>
      </c>
      <c r="AX21" s="1858" t="s">
        <v>7949</v>
      </c>
      <c r="AY21" s="1823"/>
      <c r="AZ21" s="1879" t="s">
        <v>7950</v>
      </c>
      <c r="BA21" s="1877" t="s">
        <v>7951</v>
      </c>
      <c r="BB21" s="1805"/>
      <c r="BC21" s="1805"/>
      <c r="BD21" s="1805"/>
    </row>
    <row r="22" spans="1:56" ht="16.5" thickBot="1">
      <c r="A22" s="1805"/>
      <c r="B22" s="1825" t="s">
        <v>7952</v>
      </c>
      <c r="C22" s="2741" t="s">
        <v>7887</v>
      </c>
      <c r="D22" s="2742"/>
      <c r="E22" s="2248"/>
      <c r="F22" s="1988">
        <f>IFERROR(+I22/$F$10,0)</f>
        <v>4.1515751246553358E-3</v>
      </c>
      <c r="G22" s="1988">
        <f t="shared" si="0"/>
        <v>5.4587255920593462E-3</v>
      </c>
      <c r="H22" s="2269"/>
      <c r="I22" s="2270">
        <v>6.9139999999999997</v>
      </c>
      <c r="J22" s="2271">
        <v>6.9139999999999997</v>
      </c>
      <c r="K22" s="2248"/>
      <c r="L22" s="1988">
        <f>IFERROR(+O22/$F$10,0)</f>
        <v>3.1253902985002931E-3</v>
      </c>
      <c r="M22" s="1988">
        <f t="shared" si="1"/>
        <v>4.1094397897987996E-3</v>
      </c>
      <c r="N22" s="2269"/>
      <c r="O22" s="2270">
        <v>5.2050000000000001</v>
      </c>
      <c r="P22" s="2302">
        <v>5.2050000000000001</v>
      </c>
      <c r="Q22" s="1805"/>
      <c r="R22" s="1828" t="s">
        <v>7953</v>
      </c>
      <c r="S22" s="1813"/>
      <c r="T22" s="1828"/>
      <c r="U22" s="1805"/>
      <c r="V22" s="340"/>
      <c r="W22" s="1804">
        <f t="shared" si="2"/>
        <v>0</v>
      </c>
      <c r="X22" s="1801"/>
      <c r="AC22" s="1806">
        <f t="shared" si="3"/>
        <v>0</v>
      </c>
      <c r="AD22" s="1806">
        <f t="shared" si="3"/>
        <v>0</v>
      </c>
      <c r="AI22" s="1806">
        <f t="shared" si="4"/>
        <v>0</v>
      </c>
      <c r="AJ22" s="1806">
        <f t="shared" si="4"/>
        <v>0</v>
      </c>
      <c r="AK22" s="1801"/>
      <c r="AL22" s="1805"/>
      <c r="AM22" s="1825" t="s">
        <v>7952</v>
      </c>
      <c r="AN22" s="1826" t="s">
        <v>3137</v>
      </c>
      <c r="AO22" s="1826">
        <v>2</v>
      </c>
      <c r="AP22" s="1827"/>
      <c r="AQ22" s="1859" t="s">
        <v>7954</v>
      </c>
      <c r="AR22" s="1859" t="s">
        <v>7955</v>
      </c>
      <c r="AS22" s="1827"/>
      <c r="AT22" s="1880" t="s">
        <v>7956</v>
      </c>
      <c r="AU22" s="1882" t="s">
        <v>7957</v>
      </c>
      <c r="AV22" s="1827"/>
      <c r="AW22" s="1859" t="s">
        <v>7958</v>
      </c>
      <c r="AX22" s="1859" t="s">
        <v>7959</v>
      </c>
      <c r="AY22" s="1827"/>
      <c r="AZ22" s="1880" t="s">
        <v>7960</v>
      </c>
      <c r="BA22" s="1878" t="s">
        <v>7961</v>
      </c>
      <c r="BB22" s="1805"/>
      <c r="BC22" s="1805"/>
      <c r="BD22" s="1805"/>
    </row>
    <row r="23" spans="1:56" ht="17.25" thickTop="1" thickBot="1">
      <c r="A23" s="1805"/>
      <c r="B23" s="1808"/>
      <c r="C23" s="1814"/>
      <c r="D23" s="1814"/>
      <c r="E23" s="2251"/>
      <c r="F23" s="2251"/>
      <c r="G23" s="2251"/>
      <c r="H23" s="2272"/>
      <c r="I23" s="2272"/>
      <c r="J23" s="2272"/>
      <c r="K23" s="2251"/>
      <c r="L23" s="2251"/>
      <c r="M23" s="2251"/>
      <c r="N23" s="2272"/>
      <c r="O23" s="2272"/>
      <c r="P23" s="2272"/>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7.25" thickTop="1" thickBot="1">
      <c r="A24" s="1805"/>
      <c r="B24" s="1812" t="s">
        <v>7962</v>
      </c>
      <c r="C24" s="2736" t="s">
        <v>7887</v>
      </c>
      <c r="D24" s="2737"/>
      <c r="E24" s="1985">
        <f t="shared" ref="E24:P24" si="5">IFERROR(SUM(E17:E22)+E13,0)</f>
        <v>4.4200000000000003E-2</v>
      </c>
      <c r="F24" s="1985">
        <f t="shared" si="5"/>
        <v>0.11001573587479704</v>
      </c>
      <c r="G24" s="1985">
        <f t="shared" si="5"/>
        <v>0.15305633619559827</v>
      </c>
      <c r="H24" s="2273">
        <f t="shared" si="5"/>
        <v>73.610326400000005</v>
      </c>
      <c r="I24" s="2273">
        <f t="shared" si="5"/>
        <v>183.2193264</v>
      </c>
      <c r="J24" s="2273">
        <f t="shared" si="5"/>
        <v>193.8605432</v>
      </c>
      <c r="K24" s="1985">
        <f t="shared" si="5"/>
        <v>4.3900000000000002E-2</v>
      </c>
      <c r="L24" s="1985">
        <f t="shared" si="5"/>
        <v>7.3989012076436059E-2</v>
      </c>
      <c r="M24" s="1985">
        <f t="shared" si="5"/>
        <v>0.10076896216315226</v>
      </c>
      <c r="N24" s="2273">
        <f t="shared" si="5"/>
        <v>71.348431099999999</v>
      </c>
      <c r="O24" s="2273">
        <f t="shared" si="5"/>
        <v>121.4584311</v>
      </c>
      <c r="P24" s="2303">
        <f t="shared" si="5"/>
        <v>126.0638321</v>
      </c>
      <c r="Q24" s="1805"/>
      <c r="R24" s="1810" t="s">
        <v>7963</v>
      </c>
      <c r="S24" s="1813"/>
      <c r="T24" s="1810"/>
      <c r="U24" s="1805"/>
      <c r="V24" s="340"/>
      <c r="W24" s="1805"/>
      <c r="X24" s="1801"/>
      <c r="AK24" s="1801"/>
      <c r="AL24" s="1805"/>
      <c r="AM24" s="1812" t="s">
        <v>7962</v>
      </c>
      <c r="AN24" s="1809" t="s">
        <v>3137</v>
      </c>
      <c r="AO24" s="1809">
        <v>2</v>
      </c>
      <c r="AP24" s="1855" t="s">
        <v>7964</v>
      </c>
      <c r="AQ24" s="1855" t="s">
        <v>7965</v>
      </c>
      <c r="AR24" s="1855" t="s">
        <v>7966</v>
      </c>
      <c r="AS24" s="1862" t="s">
        <v>7967</v>
      </c>
      <c r="AT24" s="1862" t="s">
        <v>7968</v>
      </c>
      <c r="AU24" s="1862" t="s">
        <v>7969</v>
      </c>
      <c r="AV24" s="1855" t="s">
        <v>7970</v>
      </c>
      <c r="AW24" s="1855" t="s">
        <v>7971</v>
      </c>
      <c r="AX24" s="1855" t="s">
        <v>7972</v>
      </c>
      <c r="AY24" s="1862" t="s">
        <v>7973</v>
      </c>
      <c r="AZ24" s="1862" t="s">
        <v>7974</v>
      </c>
      <c r="BA24" s="1863" t="s">
        <v>7975</v>
      </c>
      <c r="BB24" s="1805"/>
      <c r="BC24" s="1805"/>
      <c r="BD24" s="1805"/>
    </row>
    <row r="25" spans="1:56" ht="16.5" thickTop="1">
      <c r="A25" s="1805"/>
      <c r="B25" s="1807"/>
      <c r="C25" s="1814"/>
      <c r="D25" s="1814"/>
      <c r="E25" s="2249"/>
      <c r="F25" s="2249"/>
      <c r="G25" s="2249"/>
      <c r="H25" s="2272"/>
      <c r="I25" s="2272"/>
      <c r="J25" s="2272"/>
      <c r="K25" s="2249"/>
      <c r="L25" s="2249"/>
      <c r="M25" s="2249"/>
      <c r="N25" s="2272"/>
      <c r="O25" s="2272"/>
      <c r="P25" s="2272"/>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5" thickBot="1">
      <c r="A26" s="1805"/>
      <c r="B26" s="1805"/>
      <c r="C26" s="1805"/>
      <c r="D26" s="1805"/>
      <c r="E26" s="2252"/>
      <c r="F26" s="2252"/>
      <c r="G26" s="2252"/>
      <c r="H26" s="2274"/>
      <c r="I26" s="2274"/>
      <c r="J26" s="2274"/>
      <c r="K26" s="2252"/>
      <c r="L26" s="2252"/>
      <c r="M26" s="2252"/>
      <c r="N26" s="2274"/>
      <c r="O26" s="2274"/>
      <c r="P26" s="2274"/>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7.25" thickTop="1" thickBot="1">
      <c r="A27" s="1805"/>
      <c r="B27" s="393" t="s">
        <v>7976</v>
      </c>
      <c r="C27" s="1807"/>
      <c r="D27" s="1807"/>
      <c r="E27" s="2249"/>
      <c r="F27" s="2249"/>
      <c r="G27" s="2249"/>
      <c r="H27" s="2272"/>
      <c r="I27" s="2272"/>
      <c r="J27" s="2272"/>
      <c r="K27" s="2249"/>
      <c r="L27" s="2249"/>
      <c r="M27" s="2249"/>
      <c r="N27" s="2272"/>
      <c r="O27" s="2272"/>
      <c r="P27" s="2272"/>
      <c r="Q27" s="1805"/>
      <c r="R27" s="1805"/>
      <c r="S27" s="1805"/>
      <c r="T27" s="1805"/>
      <c r="U27" s="1805"/>
      <c r="V27" s="340"/>
      <c r="W27" s="1805"/>
      <c r="X27" s="1801"/>
      <c r="AK27" s="1801"/>
      <c r="AL27" s="1805"/>
      <c r="AM27" s="393" t="s">
        <v>7976</v>
      </c>
      <c r="AN27" s="1807"/>
      <c r="AO27" s="1807"/>
      <c r="AP27" s="1807"/>
      <c r="AQ27" s="1807"/>
      <c r="AR27" s="1807"/>
      <c r="AS27" s="1830"/>
      <c r="AT27" s="1830"/>
      <c r="AU27" s="1830"/>
      <c r="AV27" s="1807"/>
      <c r="AW27" s="1807"/>
      <c r="AX27" s="1807"/>
      <c r="AY27" s="1830"/>
      <c r="AZ27" s="1830"/>
      <c r="BA27" s="1830"/>
      <c r="BB27" s="1805"/>
      <c r="BC27" s="1805"/>
      <c r="BD27" s="1805"/>
    </row>
    <row r="28" spans="1:56" ht="16.5" thickTop="1">
      <c r="A28" s="1805"/>
      <c r="B28" s="1817" t="s">
        <v>7977</v>
      </c>
      <c r="C28" s="2743" t="s">
        <v>7887</v>
      </c>
      <c r="D28" s="2744"/>
      <c r="E28" s="2246"/>
      <c r="F28" s="1986">
        <f t="shared" ref="F28:F33" si="6">IFERROR(+I28/$F$10,0)</f>
        <v>-4.165986146204617E-3</v>
      </c>
      <c r="G28" s="1986">
        <f t="shared" ref="G28:G33" si="7">IFERROR(+J28/$G$10,0)</f>
        <v>-5.4776740176030875E-3</v>
      </c>
      <c r="H28" s="2275"/>
      <c r="I28" s="2276">
        <f t="shared" ref="I28:I33" si="8">IFERROR(J28,0)</f>
        <v>-6.9379999999999997</v>
      </c>
      <c r="J28" s="2265">
        <v>-6.9379999999999997</v>
      </c>
      <c r="K28" s="2246"/>
      <c r="L28" s="1986">
        <f t="shared" ref="L28:L33" si="9">IFERROR(+O28/$F$10,0)</f>
        <v>-5.3122628186036674E-3</v>
      </c>
      <c r="M28" s="1986">
        <f t="shared" ref="M28:M33" si="10">IFERROR(+P28/$G$10,0)</f>
        <v>-6.9848633660614745E-3</v>
      </c>
      <c r="N28" s="2263"/>
      <c r="O28" s="2276">
        <f t="shared" ref="O28:O33" si="11">IFERROR(P28,0)</f>
        <v>-8.8469999999999995</v>
      </c>
      <c r="P28" s="2300">
        <v>-8.8469999999999995</v>
      </c>
      <c r="Q28" s="1805"/>
      <c r="R28" s="1820" t="s">
        <v>7978</v>
      </c>
      <c r="S28" s="1813"/>
      <c r="T28" s="1820"/>
      <c r="U28" s="1805"/>
      <c r="V28" s="340"/>
      <c r="W28" s="1804">
        <f t="shared" ref="W28:W33" si="12">IF( SUM( Y28:AJ28 ) = 0, 0, $Y$5 )</f>
        <v>0</v>
      </c>
      <c r="X28" s="1801"/>
      <c r="AD28" s="1806">
        <f xml:space="preserve"> IF( ISNUMBER( J28 ), 0, 1 )</f>
        <v>0</v>
      </c>
      <c r="AJ28" s="1806">
        <f xml:space="preserve"> IF( ISNUMBER( P28 ), 0, 1 )</f>
        <v>0</v>
      </c>
      <c r="AK28" s="1801"/>
      <c r="AL28" s="1805"/>
      <c r="AM28" s="1817" t="s">
        <v>7977</v>
      </c>
      <c r="AN28" s="1818" t="s">
        <v>3137</v>
      </c>
      <c r="AO28" s="1818">
        <v>2</v>
      </c>
      <c r="AP28" s="1819"/>
      <c r="AQ28" s="1857" t="s">
        <v>7979</v>
      </c>
      <c r="AR28" s="1857" t="s">
        <v>7980</v>
      </c>
      <c r="AS28" s="1819"/>
      <c r="AT28" s="1893" t="s">
        <v>7981</v>
      </c>
      <c r="AU28" s="1881" t="s">
        <v>7982</v>
      </c>
      <c r="AV28" s="1819"/>
      <c r="AW28" s="1857" t="s">
        <v>7983</v>
      </c>
      <c r="AX28" s="1857" t="s">
        <v>7984</v>
      </c>
      <c r="AY28" s="1819"/>
      <c r="AZ28" s="1893" t="s">
        <v>7985</v>
      </c>
      <c r="BA28" s="1876" t="s">
        <v>7986</v>
      </c>
      <c r="BB28" s="1805"/>
      <c r="BC28" s="1805"/>
      <c r="BD28" s="1805"/>
    </row>
    <row r="29" spans="1:56" ht="15.75">
      <c r="A29" s="1805"/>
      <c r="B29" s="1821" t="s">
        <v>7987</v>
      </c>
      <c r="C29" s="2739" t="s">
        <v>7887</v>
      </c>
      <c r="D29" s="2740"/>
      <c r="E29" s="2247"/>
      <c r="F29" s="1987">
        <f t="shared" si="6"/>
        <v>-3.8861721444560801E-3</v>
      </c>
      <c r="G29" s="1987">
        <f t="shared" si="7"/>
        <v>-5.1097587549621196E-3</v>
      </c>
      <c r="H29" s="2277"/>
      <c r="I29" s="2267">
        <f t="shared" si="8"/>
        <v>-6.4720000000000004</v>
      </c>
      <c r="J29" s="2619">
        <v>-6.4720000000000004</v>
      </c>
      <c r="K29" s="2247"/>
      <c r="L29" s="1987">
        <f t="shared" si="9"/>
        <v>-2.7128748066521271E-3</v>
      </c>
      <c r="M29" s="1987">
        <f t="shared" si="10"/>
        <v>-3.5670411086092171E-3</v>
      </c>
      <c r="N29" s="2266"/>
      <c r="O29" s="2267">
        <f t="shared" si="11"/>
        <v>-4.5179999999999998</v>
      </c>
      <c r="P29" s="2620">
        <v>-4.5179999999999998</v>
      </c>
      <c r="Q29" s="1805"/>
      <c r="R29" s="1824" t="s">
        <v>7988</v>
      </c>
      <c r="S29" s="1813"/>
      <c r="T29" s="1824"/>
      <c r="U29" s="1805"/>
      <c r="V29" s="340"/>
      <c r="W29" s="1804">
        <f t="shared" si="12"/>
        <v>0</v>
      </c>
      <c r="X29" s="1801"/>
      <c r="AD29" s="1806">
        <f t="shared" ref="AD29:AD33" si="13" xml:space="preserve"> IF( ISNUMBER( J29 ), 0, 1 )</f>
        <v>0</v>
      </c>
      <c r="AJ29" s="1806">
        <f t="shared" ref="AJ29:AJ33" si="14" xml:space="preserve"> IF( ISNUMBER( P29 ), 0, 1 )</f>
        <v>0</v>
      </c>
      <c r="AK29" s="1801"/>
      <c r="AL29" s="1805"/>
      <c r="AM29" s="1821" t="s">
        <v>7987</v>
      </c>
      <c r="AN29" s="1822" t="s">
        <v>3137</v>
      </c>
      <c r="AO29" s="1822">
        <v>2</v>
      </c>
      <c r="AP29" s="1823"/>
      <c r="AQ29" s="1858" t="s">
        <v>7989</v>
      </c>
      <c r="AR29" s="1858" t="s">
        <v>7990</v>
      </c>
      <c r="AS29" s="1823"/>
      <c r="AT29" s="1892" t="s">
        <v>7991</v>
      </c>
      <c r="AU29" s="1879" t="s">
        <v>7992</v>
      </c>
      <c r="AV29" s="1823"/>
      <c r="AW29" s="1858" t="s">
        <v>7993</v>
      </c>
      <c r="AX29" s="1858" t="s">
        <v>7994</v>
      </c>
      <c r="AY29" s="1823"/>
      <c r="AZ29" s="1892" t="s">
        <v>7995</v>
      </c>
      <c r="BA29" s="1877" t="s">
        <v>7996</v>
      </c>
      <c r="BB29" s="1805"/>
      <c r="BC29" s="1805"/>
      <c r="BD29" s="1805"/>
    </row>
    <row r="30" spans="1:56" ht="15.75">
      <c r="A30" s="1805"/>
      <c r="B30" s="1821" t="s">
        <v>7997</v>
      </c>
      <c r="C30" s="2739" t="s">
        <v>7887</v>
      </c>
      <c r="D30" s="2740"/>
      <c r="E30" s="2247"/>
      <c r="F30" s="1987">
        <f t="shared" si="6"/>
        <v>1.7287221266824868E-3</v>
      </c>
      <c r="G30" s="1987">
        <f t="shared" si="7"/>
        <v>2.2730215475179143E-3</v>
      </c>
      <c r="H30" s="2277"/>
      <c r="I30" s="2267">
        <f t="shared" si="8"/>
        <v>2.879</v>
      </c>
      <c r="J30" s="2268">
        <v>2.879</v>
      </c>
      <c r="K30" s="2247"/>
      <c r="L30" s="1987">
        <f t="shared" si="9"/>
        <v>1.1618886124107719E-3</v>
      </c>
      <c r="M30" s="1987">
        <f t="shared" si="10"/>
        <v>1.527716809464107E-3</v>
      </c>
      <c r="N30" s="2266"/>
      <c r="O30" s="2267">
        <f t="shared" si="11"/>
        <v>1.9350000000000001</v>
      </c>
      <c r="P30" s="2301">
        <v>1.9350000000000001</v>
      </c>
      <c r="Q30" s="1805"/>
      <c r="R30" s="1824" t="s">
        <v>7998</v>
      </c>
      <c r="S30" s="1813"/>
      <c r="T30" s="1824"/>
      <c r="U30" s="1805"/>
      <c r="V30" s="340"/>
      <c r="W30" s="1804">
        <f t="shared" si="12"/>
        <v>0</v>
      </c>
      <c r="X30" s="1801"/>
      <c r="AD30" s="1806">
        <f t="shared" si="13"/>
        <v>0</v>
      </c>
      <c r="AJ30" s="1806">
        <f t="shared" si="14"/>
        <v>0</v>
      </c>
      <c r="AK30" s="1801"/>
      <c r="AL30" s="1805"/>
      <c r="AM30" s="1821" t="s">
        <v>7997</v>
      </c>
      <c r="AN30" s="1822" t="s">
        <v>3137</v>
      </c>
      <c r="AO30" s="1822">
        <v>2</v>
      </c>
      <c r="AP30" s="1823"/>
      <c r="AQ30" s="1858" t="s">
        <v>7999</v>
      </c>
      <c r="AR30" s="1858" t="s">
        <v>8000</v>
      </c>
      <c r="AS30" s="1823"/>
      <c r="AT30" s="1892" t="s">
        <v>8001</v>
      </c>
      <c r="AU30" s="1879" t="s">
        <v>8002</v>
      </c>
      <c r="AV30" s="1823"/>
      <c r="AW30" s="1858" t="s">
        <v>8003</v>
      </c>
      <c r="AX30" s="1858" t="s">
        <v>8004</v>
      </c>
      <c r="AY30" s="1823"/>
      <c r="AZ30" s="1892" t="s">
        <v>8005</v>
      </c>
      <c r="BA30" s="1877" t="s">
        <v>8006</v>
      </c>
      <c r="BB30" s="1805"/>
      <c r="BC30" s="1805"/>
      <c r="BD30" s="1805"/>
    </row>
    <row r="31" spans="1:56" ht="15.75">
      <c r="A31" s="1805"/>
      <c r="B31" s="1821" t="s">
        <v>8007</v>
      </c>
      <c r="C31" s="2739" t="s">
        <v>7887</v>
      </c>
      <c r="D31" s="2740"/>
      <c r="E31" s="2247"/>
      <c r="F31" s="1987">
        <f t="shared" si="6"/>
        <v>4.2032146185402592E-4</v>
      </c>
      <c r="G31" s="1987">
        <f t="shared" si="7"/>
        <v>5.5266241169244174E-4</v>
      </c>
      <c r="H31" s="2277"/>
      <c r="I31" s="2267">
        <f t="shared" si="8"/>
        <v>0.7</v>
      </c>
      <c r="J31" s="2268">
        <v>0.7</v>
      </c>
      <c r="K31" s="2247"/>
      <c r="L31" s="1987">
        <f t="shared" si="9"/>
        <v>2.10761190158233E-4</v>
      </c>
      <c r="M31" s="1987">
        <f t="shared" si="10"/>
        <v>2.7712072357721009E-4</v>
      </c>
      <c r="N31" s="2266"/>
      <c r="O31" s="2267">
        <f t="shared" si="11"/>
        <v>0.35099999999999998</v>
      </c>
      <c r="P31" s="2301">
        <v>0.35099999999999998</v>
      </c>
      <c r="Q31" s="1805"/>
      <c r="R31" s="1824" t="s">
        <v>8008</v>
      </c>
      <c r="S31" s="1813"/>
      <c r="T31" s="1824"/>
      <c r="U31" s="1805"/>
      <c r="V31" s="340"/>
      <c r="W31" s="1804">
        <f t="shared" si="12"/>
        <v>0</v>
      </c>
      <c r="X31" s="1801"/>
      <c r="AD31" s="1806">
        <f t="shared" si="13"/>
        <v>0</v>
      </c>
      <c r="AJ31" s="1806">
        <f t="shared" si="14"/>
        <v>0</v>
      </c>
      <c r="AK31" s="1801"/>
      <c r="AL31" s="1805"/>
      <c r="AM31" s="1821" t="s">
        <v>8007</v>
      </c>
      <c r="AN31" s="1822" t="s">
        <v>3137</v>
      </c>
      <c r="AO31" s="1822">
        <v>2</v>
      </c>
      <c r="AP31" s="1823"/>
      <c r="AQ31" s="1858" t="s">
        <v>8009</v>
      </c>
      <c r="AR31" s="1858" t="s">
        <v>8010</v>
      </c>
      <c r="AS31" s="1823"/>
      <c r="AT31" s="1892" t="s">
        <v>8011</v>
      </c>
      <c r="AU31" s="1879" t="s">
        <v>8012</v>
      </c>
      <c r="AV31" s="1823"/>
      <c r="AW31" s="1858" t="s">
        <v>8013</v>
      </c>
      <c r="AX31" s="1858" t="s">
        <v>8014</v>
      </c>
      <c r="AY31" s="1823"/>
      <c r="AZ31" s="1892" t="s">
        <v>8015</v>
      </c>
      <c r="BA31" s="1877" t="s">
        <v>8016</v>
      </c>
      <c r="BB31" s="1805"/>
      <c r="BC31" s="1805"/>
      <c r="BD31" s="1805"/>
    </row>
    <row r="32" spans="1:56" ht="15.75">
      <c r="A32" s="1805"/>
      <c r="B32" s="1821" t="s">
        <v>8017</v>
      </c>
      <c r="C32" s="2739" t="s">
        <v>7887</v>
      </c>
      <c r="D32" s="2740"/>
      <c r="E32" s="2247"/>
      <c r="F32" s="1987">
        <f t="shared" si="6"/>
        <v>-3.464049304908394E-3</v>
      </c>
      <c r="G32" s="1987">
        <f t="shared" si="7"/>
        <v>-4.5547277900767095E-3</v>
      </c>
      <c r="H32" s="2277"/>
      <c r="I32" s="2267">
        <f t="shared" si="8"/>
        <v>-5.7690000000000001</v>
      </c>
      <c r="J32" s="2619">
        <v>-5.7690000000000001</v>
      </c>
      <c r="K32" s="2247"/>
      <c r="L32" s="1987">
        <f t="shared" si="9"/>
        <v>-5.0438575422483119E-3</v>
      </c>
      <c r="M32" s="1987">
        <f t="shared" si="10"/>
        <v>-6.6319489403093021E-3</v>
      </c>
      <c r="N32" s="2266"/>
      <c r="O32" s="2267">
        <f t="shared" si="11"/>
        <v>-8.4</v>
      </c>
      <c r="P32" s="2620">
        <v>-8.4</v>
      </c>
      <c r="Q32" s="1805"/>
      <c r="R32" s="1824" t="s">
        <v>8018</v>
      </c>
      <c r="S32" s="1813"/>
      <c r="T32" s="1824"/>
      <c r="U32" s="1805"/>
      <c r="V32" s="340"/>
      <c r="W32" s="1804">
        <f t="shared" si="12"/>
        <v>0</v>
      </c>
      <c r="X32" s="1801"/>
      <c r="AD32" s="1806">
        <f t="shared" si="13"/>
        <v>0</v>
      </c>
      <c r="AJ32" s="1806">
        <f t="shared" si="14"/>
        <v>0</v>
      </c>
      <c r="AK32" s="1801"/>
      <c r="AL32" s="1805"/>
      <c r="AM32" s="1821" t="s">
        <v>8017</v>
      </c>
      <c r="AN32" s="1822" t="s">
        <v>3137</v>
      </c>
      <c r="AO32" s="1822">
        <v>2</v>
      </c>
      <c r="AP32" s="1823"/>
      <c r="AQ32" s="1858" t="s">
        <v>8019</v>
      </c>
      <c r="AR32" s="1858" t="s">
        <v>8020</v>
      </c>
      <c r="AS32" s="1823"/>
      <c r="AT32" s="1892" t="s">
        <v>8021</v>
      </c>
      <c r="AU32" s="1879" t="s">
        <v>8022</v>
      </c>
      <c r="AV32" s="1823"/>
      <c r="AW32" s="1858" t="s">
        <v>8023</v>
      </c>
      <c r="AX32" s="1858" t="s">
        <v>8024</v>
      </c>
      <c r="AY32" s="1823"/>
      <c r="AZ32" s="1892" t="s">
        <v>8025</v>
      </c>
      <c r="BA32" s="1877" t="s">
        <v>8026</v>
      </c>
      <c r="BB32" s="1805"/>
      <c r="BC32" s="1805"/>
      <c r="BD32" s="1805"/>
    </row>
    <row r="33" spans="1:56" ht="15.75">
      <c r="A33" s="1805"/>
      <c r="B33" s="1821" t="s">
        <v>8027</v>
      </c>
      <c r="C33" s="2739" t="s">
        <v>7887</v>
      </c>
      <c r="D33" s="2740"/>
      <c r="E33" s="2247"/>
      <c r="F33" s="1987">
        <f t="shared" si="6"/>
        <v>1.4597163910959102E-3</v>
      </c>
      <c r="G33" s="1987">
        <f t="shared" si="7"/>
        <v>1.9193176040347515E-3</v>
      </c>
      <c r="H33" s="2277"/>
      <c r="I33" s="2267">
        <f t="shared" si="8"/>
        <v>2.431</v>
      </c>
      <c r="J33" s="2268">
        <v>2.431</v>
      </c>
      <c r="K33" s="2247"/>
      <c r="L33" s="1987">
        <f t="shared" si="9"/>
        <v>6.6711020588546119E-4</v>
      </c>
      <c r="M33" s="1987">
        <f t="shared" si="10"/>
        <v>8.7715419912900397E-4</v>
      </c>
      <c r="N33" s="2266"/>
      <c r="O33" s="2267">
        <f t="shared" si="11"/>
        <v>1.111</v>
      </c>
      <c r="P33" s="2301">
        <v>1.111</v>
      </c>
      <c r="Q33" s="1805"/>
      <c r="R33" s="1824" t="s">
        <v>8028</v>
      </c>
      <c r="S33" s="1813"/>
      <c r="T33" s="1824"/>
      <c r="U33" s="1805"/>
      <c r="V33" s="340"/>
      <c r="W33" s="1804">
        <f t="shared" si="12"/>
        <v>0</v>
      </c>
      <c r="X33" s="1801"/>
      <c r="AD33" s="1806">
        <f t="shared" si="13"/>
        <v>0</v>
      </c>
      <c r="AJ33" s="1806">
        <f t="shared" si="14"/>
        <v>0</v>
      </c>
      <c r="AK33" s="1801"/>
      <c r="AL33" s="1805"/>
      <c r="AM33" s="1821" t="s">
        <v>8027</v>
      </c>
      <c r="AN33" s="1822" t="s">
        <v>3137</v>
      </c>
      <c r="AO33" s="1822">
        <v>2</v>
      </c>
      <c r="AP33" s="1823"/>
      <c r="AQ33" s="1858" t="s">
        <v>8029</v>
      </c>
      <c r="AR33" s="1858" t="s">
        <v>8030</v>
      </c>
      <c r="AS33" s="1823"/>
      <c r="AT33" s="1892" t="s">
        <v>8031</v>
      </c>
      <c r="AU33" s="1879" t="s">
        <v>8032</v>
      </c>
      <c r="AV33" s="1823"/>
      <c r="AW33" s="1858" t="s">
        <v>8033</v>
      </c>
      <c r="AX33" s="1858" t="s">
        <v>8034</v>
      </c>
      <c r="AY33" s="1823"/>
      <c r="AZ33" s="1892" t="s">
        <v>8035</v>
      </c>
      <c r="BA33" s="1877" t="s">
        <v>8036</v>
      </c>
      <c r="BB33" s="1805"/>
      <c r="BC33" s="1805"/>
      <c r="BD33" s="1805"/>
    </row>
    <row r="34" spans="1:56" ht="16.5" thickBot="1">
      <c r="A34" s="1805"/>
      <c r="B34" s="1825" t="s">
        <v>8037</v>
      </c>
      <c r="C34" s="2741" t="s">
        <v>7887</v>
      </c>
      <c r="D34" s="2742"/>
      <c r="E34" s="2248"/>
      <c r="F34" s="1988">
        <f>IFERROR(SUM(F28:F33),0)</f>
        <v>-7.9074476159366677E-3</v>
      </c>
      <c r="G34" s="1988">
        <f>IFERROR(SUM(G28:G33),0)</f>
        <v>-1.0397158999396808E-2</v>
      </c>
      <c r="H34" s="2278"/>
      <c r="I34" s="2279">
        <f>IFERROR(SUM(I28:I33),0)</f>
        <v>-13.169</v>
      </c>
      <c r="J34" s="2279">
        <f>IFERROR(SUM(J28:J33),0)</f>
        <v>-13.169</v>
      </c>
      <c r="K34" s="2248"/>
      <c r="L34" s="1988">
        <f>IFERROR(SUM(L28:L33),0)</f>
        <v>-1.102923515904964E-2</v>
      </c>
      <c r="M34" s="1988">
        <f>IFERROR(SUM(M28:M33),0)</f>
        <v>-1.4501861682809673E-2</v>
      </c>
      <c r="N34" s="2269"/>
      <c r="O34" s="2279">
        <f>IFERROR(SUM(O28:O33),0)</f>
        <v>-18.367999999999999</v>
      </c>
      <c r="P34" s="2304">
        <f>IFERROR(SUM(P28:P33),0)</f>
        <v>-18.367999999999999</v>
      </c>
      <c r="Q34" s="1805"/>
      <c r="R34" s="1828" t="s">
        <v>8038</v>
      </c>
      <c r="S34" s="1813"/>
      <c r="T34" s="1828"/>
      <c r="U34" s="1805"/>
      <c r="V34" s="340"/>
      <c r="W34" s="1805"/>
      <c r="X34" s="1801"/>
      <c r="AK34" s="1801"/>
      <c r="AL34" s="1805"/>
      <c r="AM34" s="1825" t="s">
        <v>8037</v>
      </c>
      <c r="AN34" s="1826" t="s">
        <v>3137</v>
      </c>
      <c r="AO34" s="1826">
        <v>2</v>
      </c>
      <c r="AP34" s="1827"/>
      <c r="AQ34" s="1859" t="s">
        <v>8039</v>
      </c>
      <c r="AR34" s="1859" t="s">
        <v>8040</v>
      </c>
      <c r="AS34" s="1827"/>
      <c r="AT34" s="1864" t="s">
        <v>8041</v>
      </c>
      <c r="AU34" s="1864" t="s">
        <v>8042</v>
      </c>
      <c r="AV34" s="1827"/>
      <c r="AW34" s="1859" t="s">
        <v>8043</v>
      </c>
      <c r="AX34" s="1859" t="s">
        <v>8044</v>
      </c>
      <c r="AY34" s="1827"/>
      <c r="AZ34" s="1864" t="s">
        <v>8045</v>
      </c>
      <c r="BA34" s="1865" t="s">
        <v>8046</v>
      </c>
      <c r="BB34" s="1805"/>
      <c r="BC34" s="1805"/>
      <c r="BD34" s="1805"/>
    </row>
    <row r="35" spans="1:56" ht="17.25" thickTop="1" thickBot="1">
      <c r="A35" s="1805"/>
      <c r="B35" s="1807"/>
      <c r="C35" s="1814"/>
      <c r="D35" s="1814"/>
      <c r="E35" s="2249"/>
      <c r="F35" s="2249"/>
      <c r="G35" s="2249"/>
      <c r="H35" s="2272"/>
      <c r="I35" s="2272"/>
      <c r="J35" s="2272"/>
      <c r="K35" s="2249"/>
      <c r="L35" s="2249"/>
      <c r="M35" s="2249"/>
      <c r="N35" s="2272"/>
      <c r="O35" s="2272"/>
      <c r="P35" s="2272"/>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7.25" thickTop="1" thickBot="1">
      <c r="A36" s="1805"/>
      <c r="B36" s="1812" t="s">
        <v>8047</v>
      </c>
      <c r="C36" s="2736" t="s">
        <v>7887</v>
      </c>
      <c r="D36" s="2737"/>
      <c r="E36" s="1985">
        <f t="shared" ref="E36:P36" si="15">IFERROR(+E24+E34,0)</f>
        <v>4.4200000000000003E-2</v>
      </c>
      <c r="F36" s="1985">
        <f t="shared" si="15"/>
        <v>0.10210828825886037</v>
      </c>
      <c r="G36" s="1985">
        <f t="shared" si="15"/>
        <v>0.14265917719620147</v>
      </c>
      <c r="H36" s="2273">
        <f t="shared" si="15"/>
        <v>73.610326400000005</v>
      </c>
      <c r="I36" s="2273">
        <f t="shared" si="15"/>
        <v>170.05032639999999</v>
      </c>
      <c r="J36" s="2273">
        <f t="shared" si="15"/>
        <v>180.69154319999998</v>
      </c>
      <c r="K36" s="1985">
        <f t="shared" si="15"/>
        <v>4.3900000000000002E-2</v>
      </c>
      <c r="L36" s="1985">
        <f t="shared" si="15"/>
        <v>6.2959776917386412E-2</v>
      </c>
      <c r="M36" s="1985">
        <f t="shared" si="15"/>
        <v>8.6267100480342584E-2</v>
      </c>
      <c r="N36" s="2273">
        <f t="shared" si="15"/>
        <v>71.348431099999999</v>
      </c>
      <c r="O36" s="2273">
        <f t="shared" si="15"/>
        <v>103.0904311</v>
      </c>
      <c r="P36" s="2303">
        <f t="shared" si="15"/>
        <v>107.6958321</v>
      </c>
      <c r="Q36" s="1805"/>
      <c r="R36" s="1810" t="s">
        <v>8048</v>
      </c>
      <c r="S36" s="1813"/>
      <c r="T36" s="1810"/>
      <c r="U36" s="1805"/>
      <c r="V36" s="340"/>
      <c r="W36" s="1805"/>
      <c r="X36" s="1801"/>
      <c r="AK36" s="1801"/>
      <c r="AL36" s="1805"/>
      <c r="AM36" s="1812" t="s">
        <v>8047</v>
      </c>
      <c r="AN36" s="1809" t="s">
        <v>3137</v>
      </c>
      <c r="AO36" s="1809">
        <v>2</v>
      </c>
      <c r="AP36" s="1855" t="s">
        <v>8049</v>
      </c>
      <c r="AQ36" s="1855" t="s">
        <v>8050</v>
      </c>
      <c r="AR36" s="1855" t="s">
        <v>8051</v>
      </c>
      <c r="AS36" s="1862" t="s">
        <v>8052</v>
      </c>
      <c r="AT36" s="1862" t="s">
        <v>8053</v>
      </c>
      <c r="AU36" s="1862" t="s">
        <v>8054</v>
      </c>
      <c r="AV36" s="1855" t="s">
        <v>8055</v>
      </c>
      <c r="AW36" s="1855" t="s">
        <v>8056</v>
      </c>
      <c r="AX36" s="1855" t="s">
        <v>8057</v>
      </c>
      <c r="AY36" s="1862" t="s">
        <v>8058</v>
      </c>
      <c r="AZ36" s="1862" t="s">
        <v>8059</v>
      </c>
      <c r="BA36" s="1863" t="s">
        <v>8060</v>
      </c>
      <c r="BB36" s="1805"/>
      <c r="BC36" s="1805"/>
      <c r="BD36" s="1805"/>
    </row>
    <row r="37" spans="1:56" ht="17.25" thickTop="1" thickBot="1">
      <c r="A37" s="1805"/>
      <c r="B37" s="1807"/>
      <c r="C37" s="1814"/>
      <c r="D37" s="1814"/>
      <c r="E37" s="2249"/>
      <c r="F37" s="2249"/>
      <c r="G37" s="2249"/>
      <c r="H37" s="2272"/>
      <c r="I37" s="2272"/>
      <c r="J37" s="2272"/>
      <c r="K37" s="2249"/>
      <c r="L37" s="2249"/>
      <c r="M37" s="2249"/>
      <c r="N37" s="2272"/>
      <c r="O37" s="2272"/>
      <c r="P37" s="2272"/>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7.25" thickTop="1" thickBot="1">
      <c r="A38" s="1805"/>
      <c r="B38" s="1812" t="s">
        <v>8061</v>
      </c>
      <c r="C38" s="2736" t="s">
        <v>7887</v>
      </c>
      <c r="D38" s="2737"/>
      <c r="E38" s="1975">
        <v>0.1069</v>
      </c>
      <c r="F38" s="1989">
        <f>IFERROR(E38,0)</f>
        <v>0.1069</v>
      </c>
      <c r="G38" s="1989">
        <f>IFERROR(E38,0)</f>
        <v>0.1069</v>
      </c>
      <c r="H38" s="2273">
        <f>IFERROR(+E10*E38,0)</f>
        <v>178.03040479999999</v>
      </c>
      <c r="I38" s="2273">
        <f>IFERROR(+F38*F10,0)</f>
        <v>178.03040479999999</v>
      </c>
      <c r="J38" s="2273">
        <f>IFERROR(+G38*G10,0)</f>
        <v>135.39911240000001</v>
      </c>
      <c r="K38" s="1975">
        <v>6.3500000000000001E-2</v>
      </c>
      <c r="L38" s="1989">
        <f>IFERROR(K38,0)</f>
        <v>6.3500000000000001E-2</v>
      </c>
      <c r="M38" s="1989">
        <f>IFERROR(K38,0)</f>
        <v>6.3500000000000001E-2</v>
      </c>
      <c r="N38" s="2273">
        <f>IFERROR(+K10*K38,0)</f>
        <v>103.2033115</v>
      </c>
      <c r="O38" s="2273">
        <f>IFERROR(+L38*L10,0)</f>
        <v>103.2033115</v>
      </c>
      <c r="P38" s="2303">
        <f>IFERROR(+M38*M10,0)</f>
        <v>78.158276499999999</v>
      </c>
      <c r="Q38" s="1805"/>
      <c r="R38" s="1810" t="s">
        <v>8062</v>
      </c>
      <c r="S38" s="1813"/>
      <c r="T38" s="1810"/>
      <c r="U38" s="1805"/>
      <c r="V38" s="340"/>
      <c r="W38" s="1804">
        <f t="shared" ref="W38" si="16">IF( SUM( Y38:AJ38 ) = 0, 0, $Y$5 )</f>
        <v>0</v>
      </c>
      <c r="X38" s="1801"/>
      <c r="Y38" s="1806">
        <f t="shared" ref="Y38" si="17" xml:space="preserve"> IF( ISNUMBER( E38 ), 0, 1 )</f>
        <v>0</v>
      </c>
      <c r="AE38" s="1806">
        <f t="shared" ref="AE38" si="18" xml:space="preserve"> IF( ISNUMBER( K38 ), 0, 1 )</f>
        <v>0</v>
      </c>
      <c r="AK38" s="1801"/>
      <c r="AL38" s="1805"/>
      <c r="AM38" s="1812" t="s">
        <v>8061</v>
      </c>
      <c r="AN38" s="1809" t="s">
        <v>3137</v>
      </c>
      <c r="AO38" s="1809">
        <v>2</v>
      </c>
      <c r="AP38" s="1875" t="s">
        <v>8063</v>
      </c>
      <c r="AQ38" s="1891" t="str">
        <f>AP38</f>
        <v>CR12517NNP</v>
      </c>
      <c r="AR38" s="1891" t="str">
        <f>AP38</f>
        <v>CR12517NNP</v>
      </c>
      <c r="AS38" s="1866" t="s">
        <v>8064</v>
      </c>
      <c r="AT38" s="1862" t="s">
        <v>8065</v>
      </c>
      <c r="AU38" s="1866" t="s">
        <v>8066</v>
      </c>
      <c r="AV38" s="1875" t="s">
        <v>8067</v>
      </c>
      <c r="AW38" s="1891" t="str">
        <f>AV38</f>
        <v>CR12517NNPA</v>
      </c>
      <c r="AX38" s="1891" t="str">
        <f>AV38</f>
        <v>CR12517NNPA</v>
      </c>
      <c r="AY38" s="1866" t="s">
        <v>8068</v>
      </c>
      <c r="AZ38" s="1862" t="s">
        <v>8069</v>
      </c>
      <c r="BA38" s="1867" t="s">
        <v>8070</v>
      </c>
      <c r="BB38" s="1805"/>
      <c r="BC38" s="1805"/>
      <c r="BD38" s="1805"/>
    </row>
    <row r="39" spans="1:56" ht="17.25" thickTop="1" thickBot="1">
      <c r="A39" s="1805"/>
      <c r="B39" s="1807"/>
      <c r="C39" s="1814"/>
      <c r="D39" s="1814"/>
      <c r="E39" s="1976"/>
      <c r="F39" s="1977"/>
      <c r="G39" s="1977"/>
      <c r="H39" s="2272"/>
      <c r="I39" s="2272"/>
      <c r="J39" s="2272"/>
      <c r="K39" s="1976"/>
      <c r="L39" s="1977"/>
      <c r="M39" s="1977"/>
      <c r="N39" s="2272"/>
      <c r="O39" s="2272"/>
      <c r="P39" s="2272"/>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7.25" thickTop="1" thickBot="1">
      <c r="A40" s="1805"/>
      <c r="B40" s="1812" t="s">
        <v>8071</v>
      </c>
      <c r="C40" s="2736" t="s">
        <v>7887</v>
      </c>
      <c r="D40" s="2737"/>
      <c r="E40" s="1978"/>
      <c r="F40" s="1985">
        <f>IFERROR(+I40/F10,0)</f>
        <v>0</v>
      </c>
      <c r="G40" s="1985">
        <f>IFERROR(+J40/G10,0)</f>
        <v>0</v>
      </c>
      <c r="H40" s="2280"/>
      <c r="I40" s="2259">
        <f>IFERROR(J40,0)</f>
        <v>0</v>
      </c>
      <c r="J40" s="2281">
        <v>0</v>
      </c>
      <c r="K40" s="1978"/>
      <c r="L40" s="1985">
        <f>IFERROR(+O40/L10,0)</f>
        <v>0</v>
      </c>
      <c r="M40" s="1985">
        <f>IFERROR(+P40/M10,0)</f>
        <v>0</v>
      </c>
      <c r="N40" s="2280"/>
      <c r="O40" s="2259">
        <f>IFERROR(P40,0)</f>
        <v>0</v>
      </c>
      <c r="P40" s="2305">
        <v>0</v>
      </c>
      <c r="Q40" s="1805"/>
      <c r="R40" s="1810" t="s">
        <v>8072</v>
      </c>
      <c r="S40" s="1813"/>
      <c r="T40" s="1810"/>
      <c r="U40" s="1805"/>
      <c r="V40" s="340"/>
      <c r="W40" s="1805"/>
      <c r="X40" s="1801"/>
      <c r="AK40" s="1801"/>
      <c r="AL40" s="1805"/>
      <c r="AM40" s="1812" t="s">
        <v>8071</v>
      </c>
      <c r="AN40" s="1809" t="s">
        <v>3137</v>
      </c>
      <c r="AO40" s="1809">
        <v>2</v>
      </c>
      <c r="AP40" s="1902"/>
      <c r="AQ40" s="1855" t="s">
        <v>8073</v>
      </c>
      <c r="AR40" s="1855" t="s">
        <v>8074</v>
      </c>
      <c r="AS40" s="1903"/>
      <c r="AT40" s="1911" t="s">
        <v>8075</v>
      </c>
      <c r="AU40" s="1912" t="s">
        <v>8075</v>
      </c>
      <c r="AV40" s="1902"/>
      <c r="AW40" s="1855" t="s">
        <v>8076</v>
      </c>
      <c r="AX40" s="1855" t="s">
        <v>8077</v>
      </c>
      <c r="AY40" s="1903"/>
      <c r="AZ40" s="1911" t="s">
        <v>8078</v>
      </c>
      <c r="BA40" s="1913" t="s">
        <v>8079</v>
      </c>
      <c r="BB40" s="1805"/>
      <c r="BC40" s="1805"/>
      <c r="BD40" s="1805"/>
    </row>
    <row r="41" spans="1:56" ht="17.25" thickTop="1" thickBot="1">
      <c r="A41" s="1805"/>
      <c r="B41" s="1807"/>
      <c r="C41" s="1814"/>
      <c r="D41" s="1814"/>
      <c r="E41" s="2249"/>
      <c r="F41" s="2250"/>
      <c r="G41" s="2250"/>
      <c r="H41" s="2272"/>
      <c r="I41" s="2272"/>
      <c r="J41" s="2272"/>
      <c r="K41" s="2249"/>
      <c r="L41" s="2250"/>
      <c r="M41" s="2250"/>
      <c r="N41" s="2272"/>
      <c r="O41" s="2272"/>
      <c r="P41" s="2272"/>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7.25" thickTop="1" thickBot="1">
      <c r="A42" s="1805"/>
      <c r="B42" s="1812" t="s">
        <v>8080</v>
      </c>
      <c r="C42" s="2736" t="s">
        <v>7887</v>
      </c>
      <c r="D42" s="2737"/>
      <c r="E42" s="1985">
        <f t="shared" ref="E42:P42" si="19">IFERROR(+E36+E38+E40,0)</f>
        <v>0.15110000000000001</v>
      </c>
      <c r="F42" s="1985">
        <f t="shared" si="19"/>
        <v>0.20900828825886036</v>
      </c>
      <c r="G42" s="1985">
        <f t="shared" si="19"/>
        <v>0.24955917719620146</v>
      </c>
      <c r="H42" s="2273">
        <f t="shared" si="19"/>
        <v>251.6407312</v>
      </c>
      <c r="I42" s="2273">
        <f t="shared" si="19"/>
        <v>348.08073119999995</v>
      </c>
      <c r="J42" s="2273">
        <f t="shared" si="19"/>
        <v>316.09065559999999</v>
      </c>
      <c r="K42" s="1985">
        <f t="shared" si="19"/>
        <v>0.1074</v>
      </c>
      <c r="L42" s="1985">
        <f t="shared" si="19"/>
        <v>0.12645977691738641</v>
      </c>
      <c r="M42" s="1985">
        <f t="shared" si="19"/>
        <v>0.14976710048034259</v>
      </c>
      <c r="N42" s="2273">
        <f t="shared" si="19"/>
        <v>174.55174260000001</v>
      </c>
      <c r="O42" s="2273">
        <f t="shared" si="19"/>
        <v>206.2937426</v>
      </c>
      <c r="P42" s="2303">
        <f t="shared" si="19"/>
        <v>185.85410860000002</v>
      </c>
      <c r="Q42" s="1805"/>
      <c r="R42" s="1810" t="s">
        <v>8081</v>
      </c>
      <c r="S42" s="1813"/>
      <c r="T42" s="1810"/>
      <c r="U42" s="1805"/>
      <c r="V42" s="340"/>
      <c r="W42" s="1805"/>
      <c r="X42" s="340"/>
      <c r="AK42" s="1801"/>
      <c r="AL42" s="1805"/>
      <c r="AM42" s="1812" t="s">
        <v>8080</v>
      </c>
      <c r="AN42" s="1809" t="s">
        <v>3137</v>
      </c>
      <c r="AO42" s="1809">
        <v>2</v>
      </c>
      <c r="AP42" s="1855" t="s">
        <v>8082</v>
      </c>
      <c r="AQ42" s="1855" t="s">
        <v>8083</v>
      </c>
      <c r="AR42" s="1855" t="s">
        <v>8084</v>
      </c>
      <c r="AS42" s="1862" t="s">
        <v>8085</v>
      </c>
      <c r="AT42" s="1862" t="s">
        <v>8086</v>
      </c>
      <c r="AU42" s="1862" t="s">
        <v>8087</v>
      </c>
      <c r="AV42" s="1855" t="s">
        <v>8088</v>
      </c>
      <c r="AW42" s="1855" t="s">
        <v>8089</v>
      </c>
      <c r="AX42" s="1855" t="s">
        <v>8090</v>
      </c>
      <c r="AY42" s="1862" t="s">
        <v>8091</v>
      </c>
      <c r="AZ42" s="1862" t="s">
        <v>8092</v>
      </c>
      <c r="BA42" s="1863" t="s">
        <v>8093</v>
      </c>
      <c r="BB42" s="1805"/>
      <c r="BC42" s="1805"/>
      <c r="BD42" s="1805"/>
    </row>
    <row r="43" spans="1:56" ht="17.25" thickTop="1" thickBot="1">
      <c r="A43" s="1805"/>
      <c r="B43" s="1805"/>
      <c r="C43" s="1805"/>
      <c r="D43" s="1805"/>
      <c r="E43" s="2252"/>
      <c r="F43" s="2252"/>
      <c r="G43" s="2252"/>
      <c r="H43" s="2282"/>
      <c r="I43" s="2282"/>
      <c r="J43" s="2282"/>
      <c r="K43" s="2252"/>
      <c r="L43" s="2252"/>
      <c r="M43" s="2252"/>
      <c r="N43" s="2282"/>
      <c r="O43" s="2282"/>
      <c r="P43" s="2282"/>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7.25" thickTop="1" thickBot="1">
      <c r="A44" s="1805"/>
      <c r="B44" s="1786" t="s">
        <v>8094</v>
      </c>
      <c r="C44" s="1805"/>
      <c r="D44" s="1805"/>
      <c r="E44" s="2252"/>
      <c r="F44" s="2252"/>
      <c r="G44" s="2252"/>
      <c r="H44" s="2282"/>
      <c r="I44" s="2282"/>
      <c r="J44" s="2282"/>
      <c r="K44" s="2252"/>
      <c r="L44" s="2252"/>
      <c r="M44" s="2252"/>
      <c r="N44" s="2282"/>
      <c r="O44" s="2282"/>
      <c r="P44" s="2282"/>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8094</v>
      </c>
      <c r="AN44" s="1805"/>
      <c r="AO44" s="1805"/>
      <c r="AP44" s="1805"/>
      <c r="AQ44" s="1805"/>
      <c r="AR44" s="1805"/>
      <c r="AS44" s="1805"/>
      <c r="AT44" s="1805"/>
      <c r="AU44" s="1805"/>
      <c r="AV44" s="1805"/>
      <c r="AW44" s="1805"/>
      <c r="AX44" s="1805"/>
      <c r="AY44" s="1805"/>
      <c r="AZ44" s="1805"/>
      <c r="BA44" s="1805"/>
      <c r="BB44" s="1805"/>
      <c r="BC44" s="1805"/>
      <c r="BD44" s="1805"/>
    </row>
    <row r="45" spans="1:56" ht="16.5" thickTop="1">
      <c r="A45" s="1805"/>
      <c r="B45" s="1837" t="s">
        <v>8095</v>
      </c>
      <c r="C45" s="2738" t="s">
        <v>7887</v>
      </c>
      <c r="D45" s="2738"/>
      <c r="E45" s="1979">
        <v>3.1800000000000002E-2</v>
      </c>
      <c r="F45" s="1990">
        <f>IFERROR(+I45/F10,0)</f>
        <v>5.6351897931538039E-2</v>
      </c>
      <c r="G45" s="1990">
        <f>IFERROR(+J45/G10,0)</f>
        <v>7.4094660017874681E-2</v>
      </c>
      <c r="H45" s="2283">
        <f>IFERROR(+E45*E10,0)</f>
        <v>52.959465600000001</v>
      </c>
      <c r="I45" s="2284">
        <f>IFERROR(J45,0)</f>
        <v>93.847999999999999</v>
      </c>
      <c r="J45" s="2285">
        <v>93.847999999999999</v>
      </c>
      <c r="K45" s="1980">
        <v>3.1800000000000002E-2</v>
      </c>
      <c r="L45" s="1990">
        <f>IFERROR(+O45/L10,0)</f>
        <v>5.3544410733370698E-2</v>
      </c>
      <c r="M45" s="1990">
        <f>IFERROR(+P45/M10,0)</f>
        <v>7.0702179570195617E-2</v>
      </c>
      <c r="N45" s="2283">
        <f>IFERROR(+K45*K10,0)</f>
        <v>51.682918200000003</v>
      </c>
      <c r="O45" s="2284">
        <f>IFERROR(P45,0)</f>
        <v>87.022999999999996</v>
      </c>
      <c r="P45" s="2306">
        <v>87.022999999999996</v>
      </c>
      <c r="Q45" s="1805"/>
      <c r="R45" s="1820" t="s">
        <v>8096</v>
      </c>
      <c r="S45" s="1805"/>
      <c r="T45" s="1820"/>
      <c r="U45" s="1805"/>
      <c r="V45" s="340"/>
      <c r="W45" s="1804">
        <f t="shared" ref="W45:W46" si="20">IF( SUM( Y45:AJ45 ) = 0, 0, $Y$5 )</f>
        <v>0</v>
      </c>
      <c r="X45" s="340"/>
      <c r="Y45" s="1806">
        <f t="shared" ref="Y45" si="21" xml:space="preserve"> IF( ISNUMBER( E45 ), 0, 1 )</f>
        <v>0</v>
      </c>
      <c r="Z45" s="1805"/>
      <c r="AA45" s="1805"/>
      <c r="AB45" s="1805"/>
      <c r="AC45" s="1805"/>
      <c r="AD45" s="1806">
        <f t="shared" ref="AD45:AE46" si="22" xml:space="preserve"> IF( ISNUMBER( J45 ), 0, 1 )</f>
        <v>0</v>
      </c>
      <c r="AE45" s="1806">
        <f t="shared" si="22"/>
        <v>0</v>
      </c>
      <c r="AF45" s="1805"/>
      <c r="AG45" s="1805"/>
      <c r="AH45" s="1805"/>
      <c r="AI45" s="1805"/>
      <c r="AJ45" s="1806">
        <f t="shared" ref="AJ45:AJ46" si="23" xml:space="preserve"> IF( ISNUMBER( P45 ), 0, 1 )</f>
        <v>0</v>
      </c>
      <c r="AK45" s="1801"/>
      <c r="AL45" s="1805"/>
      <c r="AM45" s="1837" t="s">
        <v>8095</v>
      </c>
      <c r="AN45" s="1838" t="s">
        <v>3137</v>
      </c>
      <c r="AO45" s="1838">
        <v>2</v>
      </c>
      <c r="AP45" s="1883" t="s">
        <v>8097</v>
      </c>
      <c r="AQ45" s="1868" t="s">
        <v>8098</v>
      </c>
      <c r="AR45" s="1868" t="s">
        <v>8099</v>
      </c>
      <c r="AS45" s="1870" t="s">
        <v>8100</v>
      </c>
      <c r="AT45" s="1894" t="str">
        <f>AU45</f>
        <v>CR12520AAV</v>
      </c>
      <c r="AU45" s="1884" t="s">
        <v>8101</v>
      </c>
      <c r="AV45" s="1883" t="s">
        <v>8102</v>
      </c>
      <c r="AW45" s="1868" t="s">
        <v>8103</v>
      </c>
      <c r="AX45" s="1868" t="s">
        <v>8104</v>
      </c>
      <c r="AY45" s="1870" t="s">
        <v>8105</v>
      </c>
      <c r="AZ45" s="1894" t="str">
        <f>BA45</f>
        <v>CR12520AAVA</v>
      </c>
      <c r="BA45" s="1886" t="s">
        <v>8106</v>
      </c>
      <c r="BB45" s="1805"/>
      <c r="BC45" s="1805"/>
      <c r="BD45" s="1805"/>
    </row>
    <row r="46" spans="1:56" ht="16.5" thickBot="1">
      <c r="A46" s="1805"/>
      <c r="B46" s="1839" t="s">
        <v>8107</v>
      </c>
      <c r="C46" s="2734" t="s">
        <v>7887</v>
      </c>
      <c r="D46" s="2734"/>
      <c r="E46" s="1981"/>
      <c r="F46" s="1991">
        <f>IFERROR(+I46/F10,0)</f>
        <v>0</v>
      </c>
      <c r="G46" s="1991">
        <f>IFERROR(+J46/G10,0)</f>
        <v>0</v>
      </c>
      <c r="H46" s="2286"/>
      <c r="I46" s="2287">
        <f>IFERROR(J46,0)</f>
        <v>0</v>
      </c>
      <c r="J46" s="2288">
        <v>0</v>
      </c>
      <c r="K46" s="1982"/>
      <c r="L46" s="1991">
        <f>IFERROR(+O46/L10,0)</f>
        <v>0</v>
      </c>
      <c r="M46" s="1991">
        <f>IFERROR(+P46/M10,0)</f>
        <v>0</v>
      </c>
      <c r="N46" s="2286"/>
      <c r="O46" s="2287">
        <f>IFERROR(P46,0)</f>
        <v>0</v>
      </c>
      <c r="P46" s="2307">
        <v>0</v>
      </c>
      <c r="Q46" s="1805"/>
      <c r="R46" s="1828" t="s">
        <v>8108</v>
      </c>
      <c r="S46" s="1805"/>
      <c r="T46" s="1828"/>
      <c r="U46" s="1805"/>
      <c r="V46" s="340"/>
      <c r="W46" s="1804">
        <f t="shared" si="20"/>
        <v>0</v>
      </c>
      <c r="X46" s="340"/>
      <c r="Y46" s="1805"/>
      <c r="Z46" s="1805"/>
      <c r="AA46" s="1805"/>
      <c r="AB46" s="1805"/>
      <c r="AC46" s="1805"/>
      <c r="AD46" s="1806">
        <f t="shared" si="22"/>
        <v>0</v>
      </c>
      <c r="AE46" s="1805"/>
      <c r="AF46" s="1805"/>
      <c r="AG46" s="1805"/>
      <c r="AH46" s="1805"/>
      <c r="AI46" s="1805"/>
      <c r="AJ46" s="1806">
        <f t="shared" si="23"/>
        <v>0</v>
      </c>
      <c r="AK46" s="1801"/>
      <c r="AL46" s="1805"/>
      <c r="AM46" s="1839" t="s">
        <v>8107</v>
      </c>
      <c r="AN46" s="1840" t="s">
        <v>3137</v>
      </c>
      <c r="AO46" s="1840">
        <v>2</v>
      </c>
      <c r="AP46" s="1905"/>
      <c r="AQ46" s="1869" t="s">
        <v>8109</v>
      </c>
      <c r="AR46" s="1869" t="s">
        <v>8110</v>
      </c>
      <c r="AS46" s="1904"/>
      <c r="AT46" s="1895" t="str">
        <f>AU46</f>
        <v>CR12521AAV</v>
      </c>
      <c r="AU46" s="1885" t="s">
        <v>8111</v>
      </c>
      <c r="AV46" s="1905"/>
      <c r="AW46" s="1869" t="s">
        <v>8112</v>
      </c>
      <c r="AX46" s="1869" t="s">
        <v>8113</v>
      </c>
      <c r="AY46" s="1904"/>
      <c r="AZ46" s="1895" t="str">
        <f>BA46</f>
        <v>CR12521AAVA</v>
      </c>
      <c r="BA46" s="1887" t="s">
        <v>8114</v>
      </c>
      <c r="BB46" s="1805"/>
      <c r="BC46" s="1805"/>
      <c r="BD46" s="1805"/>
    </row>
    <row r="47" spans="1:56" ht="17.25" thickTop="1" thickBot="1">
      <c r="A47" s="1805"/>
      <c r="B47" s="1808"/>
      <c r="C47" s="1835"/>
      <c r="D47" s="1835"/>
      <c r="E47" s="2253"/>
      <c r="F47" s="2253"/>
      <c r="G47" s="2253"/>
      <c r="H47" s="2289"/>
      <c r="I47" s="2289"/>
      <c r="J47" s="2289"/>
      <c r="K47" s="2253"/>
      <c r="L47" s="2253"/>
      <c r="M47" s="2253"/>
      <c r="N47" s="2289"/>
      <c r="O47" s="2289"/>
      <c r="P47" s="2289"/>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7.25" thickTop="1" thickBot="1">
      <c r="A48" s="1805"/>
      <c r="B48" s="1841" t="s">
        <v>8115</v>
      </c>
      <c r="C48" s="2735" t="s">
        <v>7887</v>
      </c>
      <c r="D48" s="2735"/>
      <c r="E48" s="1992">
        <f t="shared" ref="E48:P48" si="24">IFERROR(+E42-E45-E46,0)</f>
        <v>0.11930000000000002</v>
      </c>
      <c r="F48" s="1992">
        <f t="shared" si="24"/>
        <v>0.15265639032732231</v>
      </c>
      <c r="G48" s="1992">
        <f t="shared" si="24"/>
        <v>0.17546451717832678</v>
      </c>
      <c r="H48" s="2290">
        <f t="shared" si="24"/>
        <v>198.68126560000002</v>
      </c>
      <c r="I48" s="2290">
        <f t="shared" si="24"/>
        <v>254.23273119999993</v>
      </c>
      <c r="J48" s="2290">
        <f t="shared" si="24"/>
        <v>222.24265559999998</v>
      </c>
      <c r="K48" s="1992">
        <f t="shared" si="24"/>
        <v>7.5600000000000001E-2</v>
      </c>
      <c r="L48" s="1992">
        <f t="shared" si="24"/>
        <v>7.2915366184015715E-2</v>
      </c>
      <c r="M48" s="1992">
        <f t="shared" si="24"/>
        <v>7.9064920910146969E-2</v>
      </c>
      <c r="N48" s="2290">
        <f t="shared" si="24"/>
        <v>122.86882440000001</v>
      </c>
      <c r="O48" s="2290">
        <f t="shared" si="24"/>
        <v>119.27074260000001</v>
      </c>
      <c r="P48" s="2308">
        <f t="shared" si="24"/>
        <v>98.831108600000022</v>
      </c>
      <c r="Q48" s="1805"/>
      <c r="R48" s="1810" t="s">
        <v>8116</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8115</v>
      </c>
      <c r="AN48" s="1842" t="s">
        <v>3137</v>
      </c>
      <c r="AO48" s="1842">
        <v>2</v>
      </c>
      <c r="AP48" s="1897" t="s">
        <v>8117</v>
      </c>
      <c r="AQ48" s="1897" t="s">
        <v>8118</v>
      </c>
      <c r="AR48" s="1897" t="s">
        <v>8119</v>
      </c>
      <c r="AS48" s="1898" t="s">
        <v>8120</v>
      </c>
      <c r="AT48" s="1898" t="s">
        <v>8121</v>
      </c>
      <c r="AU48" s="1898" t="s">
        <v>8122</v>
      </c>
      <c r="AV48" s="1897" t="s">
        <v>8123</v>
      </c>
      <c r="AW48" s="1897" t="s">
        <v>8124</v>
      </c>
      <c r="AX48" s="1897" t="s">
        <v>8125</v>
      </c>
      <c r="AY48" s="1898" t="s">
        <v>8126</v>
      </c>
      <c r="AZ48" s="1898" t="s">
        <v>8127</v>
      </c>
      <c r="BA48" s="1899" t="s">
        <v>8128</v>
      </c>
      <c r="BB48" s="1805"/>
      <c r="BC48" s="1805"/>
      <c r="BD48" s="1805"/>
    </row>
    <row r="49" spans="1:56" ht="16.5" thickTop="1">
      <c r="A49" s="1805"/>
      <c r="B49" s="1805"/>
      <c r="C49" s="1805"/>
      <c r="D49" s="1805"/>
      <c r="E49" s="2254"/>
      <c r="F49" s="2254"/>
      <c r="G49" s="2254"/>
      <c r="H49" s="2291"/>
      <c r="I49" s="2291"/>
      <c r="J49" s="2291"/>
      <c r="K49" s="2254"/>
      <c r="L49" s="2254"/>
      <c r="M49" s="2254"/>
      <c r="N49" s="2256"/>
      <c r="O49" s="2256"/>
      <c r="P49" s="2256"/>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5" thickBot="1">
      <c r="A50" s="1805"/>
      <c r="B50" s="1805"/>
      <c r="C50" s="1805"/>
      <c r="D50" s="1805"/>
      <c r="E50" s="2252"/>
      <c r="F50" s="2252"/>
      <c r="G50" s="2252"/>
      <c r="H50" s="2282"/>
      <c r="I50" s="2282"/>
      <c r="J50" s="2282"/>
      <c r="K50" s="2252"/>
      <c r="L50" s="2252"/>
      <c r="M50" s="2252"/>
      <c r="N50" s="2255"/>
      <c r="O50" s="2255"/>
      <c r="P50" s="2255"/>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7.25" thickTop="1" thickBot="1">
      <c r="A51" s="1805"/>
      <c r="B51" s="393" t="s">
        <v>8129</v>
      </c>
      <c r="C51" s="1805"/>
      <c r="D51" s="1805"/>
      <c r="E51" s="2252"/>
      <c r="F51" s="2252"/>
      <c r="G51" s="2252"/>
      <c r="H51" s="2282"/>
      <c r="I51" s="2282"/>
      <c r="J51" s="2282"/>
      <c r="K51" s="2252"/>
      <c r="L51" s="2252"/>
      <c r="M51" s="2252"/>
      <c r="N51" s="2255"/>
      <c r="O51" s="2256"/>
      <c r="P51" s="2255"/>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8129</v>
      </c>
      <c r="AN51" s="1805"/>
      <c r="AO51" s="1805"/>
      <c r="AP51" s="1805"/>
      <c r="AQ51" s="1805"/>
      <c r="AR51" s="1805"/>
      <c r="AS51" s="1805"/>
      <c r="AT51" s="1805"/>
      <c r="AU51" s="1805"/>
      <c r="AV51" s="1805"/>
      <c r="AW51" s="1805"/>
      <c r="AX51" s="1805"/>
      <c r="AY51" s="1805"/>
      <c r="AZ51" s="1805"/>
      <c r="BA51" s="1805"/>
      <c r="BB51" s="1805"/>
      <c r="BC51" s="1805"/>
      <c r="BD51" s="1805"/>
    </row>
    <row r="52" spans="1:56" ht="16.5" thickTop="1">
      <c r="A52" s="1805"/>
      <c r="B52" s="1837" t="s">
        <v>8130</v>
      </c>
      <c r="C52" s="2738" t="s">
        <v>7887</v>
      </c>
      <c r="D52" s="2738"/>
      <c r="E52" s="1983"/>
      <c r="F52" s="1990">
        <f>IFERROR(+I52/F10,0)</f>
        <v>0</v>
      </c>
      <c r="G52" s="1990">
        <f>IFERROR(+J52/G10,0)</f>
        <v>0</v>
      </c>
      <c r="H52" s="2292"/>
      <c r="I52" s="2284">
        <f>IFERROR(J52,0)</f>
        <v>0</v>
      </c>
      <c r="J52" s="2293">
        <v>0</v>
      </c>
      <c r="K52" s="1983"/>
      <c r="L52" s="1993">
        <f>IFERROR(+O52/L10,0)</f>
        <v>1.0755275037855738E-3</v>
      </c>
      <c r="M52" s="1994">
        <f>IFERROR(+P52/M10,0)</f>
        <v>1.4201694941418008E-3</v>
      </c>
      <c r="N52" s="2309"/>
      <c r="O52" s="2310">
        <f>IFERROR(P52,0)</f>
        <v>1.748</v>
      </c>
      <c r="P52" s="2306">
        <v>1.748</v>
      </c>
      <c r="Q52" s="1805"/>
      <c r="R52" s="1820" t="s">
        <v>8131</v>
      </c>
      <c r="S52" s="1805"/>
      <c r="T52" s="1820"/>
      <c r="U52" s="1805"/>
      <c r="V52" s="340"/>
      <c r="W52" s="1804">
        <f t="shared" ref="W52:W53" si="25">IF( SUM( Y52:AJ52 ) = 0, 0, $Y$5 )</f>
        <v>0</v>
      </c>
      <c r="X52" s="340"/>
      <c r="Y52" s="1805"/>
      <c r="Z52" s="1805"/>
      <c r="AA52" s="1805"/>
      <c r="AB52" s="1805"/>
      <c r="AC52" s="1805"/>
      <c r="AD52" s="1806">
        <f t="shared" ref="AD52:AD53" si="26" xml:space="preserve"> IF( ISNUMBER( J52 ), 0, 1 )</f>
        <v>0</v>
      </c>
      <c r="AE52" s="1805"/>
      <c r="AF52" s="1805"/>
      <c r="AG52" s="1805"/>
      <c r="AH52" s="1805"/>
      <c r="AI52" s="1805"/>
      <c r="AJ52" s="1806">
        <f t="shared" ref="AJ52:AJ53" si="27" xml:space="preserve"> IF( ISNUMBER( P52 ), 0, 1 )</f>
        <v>0</v>
      </c>
      <c r="AK52" s="1801"/>
      <c r="AL52" s="1805"/>
      <c r="AM52" s="1837" t="s">
        <v>8130</v>
      </c>
      <c r="AN52" s="1838" t="s">
        <v>3137</v>
      </c>
      <c r="AO52" s="1838">
        <v>2</v>
      </c>
      <c r="AP52" s="1906"/>
      <c r="AQ52" s="1868" t="s">
        <v>8132</v>
      </c>
      <c r="AR52" s="1868" t="s">
        <v>8133</v>
      </c>
      <c r="AS52" s="1908"/>
      <c r="AT52" s="1894" t="s">
        <v>8134</v>
      </c>
      <c r="AU52" s="1884" t="s">
        <v>8134</v>
      </c>
      <c r="AV52" s="1906"/>
      <c r="AW52" s="1868" t="s">
        <v>8135</v>
      </c>
      <c r="AX52" s="1868" t="s">
        <v>8136</v>
      </c>
      <c r="AY52" s="1908"/>
      <c r="AZ52" s="1894" t="s">
        <v>8137</v>
      </c>
      <c r="BA52" s="1886" t="s">
        <v>8137</v>
      </c>
    </row>
    <row r="53" spans="1:56" ht="15.75">
      <c r="A53" s="1805"/>
      <c r="B53" s="1843" t="s">
        <v>8138</v>
      </c>
      <c r="C53" s="2733" t="s">
        <v>7887</v>
      </c>
      <c r="D53" s="2733"/>
      <c r="E53" s="1984"/>
      <c r="F53" s="1999">
        <f>IFERROR(+I53/F10,0)</f>
        <v>0</v>
      </c>
      <c r="G53" s="1999">
        <f>IFERROR(+J53/G10,0)</f>
        <v>0</v>
      </c>
      <c r="H53" s="2294"/>
      <c r="I53" s="2295">
        <f>IFERROR(J53,0)</f>
        <v>0</v>
      </c>
      <c r="J53" s="2296">
        <v>0</v>
      </c>
      <c r="K53" s="1984"/>
      <c r="L53" s="1995">
        <f>IFERROR(+O53/L10,0)</f>
        <v>0</v>
      </c>
      <c r="M53" s="1996">
        <f>IFERROR(+P53/M10,0)</f>
        <v>0</v>
      </c>
      <c r="N53" s="2311"/>
      <c r="O53" s="2312">
        <f>IFERROR(P53,0)</f>
        <v>0</v>
      </c>
      <c r="P53" s="2313">
        <v>0</v>
      </c>
      <c r="Q53" s="1805"/>
      <c r="R53" s="1824" t="s">
        <v>8139</v>
      </c>
      <c r="S53" s="1805"/>
      <c r="T53" s="1824"/>
      <c r="U53" s="1805"/>
      <c r="V53" s="340"/>
      <c r="W53" s="1804">
        <f t="shared" si="25"/>
        <v>0</v>
      </c>
      <c r="X53" s="340"/>
      <c r="Y53" s="1805"/>
      <c r="Z53" s="1805"/>
      <c r="AA53" s="1805"/>
      <c r="AB53" s="1805"/>
      <c r="AC53" s="1805"/>
      <c r="AD53" s="1806">
        <f t="shared" si="26"/>
        <v>0</v>
      </c>
      <c r="AE53" s="1805"/>
      <c r="AF53" s="1805"/>
      <c r="AG53" s="1805"/>
      <c r="AH53" s="1805"/>
      <c r="AI53" s="1805"/>
      <c r="AJ53" s="1806">
        <f t="shared" si="27"/>
        <v>0</v>
      </c>
      <c r="AK53" s="1801"/>
      <c r="AL53" s="1805"/>
      <c r="AM53" s="1843" t="s">
        <v>8138</v>
      </c>
      <c r="AN53" s="1844" t="s">
        <v>3137</v>
      </c>
      <c r="AO53" s="1844">
        <v>2</v>
      </c>
      <c r="AP53" s="1907"/>
      <c r="AQ53" s="1873" t="s">
        <v>8140</v>
      </c>
      <c r="AR53" s="1873" t="s">
        <v>8141</v>
      </c>
      <c r="AS53" s="1909"/>
      <c r="AT53" s="1896" t="s">
        <v>8142</v>
      </c>
      <c r="AU53" s="1900" t="s">
        <v>8142</v>
      </c>
      <c r="AV53" s="1907"/>
      <c r="AW53" s="1873" t="s">
        <v>8143</v>
      </c>
      <c r="AX53" s="1873" t="s">
        <v>8144</v>
      </c>
      <c r="AY53" s="1909"/>
      <c r="AZ53" s="1896" t="s">
        <v>8145</v>
      </c>
      <c r="BA53" s="1901" t="s">
        <v>8145</v>
      </c>
    </row>
    <row r="54" spans="1:56" ht="16.5" thickBot="1">
      <c r="A54" s="1805"/>
      <c r="B54" s="1839" t="s">
        <v>8146</v>
      </c>
      <c r="C54" s="2734" t="s">
        <v>7887</v>
      </c>
      <c r="D54" s="2734"/>
      <c r="E54" s="1981"/>
      <c r="F54" s="1991">
        <f>IFERROR(SUM(F52:F53),0)</f>
        <v>0</v>
      </c>
      <c r="G54" s="1991">
        <f>IFERROR(SUM(G52:G53),0)</f>
        <v>0</v>
      </c>
      <c r="H54" s="2297"/>
      <c r="I54" s="2298">
        <f>IFERROR(SUM(I52:I53),0)</f>
        <v>0</v>
      </c>
      <c r="J54" s="2298">
        <f>IFERROR(SUM(J52:J53),0)</f>
        <v>0</v>
      </c>
      <c r="K54" s="1981"/>
      <c r="L54" s="1997">
        <f>IFERROR(SUM(L52:L53),0)</f>
        <v>1.0755275037855738E-3</v>
      </c>
      <c r="M54" s="1998">
        <f>IFERROR(SUM(M52:M53),0)</f>
        <v>1.4201694941418008E-3</v>
      </c>
      <c r="N54" s="2314"/>
      <c r="O54" s="2315">
        <f>IFERROR(SUM(O52:O53),0)</f>
        <v>1.748</v>
      </c>
      <c r="P54" s="2316">
        <f>IFERROR(SUM(P52:P53),0)</f>
        <v>1.748</v>
      </c>
      <c r="Q54" s="1805"/>
      <c r="R54" s="1828" t="s">
        <v>8147</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8146</v>
      </c>
      <c r="AN54" s="1840" t="s">
        <v>3137</v>
      </c>
      <c r="AO54" s="1840">
        <v>2</v>
      </c>
      <c r="AP54" s="1905"/>
      <c r="AQ54" s="1869" t="s">
        <v>8148</v>
      </c>
      <c r="AR54" s="1869" t="s">
        <v>8149</v>
      </c>
      <c r="AS54" s="1910"/>
      <c r="AT54" s="1871" t="s">
        <v>8150</v>
      </c>
      <c r="AU54" s="1871" t="s">
        <v>8151</v>
      </c>
      <c r="AV54" s="1905"/>
      <c r="AW54" s="1869" t="s">
        <v>8152</v>
      </c>
      <c r="AX54" s="1869" t="s">
        <v>8153</v>
      </c>
      <c r="AY54" s="1910"/>
      <c r="AZ54" s="1871" t="s">
        <v>8154</v>
      </c>
      <c r="BA54" s="1872" t="s">
        <v>8155</v>
      </c>
    </row>
    <row r="55" spans="1:56" ht="15.75"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tabColor rgb="FF00B050"/>
    <pageSetUpPr fitToPage="1"/>
  </sheetPr>
  <dimension ref="A1:AM27"/>
  <sheetViews>
    <sheetView showGridLines="0" topLeftCell="C1" zoomScale="60" zoomScaleNormal="60" zoomScaleSheetLayoutView="100" workbookViewId="0">
      <selection activeCell="E7" sqref="E7"/>
    </sheetView>
  </sheetViews>
  <sheetFormatPr defaultColWidth="9.125" defaultRowHeight="16.350000000000001" customHeight="1"/>
  <cols>
    <col min="1" max="1" width="1.625" style="224" customWidth="1"/>
    <col min="2" max="2" width="55" style="224" customWidth="1"/>
    <col min="3" max="3" width="5.5" style="224" bestFit="1" customWidth="1"/>
    <col min="4" max="4" width="4.75" style="224" bestFit="1" customWidth="1"/>
    <col min="5" max="5" width="10.75" style="224" bestFit="1" customWidth="1"/>
    <col min="6" max="6" width="9.125" style="224" bestFit="1" customWidth="1"/>
    <col min="7" max="7" width="9.625" style="224" bestFit="1" customWidth="1"/>
    <col min="8" max="8" width="9.25" style="224" bestFit="1" customWidth="1"/>
    <col min="9" max="9" width="11.25" style="224" bestFit="1" customWidth="1"/>
    <col min="10" max="10" width="12.5" style="224" customWidth="1"/>
    <col min="11" max="11" width="9.75" style="224" bestFit="1" customWidth="1"/>
    <col min="12" max="12" width="8.875" style="224" bestFit="1" customWidth="1"/>
    <col min="13" max="13" width="1.625" style="224" customWidth="1"/>
    <col min="14" max="14" width="9.25" style="224" bestFit="1" customWidth="1"/>
    <col min="15" max="15" width="1.625" style="224" customWidth="1"/>
    <col min="16" max="16" width="29.5" style="224" bestFit="1" customWidth="1"/>
    <col min="17" max="18" width="1.625" style="224" customWidth="1"/>
    <col min="19" max="19" width="20.625" style="224" bestFit="1" customWidth="1"/>
    <col min="20" max="20" width="1.625" style="263" customWidth="1"/>
    <col min="21" max="21" width="20.625" style="263" hidden="1" customWidth="1"/>
    <col min="22" max="28" width="1.75" style="263" hidden="1" customWidth="1"/>
    <col min="29" max="29" width="1.625" style="263"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89" customFormat="1" ht="29.25" customHeight="1">
      <c r="B1" s="2661" t="s">
        <v>8156</v>
      </c>
      <c r="C1" s="2661"/>
      <c r="D1" s="2661"/>
      <c r="E1" s="2780"/>
      <c r="F1" s="2780"/>
      <c r="G1" s="2780"/>
      <c r="H1" s="2780"/>
      <c r="I1" s="2780"/>
      <c r="J1" s="443"/>
      <c r="K1" s="259"/>
      <c r="L1" s="259"/>
      <c r="M1" s="2661"/>
      <c r="N1" s="2661"/>
      <c r="R1" s="340"/>
      <c r="S1" s="267"/>
      <c r="T1" s="361"/>
      <c r="U1" s="263"/>
      <c r="V1" s="263"/>
      <c r="W1" s="263"/>
      <c r="X1" s="263"/>
      <c r="Y1" s="263"/>
      <c r="Z1" s="263"/>
      <c r="AA1" s="263"/>
      <c r="AB1" s="263"/>
      <c r="AC1" s="361"/>
      <c r="AE1" s="2661" t="s">
        <v>7220</v>
      </c>
      <c r="AF1" s="2780"/>
      <c r="AG1" s="2780"/>
      <c r="AH1" s="2780"/>
      <c r="AI1" s="2780"/>
      <c r="AJ1" s="2780"/>
      <c r="AK1" s="443"/>
      <c r="AL1" s="443"/>
      <c r="AM1" s="259"/>
    </row>
    <row r="2" spans="1:39" s="389" customFormat="1" ht="31.35" customHeight="1">
      <c r="B2" s="2661" t="str">
        <f>SelectCompany!B4</f>
        <v>Northumbrian Water</v>
      </c>
      <c r="C2" s="2661"/>
      <c r="D2" s="2661"/>
      <c r="E2" s="2780"/>
      <c r="F2" s="2780"/>
      <c r="G2" s="2780"/>
      <c r="H2" s="2780"/>
      <c r="I2" s="2780"/>
      <c r="J2" s="390"/>
      <c r="K2" s="339"/>
      <c r="L2" s="259"/>
      <c r="M2" s="390"/>
      <c r="N2" s="390"/>
      <c r="R2" s="340"/>
      <c r="S2" s="267"/>
      <c r="T2" s="361"/>
      <c r="U2" s="263"/>
      <c r="V2" s="263"/>
      <c r="W2" s="263"/>
      <c r="X2" s="263"/>
      <c r="Y2" s="263"/>
      <c r="Z2" s="263"/>
      <c r="AA2" s="263"/>
      <c r="AB2" s="263"/>
      <c r="AC2" s="361"/>
      <c r="AE2" s="2661"/>
      <c r="AF2" s="2780"/>
      <c r="AG2" s="2780"/>
      <c r="AH2" s="2780"/>
      <c r="AI2" s="2780"/>
      <c r="AJ2" s="2780"/>
      <c r="AK2" s="443"/>
      <c r="AL2" s="390"/>
      <c r="AM2" s="259"/>
    </row>
    <row r="3" spans="1:39" ht="33" customHeight="1">
      <c r="B3" s="2662" t="s">
        <v>8157</v>
      </c>
      <c r="C3" s="2663"/>
      <c r="D3" s="2663"/>
      <c r="E3" s="2663"/>
      <c r="F3" s="2663"/>
      <c r="G3" s="2663"/>
      <c r="H3" s="2663"/>
      <c r="I3" s="2663"/>
      <c r="J3" s="2663"/>
      <c r="K3" s="2663"/>
      <c r="L3" s="2663"/>
      <c r="M3" s="2663"/>
      <c r="N3" s="2663"/>
      <c r="O3" s="2663"/>
      <c r="P3" s="2663"/>
      <c r="R3" s="342"/>
      <c r="S3" s="265" t="s">
        <v>7222</v>
      </c>
      <c r="T3" s="361"/>
      <c r="AC3" s="361"/>
      <c r="AE3" s="2664" t="s">
        <v>8157</v>
      </c>
      <c r="AF3" s="2665"/>
      <c r="AG3" s="2665"/>
      <c r="AH3" s="2665"/>
      <c r="AI3" s="2665"/>
      <c r="AJ3" s="2665"/>
      <c r="AK3" s="2665"/>
      <c r="AL3" s="2665"/>
      <c r="AM3" s="2665"/>
    </row>
    <row r="4" spans="1:39" ht="16.350000000000001" customHeight="1" thickBot="1">
      <c r="B4" s="266"/>
      <c r="C4" s="266"/>
      <c r="D4" s="266"/>
      <c r="E4" s="2779"/>
      <c r="F4" s="2779"/>
      <c r="G4" s="2779"/>
      <c r="H4" s="2779"/>
      <c r="I4" s="444"/>
      <c r="J4" s="444"/>
      <c r="K4" s="444"/>
      <c r="R4" s="345"/>
      <c r="S4" s="267"/>
      <c r="T4" s="361"/>
      <c r="U4" s="2668" t="s">
        <v>7223</v>
      </c>
      <c r="V4" s="2668"/>
      <c r="W4" s="2668"/>
      <c r="X4" s="2668"/>
      <c r="Y4" s="2668"/>
      <c r="Z4" s="2668"/>
      <c r="AA4" s="2668"/>
      <c r="AB4" s="2668"/>
      <c r="AC4" s="361"/>
      <c r="AE4" s="266"/>
      <c r="AF4" s="2779"/>
      <c r="AG4" s="2779"/>
      <c r="AH4" s="2779"/>
      <c r="AI4" s="2779"/>
      <c r="AJ4" s="444"/>
      <c r="AK4" s="444"/>
      <c r="AL4" s="444"/>
    </row>
    <row r="5" spans="1:39" ht="46.5" thickTop="1" thickBot="1">
      <c r="A5" s="197"/>
      <c r="B5" s="445" t="s">
        <v>7224</v>
      </c>
      <c r="C5" s="446" t="s">
        <v>7225</v>
      </c>
      <c r="D5" s="446" t="s">
        <v>670</v>
      </c>
      <c r="E5" s="446" t="s">
        <v>8158</v>
      </c>
      <c r="F5" s="446" t="s">
        <v>8159</v>
      </c>
      <c r="G5" s="446" t="s">
        <v>8160</v>
      </c>
      <c r="H5" s="446" t="s">
        <v>8161</v>
      </c>
      <c r="I5" s="446" t="s">
        <v>8162</v>
      </c>
      <c r="J5" s="446" t="s">
        <v>8163</v>
      </c>
      <c r="K5" s="446" t="s">
        <v>8164</v>
      </c>
      <c r="L5" s="447" t="s">
        <v>7481</v>
      </c>
      <c r="M5" s="197"/>
      <c r="N5" s="448" t="s">
        <v>7229</v>
      </c>
      <c r="O5" s="197"/>
      <c r="P5" s="449" t="s">
        <v>7230</v>
      </c>
      <c r="Q5" s="197"/>
      <c r="R5" s="345"/>
      <c r="S5" s="267"/>
      <c r="T5" s="361"/>
      <c r="U5" s="269" t="s">
        <v>7231</v>
      </c>
      <c r="V5" s="270"/>
      <c r="W5" s="270"/>
      <c r="X5" s="270"/>
      <c r="Y5" s="270"/>
      <c r="Z5" s="270"/>
      <c r="AA5" s="270"/>
      <c r="AB5" s="270"/>
      <c r="AC5" s="361"/>
      <c r="AE5" s="445" t="s">
        <v>7224</v>
      </c>
      <c r="AF5" s="446" t="s">
        <v>8165</v>
      </c>
      <c r="AG5" s="446" t="s">
        <v>8166</v>
      </c>
      <c r="AH5" s="446" t="s">
        <v>8160</v>
      </c>
      <c r="AI5" s="446" t="s">
        <v>8161</v>
      </c>
      <c r="AJ5" s="446" t="s">
        <v>8162</v>
      </c>
      <c r="AK5" s="446" t="s">
        <v>8163</v>
      </c>
      <c r="AL5" s="446" t="s">
        <v>8164</v>
      </c>
      <c r="AM5" s="447" t="s">
        <v>7481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8167</v>
      </c>
      <c r="C7" s="277" t="s">
        <v>681</v>
      </c>
      <c r="D7" s="277">
        <v>3</v>
      </c>
      <c r="E7" s="350">
        <f>IFERROR('2I'!E36,0)</f>
        <v>61.295999999999999</v>
      </c>
      <c r="F7" s="350">
        <f>IFERROR('2I'!F36,0)</f>
        <v>0</v>
      </c>
      <c r="G7" s="350">
        <f>IFERROR('2I'!H11,0)</f>
        <v>101.17999999999999</v>
      </c>
      <c r="H7" s="350">
        <f>IFERROR('2I'!I11,0)</f>
        <v>327.77299999999997</v>
      </c>
      <c r="I7" s="350">
        <f>IFERROR('2I'!H23,0)</f>
        <v>259.22500000000002</v>
      </c>
      <c r="J7" s="350">
        <f>IFERROR('2I'!I23,0)</f>
        <v>24.4</v>
      </c>
      <c r="K7" s="452">
        <f>IFERROR('2I'!G28,0)</f>
        <v>0</v>
      </c>
      <c r="L7" s="280">
        <f>IFERROR(SUM(E7:K7),0)</f>
        <v>773.87399999999991</v>
      </c>
      <c r="M7" s="197"/>
      <c r="N7" s="281" t="s">
        <v>8168</v>
      </c>
      <c r="O7" s="197"/>
      <c r="P7" s="283"/>
      <c r="Q7" s="197"/>
      <c r="R7" s="345"/>
      <c r="S7" s="267"/>
      <c r="T7" s="361"/>
      <c r="U7" s="267"/>
      <c r="V7" s="267"/>
      <c r="W7" s="267"/>
      <c r="X7" s="267"/>
      <c r="Y7" s="267"/>
      <c r="Z7" s="267"/>
      <c r="AA7" s="224"/>
      <c r="AB7" s="267"/>
      <c r="AC7" s="361"/>
      <c r="AE7" s="451" t="s">
        <v>8167</v>
      </c>
      <c r="AF7" s="350" t="s">
        <v>8169</v>
      </c>
      <c r="AG7" s="350" t="s">
        <v>8170</v>
      </c>
      <c r="AH7" s="350" t="s">
        <v>8171</v>
      </c>
      <c r="AI7" s="350" t="s">
        <v>8172</v>
      </c>
      <c r="AJ7" s="350" t="s">
        <v>8173</v>
      </c>
      <c r="AK7" s="350" t="s">
        <v>8174</v>
      </c>
      <c r="AL7" s="452" t="s">
        <v>8175</v>
      </c>
      <c r="AM7" s="280" t="s">
        <v>8176</v>
      </c>
    </row>
    <row r="8" spans="1:39" ht="16.350000000000001" customHeight="1" thickBot="1">
      <c r="A8" s="197"/>
      <c r="B8" s="453" t="s">
        <v>8177</v>
      </c>
      <c r="C8" s="332" t="s">
        <v>681</v>
      </c>
      <c r="D8" s="332">
        <v>3</v>
      </c>
      <c r="E8" s="454">
        <v>0</v>
      </c>
      <c r="F8" s="454">
        <v>0.252</v>
      </c>
      <c r="G8" s="454">
        <v>0</v>
      </c>
      <c r="H8" s="454">
        <v>8.5730000000000004</v>
      </c>
      <c r="I8" s="454">
        <v>0</v>
      </c>
      <c r="J8" s="454">
        <v>0</v>
      </c>
      <c r="K8" s="454">
        <v>0</v>
      </c>
      <c r="L8" s="315">
        <f>IFERROR(SUM(E8:K8),0)</f>
        <v>8.8250000000000011</v>
      </c>
      <c r="M8" s="197"/>
      <c r="N8" s="356" t="s">
        <v>8178</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8177</v>
      </c>
      <c r="AF8" s="454" t="s">
        <v>8179</v>
      </c>
      <c r="AG8" s="454" t="s">
        <v>8180</v>
      </c>
      <c r="AH8" s="454" t="s">
        <v>8181</v>
      </c>
      <c r="AI8" s="454" t="s">
        <v>8182</v>
      </c>
      <c r="AJ8" s="454" t="s">
        <v>8183</v>
      </c>
      <c r="AK8" s="454" t="s">
        <v>8184</v>
      </c>
      <c r="AL8" s="454" t="s">
        <v>8185</v>
      </c>
      <c r="AM8" s="315" t="s">
        <v>8186</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8187</v>
      </c>
      <c r="C10" s="277" t="s">
        <v>681</v>
      </c>
      <c r="D10" s="277">
        <v>3</v>
      </c>
      <c r="E10" s="456">
        <f>IFERROR(('2C'!E15 + '2C'!E32+'2C'!E33) * -1,0)</f>
        <v>-53.646999999999998</v>
      </c>
      <c r="F10" s="279">
        <f>IFERROR(('2C'!F15 + '2C'!F32+'2C'!F33) * -1,0)</f>
        <v>0</v>
      </c>
      <c r="G10" s="278">
        <v>-79.962999999999994</v>
      </c>
      <c r="H10" s="278">
        <v>-196.64100000000002</v>
      </c>
      <c r="I10" s="278">
        <v>-113.85299999999999</v>
      </c>
      <c r="J10" s="278">
        <v>-0.48699999999999999</v>
      </c>
      <c r="K10" s="748">
        <v>0</v>
      </c>
      <c r="L10" s="459">
        <f>IFERROR(SUM(E10:K10),0)</f>
        <v>-444.59100000000001</v>
      </c>
      <c r="M10" s="197"/>
      <c r="N10" s="281" t="s">
        <v>8188</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8187</v>
      </c>
      <c r="AF10" s="456" t="s">
        <v>8189</v>
      </c>
      <c r="AG10" s="279" t="s">
        <v>8190</v>
      </c>
      <c r="AH10" s="457" t="s">
        <v>8191</v>
      </c>
      <c r="AI10" s="457" t="s">
        <v>8192</v>
      </c>
      <c r="AJ10" s="457" t="s">
        <v>8193</v>
      </c>
      <c r="AK10" s="457" t="s">
        <v>8194</v>
      </c>
      <c r="AL10" s="458" t="s">
        <v>8195</v>
      </c>
      <c r="AM10" s="459" t="s">
        <v>8196</v>
      </c>
    </row>
    <row r="11" spans="1:39" ht="16.350000000000001" customHeight="1">
      <c r="A11" s="197"/>
      <c r="B11" s="460" t="s">
        <v>8197</v>
      </c>
      <c r="C11" s="286" t="s">
        <v>681</v>
      </c>
      <c r="D11" s="286">
        <v>3</v>
      </c>
      <c r="E11" s="461">
        <f>IFERROR('2C'!E28,0) * -1</f>
        <v>-3.0190000000000006</v>
      </c>
      <c r="F11" s="461">
        <f>IFERROR('2C'!F28,0) * -1</f>
        <v>0</v>
      </c>
      <c r="G11" s="288">
        <f>IFERROR(G12 - G10,0)</f>
        <v>-0.44199999999999307</v>
      </c>
      <c r="H11" s="288">
        <f t="shared" ref="H11:K11" si="12">IFERROR(H12 - H10,0)</f>
        <v>8.4860000000000468</v>
      </c>
      <c r="I11" s="288">
        <f>IFERROR(I12 - I10,0)</f>
        <v>-4.6740000000000066</v>
      </c>
      <c r="J11" s="288">
        <f t="shared" si="12"/>
        <v>-0.35100000000000109</v>
      </c>
      <c r="K11" s="312">
        <f t="shared" si="12"/>
        <v>0</v>
      </c>
      <c r="L11" s="462">
        <f>IFERROR(SUM(E11:K11),0)</f>
        <v>4.5963233219481481E-14</v>
      </c>
      <c r="M11" s="197"/>
      <c r="N11" s="290" t="s">
        <v>8198</v>
      </c>
      <c r="O11" s="200"/>
      <c r="P11" s="291"/>
      <c r="Q11" s="197"/>
      <c r="R11" s="363"/>
      <c r="S11" s="284"/>
      <c r="T11" s="361"/>
      <c r="U11" s="270"/>
      <c r="V11" s="267"/>
      <c r="W11" s="267"/>
      <c r="X11" s="267"/>
      <c r="Y11" s="267"/>
      <c r="Z11" s="267"/>
      <c r="AA11" s="267"/>
      <c r="AB11" s="267"/>
      <c r="AC11" s="361"/>
      <c r="AE11" s="460" t="s">
        <v>8197</v>
      </c>
      <c r="AF11" s="461" t="s">
        <v>8199</v>
      </c>
      <c r="AG11" s="461" t="s">
        <v>8200</v>
      </c>
      <c r="AH11" s="288" t="s">
        <v>8201</v>
      </c>
      <c r="AI11" s="288" t="s">
        <v>8202</v>
      </c>
      <c r="AJ11" s="288" t="s">
        <v>8203</v>
      </c>
      <c r="AK11" s="288" t="s">
        <v>8204</v>
      </c>
      <c r="AL11" s="312" t="s">
        <v>8205</v>
      </c>
      <c r="AM11" s="462" t="s">
        <v>8206</v>
      </c>
    </row>
    <row r="12" spans="1:39" ht="16.350000000000001" customHeight="1" thickBot="1">
      <c r="A12" s="197"/>
      <c r="B12" s="463" t="s">
        <v>8207</v>
      </c>
      <c r="C12" s="355" t="s">
        <v>681</v>
      </c>
      <c r="D12" s="355">
        <v>3</v>
      </c>
      <c r="E12" s="464">
        <f>IFERROR(SUM(E10:E11),0)</f>
        <v>-56.665999999999997</v>
      </c>
      <c r="F12" s="298">
        <f>IFERROR(SUM(F10:F11),0)</f>
        <v>0</v>
      </c>
      <c r="G12" s="298">
        <f>IFERROR('2B'!E23,0) *-1</f>
        <v>-80.404999999999987</v>
      </c>
      <c r="H12" s="298">
        <f>IFERROR('2B'!F23,0) *-1</f>
        <v>-188.15499999999997</v>
      </c>
      <c r="I12" s="298">
        <f>IFERROR('2B'!G23,0) *-1</f>
        <v>-118.527</v>
      </c>
      <c r="J12" s="298">
        <f>IFERROR('2B'!H23,0) *-1</f>
        <v>-0.83800000000000108</v>
      </c>
      <c r="K12" s="314">
        <f>IFERROR('2B'!I23,0) *-1</f>
        <v>0</v>
      </c>
      <c r="L12" s="465">
        <f>IFERROR(SUM(E12:K12),0)</f>
        <v>-444.59099999999995</v>
      </c>
      <c r="M12" s="197"/>
      <c r="N12" s="356" t="s">
        <v>8208</v>
      </c>
      <c r="O12" s="197"/>
      <c r="P12" s="302"/>
      <c r="Q12" s="197"/>
      <c r="R12" s="363"/>
      <c r="S12" s="284"/>
      <c r="T12" s="361"/>
      <c r="U12" s="270"/>
      <c r="V12" s="267"/>
      <c r="W12" s="267"/>
      <c r="X12" s="267"/>
      <c r="Y12" s="267"/>
      <c r="Z12" s="267"/>
      <c r="AA12" s="267"/>
      <c r="AB12" s="267"/>
      <c r="AC12" s="361"/>
      <c r="AE12" s="463" t="s">
        <v>8207</v>
      </c>
      <c r="AF12" s="464" t="s">
        <v>8209</v>
      </c>
      <c r="AG12" s="298" t="s">
        <v>8210</v>
      </c>
      <c r="AH12" s="298" t="s">
        <v>8211</v>
      </c>
      <c r="AI12" s="298" t="s">
        <v>8212</v>
      </c>
      <c r="AJ12" s="298" t="s">
        <v>8213</v>
      </c>
      <c r="AK12" s="298" t="s">
        <v>8214</v>
      </c>
      <c r="AL12" s="314" t="s">
        <v>8215</v>
      </c>
      <c r="AM12" s="465" t="s">
        <v>8216</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8217</v>
      </c>
      <c r="C14" s="277" t="s">
        <v>681</v>
      </c>
      <c r="D14" s="277">
        <v>3</v>
      </c>
      <c r="E14" s="350">
        <f>IFERROR('2D'!E19,0)</f>
        <v>-2.0990000000000002</v>
      </c>
      <c r="F14" s="350">
        <f>IFERROR('2D'!F19,0)</f>
        <v>0</v>
      </c>
      <c r="G14" s="350">
        <f>IFERROR('2D'!G19,0)</f>
        <v>-5.8570000000000002</v>
      </c>
      <c r="H14" s="350">
        <f>IFERROR('2D'!H19,0)</f>
        <v>-68.921000000000006</v>
      </c>
      <c r="I14" s="350">
        <f>IFERROR('2D'!I19,0)</f>
        <v>-52.238999999999997</v>
      </c>
      <c r="J14" s="350">
        <f>IFERROR('2D'!J19,0)</f>
        <v>-7.9189999999999996</v>
      </c>
      <c r="K14" s="350">
        <f>IFERROR('2D'!K19,0)</f>
        <v>0</v>
      </c>
      <c r="L14" s="280">
        <f>IFERROR(SUM(E14:K14),0)</f>
        <v>-137.03500000000003</v>
      </c>
      <c r="M14" s="197"/>
      <c r="N14" s="281" t="s">
        <v>8218</v>
      </c>
      <c r="O14" s="200"/>
      <c r="P14" s="283"/>
      <c r="Q14" s="197"/>
      <c r="R14" s="363"/>
      <c r="S14" s="284"/>
      <c r="T14" s="361"/>
      <c r="U14" s="270"/>
      <c r="V14" s="267"/>
      <c r="W14" s="267"/>
      <c r="X14" s="267"/>
      <c r="Y14" s="267"/>
      <c r="Z14" s="267"/>
      <c r="AA14" s="267"/>
      <c r="AB14" s="267"/>
      <c r="AC14" s="361"/>
      <c r="AE14" s="451" t="s">
        <v>8217</v>
      </c>
      <c r="AF14" s="350" t="s">
        <v>8219</v>
      </c>
      <c r="AG14" s="350" t="s">
        <v>8220</v>
      </c>
      <c r="AH14" s="350" t="s">
        <v>8221</v>
      </c>
      <c r="AI14" s="350" t="s">
        <v>8222</v>
      </c>
      <c r="AJ14" s="350" t="s">
        <v>8223</v>
      </c>
      <c r="AK14" s="350" t="s">
        <v>8224</v>
      </c>
      <c r="AL14" s="350" t="s">
        <v>8225</v>
      </c>
      <c r="AM14" s="280" t="s">
        <v>8226</v>
      </c>
    </row>
    <row r="15" spans="1:39" ht="16.350000000000001" customHeight="1" thickBot="1">
      <c r="A15" s="197"/>
      <c r="B15" s="463" t="s">
        <v>8227</v>
      </c>
      <c r="C15" s="355" t="s">
        <v>681</v>
      </c>
      <c r="D15" s="355">
        <v>3</v>
      </c>
      <c r="E15" s="468">
        <f>IFERROR('2O'!E19,0)</f>
        <v>-2.0859999999999999</v>
      </c>
      <c r="F15" s="468">
        <f>IFERROR('2O'!F19,0)</f>
        <v>0</v>
      </c>
      <c r="G15" s="468">
        <f>IFERROR('2O'!G19,0)</f>
        <v>-3.0000000000000001E-3</v>
      </c>
      <c r="H15" s="468">
        <f>IFERROR('2O'!H19,0)</f>
        <v>-6.6109999999999998</v>
      </c>
      <c r="I15" s="468">
        <f>IFERROR('2O'!I19,0)</f>
        <v>-5.5E-2</v>
      </c>
      <c r="J15" s="468">
        <f>IFERROR('2O'!J19,0)</f>
        <v>-4.1000000000000002E-2</v>
      </c>
      <c r="K15" s="468">
        <f>IFERROR('2O'!K19,0)</f>
        <v>0</v>
      </c>
      <c r="L15" s="299">
        <f>IFERROR(SUM(E15:K15),0)</f>
        <v>-8.7959999999999994</v>
      </c>
      <c r="M15" s="197"/>
      <c r="N15" s="356" t="s">
        <v>8228</v>
      </c>
      <c r="O15" s="200"/>
      <c r="P15" s="302"/>
      <c r="Q15" s="197"/>
      <c r="R15" s="363"/>
      <c r="S15" s="284"/>
      <c r="T15" s="361"/>
      <c r="U15" s="270"/>
      <c r="V15" s="267"/>
      <c r="W15" s="267"/>
      <c r="X15" s="267"/>
      <c r="Y15" s="267"/>
      <c r="Z15" s="267"/>
      <c r="AA15" s="267"/>
      <c r="AB15" s="267"/>
      <c r="AC15" s="361"/>
      <c r="AE15" s="463" t="s">
        <v>8227</v>
      </c>
      <c r="AF15" s="468" t="s">
        <v>8229</v>
      </c>
      <c r="AG15" s="468" t="s">
        <v>8230</v>
      </c>
      <c r="AH15" s="468" t="s">
        <v>8231</v>
      </c>
      <c r="AI15" s="468" t="s">
        <v>8232</v>
      </c>
      <c r="AJ15" s="468" t="s">
        <v>8233</v>
      </c>
      <c r="AK15" s="468" t="s">
        <v>8234</v>
      </c>
      <c r="AL15" s="468" t="s">
        <v>8235</v>
      </c>
      <c r="AM15" s="299" t="s">
        <v>8236</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7249</v>
      </c>
      <c r="C17" s="371" t="s">
        <v>681</v>
      </c>
      <c r="D17" s="371">
        <v>3</v>
      </c>
      <c r="E17" s="470">
        <v>2.5000000000000001E-2</v>
      </c>
      <c r="F17" s="470">
        <v>0</v>
      </c>
      <c r="G17" s="470">
        <v>0.435</v>
      </c>
      <c r="H17" s="470">
        <v>0.92400000000000004</v>
      </c>
      <c r="I17" s="470">
        <v>7.6999999999999999E-2</v>
      </c>
      <c r="J17" s="470">
        <v>6.7000000000000004E-2</v>
      </c>
      <c r="K17" s="470">
        <v>0</v>
      </c>
      <c r="L17" s="471">
        <f>IFERROR(SUM(E17:K17),0)</f>
        <v>1.528</v>
      </c>
      <c r="M17" s="197"/>
      <c r="N17" s="374" t="s">
        <v>8237</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7249</v>
      </c>
      <c r="AF17" s="470" t="s">
        <v>8238</v>
      </c>
      <c r="AG17" s="470" t="s">
        <v>8239</v>
      </c>
      <c r="AH17" s="470" t="s">
        <v>8240</v>
      </c>
      <c r="AI17" s="470" t="s">
        <v>8241</v>
      </c>
      <c r="AJ17" s="470" t="s">
        <v>8242</v>
      </c>
      <c r="AK17" s="470" t="s">
        <v>8243</v>
      </c>
      <c r="AL17" s="470" t="s">
        <v>8244</v>
      </c>
      <c r="AM17" s="471" t="s">
        <v>8245</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7256</v>
      </c>
      <c r="C19" s="371" t="s">
        <v>681</v>
      </c>
      <c r="D19" s="371">
        <v>3</v>
      </c>
      <c r="E19" s="385">
        <f>IFERROR(E7+E8+E12+E14+E15+E17,0)</f>
        <v>0.47000000000000253</v>
      </c>
      <c r="F19" s="385">
        <f t="shared" ref="F19:K19" si="20">IFERROR(F7+F8+F12+F14+F15+F17,0)</f>
        <v>0.252</v>
      </c>
      <c r="G19" s="385">
        <f t="shared" si="20"/>
        <v>15.350000000000007</v>
      </c>
      <c r="H19" s="385">
        <f t="shared" si="20"/>
        <v>73.58299999999997</v>
      </c>
      <c r="I19" s="385">
        <f t="shared" si="20"/>
        <v>88.481000000000023</v>
      </c>
      <c r="J19" s="385">
        <f t="shared" si="20"/>
        <v>15.668999999999997</v>
      </c>
      <c r="K19" s="385">
        <f t="shared" si="20"/>
        <v>0</v>
      </c>
      <c r="L19" s="471">
        <f>IFERROR(SUM(E19:K19),0)</f>
        <v>193.80500000000001</v>
      </c>
      <c r="M19" s="197"/>
      <c r="N19" s="374" t="s">
        <v>8246</v>
      </c>
      <c r="O19" s="197"/>
      <c r="P19" s="375"/>
      <c r="Q19" s="197"/>
      <c r="R19" s="363"/>
      <c r="S19" s="284"/>
      <c r="T19" s="361"/>
      <c r="U19" s="270"/>
      <c r="V19" s="267"/>
      <c r="W19" s="267"/>
      <c r="X19" s="267"/>
      <c r="Y19" s="267"/>
      <c r="Z19" s="267"/>
      <c r="AA19" s="267"/>
      <c r="AB19" s="267"/>
      <c r="AC19" s="361"/>
      <c r="AE19" s="469" t="s">
        <v>7256</v>
      </c>
      <c r="AF19" s="385" t="s">
        <v>8247</v>
      </c>
      <c r="AG19" s="385" t="s">
        <v>8248</v>
      </c>
      <c r="AH19" s="385" t="s">
        <v>8249</v>
      </c>
      <c r="AI19" s="385" t="s">
        <v>8250</v>
      </c>
      <c r="AJ19" s="385" t="s">
        <v>8251</v>
      </c>
      <c r="AK19" s="385" t="s">
        <v>8252</v>
      </c>
      <c r="AL19" s="385" t="s">
        <v>8253</v>
      </c>
      <c r="AM19" s="471" t="s">
        <v>8254</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8255</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8255</v>
      </c>
      <c r="AF21" s="473"/>
      <c r="AG21" s="473"/>
      <c r="AH21" s="473"/>
      <c r="AI21" s="473"/>
      <c r="AJ21" s="473"/>
      <c r="AK21" s="473"/>
      <c r="AL21" s="473"/>
      <c r="AM21" s="435"/>
    </row>
    <row r="22" spans="1:39" ht="16.350000000000001" customHeight="1" thickTop="1" thickBot="1">
      <c r="A22" s="197"/>
      <c r="B22" s="420" t="s">
        <v>8255</v>
      </c>
      <c r="C22" s="371" t="s">
        <v>681</v>
      </c>
      <c r="D22" s="371">
        <v>3</v>
      </c>
      <c r="E22" s="474"/>
      <c r="F22" s="474"/>
      <c r="G22" s="474"/>
      <c r="H22" s="474"/>
      <c r="I22" s="474"/>
      <c r="J22" s="474"/>
      <c r="K22" s="475"/>
      <c r="L22" s="476">
        <v>0.20699999999999999</v>
      </c>
      <c r="M22" s="197"/>
      <c r="N22" s="374" t="s">
        <v>8256</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8255</v>
      </c>
      <c r="AF22" s="474"/>
      <c r="AG22" s="474"/>
      <c r="AH22" s="474"/>
      <c r="AI22" s="474"/>
      <c r="AJ22" s="474"/>
      <c r="AK22" s="474"/>
      <c r="AL22" s="475"/>
      <c r="AM22" s="476" t="s">
        <v>8257</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tabColor rgb="FF00B050"/>
    <pageSetUpPr fitToPage="1"/>
  </sheetPr>
  <dimension ref="A1:AJ47"/>
  <sheetViews>
    <sheetView showGridLines="0" topLeftCell="H6" zoomScale="40" zoomScaleNormal="40" zoomScaleSheetLayoutView="145" workbookViewId="0">
      <selection activeCell="I48" sqref="I48"/>
    </sheetView>
  </sheetViews>
  <sheetFormatPr defaultColWidth="8.625" defaultRowHeight="14.25"/>
  <cols>
    <col min="1" max="1" width="9.625" style="224" customWidth="1"/>
    <col min="2" max="2" width="59.25" style="247" customWidth="1"/>
    <col min="3" max="3" width="5.5" style="224" bestFit="1" customWidth="1"/>
    <col min="4" max="4" width="4.75" style="224" bestFit="1" customWidth="1"/>
    <col min="5" max="5" width="15.625" style="224" bestFit="1" customWidth="1"/>
    <col min="6" max="6" width="15.25" style="224" bestFit="1" customWidth="1"/>
    <col min="7" max="7" width="20.625" style="224" bestFit="1" customWidth="1"/>
    <col min="8" max="8" width="12.5" style="224" bestFit="1" customWidth="1"/>
    <col min="9" max="9" width="16.75" style="224" bestFit="1" customWidth="1"/>
    <col min="10" max="10" width="11.75" style="224" customWidth="1"/>
    <col min="11" max="11" width="15.25" style="224" customWidth="1"/>
    <col min="12" max="12" width="15.75" style="527" bestFit="1" customWidth="1"/>
    <col min="13" max="13" width="15.5" style="224" customWidth="1"/>
    <col min="14" max="14" width="26" style="224" customWidth="1"/>
    <col min="15" max="16" width="1.625" style="224" customWidth="1"/>
    <col min="17" max="17" width="25.125" style="267" customWidth="1"/>
    <col min="18" max="18" width="1.625" style="263" customWidth="1"/>
    <col min="19" max="24" width="8.125" style="263" hidden="1" customWidth="1"/>
    <col min="25" max="25" width="1.625" style="263" hidden="1" customWidth="1"/>
    <col min="26" max="26" width="1.625" style="224" customWidth="1"/>
    <col min="27" max="27" width="3.25" style="224" hidden="1" customWidth="1"/>
    <col min="28" max="28" width="1.625" style="224" hidden="1" customWidth="1"/>
    <col min="29" max="29" width="1.625" style="224" customWidth="1"/>
    <col min="30" max="30" width="84.125" style="247"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89" customFormat="1" ht="23.25">
      <c r="B1" s="2661" t="s">
        <v>8258</v>
      </c>
      <c r="C1" s="2661"/>
      <c r="D1" s="2661"/>
      <c r="E1" s="2661"/>
      <c r="F1" s="2661"/>
      <c r="G1" s="2661"/>
      <c r="H1" s="2661"/>
      <c r="I1" s="2661"/>
      <c r="J1" s="2661"/>
      <c r="K1" s="339"/>
      <c r="L1" s="259"/>
      <c r="P1" s="340"/>
      <c r="Q1" s="267"/>
      <c r="R1" s="361"/>
      <c r="S1" s="263"/>
      <c r="T1" s="263"/>
      <c r="U1" s="263"/>
      <c r="V1" s="263"/>
      <c r="W1" s="263"/>
      <c r="X1" s="263"/>
      <c r="Y1" s="361"/>
      <c r="AB1" s="340"/>
      <c r="AD1" s="479" t="s">
        <v>7220</v>
      </c>
    </row>
    <row r="2" spans="1:36" s="389" customFormat="1" ht="23.25">
      <c r="B2" s="2661" t="str">
        <f>SelectCompany!B4</f>
        <v>Northumbrian Water</v>
      </c>
      <c r="C2" s="2661"/>
      <c r="D2" s="2661"/>
      <c r="E2" s="2661"/>
      <c r="F2" s="2661"/>
      <c r="G2" s="2661"/>
      <c r="H2" s="2661"/>
      <c r="I2" s="2661"/>
      <c r="J2" s="2661"/>
      <c r="K2" s="339"/>
      <c r="L2" s="259"/>
      <c r="P2" s="340"/>
      <c r="Q2" s="267"/>
      <c r="R2" s="361"/>
      <c r="S2" s="263"/>
      <c r="T2" s="263"/>
      <c r="U2" s="263"/>
      <c r="V2" s="263"/>
      <c r="W2" s="263"/>
      <c r="X2" s="263"/>
      <c r="Y2" s="361"/>
      <c r="AB2" s="340"/>
      <c r="AD2" s="479"/>
    </row>
    <row r="3" spans="1:36" ht="19.5">
      <c r="B3" s="2662" t="s">
        <v>8259</v>
      </c>
      <c r="C3" s="2663"/>
      <c r="D3" s="2663"/>
      <c r="E3" s="2663"/>
      <c r="F3" s="2663"/>
      <c r="G3" s="2663"/>
      <c r="H3" s="2663"/>
      <c r="I3" s="2663"/>
      <c r="J3" s="2663"/>
      <c r="K3" s="2663"/>
      <c r="L3" s="2663"/>
      <c r="M3" s="2663"/>
      <c r="N3" s="2663"/>
      <c r="P3" s="342"/>
      <c r="Q3" s="265" t="s">
        <v>7222</v>
      </c>
      <c r="R3" s="361"/>
      <c r="Y3" s="361"/>
      <c r="AB3" s="342"/>
      <c r="AD3" s="2707" t="s">
        <v>8259</v>
      </c>
      <c r="AE3" s="2708"/>
      <c r="AF3" s="2708"/>
      <c r="AG3" s="2708"/>
      <c r="AH3" s="2708"/>
      <c r="AI3" s="2708"/>
      <c r="AJ3" s="2708"/>
    </row>
    <row r="4" spans="1:36" ht="19.5" thickBot="1">
      <c r="B4" s="480"/>
      <c r="C4" s="480"/>
      <c r="D4" s="480"/>
      <c r="E4" s="480"/>
      <c r="F4" s="480"/>
      <c r="G4" s="480"/>
      <c r="H4" s="480"/>
      <c r="I4" s="480"/>
      <c r="J4" s="480"/>
      <c r="K4" s="480"/>
      <c r="L4" s="480"/>
      <c r="P4" s="345"/>
      <c r="R4" s="361"/>
      <c r="S4" s="2668" t="s">
        <v>7223</v>
      </c>
      <c r="T4" s="2668"/>
      <c r="U4" s="2668"/>
      <c r="V4" s="2668"/>
      <c r="W4" s="2668"/>
      <c r="X4" s="2668"/>
      <c r="Y4" s="361"/>
      <c r="AB4" s="345"/>
      <c r="AD4" s="480"/>
      <c r="AE4" s="480"/>
      <c r="AF4" s="480"/>
      <c r="AG4" s="480"/>
      <c r="AH4" s="480"/>
      <c r="AI4" s="480"/>
      <c r="AJ4" s="480"/>
    </row>
    <row r="5" spans="1:36" ht="46.5" thickTop="1" thickBot="1">
      <c r="A5" s="197"/>
      <c r="B5" s="445" t="s">
        <v>7224</v>
      </c>
      <c r="C5" s="446" t="s">
        <v>7225</v>
      </c>
      <c r="D5" s="446" t="s">
        <v>670</v>
      </c>
      <c r="E5" s="446" t="s">
        <v>8160</v>
      </c>
      <c r="F5" s="446" t="s">
        <v>8161</v>
      </c>
      <c r="G5" s="446" t="s">
        <v>8162</v>
      </c>
      <c r="H5" s="446" t="s">
        <v>8163</v>
      </c>
      <c r="I5" s="446" t="s">
        <v>8164</v>
      </c>
      <c r="J5" s="447" t="s">
        <v>7445</v>
      </c>
      <c r="K5" s="444"/>
      <c r="L5" s="448" t="s">
        <v>7229</v>
      </c>
      <c r="M5" s="197"/>
      <c r="N5" s="449" t="s">
        <v>7230</v>
      </c>
      <c r="O5" s="197"/>
      <c r="P5" s="345"/>
      <c r="R5" s="361"/>
      <c r="S5" s="269"/>
      <c r="T5" s="270"/>
      <c r="U5" s="270" t="s">
        <v>7231</v>
      </c>
      <c r="V5" s="270"/>
      <c r="W5" s="270"/>
      <c r="X5" s="270"/>
      <c r="Y5" s="361"/>
      <c r="AB5" s="345"/>
      <c r="AD5" s="445" t="s">
        <v>7224</v>
      </c>
      <c r="AE5" s="446" t="s">
        <v>8160</v>
      </c>
      <c r="AF5" s="446" t="s">
        <v>8161</v>
      </c>
      <c r="AG5" s="446" t="s">
        <v>8162</v>
      </c>
      <c r="AH5" s="446" t="s">
        <v>8163</v>
      </c>
      <c r="AI5" s="446" t="s">
        <v>8260</v>
      </c>
      <c r="AJ5" s="447" t="s">
        <v>7445</v>
      </c>
    </row>
    <row r="6" spans="1:36" ht="17.2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8261</v>
      </c>
      <c r="C7" s="394"/>
      <c r="D7" s="394"/>
      <c r="E7" s="482"/>
      <c r="F7" s="482"/>
      <c r="G7" s="482"/>
      <c r="H7" s="482"/>
      <c r="I7" s="482"/>
      <c r="J7" s="482"/>
      <c r="K7" s="482"/>
      <c r="L7" s="482"/>
      <c r="M7" s="197"/>
      <c r="N7" s="197"/>
      <c r="O7" s="197"/>
      <c r="P7" s="345"/>
      <c r="R7" s="361"/>
      <c r="S7" s="267"/>
      <c r="T7" s="267"/>
      <c r="U7" s="267"/>
      <c r="V7" s="267"/>
      <c r="W7" s="267"/>
      <c r="X7" s="267"/>
      <c r="Y7" s="361"/>
      <c r="AB7" s="345"/>
      <c r="AD7" s="393" t="s">
        <v>8261</v>
      </c>
      <c r="AE7" s="482"/>
      <c r="AF7" s="482"/>
      <c r="AG7" s="482"/>
      <c r="AH7" s="482"/>
      <c r="AI7" s="482"/>
      <c r="AJ7" s="482"/>
    </row>
    <row r="8" spans="1:36" ht="15.75" thickTop="1">
      <c r="A8" s="197"/>
      <c r="B8" s="483" t="s">
        <v>8262</v>
      </c>
      <c r="C8" s="484" t="s">
        <v>681</v>
      </c>
      <c r="D8" s="485">
        <v>3</v>
      </c>
      <c r="E8" s="2000">
        <f>IFERROR('4J'!E9,0)</f>
        <v>20.649000000000001</v>
      </c>
      <c r="F8" s="2001">
        <f>IFERROR(SUM('4J'!F9:I9),0)</f>
        <v>38.039000000000001</v>
      </c>
      <c r="G8" s="2001">
        <f>IFERROR(SUM('4K'!E10:I10),0)</f>
        <v>43.588000000000001</v>
      </c>
      <c r="H8" s="2001">
        <f>IFERROR(SUM('4K'!J10:L10),0)</f>
        <v>5.181</v>
      </c>
      <c r="I8" s="488">
        <v>0</v>
      </c>
      <c r="J8" s="2013">
        <f t="shared" ref="J8:J16" si="0">IFERROR(SUM(E8:I8),0)</f>
        <v>107.45700000000001</v>
      </c>
      <c r="K8" s="490"/>
      <c r="L8" s="491" t="s">
        <v>8263</v>
      </c>
      <c r="M8" s="197"/>
      <c r="N8" s="283"/>
      <c r="O8" s="197"/>
      <c r="P8" s="345"/>
      <c r="Q8" s="284">
        <f>IF( SUM( S8:X8 ) = 0, 0, $U$5 )</f>
        <v>0</v>
      </c>
      <c r="R8" s="361"/>
      <c r="S8" s="270"/>
      <c r="T8" s="270"/>
      <c r="U8" s="270"/>
      <c r="V8" s="270"/>
      <c r="W8" s="285">
        <f t="shared" ref="W8:W15" si="1" xml:space="preserve"> IF( ISNUMBER( I8 ), 0, 1 )</f>
        <v>0</v>
      </c>
      <c r="X8" s="270"/>
      <c r="Y8" s="361"/>
      <c r="AB8" s="345"/>
      <c r="AD8" s="483" t="s">
        <v>8262</v>
      </c>
      <c r="AE8" s="486" t="s">
        <v>8264</v>
      </c>
      <c r="AF8" s="487" t="s">
        <v>8265</v>
      </c>
      <c r="AG8" s="487" t="s">
        <v>8266</v>
      </c>
      <c r="AH8" s="487" t="s">
        <v>8267</v>
      </c>
      <c r="AI8" s="488" t="s">
        <v>8268</v>
      </c>
      <c r="AJ8" s="489" t="s">
        <v>8269</v>
      </c>
    </row>
    <row r="9" spans="1:36" ht="15">
      <c r="A9" s="197"/>
      <c r="B9" s="492" t="s">
        <v>8270</v>
      </c>
      <c r="C9" s="493" t="s">
        <v>681</v>
      </c>
      <c r="D9" s="493">
        <v>3</v>
      </c>
      <c r="E9" s="2002">
        <f>IFERROR('4J'!E10,0)</f>
        <v>-0.26500000000000001</v>
      </c>
      <c r="F9" s="2003">
        <f>IFERROR(SUM('4J'!F10:I10),0)</f>
        <v>-0.05</v>
      </c>
      <c r="G9" s="2003">
        <f>IFERROR(SUM('4K'!E11:I11),0)</f>
        <v>0</v>
      </c>
      <c r="H9" s="2003">
        <f>IFERROR(SUM('4K'!J11:L11),0)</f>
        <v>-19.463000000000001</v>
      </c>
      <c r="I9" s="496">
        <v>0</v>
      </c>
      <c r="J9" s="2014">
        <f t="shared" si="0"/>
        <v>-19.778000000000002</v>
      </c>
      <c r="K9" s="490"/>
      <c r="L9" s="498" t="s">
        <v>8271</v>
      </c>
      <c r="M9" s="197"/>
      <c r="N9" s="291"/>
      <c r="O9" s="197"/>
      <c r="P9" s="363"/>
      <c r="Q9" s="284">
        <f t="shared" ref="Q9:Q15" si="2">IF( SUM( S9:X9 ) = 0, 0, $U$5 )</f>
        <v>0</v>
      </c>
      <c r="R9" s="361"/>
      <c r="S9" s="270"/>
      <c r="T9" s="270"/>
      <c r="U9" s="270"/>
      <c r="V9" s="270"/>
      <c r="W9" s="285">
        <f t="shared" si="1"/>
        <v>0</v>
      </c>
      <c r="X9" s="270"/>
      <c r="Y9" s="361"/>
      <c r="AB9" s="363"/>
      <c r="AD9" s="492" t="s">
        <v>8270</v>
      </c>
      <c r="AE9" s="494" t="s">
        <v>8272</v>
      </c>
      <c r="AF9" s="495" t="s">
        <v>8273</v>
      </c>
      <c r="AG9" s="495" t="s">
        <v>8274</v>
      </c>
      <c r="AH9" s="495" t="s">
        <v>8275</v>
      </c>
      <c r="AI9" s="496" t="s">
        <v>8276</v>
      </c>
      <c r="AJ9" s="497" t="s">
        <v>8277</v>
      </c>
    </row>
    <row r="10" spans="1:36" ht="15">
      <c r="A10" s="197"/>
      <c r="B10" s="492" t="s">
        <v>8278</v>
      </c>
      <c r="C10" s="493" t="s">
        <v>681</v>
      </c>
      <c r="D10" s="493">
        <v>3</v>
      </c>
      <c r="E10" s="2003">
        <f>IFERROR(SUM('4J'!E18:E20),0)</f>
        <v>39.564999999999998</v>
      </c>
      <c r="F10" s="2003">
        <f>IFERROR(SUM('4J'!F18:I20),0)</f>
        <v>0.318</v>
      </c>
      <c r="G10" s="2003">
        <f>IFERROR(SUM('4K'!E19:I21),0)</f>
        <v>3.766</v>
      </c>
      <c r="H10" s="2003">
        <f>IFERROR(SUM('4K'!J19:L21),0)</f>
        <v>0</v>
      </c>
      <c r="I10" s="496">
        <v>0</v>
      </c>
      <c r="J10" s="2014">
        <f t="shared" si="0"/>
        <v>43.648999999999994</v>
      </c>
      <c r="K10" s="490"/>
      <c r="L10" s="498" t="s">
        <v>8279</v>
      </c>
      <c r="M10" s="197"/>
      <c r="N10" s="291"/>
      <c r="O10" s="197"/>
      <c r="P10" s="363"/>
      <c r="Q10" s="284">
        <f t="shared" si="2"/>
        <v>0</v>
      </c>
      <c r="R10" s="361"/>
      <c r="S10" s="270"/>
      <c r="T10" s="270"/>
      <c r="U10" s="270"/>
      <c r="V10" s="270"/>
      <c r="W10" s="285">
        <f t="shared" si="1"/>
        <v>0</v>
      </c>
      <c r="X10" s="270"/>
      <c r="Y10" s="361"/>
      <c r="AB10" s="363"/>
      <c r="AD10" s="492" t="s">
        <v>8280</v>
      </c>
      <c r="AE10" s="495" t="s">
        <v>8281</v>
      </c>
      <c r="AF10" s="495" t="s">
        <v>8282</v>
      </c>
      <c r="AG10" s="495" t="s">
        <v>8283</v>
      </c>
      <c r="AH10" s="495" t="s">
        <v>8284</v>
      </c>
      <c r="AI10" s="496" t="s">
        <v>8285</v>
      </c>
      <c r="AJ10" s="497" t="s">
        <v>8286</v>
      </c>
    </row>
    <row r="11" spans="1:36" ht="15">
      <c r="A11" s="197"/>
      <c r="B11" s="492" t="s">
        <v>8287</v>
      </c>
      <c r="C11" s="499" t="s">
        <v>681</v>
      </c>
      <c r="D11" s="499">
        <v>3</v>
      </c>
      <c r="E11" s="2004">
        <f>IFERROR('4J'!E11,0)</f>
        <v>1.22</v>
      </c>
      <c r="F11" s="2003">
        <f>IFERROR(SUM('4J'!F11:I11),0)</f>
        <v>0</v>
      </c>
      <c r="G11" s="2003">
        <f>IFERROR(SUM('4K'!E12:I12),0)</f>
        <v>0</v>
      </c>
      <c r="H11" s="2003">
        <f>IFERROR(SUM('4K'!J12:L12),0)</f>
        <v>0</v>
      </c>
      <c r="I11" s="496">
        <v>0</v>
      </c>
      <c r="J11" s="2014">
        <f t="shared" si="0"/>
        <v>1.22</v>
      </c>
      <c r="K11" s="490"/>
      <c r="L11" s="498" t="s">
        <v>8288</v>
      </c>
      <c r="M11" s="197"/>
      <c r="N11" s="291"/>
      <c r="O11" s="197"/>
      <c r="P11" s="363"/>
      <c r="Q11" s="284">
        <f t="shared" si="2"/>
        <v>0</v>
      </c>
      <c r="R11" s="361"/>
      <c r="S11" s="270"/>
      <c r="T11" s="270"/>
      <c r="U11" s="270"/>
      <c r="V11" s="270"/>
      <c r="W11" s="285">
        <f t="shared" si="1"/>
        <v>0</v>
      </c>
      <c r="X11" s="270"/>
      <c r="Y11" s="361"/>
      <c r="AB11" s="363"/>
      <c r="AD11" s="492" t="s">
        <v>8287</v>
      </c>
      <c r="AE11" s="500" t="s">
        <v>8289</v>
      </c>
      <c r="AF11" s="495" t="s">
        <v>8290</v>
      </c>
      <c r="AG11" s="495" t="s">
        <v>8291</v>
      </c>
      <c r="AH11" s="495" t="s">
        <v>8292</v>
      </c>
      <c r="AI11" s="496" t="s">
        <v>8293</v>
      </c>
      <c r="AJ11" s="497" t="s">
        <v>8294</v>
      </c>
    </row>
    <row r="12" spans="1:36" ht="15">
      <c r="A12" s="197"/>
      <c r="B12" s="492" t="s">
        <v>8295</v>
      </c>
      <c r="C12" s="493" t="s">
        <v>681</v>
      </c>
      <c r="D12" s="493">
        <v>3</v>
      </c>
      <c r="E12" s="2004">
        <f>IFERROR('4J'!E12,0)</f>
        <v>0.59699999999999998</v>
      </c>
      <c r="F12" s="2003">
        <f>IFERROR(SUM('4J'!F12:I12),0)</f>
        <v>0.41699999999999998</v>
      </c>
      <c r="G12" s="2003">
        <f>IFERROR(SUM('4K'!E13:I13),0)</f>
        <v>1.647</v>
      </c>
      <c r="H12" s="2003">
        <f>IFERROR(SUM('4K'!J13:L13),0)</f>
        <v>0</v>
      </c>
      <c r="I12" s="496">
        <v>0</v>
      </c>
      <c r="J12" s="2014">
        <f t="shared" si="0"/>
        <v>2.661</v>
      </c>
      <c r="K12" s="501"/>
      <c r="L12" s="498" t="s">
        <v>8296</v>
      </c>
      <c r="M12" s="197"/>
      <c r="N12" s="291"/>
      <c r="O12" s="197"/>
      <c r="P12" s="363"/>
      <c r="Q12" s="284">
        <f t="shared" si="2"/>
        <v>0</v>
      </c>
      <c r="R12" s="361"/>
      <c r="S12" s="270"/>
      <c r="T12" s="270"/>
      <c r="U12" s="270"/>
      <c r="V12" s="270"/>
      <c r="W12" s="285">
        <f t="shared" si="1"/>
        <v>0</v>
      </c>
      <c r="X12" s="270"/>
      <c r="Y12" s="361"/>
      <c r="AB12" s="363"/>
      <c r="AD12" s="492" t="s">
        <v>8295</v>
      </c>
      <c r="AE12" s="500" t="s">
        <v>8297</v>
      </c>
      <c r="AF12" s="495" t="s">
        <v>8298</v>
      </c>
      <c r="AG12" s="495" t="s">
        <v>8299</v>
      </c>
      <c r="AH12" s="495" t="s">
        <v>8300</v>
      </c>
      <c r="AI12" s="496" t="s">
        <v>8301</v>
      </c>
      <c r="AJ12" s="497" t="s">
        <v>8302</v>
      </c>
    </row>
    <row r="13" spans="1:36" ht="15">
      <c r="A13" s="197"/>
      <c r="B13" s="492" t="s">
        <v>8303</v>
      </c>
      <c r="C13" s="493" t="s">
        <v>681</v>
      </c>
      <c r="D13" s="493">
        <v>3</v>
      </c>
      <c r="E13" s="2004">
        <f>IFERROR('4J'!E13,0)</f>
        <v>0.20300000000000001</v>
      </c>
      <c r="F13" s="2003">
        <f>IFERROR(SUM('4J'!F13:I13),0)</f>
        <v>5.8359999999999994</v>
      </c>
      <c r="G13" s="2003">
        <f>IFERROR(SUM('4K'!E14:I14),0)</f>
        <v>2.6120000000000001</v>
      </c>
      <c r="H13" s="2003">
        <f>IFERROR(SUM('4K'!J14:L14),0)</f>
        <v>0.214</v>
      </c>
      <c r="I13" s="496">
        <v>0</v>
      </c>
      <c r="J13" s="2014">
        <f t="shared" si="0"/>
        <v>8.8650000000000002</v>
      </c>
      <c r="K13" s="501"/>
      <c r="L13" s="498" t="s">
        <v>8304</v>
      </c>
      <c r="M13" s="197"/>
      <c r="N13" s="291"/>
      <c r="O13" s="197"/>
      <c r="P13" s="363"/>
      <c r="Q13" s="284">
        <f t="shared" si="2"/>
        <v>0</v>
      </c>
      <c r="R13" s="361"/>
      <c r="S13" s="270"/>
      <c r="T13" s="270"/>
      <c r="U13" s="270"/>
      <c r="V13" s="270"/>
      <c r="W13" s="285">
        <f t="shared" si="1"/>
        <v>0</v>
      </c>
      <c r="X13" s="270"/>
      <c r="Y13" s="361"/>
      <c r="AB13" s="363"/>
      <c r="AD13" s="492" t="s">
        <v>8303</v>
      </c>
      <c r="AE13" s="500" t="s">
        <v>8305</v>
      </c>
      <c r="AF13" s="495" t="s">
        <v>8306</v>
      </c>
      <c r="AG13" s="495" t="s">
        <v>8307</v>
      </c>
      <c r="AH13" s="495" t="s">
        <v>8308</v>
      </c>
      <c r="AI13" s="496" t="s">
        <v>8309</v>
      </c>
      <c r="AJ13" s="497" t="s">
        <v>8310</v>
      </c>
    </row>
    <row r="14" spans="1:36" ht="30">
      <c r="A14" s="197"/>
      <c r="B14" s="492" t="s">
        <v>8311</v>
      </c>
      <c r="C14" s="493" t="s">
        <v>681</v>
      </c>
      <c r="D14" s="493">
        <v>3</v>
      </c>
      <c r="E14" s="2005">
        <f>IFERROR(SUM('4J'!E14,'4J'!E23,'4J'!E24,'4J'!E25),0)</f>
        <v>7.4560000000000004</v>
      </c>
      <c r="F14" s="2003">
        <f>IFERROR(SUM('4J'!F14:I14,'4J'!F23:I25),0)</f>
        <v>111.72699999999999</v>
      </c>
      <c r="G14" s="2003">
        <f>IFERROR(SUM('4K'!E15:I15,'4K'!E24:I26),0)</f>
        <v>58.509</v>
      </c>
      <c r="H14" s="2003">
        <f>IFERROR(SUM('4K'!J15:L15,'4K'!J24:L26),0)</f>
        <v>13.284000000000001</v>
      </c>
      <c r="I14" s="496">
        <v>0</v>
      </c>
      <c r="J14" s="2014">
        <f t="shared" si="0"/>
        <v>190.976</v>
      </c>
      <c r="K14" s="501"/>
      <c r="L14" s="498" t="s">
        <v>8312</v>
      </c>
      <c r="M14" s="197"/>
      <c r="N14" s="291"/>
      <c r="O14" s="197"/>
      <c r="P14" s="363"/>
      <c r="Q14" s="284">
        <f t="shared" si="2"/>
        <v>0</v>
      </c>
      <c r="R14" s="361"/>
      <c r="S14" s="270"/>
      <c r="T14" s="270"/>
      <c r="U14" s="270"/>
      <c r="V14" s="270"/>
      <c r="W14" s="285">
        <f t="shared" si="1"/>
        <v>0</v>
      </c>
      <c r="X14" s="270"/>
      <c r="Y14" s="361"/>
      <c r="AB14" s="363"/>
      <c r="AD14" s="492" t="s">
        <v>8313</v>
      </c>
      <c r="AE14" s="502" t="s">
        <v>8314</v>
      </c>
      <c r="AF14" s="495" t="s">
        <v>8315</v>
      </c>
      <c r="AG14" s="495" t="s">
        <v>8316</v>
      </c>
      <c r="AH14" s="495" t="s">
        <v>8317</v>
      </c>
      <c r="AI14" s="496" t="s">
        <v>8318</v>
      </c>
      <c r="AJ14" s="497" t="s">
        <v>8319</v>
      </c>
    </row>
    <row r="15" spans="1:36" ht="30">
      <c r="A15" s="197"/>
      <c r="B15" s="492" t="s">
        <v>8320</v>
      </c>
      <c r="C15" s="499" t="s">
        <v>681</v>
      </c>
      <c r="D15" s="499">
        <v>3</v>
      </c>
      <c r="E15" s="2004">
        <f>IFERROR('4J'!E15,0)</f>
        <v>4.2220000000000004</v>
      </c>
      <c r="F15" s="2003">
        <f>IFERROR(SUM('4J'!F15:I15),0)</f>
        <v>26.941000000000003</v>
      </c>
      <c r="G15" s="2003">
        <f>IFERROR(SUM('4K'!E16:I16),0)</f>
        <v>7.7169999999999996</v>
      </c>
      <c r="H15" s="2003">
        <f>IFERROR(SUM('4K'!J16:L16),0)</f>
        <v>1.615</v>
      </c>
      <c r="I15" s="496">
        <v>0</v>
      </c>
      <c r="J15" s="2014">
        <f t="shared" si="0"/>
        <v>40.495000000000005</v>
      </c>
      <c r="K15" s="501"/>
      <c r="L15" s="503" t="s">
        <v>8321</v>
      </c>
      <c r="M15" s="197"/>
      <c r="N15" s="291"/>
      <c r="O15" s="197"/>
      <c r="P15" s="363"/>
      <c r="Q15" s="284">
        <f t="shared" si="2"/>
        <v>0</v>
      </c>
      <c r="R15" s="361"/>
      <c r="S15" s="270"/>
      <c r="T15" s="270"/>
      <c r="U15" s="270"/>
      <c r="V15" s="270"/>
      <c r="W15" s="285">
        <f t="shared" si="1"/>
        <v>0</v>
      </c>
      <c r="X15" s="270"/>
      <c r="Y15" s="361"/>
      <c r="AB15" s="363"/>
      <c r="AD15" s="492" t="s">
        <v>8320</v>
      </c>
      <c r="AE15" s="500" t="s">
        <v>8322</v>
      </c>
      <c r="AF15" s="495" t="s">
        <v>8323</v>
      </c>
      <c r="AG15" s="495" t="s">
        <v>8324</v>
      </c>
      <c r="AH15" s="495" t="s">
        <v>8325</v>
      </c>
      <c r="AI15" s="496" t="s">
        <v>8326</v>
      </c>
      <c r="AJ15" s="497" t="s">
        <v>8327</v>
      </c>
    </row>
    <row r="16" spans="1:36" ht="15.75" thickBot="1">
      <c r="A16" s="197"/>
      <c r="B16" s="504" t="s">
        <v>8328</v>
      </c>
      <c r="C16" s="505" t="s">
        <v>681</v>
      </c>
      <c r="D16" s="505">
        <v>3</v>
      </c>
      <c r="E16" s="2006">
        <f>IFERROR(SUM(E8:E15), 0)</f>
        <v>73.646999999999991</v>
      </c>
      <c r="F16" s="2006">
        <f>IFERROR(SUM(F8:F15), 0)</f>
        <v>183.22799999999998</v>
      </c>
      <c r="G16" s="2006">
        <f>IFERROR(SUM(G8:G15), 0)</f>
        <v>117.839</v>
      </c>
      <c r="H16" s="2006">
        <f>IFERROR(SUM(H8:H15), 0)</f>
        <v>0.83100000000000107</v>
      </c>
      <c r="I16" s="2009">
        <f>IFERROR(SUM(I8:I15),0)</f>
        <v>0</v>
      </c>
      <c r="J16" s="2015">
        <f t="shared" si="0"/>
        <v>375.54500000000002</v>
      </c>
      <c r="K16" s="501"/>
      <c r="L16" s="509" t="s">
        <v>8329</v>
      </c>
      <c r="M16" s="197"/>
      <c r="N16" s="302"/>
      <c r="O16" s="197"/>
      <c r="P16" s="363"/>
      <c r="R16" s="361"/>
      <c r="S16" s="270"/>
      <c r="T16" s="270"/>
      <c r="U16" s="270"/>
      <c r="V16" s="270"/>
      <c r="W16" s="270"/>
      <c r="X16" s="270"/>
      <c r="Y16" s="361"/>
      <c r="AB16" s="363"/>
      <c r="AD16" s="504" t="s">
        <v>8328</v>
      </c>
      <c r="AE16" s="506" t="s">
        <v>8330</v>
      </c>
      <c r="AF16" s="506" t="s">
        <v>8331</v>
      </c>
      <c r="AG16" s="506" t="s">
        <v>8332</v>
      </c>
      <c r="AH16" s="506" t="s">
        <v>8333</v>
      </c>
      <c r="AI16" s="507" t="s">
        <v>8334</v>
      </c>
      <c r="AJ16" s="508" t="s">
        <v>8335</v>
      </c>
    </row>
    <row r="17" spans="1:36" ht="16.5"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7.25" thickTop="1" thickBot="1">
      <c r="A18" s="197"/>
      <c r="B18" s="393" t="s">
        <v>8313</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8313</v>
      </c>
      <c r="AE18" s="367"/>
      <c r="AF18" s="367"/>
      <c r="AG18" s="367"/>
      <c r="AH18" s="367"/>
      <c r="AI18" s="367"/>
      <c r="AJ18" s="367"/>
    </row>
    <row r="19" spans="1:36" ht="16.350000000000001" customHeight="1" thickTop="1">
      <c r="A19" s="197"/>
      <c r="B19" s="483" t="s">
        <v>8336</v>
      </c>
      <c r="C19" s="485" t="s">
        <v>681</v>
      </c>
      <c r="D19" s="485">
        <v>3</v>
      </c>
      <c r="E19" s="2000">
        <f>IFERROR('4D'!E10, 0)</f>
        <v>1.1579999999999999</v>
      </c>
      <c r="F19" s="2001">
        <f>IFERROR(SUM('4D'!F10:I10), 0)</f>
        <v>0.92799999999999994</v>
      </c>
      <c r="G19" s="2001">
        <f>IFERROR(SUM('4E'!E10:I10), 0)</f>
        <v>0.26400000000000001</v>
      </c>
      <c r="H19" s="2001">
        <f>IFERROR(SUM('4E'!J10:L10), 0)</f>
        <v>5.0000000000000001E-3</v>
      </c>
      <c r="I19" s="488">
        <v>0</v>
      </c>
      <c r="J19" s="2013">
        <f>IFERROR(SUM(E19:I19), 0)</f>
        <v>2.3549999999999995</v>
      </c>
      <c r="K19" s="490"/>
      <c r="L19" s="491" t="s">
        <v>8337</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8336</v>
      </c>
      <c r="AE19" s="486" t="s">
        <v>8338</v>
      </c>
      <c r="AF19" s="487" t="s">
        <v>8339</v>
      </c>
      <c r="AG19" s="487" t="s">
        <v>8340</v>
      </c>
      <c r="AH19" s="487" t="s">
        <v>8341</v>
      </c>
      <c r="AI19" s="488" t="s">
        <v>8342</v>
      </c>
      <c r="AJ19" s="489" t="s">
        <v>8343</v>
      </c>
    </row>
    <row r="20" spans="1:36" ht="16.350000000000001" customHeight="1">
      <c r="A20" s="197"/>
      <c r="B20" s="492" t="s">
        <v>8344</v>
      </c>
      <c r="C20" s="493" t="s">
        <v>681</v>
      </c>
      <c r="D20" s="493">
        <v>3</v>
      </c>
      <c r="E20" s="2002">
        <f>IFERROR('4D'!E11, 0)</f>
        <v>0</v>
      </c>
      <c r="F20" s="2003">
        <f>IFERROR(SUM('4D'!F11:I11), 0)</f>
        <v>0</v>
      </c>
      <c r="G20" s="2003">
        <f>IFERROR(SUM('4E'!E11:I11), 0)</f>
        <v>0.23599999999999999</v>
      </c>
      <c r="H20" s="2003">
        <f>IFERROR(SUM('4E'!J11:L11), 0)</f>
        <v>0</v>
      </c>
      <c r="I20" s="496">
        <v>0</v>
      </c>
      <c r="J20" s="2014">
        <f>IFERROR(SUM(E20:I20), 0)</f>
        <v>0.23599999999999999</v>
      </c>
      <c r="K20" s="490"/>
      <c r="L20" s="498" t="s">
        <v>8345</v>
      </c>
      <c r="M20" s="197"/>
      <c r="N20" s="291"/>
      <c r="O20" s="197"/>
      <c r="P20" s="363"/>
      <c r="Q20" s="284">
        <f t="shared" si="3"/>
        <v>0</v>
      </c>
      <c r="R20" s="361"/>
      <c r="S20" s="270"/>
      <c r="T20" s="270"/>
      <c r="U20" s="270"/>
      <c r="V20" s="270"/>
      <c r="W20" s="285">
        <f t="shared" si="4"/>
        <v>0</v>
      </c>
      <c r="X20" s="270"/>
      <c r="Y20" s="361"/>
      <c r="AB20" s="363"/>
      <c r="AD20" s="492" t="s">
        <v>8346</v>
      </c>
      <c r="AE20" s="494" t="s">
        <v>8347</v>
      </c>
      <c r="AF20" s="495" t="s">
        <v>8348</v>
      </c>
      <c r="AG20" s="495" t="s">
        <v>8349</v>
      </c>
      <c r="AH20" s="495" t="s">
        <v>8350</v>
      </c>
      <c r="AI20" s="496" t="s">
        <v>8351</v>
      </c>
      <c r="AJ20" s="497" t="s">
        <v>8352</v>
      </c>
    </row>
    <row r="21" spans="1:36" ht="16.350000000000001" customHeight="1">
      <c r="A21" s="197"/>
      <c r="B21" s="492" t="s">
        <v>8353</v>
      </c>
      <c r="C21" s="499" t="s">
        <v>681</v>
      </c>
      <c r="D21" s="499">
        <v>3</v>
      </c>
      <c r="E21" s="2005">
        <f>IFERROR(E16+E19+E20,0)</f>
        <v>74.804999999999993</v>
      </c>
      <c r="F21" s="2003">
        <f>IFERROR(F16+F19+F20,0)</f>
        <v>184.15599999999998</v>
      </c>
      <c r="G21" s="2003">
        <f>IFERROR(G16+G19+G20,0)</f>
        <v>118.339</v>
      </c>
      <c r="H21" s="2003">
        <f>IFERROR(H16+H19+H20,0)</f>
        <v>0.83600000000000108</v>
      </c>
      <c r="I21" s="2003">
        <f>IFERROR(I16+I19+I20,0)</f>
        <v>0</v>
      </c>
      <c r="J21" s="2014">
        <f>IFERROR(SUM(E21:I21),0)</f>
        <v>378.13599999999997</v>
      </c>
      <c r="K21" s="501"/>
      <c r="L21" s="498" t="s">
        <v>8354</v>
      </c>
      <c r="M21" s="197"/>
      <c r="N21" s="291"/>
      <c r="O21" s="197"/>
      <c r="P21" s="363"/>
      <c r="R21" s="361"/>
      <c r="S21" s="270"/>
      <c r="T21" s="270"/>
      <c r="U21" s="270"/>
      <c r="V21" s="270"/>
      <c r="W21" s="270"/>
      <c r="X21" s="270"/>
      <c r="Y21" s="361"/>
      <c r="AB21" s="363"/>
      <c r="AD21" s="492" t="s">
        <v>8353</v>
      </c>
      <c r="AE21" s="502" t="s">
        <v>8355</v>
      </c>
      <c r="AF21" s="495" t="s">
        <v>8356</v>
      </c>
      <c r="AG21" s="495" t="s">
        <v>8357</v>
      </c>
      <c r="AH21" s="495" t="s">
        <v>8358</v>
      </c>
      <c r="AI21" s="495" t="s">
        <v>8359</v>
      </c>
      <c r="AJ21" s="497" t="s">
        <v>8360</v>
      </c>
    </row>
    <row r="22" spans="1:36" ht="16.350000000000001" customHeight="1">
      <c r="A22" s="197"/>
      <c r="B22" s="492" t="s">
        <v>8361</v>
      </c>
      <c r="C22" s="493" t="s">
        <v>681</v>
      </c>
      <c r="D22" s="493">
        <v>3</v>
      </c>
      <c r="E22" s="2002">
        <f>IFERROR('4D'!E13, 0)</f>
        <v>5.6</v>
      </c>
      <c r="F22" s="2003">
        <f>IFERROR(SUM('4D'!F13:I13), 0)</f>
        <v>3.9989999999999997</v>
      </c>
      <c r="G22" s="2003">
        <f>IFERROR(SUM('4E'!E13:I13), 0)</f>
        <v>0.188</v>
      </c>
      <c r="H22" s="2003">
        <f>IFERROR(SUM('4E'!J13:L13), 0)</f>
        <v>2E-3</v>
      </c>
      <c r="I22" s="496">
        <v>0</v>
      </c>
      <c r="J22" s="2014">
        <f>IFERROR(SUM(E22:I22),0)</f>
        <v>9.7890000000000015</v>
      </c>
      <c r="K22" s="501"/>
      <c r="L22" s="498" t="s">
        <v>8362</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8361</v>
      </c>
      <c r="AE22" s="511" t="s">
        <v>8363</v>
      </c>
      <c r="AF22" s="512" t="s">
        <v>8364</v>
      </c>
      <c r="AG22" s="512" t="s">
        <v>8365</v>
      </c>
      <c r="AH22" s="512" t="s">
        <v>8366</v>
      </c>
      <c r="AI22" s="496" t="s">
        <v>8367</v>
      </c>
      <c r="AJ22" s="497" t="s">
        <v>8368</v>
      </c>
    </row>
    <row r="23" spans="1:36" ht="16.350000000000001" customHeight="1" thickBot="1">
      <c r="A23" s="197"/>
      <c r="B23" s="504" t="s">
        <v>5475</v>
      </c>
      <c r="C23" s="513" t="s">
        <v>681</v>
      </c>
      <c r="D23" s="513">
        <v>3</v>
      </c>
      <c r="E23" s="2009">
        <f>IFERROR(E21+E22,0)</f>
        <v>80.404999999999987</v>
      </c>
      <c r="F23" s="2009">
        <f>IFERROR(F21+F22,0)</f>
        <v>188.15499999999997</v>
      </c>
      <c r="G23" s="2009">
        <f>IFERROR(G21+G22,0)</f>
        <v>118.527</v>
      </c>
      <c r="H23" s="2009">
        <f>IFERROR(H21+H22,0)</f>
        <v>0.83800000000000108</v>
      </c>
      <c r="I23" s="2009">
        <f>IFERROR(I21+I22,0)</f>
        <v>0</v>
      </c>
      <c r="J23" s="2015">
        <f>IFERROR(SUM(E23:I23),0)</f>
        <v>387.92499999999995</v>
      </c>
      <c r="K23" s="501"/>
      <c r="L23" s="514" t="s">
        <v>8369</v>
      </c>
      <c r="M23" s="197"/>
      <c r="N23" s="302"/>
      <c r="O23" s="197"/>
      <c r="P23" s="363"/>
      <c r="R23" s="370"/>
      <c r="S23" s="270"/>
      <c r="T23" s="270"/>
      <c r="U23" s="270"/>
      <c r="V23" s="270"/>
      <c r="W23" s="270"/>
      <c r="X23" s="270"/>
      <c r="Y23" s="370"/>
      <c r="AB23" s="363"/>
      <c r="AD23" s="504" t="s">
        <v>5475</v>
      </c>
      <c r="AE23" s="507" t="s">
        <v>8370</v>
      </c>
      <c r="AF23" s="507" t="s">
        <v>8371</v>
      </c>
      <c r="AG23" s="507" t="s">
        <v>8372</v>
      </c>
      <c r="AH23" s="507" t="s">
        <v>8373</v>
      </c>
      <c r="AI23" s="507" t="s">
        <v>8374</v>
      </c>
      <c r="AJ23" s="508" t="s">
        <v>8375</v>
      </c>
    </row>
    <row r="24" spans="1:36" ht="16.350000000000001"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8376</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8376</v>
      </c>
      <c r="AE25" s="309"/>
      <c r="AF25" s="309"/>
      <c r="AG25" s="309"/>
      <c r="AH25" s="309"/>
      <c r="AI25" s="309"/>
      <c r="AJ25" s="309"/>
    </row>
    <row r="26" spans="1:36" ht="16.350000000000001" customHeight="1" thickTop="1" thickBot="1">
      <c r="A26" s="197"/>
      <c r="B26" s="515" t="s">
        <v>8377</v>
      </c>
      <c r="C26" s="516" t="s">
        <v>681</v>
      </c>
      <c r="D26" s="516">
        <v>3</v>
      </c>
      <c r="E26" s="2011">
        <f>IFERROR('4D'!E17, 0)</f>
        <v>0</v>
      </c>
      <c r="F26" s="2012">
        <f>IFERROR(SUM('4D'!F17:I17), 0)</f>
        <v>0</v>
      </c>
      <c r="G26" s="2012">
        <f>IFERROR(SUM('4E'!E17:I17), 0)</f>
        <v>0</v>
      </c>
      <c r="H26" s="2012">
        <f>IFERROR(SUM('4E'!J17:L17), 0)</f>
        <v>0</v>
      </c>
      <c r="I26" s="519">
        <v>0</v>
      </c>
      <c r="J26" s="2016">
        <f>IFERROR(SUM(E26:I26),0)</f>
        <v>0</v>
      </c>
      <c r="K26" s="501"/>
      <c r="L26" s="521" t="s">
        <v>8378</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8377</v>
      </c>
      <c r="AE26" s="517" t="s">
        <v>8379</v>
      </c>
      <c r="AF26" s="518" t="s">
        <v>8380</v>
      </c>
      <c r="AG26" s="518" t="s">
        <v>8381</v>
      </c>
      <c r="AH26" s="518" t="s">
        <v>8382</v>
      </c>
      <c r="AI26" s="519" t="s">
        <v>8383</v>
      </c>
      <c r="AJ26" s="520" t="s">
        <v>8384</v>
      </c>
    </row>
    <row r="27" spans="1:36" ht="16.350000000000001"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7721</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7721</v>
      </c>
      <c r="AE28" s="309"/>
      <c r="AF28" s="309"/>
      <c r="AG28" s="309"/>
      <c r="AH28" s="309"/>
      <c r="AI28" s="309"/>
      <c r="AJ28" s="309"/>
    </row>
    <row r="29" spans="1:36" ht="16.350000000000001" customHeight="1" thickTop="1">
      <c r="A29" s="197"/>
      <c r="B29" s="483" t="s">
        <v>8385</v>
      </c>
      <c r="C29" s="485" t="s">
        <v>681</v>
      </c>
      <c r="D29" s="485">
        <v>3</v>
      </c>
      <c r="E29" s="2000">
        <f>IFERROR('4D'!E20, 0)</f>
        <v>21.808</v>
      </c>
      <c r="F29" s="2001">
        <f>IFERROR(SUM('4D'!F20:I20), 0)</f>
        <v>117.31</v>
      </c>
      <c r="G29" s="2001">
        <f>IFERROR(SUM('4E'!E20:I20), 0)</f>
        <v>66.918999999999997</v>
      </c>
      <c r="H29" s="2001">
        <f>IFERROR(SUM('4E'!J20:L20), 0)</f>
        <v>3.5229999999999997</v>
      </c>
      <c r="I29" s="488">
        <v>0</v>
      </c>
      <c r="J29" s="2013">
        <f t="shared" ref="J29:J34" si="7">IFERROR(SUM(E29:I29),0)</f>
        <v>209.55999999999997</v>
      </c>
      <c r="K29" s="501"/>
      <c r="L29" s="491" t="s">
        <v>8386</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8385</v>
      </c>
      <c r="AE29" s="486" t="s">
        <v>8387</v>
      </c>
      <c r="AF29" s="487" t="s">
        <v>8388</v>
      </c>
      <c r="AG29" s="487" t="s">
        <v>8389</v>
      </c>
      <c r="AH29" s="487" t="s">
        <v>8390</v>
      </c>
      <c r="AI29" s="488" t="s">
        <v>8391</v>
      </c>
      <c r="AJ29" s="489" t="s">
        <v>8392</v>
      </c>
    </row>
    <row r="30" spans="1:36" ht="16.350000000000001" customHeight="1">
      <c r="A30" s="197"/>
      <c r="B30" s="492" t="s">
        <v>8393</v>
      </c>
      <c r="C30" s="493" t="s">
        <v>681</v>
      </c>
      <c r="D30" s="493">
        <v>3</v>
      </c>
      <c r="E30" s="2002">
        <f>IFERROR('4D'!E21, 0)</f>
        <v>2.3970000000000002</v>
      </c>
      <c r="F30" s="2003">
        <f>IFERROR(SUM('4D'!F21:I21), 0)</f>
        <v>22.049999999999997</v>
      </c>
      <c r="G30" s="2003">
        <f>IFERROR(SUM('4E'!E21:I21), 0)</f>
        <v>30.718999999999998</v>
      </c>
      <c r="H30" s="2003">
        <f>IFERROR(SUM('4E'!J21:L21), 0)</f>
        <v>0</v>
      </c>
      <c r="I30" s="496">
        <v>0</v>
      </c>
      <c r="J30" s="2014">
        <f t="shared" si="7"/>
        <v>55.165999999999997</v>
      </c>
      <c r="K30" s="501"/>
      <c r="L30" s="498" t="s">
        <v>8394</v>
      </c>
      <c r="M30" s="197"/>
      <c r="N30" s="291"/>
      <c r="O30" s="197"/>
      <c r="P30" s="345"/>
      <c r="Q30" s="284">
        <f t="shared" ref="Q30:Q31" si="9">IF( SUM( S30:X30 ) = 0, 0, $U$5 )</f>
        <v>0</v>
      </c>
      <c r="R30" s="361"/>
      <c r="S30" s="270"/>
      <c r="T30" s="270"/>
      <c r="U30" s="270"/>
      <c r="V30" s="270"/>
      <c r="W30" s="285">
        <f t="shared" si="8"/>
        <v>0</v>
      </c>
      <c r="X30" s="270"/>
      <c r="Y30" s="370"/>
      <c r="AB30" s="363"/>
      <c r="AD30" s="492" t="s">
        <v>8393</v>
      </c>
      <c r="AE30" s="494" t="s">
        <v>8395</v>
      </c>
      <c r="AF30" s="495" t="s">
        <v>8396</v>
      </c>
      <c r="AG30" s="495" t="s">
        <v>8397</v>
      </c>
      <c r="AH30" s="495" t="s">
        <v>8398</v>
      </c>
      <c r="AI30" s="496" t="s">
        <v>8399</v>
      </c>
      <c r="AJ30" s="497" t="s">
        <v>8400</v>
      </c>
    </row>
    <row r="31" spans="1:36" ht="16.350000000000001" customHeight="1">
      <c r="A31" s="197"/>
      <c r="B31" s="492" t="s">
        <v>8401</v>
      </c>
      <c r="C31" s="499" t="s">
        <v>681</v>
      </c>
      <c r="D31" s="499">
        <v>3</v>
      </c>
      <c r="E31" s="2002">
        <f>IFERROR('4D'!E22, 0)</f>
        <v>0</v>
      </c>
      <c r="F31" s="2003">
        <f>IFERROR(SUM('4D'!F22:I22), 0)</f>
        <v>20.472000000000001</v>
      </c>
      <c r="G31" s="2003">
        <f>IFERROR(SUM('4E'!E22:I22), 0)</f>
        <v>1.4140000000000001</v>
      </c>
      <c r="H31" s="2003">
        <f>IFERROR(SUM('4E'!J22:L22), 0)</f>
        <v>0</v>
      </c>
      <c r="I31" s="496">
        <v>0</v>
      </c>
      <c r="J31" s="2014">
        <f t="shared" si="7"/>
        <v>21.886000000000003</v>
      </c>
      <c r="K31" s="501"/>
      <c r="L31" s="498" t="s">
        <v>8402</v>
      </c>
      <c r="M31" s="197"/>
      <c r="N31" s="291"/>
      <c r="O31" s="197"/>
      <c r="P31" s="345"/>
      <c r="Q31" s="284">
        <f t="shared" si="9"/>
        <v>0</v>
      </c>
      <c r="R31" s="361"/>
      <c r="S31" s="270"/>
      <c r="T31" s="270"/>
      <c r="U31" s="270"/>
      <c r="V31" s="270"/>
      <c r="W31" s="285">
        <f t="shared" si="8"/>
        <v>0</v>
      </c>
      <c r="X31" s="270"/>
      <c r="Y31" s="370"/>
      <c r="AB31" s="363"/>
      <c r="AD31" s="492" t="s">
        <v>8403</v>
      </c>
      <c r="AE31" s="494" t="s">
        <v>8404</v>
      </c>
      <c r="AF31" s="495" t="s">
        <v>8405</v>
      </c>
      <c r="AG31" s="495" t="s">
        <v>8406</v>
      </c>
      <c r="AH31" s="495" t="s">
        <v>8407</v>
      </c>
      <c r="AI31" s="496" t="s">
        <v>8408</v>
      </c>
      <c r="AJ31" s="497" t="s">
        <v>8409</v>
      </c>
    </row>
    <row r="32" spans="1:36" ht="16.350000000000001" customHeight="1">
      <c r="A32" s="197"/>
      <c r="B32" s="492" t="s">
        <v>8410</v>
      </c>
      <c r="C32" s="499" t="s">
        <v>681</v>
      </c>
      <c r="D32" s="499">
        <v>3</v>
      </c>
      <c r="E32" s="2005">
        <f>IFERROR(E29+E30+E31,0)</f>
        <v>24.204999999999998</v>
      </c>
      <c r="F32" s="2003">
        <f>IFERROR(F29+F30+F31,0)</f>
        <v>159.83200000000002</v>
      </c>
      <c r="G32" s="2003">
        <f>IFERROR(G29+G30+G31,0)</f>
        <v>99.051999999999992</v>
      </c>
      <c r="H32" s="2003">
        <f>IFERROR(H29+H30+H31,0)</f>
        <v>3.5229999999999997</v>
      </c>
      <c r="I32" s="2003">
        <f>IFERROR(I29+I30+I31,0)</f>
        <v>0</v>
      </c>
      <c r="J32" s="2014">
        <f t="shared" si="7"/>
        <v>286.61200000000008</v>
      </c>
      <c r="K32" s="501"/>
      <c r="L32" s="498" t="s">
        <v>8411</v>
      </c>
      <c r="M32" s="197"/>
      <c r="N32" s="291"/>
      <c r="O32" s="197"/>
      <c r="P32" s="345"/>
      <c r="R32" s="370"/>
      <c r="S32" s="270"/>
      <c r="T32" s="270"/>
      <c r="U32" s="270"/>
      <c r="V32" s="270"/>
      <c r="W32" s="270"/>
      <c r="X32" s="270"/>
      <c r="Y32" s="370"/>
      <c r="AB32" s="363"/>
      <c r="AD32" s="492" t="s">
        <v>8412</v>
      </c>
      <c r="AE32" s="502" t="s">
        <v>8413</v>
      </c>
      <c r="AF32" s="495" t="s">
        <v>8414</v>
      </c>
      <c r="AG32" s="495" t="s">
        <v>8415</v>
      </c>
      <c r="AH32" s="495" t="s">
        <v>8416</v>
      </c>
      <c r="AI32" s="495" t="s">
        <v>8417</v>
      </c>
      <c r="AJ32" s="497" t="s">
        <v>8418</v>
      </c>
    </row>
    <row r="33" spans="1:36" ht="16.350000000000001" customHeight="1">
      <c r="A33" s="197"/>
      <c r="B33" s="492" t="s">
        <v>8361</v>
      </c>
      <c r="C33" s="493" t="s">
        <v>681</v>
      </c>
      <c r="D33" s="493">
        <v>3</v>
      </c>
      <c r="E33" s="2002">
        <f>IFERROR('4D'!E24, 0)</f>
        <v>0</v>
      </c>
      <c r="F33" s="2003">
        <f>IFERROR(SUM('4D'!F24:I24), 0)</f>
        <v>0</v>
      </c>
      <c r="G33" s="2003">
        <f>IFERROR(SUM('4E'!E24:I24), 0)</f>
        <v>0</v>
      </c>
      <c r="H33" s="2003">
        <f>IFERROR(SUM('4E'!J24:L24), 0)</f>
        <v>0</v>
      </c>
      <c r="I33" s="496">
        <v>0</v>
      </c>
      <c r="J33" s="2014">
        <f t="shared" si="7"/>
        <v>0</v>
      </c>
      <c r="K33" s="501"/>
      <c r="L33" s="498" t="s">
        <v>8419</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8361</v>
      </c>
      <c r="AE33" s="511" t="s">
        <v>8420</v>
      </c>
      <c r="AF33" s="512" t="s">
        <v>8421</v>
      </c>
      <c r="AG33" s="512" t="s">
        <v>8422</v>
      </c>
      <c r="AH33" s="512" t="s">
        <v>8423</v>
      </c>
      <c r="AI33" s="496" t="s">
        <v>8424</v>
      </c>
      <c r="AJ33" s="497" t="s">
        <v>8425</v>
      </c>
    </row>
    <row r="34" spans="1:36" ht="16.350000000000001" customHeight="1" thickBot="1">
      <c r="A34" s="197"/>
      <c r="B34" s="504" t="s">
        <v>8426</v>
      </c>
      <c r="C34" s="513" t="s">
        <v>681</v>
      </c>
      <c r="D34" s="513">
        <v>3</v>
      </c>
      <c r="E34" s="2009">
        <f>IFERROR(E32+E33,0)</f>
        <v>24.204999999999998</v>
      </c>
      <c r="F34" s="2009">
        <f>IFERROR(F32+F33,0)</f>
        <v>159.83200000000002</v>
      </c>
      <c r="G34" s="2009">
        <f>IFERROR(G32+G33,0)</f>
        <v>99.051999999999992</v>
      </c>
      <c r="H34" s="2009">
        <f>IFERROR(H32+H33,0)</f>
        <v>3.5229999999999997</v>
      </c>
      <c r="I34" s="2009">
        <f>IFERROR(I32+I33,0)</f>
        <v>0</v>
      </c>
      <c r="J34" s="2015">
        <f t="shared" si="7"/>
        <v>286.61200000000008</v>
      </c>
      <c r="K34" s="501"/>
      <c r="L34" s="514" t="s">
        <v>8427</v>
      </c>
      <c r="M34" s="197"/>
      <c r="N34" s="302"/>
      <c r="O34" s="197"/>
      <c r="P34" s="345"/>
      <c r="R34" s="370"/>
      <c r="S34" s="270"/>
      <c r="T34" s="270"/>
      <c r="U34" s="270"/>
      <c r="V34" s="270"/>
      <c r="W34" s="270"/>
      <c r="X34" s="270"/>
      <c r="Y34" s="370"/>
      <c r="AB34" s="363"/>
      <c r="AD34" s="504" t="s">
        <v>8426</v>
      </c>
      <c r="AE34" s="507" t="s">
        <v>8428</v>
      </c>
      <c r="AF34" s="507" t="s">
        <v>8429</v>
      </c>
      <c r="AG34" s="507" t="s">
        <v>8430</v>
      </c>
      <c r="AH34" s="507" t="s">
        <v>8431</v>
      </c>
      <c r="AI34" s="507" t="s">
        <v>8432</v>
      </c>
      <c r="AJ34" s="508" t="s">
        <v>8433</v>
      </c>
    </row>
    <row r="35" spans="1:36" ht="16.350000000000001"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8376</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8376</v>
      </c>
      <c r="AE36" s="309"/>
      <c r="AF36" s="309"/>
      <c r="AG36" s="309"/>
      <c r="AH36" s="309"/>
      <c r="AI36" s="309"/>
      <c r="AJ36" s="309"/>
    </row>
    <row r="37" spans="1:36" ht="16.350000000000001" customHeight="1" thickTop="1" thickBot="1">
      <c r="A37" s="197"/>
      <c r="B37" s="420" t="s">
        <v>8434</v>
      </c>
      <c r="C37" s="371" t="s">
        <v>681</v>
      </c>
      <c r="D37" s="371">
        <v>3</v>
      </c>
      <c r="E37" s="2011">
        <f>IFERROR('4D'!E28, 0)</f>
        <v>0</v>
      </c>
      <c r="F37" s="2012">
        <f>IFERROR(SUM('4D'!F28:I28), 0)</f>
        <v>13.089</v>
      </c>
      <c r="G37" s="2012">
        <f>IFERROR(SUM('4E'!E28:I28), 0)</f>
        <v>1.9860000000000002</v>
      </c>
      <c r="H37" s="2012">
        <f>IFERROR(SUM('4E'!J28:L28), 0)</f>
        <v>0</v>
      </c>
      <c r="I37" s="519">
        <v>0</v>
      </c>
      <c r="J37" s="1974">
        <f>IFERROR(SUM(E37:I37),0)</f>
        <v>15.075000000000001</v>
      </c>
      <c r="K37" s="106"/>
      <c r="L37" s="521" t="s">
        <v>8435</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8434</v>
      </c>
      <c r="AE37" s="517" t="s">
        <v>8436</v>
      </c>
      <c r="AF37" s="518" t="s">
        <v>8437</v>
      </c>
      <c r="AG37" s="518" t="s">
        <v>8438</v>
      </c>
      <c r="AH37" s="518" t="s">
        <v>8439</v>
      </c>
      <c r="AI37" s="519" t="s">
        <v>8440</v>
      </c>
      <c r="AJ37" s="471" t="s">
        <v>8441</v>
      </c>
    </row>
    <row r="38" spans="1:36" ht="16.350000000000001"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8442</v>
      </c>
      <c r="C39" s="371" t="s">
        <v>681</v>
      </c>
      <c r="D39" s="371">
        <v>3</v>
      </c>
      <c r="E39" s="1957">
        <f>IFERROR(E23+E34-E26-E37,0)</f>
        <v>104.60999999999999</v>
      </c>
      <c r="F39" s="1957">
        <f>IFERROR(F23+F34-F26-F37,0)</f>
        <v>334.89799999999997</v>
      </c>
      <c r="G39" s="1957">
        <f>IFERROR(G23+G34-G26-G37,0)</f>
        <v>215.59300000000002</v>
      </c>
      <c r="H39" s="1957">
        <f>IFERROR(H23+H34-H26-H37,0)</f>
        <v>4.3610000000000007</v>
      </c>
      <c r="I39" s="1957">
        <f>IFERROR(I23+I34-I26-I37,0)</f>
        <v>0</v>
      </c>
      <c r="J39" s="1974">
        <f>IFERROR(SUM(E39:I39),0)</f>
        <v>659.46199999999988</v>
      </c>
      <c r="K39" s="106"/>
      <c r="L39" s="521" t="s">
        <v>8443</v>
      </c>
      <c r="M39" s="197"/>
      <c r="N39" s="375"/>
      <c r="O39" s="197"/>
      <c r="P39" s="345"/>
      <c r="R39" s="370"/>
      <c r="S39" s="270"/>
      <c r="T39" s="270"/>
      <c r="U39" s="270"/>
      <c r="V39" s="270"/>
      <c r="W39" s="270"/>
      <c r="X39" s="270"/>
      <c r="Y39" s="370"/>
      <c r="AB39" s="363"/>
      <c r="AD39" s="420" t="s">
        <v>8442</v>
      </c>
      <c r="AE39" s="385" t="s">
        <v>8444</v>
      </c>
      <c r="AF39" s="385" t="s">
        <v>8445</v>
      </c>
      <c r="AG39" s="385" t="s">
        <v>8446</v>
      </c>
      <c r="AH39" s="385" t="s">
        <v>8447</v>
      </c>
      <c r="AI39" s="385" t="s">
        <v>8448</v>
      </c>
      <c r="AJ39" s="471" t="s">
        <v>8449</v>
      </c>
    </row>
    <row r="40" spans="1:36" ht="16.350000000000001"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8450</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8450</v>
      </c>
      <c r="AE41" s="367"/>
      <c r="AF41" s="367"/>
      <c r="AG41" s="367"/>
      <c r="AH41" s="367"/>
      <c r="AI41" s="367"/>
      <c r="AJ41" s="367"/>
    </row>
    <row r="42" spans="1:36" ht="16.350000000000001" customHeight="1" thickTop="1">
      <c r="A42" s="197"/>
      <c r="B42" s="451" t="s">
        <v>8451</v>
      </c>
      <c r="C42" s="277" t="s">
        <v>681</v>
      </c>
      <c r="D42" s="277">
        <v>3</v>
      </c>
      <c r="E42" s="2000">
        <f>IFERROR('4D'!E33, 0)</f>
        <v>0.57899999999999996</v>
      </c>
      <c r="F42" s="2001">
        <f>IFERROR(SUM('4D'!F33:I33), 0)</f>
        <v>12.881</v>
      </c>
      <c r="G42" s="2001">
        <f>IFERROR(SUM('4E'!E33:I33), 0)</f>
        <v>6.0459999999999994</v>
      </c>
      <c r="H42" s="2001">
        <f>IFERROR(SUM('4E'!J33:L33), 0)</f>
        <v>0.33100000000000002</v>
      </c>
      <c r="I42" s="488">
        <v>0</v>
      </c>
      <c r="J42" s="1934">
        <f>IFERROR(SUM(E42:I42),0)</f>
        <v>19.837</v>
      </c>
      <c r="K42" s="106"/>
      <c r="L42" s="491" t="s">
        <v>8452</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8451</v>
      </c>
      <c r="AE42" s="524" t="s">
        <v>8453</v>
      </c>
      <c r="AF42" s="525" t="s">
        <v>8454</v>
      </c>
      <c r="AG42" s="525" t="s">
        <v>8455</v>
      </c>
      <c r="AH42" s="525" t="s">
        <v>8456</v>
      </c>
      <c r="AI42" s="488" t="s">
        <v>8457</v>
      </c>
      <c r="AJ42" s="280" t="s">
        <v>8458</v>
      </c>
    </row>
    <row r="43" spans="1:36" ht="16.350000000000001" customHeight="1">
      <c r="A43" s="197"/>
      <c r="B43" s="460" t="s">
        <v>8459</v>
      </c>
      <c r="C43" s="286" t="s">
        <v>681</v>
      </c>
      <c r="D43" s="286">
        <v>3</v>
      </c>
      <c r="E43" s="2002">
        <f>IFERROR('4D'!E34, 0)</f>
        <v>0</v>
      </c>
      <c r="F43" s="2003">
        <f>IFERROR(SUM('4D'!F34:I34), 0)</f>
        <v>0</v>
      </c>
      <c r="G43" s="2003">
        <f>IFERROR(SUM('4E'!E34:I34), 0)</f>
        <v>0</v>
      </c>
      <c r="H43" s="2003">
        <f>IFERROR(SUM('4E'!J34:L34), 0)</f>
        <v>0</v>
      </c>
      <c r="I43" s="496">
        <v>0</v>
      </c>
      <c r="J43" s="1938">
        <f>IFERROR(SUM(E43:I43),0)</f>
        <v>0</v>
      </c>
      <c r="K43" s="106"/>
      <c r="L43" s="498" t="s">
        <v>8460</v>
      </c>
      <c r="M43" s="197"/>
      <c r="N43" s="291"/>
      <c r="O43" s="197"/>
      <c r="P43" s="345"/>
      <c r="Q43" s="284">
        <f t="shared" si="12"/>
        <v>0</v>
      </c>
      <c r="R43" s="361"/>
      <c r="S43" s="270"/>
      <c r="T43" s="270"/>
      <c r="U43" s="270"/>
      <c r="V43" s="270"/>
      <c r="W43" s="285">
        <f t="shared" si="13"/>
        <v>0</v>
      </c>
      <c r="X43" s="270"/>
      <c r="Y43" s="370"/>
      <c r="AB43" s="363"/>
      <c r="AD43" s="460" t="s">
        <v>8459</v>
      </c>
      <c r="AE43" s="511" t="s">
        <v>8461</v>
      </c>
      <c r="AF43" s="512" t="s">
        <v>8462</v>
      </c>
      <c r="AG43" s="512" t="s">
        <v>8463</v>
      </c>
      <c r="AH43" s="512" t="s">
        <v>8464</v>
      </c>
      <c r="AI43" s="496" t="s">
        <v>8465</v>
      </c>
      <c r="AJ43" s="289" t="s">
        <v>8466</v>
      </c>
    </row>
    <row r="44" spans="1:36" ht="16.350000000000001" customHeight="1" thickBot="1">
      <c r="A44" s="197"/>
      <c r="B44" s="463" t="s">
        <v>8467</v>
      </c>
      <c r="C44" s="355" t="s">
        <v>681</v>
      </c>
      <c r="D44" s="355">
        <v>3</v>
      </c>
      <c r="E44" s="1939">
        <f>IFERROR(E39+E42+E43,0)</f>
        <v>105.18899999999998</v>
      </c>
      <c r="F44" s="1939">
        <f>IFERROR(F39+F42+F43,0)</f>
        <v>347.779</v>
      </c>
      <c r="G44" s="1939">
        <f>IFERROR(G39+G42+G43,0)</f>
        <v>221.63900000000001</v>
      </c>
      <c r="H44" s="1939">
        <f>IFERROR(H39+H42+H43,0)</f>
        <v>4.6920000000000011</v>
      </c>
      <c r="I44" s="1939">
        <f>IFERROR(I39+I42+I43,0)</f>
        <v>0</v>
      </c>
      <c r="J44" s="1940">
        <f>IFERROR(SUM(E44:I44),0)</f>
        <v>679.29899999999998</v>
      </c>
      <c r="K44" s="106"/>
      <c r="L44" s="514" t="s">
        <v>8468</v>
      </c>
      <c r="M44" s="197"/>
      <c r="N44" s="302"/>
      <c r="O44" s="197"/>
      <c r="P44" s="345"/>
      <c r="R44" s="370"/>
      <c r="S44" s="270"/>
      <c r="T44" s="270"/>
      <c r="U44" s="270"/>
      <c r="V44" s="270"/>
      <c r="W44" s="270"/>
      <c r="X44" s="270"/>
      <c r="Y44" s="370"/>
      <c r="AB44" s="363"/>
      <c r="AD44" s="463" t="s">
        <v>8467</v>
      </c>
      <c r="AE44" s="298" t="s">
        <v>8469</v>
      </c>
      <c r="AF44" s="298" t="s">
        <v>8470</v>
      </c>
      <c r="AG44" s="298" t="s">
        <v>8471</v>
      </c>
      <c r="AH44" s="298" t="s">
        <v>8472</v>
      </c>
      <c r="AI44" s="298" t="s">
        <v>8473</v>
      </c>
      <c r="AJ44" s="299" t="s">
        <v>8474</v>
      </c>
    </row>
    <row r="45" spans="1:36" ht="15.75"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tabColor rgb="FF00B050"/>
    <pageSetUpPr fitToPage="1"/>
  </sheetPr>
  <dimension ref="A1:W58"/>
  <sheetViews>
    <sheetView showGridLines="0" zoomScale="40" zoomScaleNormal="40" zoomScaleSheetLayoutView="100" workbookViewId="0">
      <selection activeCell="H19" sqref="H19"/>
    </sheetView>
  </sheetViews>
  <sheetFormatPr defaultColWidth="9" defaultRowHeight="15.75"/>
  <cols>
    <col min="1" max="1" width="1.625" style="224" customWidth="1"/>
    <col min="2" max="2" width="43.75" style="224" customWidth="1"/>
    <col min="3" max="8" width="14.625" style="224" customWidth="1"/>
    <col min="9" max="9" width="14.625" style="260" customWidth="1"/>
    <col min="10" max="10" width="14.625" style="224" customWidth="1"/>
    <col min="11" max="11" width="27.125" style="224" customWidth="1"/>
    <col min="12" max="13" width="1.625" style="224" customWidth="1"/>
    <col min="14" max="14" width="25" style="224" customWidth="1"/>
    <col min="15" max="15" width="1.625" style="263" customWidth="1"/>
    <col min="16" max="17" width="12.625" style="263" hidden="1" customWidth="1"/>
    <col min="18" max="18" width="1.625" style="263"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89" customFormat="1" ht="23.25">
      <c r="B1" s="424" t="s">
        <v>8475</v>
      </c>
      <c r="C1" s="424"/>
      <c r="D1" s="424"/>
      <c r="E1" s="2661"/>
      <c r="F1" s="2661"/>
      <c r="G1" s="2661"/>
      <c r="H1" s="528"/>
      <c r="I1" s="260"/>
      <c r="M1" s="340"/>
      <c r="N1" s="259"/>
      <c r="O1" s="361"/>
      <c r="P1" s="263"/>
      <c r="Q1" s="263"/>
      <c r="R1" s="361"/>
      <c r="T1" s="424" t="s">
        <v>7220</v>
      </c>
    </row>
    <row r="2" spans="1:23" s="389" customFormat="1" ht="23.25">
      <c r="B2" s="424" t="str">
        <f>SelectCompany!B4</f>
        <v>Northumbrian Water</v>
      </c>
      <c r="C2" s="529"/>
      <c r="D2" s="529"/>
      <c r="E2" s="529"/>
      <c r="F2" s="529"/>
      <c r="G2" s="529"/>
      <c r="H2" s="528"/>
      <c r="I2" s="260"/>
      <c r="M2" s="340"/>
      <c r="N2" s="259"/>
      <c r="O2" s="361"/>
      <c r="P2" s="263"/>
      <c r="Q2" s="263"/>
      <c r="R2" s="361"/>
      <c r="T2" s="424"/>
    </row>
    <row r="3" spans="1:23" ht="19.5">
      <c r="B3" s="2662" t="s">
        <v>8476</v>
      </c>
      <c r="C3" s="2663"/>
      <c r="D3" s="2663"/>
      <c r="E3" s="2663"/>
      <c r="F3" s="2663"/>
      <c r="G3" s="2663"/>
      <c r="H3" s="2663"/>
      <c r="I3" s="2663"/>
      <c r="J3" s="2663"/>
      <c r="K3" s="2663"/>
      <c r="M3" s="342"/>
      <c r="N3" s="265" t="s">
        <v>7222</v>
      </c>
      <c r="O3" s="361"/>
      <c r="R3" s="361"/>
      <c r="T3" s="2664" t="s">
        <v>8476</v>
      </c>
      <c r="U3" s="2665"/>
      <c r="V3" s="2665"/>
      <c r="W3" s="2665"/>
    </row>
    <row r="4" spans="1:23" ht="24" thickBot="1">
      <c r="B4" s="530"/>
      <c r="C4" s="530"/>
      <c r="D4" s="530"/>
      <c r="E4" s="530"/>
      <c r="F4" s="530"/>
      <c r="G4" s="530"/>
      <c r="M4" s="345"/>
      <c r="O4" s="361"/>
      <c r="P4" s="2668" t="s">
        <v>7223</v>
      </c>
      <c r="Q4" s="2668"/>
      <c r="R4" s="361"/>
      <c r="T4" s="530"/>
      <c r="U4" s="530"/>
      <c r="V4" s="530"/>
      <c r="W4" s="530"/>
    </row>
    <row r="5" spans="1:23" ht="46.5" thickTop="1" thickBot="1">
      <c r="A5" s="197"/>
      <c r="B5" s="445" t="s">
        <v>7224</v>
      </c>
      <c r="C5" s="446" t="s">
        <v>7225</v>
      </c>
      <c r="D5" s="446" t="s">
        <v>670</v>
      </c>
      <c r="E5" s="446" t="s">
        <v>8477</v>
      </c>
      <c r="F5" s="446" t="s">
        <v>8478</v>
      </c>
      <c r="G5" s="447" t="s">
        <v>7445</v>
      </c>
      <c r="H5" s="531"/>
      <c r="I5" s="448" t="s">
        <v>7229</v>
      </c>
      <c r="J5" s="197"/>
      <c r="K5" s="449" t="s">
        <v>7230</v>
      </c>
      <c r="L5" s="197"/>
      <c r="M5" s="345"/>
      <c r="O5" s="361"/>
      <c r="P5" s="269" t="s">
        <v>7231</v>
      </c>
      <c r="Q5" s="270"/>
      <c r="R5" s="361"/>
      <c r="T5" s="445" t="s">
        <v>7224</v>
      </c>
      <c r="U5" s="446" t="s">
        <v>8477</v>
      </c>
      <c r="V5" s="446" t="s">
        <v>8478</v>
      </c>
      <c r="W5" s="447" t="s">
        <v>7445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7.25" thickTop="1" thickBot="1">
      <c r="A7" s="197"/>
      <c r="B7" s="393" t="s">
        <v>8479</v>
      </c>
      <c r="C7" s="394"/>
      <c r="D7" s="394"/>
      <c r="E7" s="197"/>
      <c r="F7" s="197"/>
      <c r="G7" s="197"/>
      <c r="H7" s="197"/>
      <c r="J7" s="197"/>
      <c r="K7" s="197"/>
      <c r="L7" s="197"/>
      <c r="M7" s="345"/>
      <c r="N7" s="267"/>
      <c r="O7" s="361"/>
      <c r="P7" s="267"/>
      <c r="Q7" s="267"/>
      <c r="R7" s="361"/>
      <c r="T7" s="393" t="s">
        <v>8479</v>
      </c>
      <c r="U7" s="197"/>
      <c r="V7" s="197"/>
      <c r="W7" s="197"/>
    </row>
    <row r="8" spans="1:23" thickTop="1">
      <c r="A8" s="197"/>
      <c r="B8" s="451" t="s">
        <v>8480</v>
      </c>
      <c r="C8" s="277" t="s">
        <v>681</v>
      </c>
      <c r="D8" s="277">
        <v>3</v>
      </c>
      <c r="E8" s="488">
        <v>15.497999999999999</v>
      </c>
      <c r="F8" s="488">
        <v>0</v>
      </c>
      <c r="G8" s="280">
        <f>IFERROR(SUM(E8:F8),0)</f>
        <v>15.497999999999999</v>
      </c>
      <c r="H8" s="197"/>
      <c r="I8" s="281" t="s">
        <v>8481</v>
      </c>
      <c r="J8" s="197"/>
      <c r="K8" s="283"/>
      <c r="L8" s="197"/>
      <c r="M8" s="345"/>
      <c r="N8" s="284">
        <f>IF( SUM( P8:Q8 ) = 0, 0, $P$5 )</f>
        <v>0</v>
      </c>
      <c r="O8" s="361"/>
      <c r="P8" s="285">
        <f xml:space="preserve"> IF( ISNUMBER( E8 ), 0, 1 )</f>
        <v>0</v>
      </c>
      <c r="Q8" s="285">
        <f t="shared" ref="Q8:Q11" si="0" xml:space="preserve"> IF( ISNUMBER( F8 ), 0, 1 )</f>
        <v>0</v>
      </c>
      <c r="R8" s="361"/>
      <c r="T8" s="451" t="s">
        <v>8480</v>
      </c>
      <c r="U8" s="488" t="s">
        <v>8482</v>
      </c>
      <c r="V8" s="488" t="s">
        <v>8483</v>
      </c>
      <c r="W8" s="280" t="s">
        <v>8484</v>
      </c>
    </row>
    <row r="9" spans="1:23" ht="15">
      <c r="A9" s="197"/>
      <c r="B9" s="460" t="s">
        <v>8485</v>
      </c>
      <c r="C9" s="286" t="s">
        <v>681</v>
      </c>
      <c r="D9" s="286">
        <v>3</v>
      </c>
      <c r="E9" s="496">
        <v>4.5140000000000002</v>
      </c>
      <c r="F9" s="496">
        <v>0</v>
      </c>
      <c r="G9" s="289">
        <f>IFERROR(SUM(E9:F9),0)</f>
        <v>4.5140000000000002</v>
      </c>
      <c r="H9" s="197"/>
      <c r="I9" s="290" t="s">
        <v>8486</v>
      </c>
      <c r="J9" s="197"/>
      <c r="K9" s="291"/>
      <c r="L9" s="197"/>
      <c r="M9" s="363"/>
      <c r="N9" s="284">
        <f t="shared" ref="N9:N14" si="1">IF( SUM( P9:Q9 ) = 0, 0, $P$5 )</f>
        <v>0</v>
      </c>
      <c r="O9" s="361"/>
      <c r="P9" s="285">
        <f t="shared" ref="P9:P11" si="2" xml:space="preserve"> IF( ISNUMBER( E9 ), 0, 1 )</f>
        <v>0</v>
      </c>
      <c r="Q9" s="285">
        <f t="shared" si="0"/>
        <v>0</v>
      </c>
      <c r="R9" s="361"/>
      <c r="T9" s="460" t="s">
        <v>8485</v>
      </c>
      <c r="U9" s="496" t="s">
        <v>8487</v>
      </c>
      <c r="V9" s="496" t="s">
        <v>8488</v>
      </c>
      <c r="W9" s="289" t="s">
        <v>8489</v>
      </c>
    </row>
    <row r="10" spans="1:23" ht="15">
      <c r="A10" s="197"/>
      <c r="B10" s="460" t="s">
        <v>8490</v>
      </c>
      <c r="C10" s="286" t="s">
        <v>681</v>
      </c>
      <c r="D10" s="286">
        <v>3</v>
      </c>
      <c r="E10" s="496">
        <v>18.04</v>
      </c>
      <c r="F10" s="496">
        <v>0</v>
      </c>
      <c r="G10" s="289">
        <f>IFERROR(SUM(E10:F10),0)</f>
        <v>18.04</v>
      </c>
      <c r="H10" s="197"/>
      <c r="I10" s="290" t="s">
        <v>8491</v>
      </c>
      <c r="J10" s="197"/>
      <c r="K10" s="291"/>
      <c r="L10" s="197"/>
      <c r="M10" s="363"/>
      <c r="N10" s="284">
        <f t="shared" si="1"/>
        <v>0</v>
      </c>
      <c r="O10" s="361"/>
      <c r="P10" s="285">
        <f t="shared" si="2"/>
        <v>0</v>
      </c>
      <c r="Q10" s="285">
        <f t="shared" si="0"/>
        <v>0</v>
      </c>
      <c r="R10" s="361"/>
      <c r="T10" s="460" t="s">
        <v>8490</v>
      </c>
      <c r="U10" s="496" t="s">
        <v>8492</v>
      </c>
      <c r="V10" s="496" t="s">
        <v>8493</v>
      </c>
      <c r="W10" s="289" t="s">
        <v>8494</v>
      </c>
    </row>
    <row r="11" spans="1:23" ht="15">
      <c r="A11" s="197"/>
      <c r="B11" s="460" t="s">
        <v>8495</v>
      </c>
      <c r="C11" s="286" t="s">
        <v>681</v>
      </c>
      <c r="D11" s="286">
        <v>3</v>
      </c>
      <c r="E11" s="496">
        <v>2.012</v>
      </c>
      <c r="F11" s="496">
        <v>0</v>
      </c>
      <c r="G11" s="289">
        <f>IFERROR(SUM(E11:F11),0)</f>
        <v>2.012</v>
      </c>
      <c r="H11" s="197"/>
      <c r="I11" s="290" t="s">
        <v>8496</v>
      </c>
      <c r="J11" s="197"/>
      <c r="K11" s="291"/>
      <c r="L11" s="197"/>
      <c r="M11" s="363"/>
      <c r="N11" s="284">
        <f t="shared" si="1"/>
        <v>0</v>
      </c>
      <c r="O11" s="361"/>
      <c r="P11" s="285">
        <f t="shared" si="2"/>
        <v>0</v>
      </c>
      <c r="Q11" s="285">
        <f t="shared" si="0"/>
        <v>0</v>
      </c>
      <c r="R11" s="361"/>
      <c r="T11" s="460" t="s">
        <v>8495</v>
      </c>
      <c r="U11" s="496" t="s">
        <v>8497</v>
      </c>
      <c r="V11" s="496" t="s">
        <v>8498</v>
      </c>
      <c r="W11" s="289" t="s">
        <v>8499</v>
      </c>
    </row>
    <row r="12" spans="1:23" ht="15">
      <c r="A12" s="197"/>
      <c r="B12" s="460" t="s">
        <v>8500</v>
      </c>
      <c r="C12" s="286" t="s">
        <v>681</v>
      </c>
      <c r="D12" s="286">
        <v>3</v>
      </c>
      <c r="E12" s="535"/>
      <c r="F12" s="496">
        <v>0</v>
      </c>
      <c r="G12" s="400">
        <f>IFERROR(F12,0)</f>
        <v>0</v>
      </c>
      <c r="H12" s="197"/>
      <c r="I12" s="290" t="s">
        <v>8501</v>
      </c>
      <c r="J12" s="197"/>
      <c r="K12" s="291"/>
      <c r="L12" s="197"/>
      <c r="M12" s="363"/>
      <c r="N12" s="284">
        <f t="shared" si="1"/>
        <v>0</v>
      </c>
      <c r="O12" s="361"/>
      <c r="P12" s="267"/>
      <c r="Q12" s="285">
        <f xml:space="preserve"> IF( ISNUMBER( F12 ), 0, 1 )</f>
        <v>0</v>
      </c>
      <c r="R12" s="361"/>
      <c r="T12" s="460" t="s">
        <v>8500</v>
      </c>
      <c r="U12" s="535"/>
      <c r="V12" s="496" t="s">
        <v>8502</v>
      </c>
      <c r="W12" s="400" t="s">
        <v>8503</v>
      </c>
    </row>
    <row r="13" spans="1:23" ht="15">
      <c r="A13" s="197"/>
      <c r="B13" s="460" t="s">
        <v>8313</v>
      </c>
      <c r="C13" s="286" t="s">
        <v>681</v>
      </c>
      <c r="D13" s="286">
        <v>3</v>
      </c>
      <c r="E13" s="496">
        <v>9.34</v>
      </c>
      <c r="F13" s="496">
        <v>0</v>
      </c>
      <c r="G13" s="289">
        <f>IFERROR(SUM(E13:F13),0)</f>
        <v>9.34</v>
      </c>
      <c r="H13" s="197"/>
      <c r="I13" s="290" t="s">
        <v>8504</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8313</v>
      </c>
      <c r="U13" s="496" t="s">
        <v>8505</v>
      </c>
      <c r="V13" s="496" t="s">
        <v>8506</v>
      </c>
      <c r="W13" s="289" t="s">
        <v>8507</v>
      </c>
    </row>
    <row r="14" spans="1:23" ht="15">
      <c r="A14" s="197"/>
      <c r="B14" s="460" t="s">
        <v>8320</v>
      </c>
      <c r="C14" s="286" t="s">
        <v>681</v>
      </c>
      <c r="D14" s="286">
        <v>3</v>
      </c>
      <c r="E14" s="496">
        <v>0.246</v>
      </c>
      <c r="F14" s="496">
        <v>0</v>
      </c>
      <c r="G14" s="289">
        <f>IFERROR(SUM(E14:F14),0)</f>
        <v>0.246</v>
      </c>
      <c r="H14" s="200"/>
      <c r="I14" s="290" t="s">
        <v>8508</v>
      </c>
      <c r="J14" s="197"/>
      <c r="K14" s="291"/>
      <c r="L14" s="197"/>
      <c r="M14" s="363"/>
      <c r="N14" s="284">
        <f t="shared" si="1"/>
        <v>0</v>
      </c>
      <c r="O14" s="361"/>
      <c r="P14" s="285">
        <f t="shared" si="3"/>
        <v>0</v>
      </c>
      <c r="Q14" s="285">
        <f t="shared" si="4"/>
        <v>0</v>
      </c>
      <c r="R14" s="361"/>
      <c r="T14" s="460" t="s">
        <v>8320</v>
      </c>
      <c r="U14" s="496" t="s">
        <v>8509</v>
      </c>
      <c r="V14" s="496" t="s">
        <v>8510</v>
      </c>
      <c r="W14" s="289" t="s">
        <v>8511</v>
      </c>
    </row>
    <row r="15" spans="1:23" ht="30.75" thickBot="1">
      <c r="A15" s="197"/>
      <c r="B15" s="463" t="s">
        <v>8353</v>
      </c>
      <c r="C15" s="355" t="s">
        <v>681</v>
      </c>
      <c r="D15" s="355">
        <v>3</v>
      </c>
      <c r="E15" s="298">
        <f>IFERROR(SUM(E8:E11) + SUM(E13:E14),0)</f>
        <v>49.65</v>
      </c>
      <c r="F15" s="298">
        <f>IFERROR(SUM(F8:F14),0)</f>
        <v>0</v>
      </c>
      <c r="G15" s="299">
        <f>IFERROR(SUM(E15:F15),0)</f>
        <v>49.65</v>
      </c>
      <c r="H15" s="197"/>
      <c r="I15" s="356" t="s">
        <v>8512</v>
      </c>
      <c r="J15" s="197"/>
      <c r="K15" s="302"/>
      <c r="L15" s="197"/>
      <c r="M15" s="363"/>
      <c r="O15" s="361"/>
      <c r="P15" s="267"/>
      <c r="Q15" s="267"/>
      <c r="R15" s="361"/>
      <c r="T15" s="463" t="s">
        <v>8353</v>
      </c>
      <c r="U15" s="298" t="s">
        <v>8513</v>
      </c>
      <c r="V15" s="298" t="s">
        <v>8514</v>
      </c>
      <c r="W15" s="299" t="s">
        <v>8515</v>
      </c>
    </row>
    <row r="16" spans="1:23" ht="17.2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7.25" thickTop="1" thickBot="1">
      <c r="A17" s="197"/>
      <c r="B17" s="393" t="s">
        <v>7649</v>
      </c>
      <c r="C17" s="394"/>
      <c r="D17" s="394"/>
      <c r="E17" s="441"/>
      <c r="F17" s="473"/>
      <c r="G17" s="473"/>
      <c r="H17" s="197"/>
      <c r="J17" s="197"/>
      <c r="K17" s="197"/>
      <c r="L17" s="197"/>
      <c r="M17" s="363"/>
      <c r="O17" s="361"/>
      <c r="P17" s="267"/>
      <c r="Q17" s="267"/>
      <c r="R17" s="361"/>
      <c r="T17" s="393" t="s">
        <v>7649</v>
      </c>
      <c r="U17" s="441"/>
      <c r="V17" s="473"/>
      <c r="W17" s="473"/>
    </row>
    <row r="18" spans="1:23" ht="30.75" thickTop="1">
      <c r="A18" s="197"/>
      <c r="B18" s="483" t="s">
        <v>8516</v>
      </c>
      <c r="C18" s="485" t="s">
        <v>681</v>
      </c>
      <c r="D18" s="485">
        <v>3</v>
      </c>
      <c r="E18" s="488">
        <v>0.40300000000000002</v>
      </c>
      <c r="F18" s="488">
        <v>0</v>
      </c>
      <c r="G18" s="489">
        <f>IFERROR(SUM(E18:F18),0)</f>
        <v>0.40300000000000002</v>
      </c>
      <c r="H18" s="197"/>
      <c r="I18" s="281" t="s">
        <v>8517</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8518</v>
      </c>
      <c r="U18" s="488" t="s">
        <v>8519</v>
      </c>
      <c r="V18" s="488" t="s">
        <v>8520</v>
      </c>
      <c r="W18" s="489" t="s">
        <v>8521</v>
      </c>
    </row>
    <row r="19" spans="1:23" ht="45">
      <c r="A19" s="197"/>
      <c r="B19" s="492" t="s">
        <v>8522</v>
      </c>
      <c r="C19" s="493" t="s">
        <v>681</v>
      </c>
      <c r="D19" s="493">
        <v>3</v>
      </c>
      <c r="E19" s="496">
        <v>1.6950000000000001</v>
      </c>
      <c r="F19" s="496">
        <v>0</v>
      </c>
      <c r="G19" s="497">
        <f>IFERROR(SUM(E19:F19),0)</f>
        <v>1.6950000000000001</v>
      </c>
      <c r="H19" s="197"/>
      <c r="I19" s="290" t="s">
        <v>8523</v>
      </c>
      <c r="J19" s="197"/>
      <c r="K19" s="291"/>
      <c r="L19" s="197"/>
      <c r="M19" s="363"/>
      <c r="N19" s="284">
        <f t="shared" si="5"/>
        <v>0</v>
      </c>
      <c r="O19" s="361"/>
      <c r="P19" s="285">
        <f t="shared" si="6"/>
        <v>0</v>
      </c>
      <c r="Q19" s="285">
        <f t="shared" si="7"/>
        <v>0</v>
      </c>
      <c r="R19" s="361"/>
      <c r="T19" s="492" t="s">
        <v>8524</v>
      </c>
      <c r="U19" s="496" t="s">
        <v>8525</v>
      </c>
      <c r="V19" s="496" t="s">
        <v>8526</v>
      </c>
      <c r="W19" s="497" t="s">
        <v>8527</v>
      </c>
    </row>
    <row r="20" spans="1:23" ht="30">
      <c r="A20" s="197"/>
      <c r="B20" s="492" t="s">
        <v>8528</v>
      </c>
      <c r="C20" s="493" t="s">
        <v>681</v>
      </c>
      <c r="D20" s="493">
        <v>3</v>
      </c>
      <c r="E20" s="496">
        <v>3.2000000000000001E-2</v>
      </c>
      <c r="F20" s="496">
        <v>0</v>
      </c>
      <c r="G20" s="497">
        <f>IFERROR(SUM(E20:F20),0)</f>
        <v>3.2000000000000001E-2</v>
      </c>
      <c r="H20" s="197"/>
      <c r="I20" s="290" t="s">
        <v>8529</v>
      </c>
      <c r="J20" s="197"/>
      <c r="K20" s="291"/>
      <c r="L20" s="197"/>
      <c r="M20" s="363"/>
      <c r="N20" s="284">
        <f t="shared" si="5"/>
        <v>0</v>
      </c>
      <c r="O20" s="361"/>
      <c r="P20" s="285">
        <f t="shared" si="6"/>
        <v>0</v>
      </c>
      <c r="Q20" s="285">
        <f t="shared" si="7"/>
        <v>0</v>
      </c>
      <c r="R20" s="361"/>
      <c r="T20" s="492" t="s">
        <v>8530</v>
      </c>
      <c r="U20" s="496" t="s">
        <v>8531</v>
      </c>
      <c r="V20" s="496" t="s">
        <v>8532</v>
      </c>
      <c r="W20" s="497" t="s">
        <v>8533</v>
      </c>
    </row>
    <row r="21" spans="1:23" ht="45.75" thickBot="1">
      <c r="A21" s="197"/>
      <c r="B21" s="504" t="s">
        <v>8534</v>
      </c>
      <c r="C21" s="513" t="s">
        <v>681</v>
      </c>
      <c r="D21" s="513">
        <v>3</v>
      </c>
      <c r="E21" s="536">
        <v>2.0539999999999998</v>
      </c>
      <c r="F21" s="536">
        <v>0</v>
      </c>
      <c r="G21" s="508">
        <f>IFERROR(SUM(E21:F21),0)</f>
        <v>2.0539999999999998</v>
      </c>
      <c r="H21" s="197"/>
      <c r="I21" s="356" t="s">
        <v>8535</v>
      </c>
      <c r="J21" s="197"/>
      <c r="K21" s="302"/>
      <c r="L21" s="197"/>
      <c r="M21" s="363"/>
      <c r="N21" s="284">
        <f t="shared" si="5"/>
        <v>0</v>
      </c>
      <c r="O21" s="361"/>
      <c r="P21" s="285">
        <f t="shared" si="6"/>
        <v>0</v>
      </c>
      <c r="Q21" s="285">
        <f t="shared" si="7"/>
        <v>0</v>
      </c>
      <c r="R21" s="361"/>
      <c r="T21" s="504" t="s">
        <v>8536</v>
      </c>
      <c r="U21" s="536" t="s">
        <v>8537</v>
      </c>
      <c r="V21" s="536" t="s">
        <v>8538</v>
      </c>
      <c r="W21" s="508" t="s">
        <v>8539</v>
      </c>
    </row>
    <row r="22" spans="1:23" ht="17.2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7.25" thickTop="1" thickBot="1">
      <c r="A23" s="197"/>
      <c r="B23" s="393" t="s">
        <v>8540</v>
      </c>
      <c r="C23" s="394"/>
      <c r="D23" s="394"/>
      <c r="E23" s="441"/>
      <c r="F23" s="473"/>
      <c r="G23" s="473"/>
      <c r="H23" s="197"/>
      <c r="J23" s="197"/>
      <c r="K23" s="197"/>
      <c r="L23" s="197"/>
      <c r="M23" s="363"/>
      <c r="O23" s="361"/>
      <c r="P23" s="267"/>
      <c r="Q23" s="267"/>
      <c r="R23" s="361"/>
      <c r="T23" s="393" t="s">
        <v>8540</v>
      </c>
      <c r="U23" s="441"/>
      <c r="V23" s="473"/>
      <c r="W23" s="473"/>
    </row>
    <row r="24" spans="1:23" ht="45.75" thickTop="1">
      <c r="A24" s="197"/>
      <c r="B24" s="483" t="s">
        <v>8541</v>
      </c>
      <c r="C24" s="485" t="s">
        <v>681</v>
      </c>
      <c r="D24" s="485">
        <v>3</v>
      </c>
      <c r="E24" s="488">
        <v>0.91</v>
      </c>
      <c r="F24" s="488">
        <v>0</v>
      </c>
      <c r="G24" s="489">
        <f>IFERROR(SUM(E24:F24),0)</f>
        <v>0.91</v>
      </c>
      <c r="H24" s="197"/>
      <c r="I24" s="281" t="s">
        <v>8542</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8541</v>
      </c>
      <c r="U24" s="488" t="s">
        <v>8543</v>
      </c>
      <c r="V24" s="488" t="s">
        <v>8544</v>
      </c>
      <c r="W24" s="489" t="s">
        <v>8545</v>
      </c>
    </row>
    <row r="25" spans="1:23" ht="45">
      <c r="A25" s="197"/>
      <c r="B25" s="492" t="s">
        <v>8546</v>
      </c>
      <c r="C25" s="493" t="s">
        <v>681</v>
      </c>
      <c r="D25" s="493">
        <v>3</v>
      </c>
      <c r="E25" s="496">
        <v>0.13400000000000001</v>
      </c>
      <c r="F25" s="496">
        <v>0</v>
      </c>
      <c r="G25" s="497">
        <f>IFERROR(SUM(E25:F25),0)</f>
        <v>0.13400000000000001</v>
      </c>
      <c r="H25" s="197"/>
      <c r="I25" s="290" t="s">
        <v>8547</v>
      </c>
      <c r="J25" s="197"/>
      <c r="K25" s="291"/>
      <c r="L25" s="197"/>
      <c r="M25" s="363"/>
      <c r="N25" s="284">
        <f t="shared" si="8"/>
        <v>0</v>
      </c>
      <c r="O25" s="361"/>
      <c r="P25" s="285">
        <f t="shared" si="9"/>
        <v>0</v>
      </c>
      <c r="Q25" s="285">
        <f t="shared" si="10"/>
        <v>0</v>
      </c>
      <c r="R25" s="361"/>
      <c r="T25" s="492" t="s">
        <v>8546</v>
      </c>
      <c r="U25" s="496" t="s">
        <v>8548</v>
      </c>
      <c r="V25" s="496" t="s">
        <v>8549</v>
      </c>
      <c r="W25" s="497" t="s">
        <v>8550</v>
      </c>
    </row>
    <row r="26" spans="1:23" ht="45">
      <c r="A26" s="197"/>
      <c r="B26" s="492" t="s">
        <v>8551</v>
      </c>
      <c r="C26" s="493" t="s">
        <v>681</v>
      </c>
      <c r="D26" s="493">
        <v>3</v>
      </c>
      <c r="E26" s="496">
        <v>2.3250000000000002</v>
      </c>
      <c r="F26" s="496">
        <v>0</v>
      </c>
      <c r="G26" s="497">
        <f>IFERROR(SUM(E26:F26),0)</f>
        <v>2.3250000000000002</v>
      </c>
      <c r="H26" s="197"/>
      <c r="I26" s="290" t="s">
        <v>8552</v>
      </c>
      <c r="J26" s="197"/>
      <c r="K26" s="291"/>
      <c r="L26" s="197"/>
      <c r="M26" s="363"/>
      <c r="N26" s="284">
        <f t="shared" si="8"/>
        <v>0</v>
      </c>
      <c r="O26" s="361"/>
      <c r="P26" s="285">
        <f t="shared" si="9"/>
        <v>0</v>
      </c>
      <c r="Q26" s="285">
        <f t="shared" si="10"/>
        <v>0</v>
      </c>
      <c r="R26" s="361"/>
      <c r="T26" s="492" t="s">
        <v>8551</v>
      </c>
      <c r="U26" s="496" t="s">
        <v>8553</v>
      </c>
      <c r="V26" s="496" t="s">
        <v>8554</v>
      </c>
      <c r="W26" s="497" t="s">
        <v>8555</v>
      </c>
    </row>
    <row r="27" spans="1:23" ht="30">
      <c r="A27" s="197"/>
      <c r="B27" s="492" t="s">
        <v>8556</v>
      </c>
      <c r="C27" s="493" t="s">
        <v>681</v>
      </c>
      <c r="D27" s="493">
        <v>3</v>
      </c>
      <c r="E27" s="496">
        <v>8.2000000000000003E-2</v>
      </c>
      <c r="F27" s="496">
        <v>0</v>
      </c>
      <c r="G27" s="497">
        <f>IFERROR(SUM(E27:F27),0)</f>
        <v>8.2000000000000003E-2</v>
      </c>
      <c r="H27" s="197"/>
      <c r="I27" s="290" t="s">
        <v>8557</v>
      </c>
      <c r="J27" s="197"/>
      <c r="K27" s="291"/>
      <c r="L27" s="197"/>
      <c r="M27" s="363"/>
      <c r="N27" s="284">
        <f t="shared" si="8"/>
        <v>0</v>
      </c>
      <c r="O27" s="361"/>
      <c r="P27" s="285">
        <f t="shared" si="9"/>
        <v>0</v>
      </c>
      <c r="Q27" s="285">
        <f t="shared" si="10"/>
        <v>0</v>
      </c>
      <c r="R27" s="361"/>
      <c r="T27" s="492" t="s">
        <v>8556</v>
      </c>
      <c r="U27" s="496" t="s">
        <v>8558</v>
      </c>
      <c r="V27" s="496" t="s">
        <v>8559</v>
      </c>
      <c r="W27" s="497" t="s">
        <v>8560</v>
      </c>
    </row>
    <row r="28" spans="1:23" thickBot="1">
      <c r="A28" s="197"/>
      <c r="B28" s="537" t="s">
        <v>8561</v>
      </c>
      <c r="C28" s="513" t="s">
        <v>681</v>
      </c>
      <c r="D28" s="513">
        <v>3</v>
      </c>
      <c r="E28" s="507">
        <f>IFERROR(E24 + E26 - E25 - E27, 0)</f>
        <v>3.0190000000000006</v>
      </c>
      <c r="F28" s="507">
        <f>IFERROR(F24 + F26 - F25 - F27, 0)</f>
        <v>0</v>
      </c>
      <c r="G28" s="508">
        <f>IFERROR(G24 + G26 - G25 - G27, 0)</f>
        <v>3.0190000000000006</v>
      </c>
      <c r="H28" s="197"/>
      <c r="I28" s="356" t="s">
        <v>8562</v>
      </c>
      <c r="J28" s="197"/>
      <c r="K28" s="302"/>
      <c r="L28" s="197"/>
      <c r="M28" s="363"/>
      <c r="O28" s="361"/>
      <c r="P28" s="267"/>
      <c r="Q28" s="267"/>
      <c r="R28" s="361"/>
      <c r="T28" s="537" t="s">
        <v>8561</v>
      </c>
      <c r="U28" s="507" t="s">
        <v>8563</v>
      </c>
      <c r="V28" s="507" t="s">
        <v>8564</v>
      </c>
      <c r="W28" s="508" t="s">
        <v>8565</v>
      </c>
    </row>
    <row r="29" spans="1:23" ht="17.2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5" thickTop="1" thickBot="1">
      <c r="A30" s="197"/>
      <c r="B30" s="515" t="s">
        <v>8566</v>
      </c>
      <c r="C30" s="516" t="s">
        <v>681</v>
      </c>
      <c r="D30" s="516">
        <v>3</v>
      </c>
      <c r="E30" s="541">
        <f>IFERROR(E15+SUM(E18:E21)+E28,0)</f>
        <v>56.852999999999994</v>
      </c>
      <c r="F30" s="541">
        <f>IFERROR(F15+SUM(F18:F21),0)</f>
        <v>0</v>
      </c>
      <c r="G30" s="542">
        <f>IFERROR(SUM(E30:F30),0)</f>
        <v>56.852999999999994</v>
      </c>
      <c r="H30" s="197"/>
      <c r="I30" s="374" t="s">
        <v>8567</v>
      </c>
      <c r="J30" s="197"/>
      <c r="K30" s="375"/>
      <c r="L30" s="197"/>
      <c r="M30" s="361"/>
      <c r="O30" s="361"/>
      <c r="P30" s="267"/>
      <c r="Q30" s="267"/>
      <c r="R30" s="361"/>
      <c r="T30" s="515" t="s">
        <v>8566</v>
      </c>
      <c r="U30" s="541" t="s">
        <v>8568</v>
      </c>
      <c r="V30" s="541" t="s">
        <v>8569</v>
      </c>
      <c r="W30" s="542" t="s">
        <v>8570</v>
      </c>
    </row>
    <row r="31" spans="1:23" ht="17.2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8571</v>
      </c>
      <c r="C32" s="485" t="s">
        <v>681</v>
      </c>
      <c r="D32" s="485">
        <v>3</v>
      </c>
      <c r="E32" s="488">
        <v>3.4000000000000002E-2</v>
      </c>
      <c r="F32" s="488">
        <v>0</v>
      </c>
      <c r="G32" s="489">
        <f>IFERROR(SUM(E32:F32),0)</f>
        <v>3.4000000000000002E-2</v>
      </c>
      <c r="H32" s="197"/>
      <c r="I32" s="281" t="s">
        <v>8572</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8571</v>
      </c>
      <c r="U32" s="488" t="s">
        <v>8573</v>
      </c>
      <c r="V32" s="488" t="s">
        <v>8574</v>
      </c>
      <c r="W32" s="489" t="s">
        <v>8575</v>
      </c>
    </row>
    <row r="33" spans="1:23" ht="30.75" thickBot="1">
      <c r="A33" s="197"/>
      <c r="B33" s="504" t="s">
        <v>8576</v>
      </c>
      <c r="C33" s="513" t="s">
        <v>681</v>
      </c>
      <c r="D33" s="513">
        <v>3</v>
      </c>
      <c r="E33" s="536">
        <v>3.9630000000000001</v>
      </c>
      <c r="F33" s="536">
        <v>0</v>
      </c>
      <c r="G33" s="508">
        <f>IFERROR(SUM(E33:F33),0)</f>
        <v>3.9630000000000001</v>
      </c>
      <c r="H33" s="200"/>
      <c r="I33" s="356" t="s">
        <v>8577</v>
      </c>
      <c r="J33" s="197"/>
      <c r="K33" s="302"/>
      <c r="L33" s="197"/>
      <c r="M33" s="361"/>
      <c r="N33" s="284">
        <f t="shared" si="11"/>
        <v>0</v>
      </c>
      <c r="O33" s="361"/>
      <c r="P33" s="285">
        <f t="shared" si="12"/>
        <v>0</v>
      </c>
      <c r="Q33" s="285">
        <f t="shared" si="13"/>
        <v>0</v>
      </c>
      <c r="R33" s="361"/>
      <c r="T33" s="504" t="s">
        <v>8576</v>
      </c>
      <c r="U33" s="536" t="s">
        <v>8578</v>
      </c>
      <c r="V33" s="536" t="s">
        <v>8579</v>
      </c>
      <c r="W33" s="508" t="s">
        <v>8580</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5" thickTop="1" thickBot="1">
      <c r="A35" s="197"/>
      <c r="B35" s="545" t="s">
        <v>8581</v>
      </c>
      <c r="C35" s="516" t="s">
        <v>681</v>
      </c>
      <c r="D35" s="516">
        <v>3</v>
      </c>
      <c r="E35" s="546">
        <f>IFERROR(E30+E32+E33,0)</f>
        <v>60.849999999999994</v>
      </c>
      <c r="F35" s="546">
        <f>IFERROR(F30+F32+F33,0)</f>
        <v>0</v>
      </c>
      <c r="G35" s="520">
        <f>IFERROR(SUM(E35:F35),0)</f>
        <v>60.849999999999994</v>
      </c>
      <c r="H35" s="197"/>
      <c r="I35" s="374" t="s">
        <v>8582</v>
      </c>
      <c r="J35" s="197"/>
      <c r="K35" s="375"/>
      <c r="L35" s="197"/>
      <c r="M35" s="361"/>
      <c r="O35" s="361"/>
      <c r="P35" s="267"/>
      <c r="Q35" s="267"/>
      <c r="R35" s="361"/>
      <c r="T35" s="545" t="s">
        <v>8581</v>
      </c>
      <c r="U35" s="546" t="s">
        <v>8583</v>
      </c>
      <c r="V35" s="546" t="s">
        <v>8584</v>
      </c>
      <c r="W35" s="520" t="s">
        <v>8585</v>
      </c>
    </row>
    <row r="36" spans="1:23" ht="17.2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7.25" thickTop="1" thickBot="1">
      <c r="A37" s="197"/>
      <c r="B37" s="547" t="s">
        <v>8586</v>
      </c>
      <c r="C37" s="543"/>
      <c r="D37" s="543"/>
      <c r="E37" s="540"/>
      <c r="F37" s="540"/>
      <c r="G37" s="540"/>
      <c r="H37" s="200"/>
      <c r="J37" s="197"/>
      <c r="K37" s="197"/>
      <c r="L37" s="197"/>
      <c r="M37" s="361"/>
      <c r="O37" s="361"/>
      <c r="P37" s="267"/>
      <c r="Q37" s="267"/>
      <c r="R37" s="361"/>
      <c r="T37" s="547" t="s">
        <v>8586</v>
      </c>
      <c r="U37" s="540"/>
      <c r="V37" s="540"/>
      <c r="W37" s="540"/>
    </row>
    <row r="38" spans="1:23" ht="16.5" thickTop="1" thickBot="1">
      <c r="A38" s="197"/>
      <c r="B38" s="515" t="s">
        <v>8586</v>
      </c>
      <c r="C38" s="516" t="s">
        <v>681</v>
      </c>
      <c r="D38" s="516">
        <v>3</v>
      </c>
      <c r="E38" s="519">
        <v>12.576000000000001</v>
      </c>
      <c r="F38" s="519">
        <v>0</v>
      </c>
      <c r="G38" s="542">
        <f>IFERROR(SUM(E38:F38),0)</f>
        <v>12.576000000000001</v>
      </c>
      <c r="H38" s="197"/>
      <c r="I38" s="374" t="s">
        <v>8587</v>
      </c>
      <c r="J38" s="197"/>
      <c r="K38" s="375"/>
      <c r="L38" s="197"/>
      <c r="M38" s="361"/>
      <c r="N38" s="284">
        <f>IF( SUM( P38:Q38 ) = 0, 0, $P$5 )</f>
        <v>0</v>
      </c>
      <c r="O38" s="361"/>
      <c r="P38" s="285">
        <f t="shared" ref="P38:Q38" si="14" xml:space="preserve"> IF( ISNUMBER( E38 ), 0, 1 )</f>
        <v>0</v>
      </c>
      <c r="Q38" s="285">
        <f t="shared" si="14"/>
        <v>0</v>
      </c>
      <c r="R38" s="361"/>
      <c r="T38" s="515" t="s">
        <v>8586</v>
      </c>
      <c r="U38" s="519" t="s">
        <v>8588</v>
      </c>
      <c r="V38" s="519" t="s">
        <v>8589</v>
      </c>
      <c r="W38" s="542" t="s">
        <v>8590</v>
      </c>
    </row>
    <row r="39" spans="1:23" ht="17.2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7.25" thickTop="1" thickBot="1">
      <c r="A40" s="197"/>
      <c r="B40" s="547" t="s">
        <v>7721</v>
      </c>
      <c r="C40" s="543"/>
      <c r="D40" s="543"/>
      <c r="E40" s="540"/>
      <c r="F40" s="540"/>
      <c r="G40" s="540"/>
      <c r="H40" s="197"/>
      <c r="J40" s="197"/>
      <c r="K40" s="197"/>
      <c r="L40" s="197"/>
      <c r="M40" s="361"/>
      <c r="O40" s="361"/>
      <c r="P40" s="267"/>
      <c r="Q40" s="267"/>
      <c r="R40" s="361"/>
      <c r="T40" s="547" t="s">
        <v>7721</v>
      </c>
      <c r="U40" s="540"/>
      <c r="V40" s="540"/>
      <c r="W40" s="540"/>
    </row>
    <row r="41" spans="1:23" ht="16.5" thickTop="1" thickBot="1">
      <c r="A41" s="197"/>
      <c r="B41" s="515" t="s">
        <v>7721</v>
      </c>
      <c r="C41" s="516" t="s">
        <v>681</v>
      </c>
      <c r="D41" s="516">
        <v>3</v>
      </c>
      <c r="E41" s="519">
        <v>3.2069999999999999</v>
      </c>
      <c r="F41" s="519">
        <v>0</v>
      </c>
      <c r="G41" s="542">
        <f>IFERROR(SUM(E41:F41),0)</f>
        <v>3.2069999999999999</v>
      </c>
      <c r="H41" s="197"/>
      <c r="I41" s="374" t="s">
        <v>8591</v>
      </c>
      <c r="J41" s="197"/>
      <c r="K41" s="375"/>
      <c r="L41" s="197"/>
      <c r="M41" s="361"/>
      <c r="N41" s="284">
        <f>IF( SUM( P41:Q41 ) = 0, 0, $P$5 )</f>
        <v>0</v>
      </c>
      <c r="O41" s="361"/>
      <c r="P41" s="285">
        <f t="shared" ref="P41:Q41" si="15" xml:space="preserve"> IF( ISNUMBER( E41 ), 0, 1 )</f>
        <v>0</v>
      </c>
      <c r="Q41" s="285">
        <f t="shared" si="15"/>
        <v>0</v>
      </c>
      <c r="R41" s="361"/>
      <c r="T41" s="515" t="s">
        <v>7721</v>
      </c>
      <c r="U41" s="519" t="s">
        <v>8592</v>
      </c>
      <c r="V41" s="519" t="s">
        <v>8593</v>
      </c>
      <c r="W41" s="542" t="s">
        <v>8594</v>
      </c>
    </row>
    <row r="42" spans="1:23" ht="17.2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5" thickTop="1" thickBot="1">
      <c r="A43" s="197"/>
      <c r="B43" s="547" t="s">
        <v>8595</v>
      </c>
      <c r="C43" s="543"/>
      <c r="D43" s="543"/>
      <c r="E43" s="550"/>
      <c r="F43" s="550"/>
      <c r="G43" s="549"/>
      <c r="H43" s="197"/>
      <c r="J43" s="197"/>
      <c r="K43" s="197"/>
      <c r="L43" s="197"/>
      <c r="M43" s="361"/>
      <c r="O43" s="361"/>
      <c r="P43" s="267"/>
      <c r="Q43" s="267"/>
      <c r="R43" s="361"/>
      <c r="T43" s="547" t="s">
        <v>8595</v>
      </c>
      <c r="U43" s="550"/>
      <c r="V43" s="550"/>
      <c r="W43" s="549"/>
    </row>
    <row r="44" spans="1:23" ht="30.75" thickTop="1">
      <c r="A44" s="197"/>
      <c r="B44" s="483" t="s">
        <v>8596</v>
      </c>
      <c r="C44" s="485" t="s">
        <v>681</v>
      </c>
      <c r="D44" s="485">
        <v>3</v>
      </c>
      <c r="E44" s="551">
        <v>1.1200000000000001</v>
      </c>
      <c r="F44" s="552"/>
      <c r="G44" s="552"/>
      <c r="H44" s="197"/>
      <c r="I44" s="281" t="s">
        <v>8597</v>
      </c>
      <c r="J44" s="197"/>
      <c r="K44" s="283"/>
      <c r="L44" s="197"/>
      <c r="M44" s="361"/>
      <c r="N44" s="284">
        <f t="shared" ref="N44:N45" si="16">IF( SUM( P44:Q44 ) = 0, 0, $P$5 )</f>
        <v>0</v>
      </c>
      <c r="O44" s="361"/>
      <c r="P44" s="285">
        <f t="shared" ref="P44:P45" si="17" xml:space="preserve"> IF( ISNUMBER( E44 ), 0, 1 )</f>
        <v>0</v>
      </c>
      <c r="Q44" s="267"/>
      <c r="R44" s="361"/>
      <c r="T44" s="483" t="s">
        <v>8596</v>
      </c>
      <c r="U44" s="551" t="s">
        <v>8598</v>
      </c>
      <c r="V44" s="552"/>
      <c r="W44" s="552"/>
    </row>
    <row r="45" spans="1:23" ht="30">
      <c r="A45" s="197"/>
      <c r="B45" s="492" t="s">
        <v>8599</v>
      </c>
      <c r="C45" s="493" t="s">
        <v>681</v>
      </c>
      <c r="D45" s="493">
        <v>3</v>
      </c>
      <c r="E45" s="553">
        <v>1.1200000000000001</v>
      </c>
      <c r="F45" s="552"/>
      <c r="G45" s="552"/>
      <c r="H45" s="197"/>
      <c r="I45" s="290" t="s">
        <v>8600</v>
      </c>
      <c r="J45" s="197"/>
      <c r="K45" s="291"/>
      <c r="L45" s="197"/>
      <c r="M45" s="361"/>
      <c r="N45" s="284">
        <f t="shared" si="16"/>
        <v>0</v>
      </c>
      <c r="O45" s="361"/>
      <c r="P45" s="285">
        <f t="shared" si="17"/>
        <v>0</v>
      </c>
      <c r="Q45" s="267"/>
      <c r="R45" s="361"/>
      <c r="T45" s="492" t="s">
        <v>8599</v>
      </c>
      <c r="U45" s="553" t="s">
        <v>8601</v>
      </c>
      <c r="V45" s="552"/>
      <c r="W45" s="552"/>
    </row>
    <row r="46" spans="1:23" ht="30.75" thickBot="1">
      <c r="A46" s="197"/>
      <c r="B46" s="504" t="s">
        <v>8602</v>
      </c>
      <c r="C46" s="513" t="s">
        <v>681</v>
      </c>
      <c r="D46" s="513">
        <v>3</v>
      </c>
      <c r="E46" s="554">
        <f>IFERROR(E44-E45,0)</f>
        <v>0</v>
      </c>
      <c r="F46" s="552"/>
      <c r="G46" s="552"/>
      <c r="H46" s="197"/>
      <c r="I46" s="356" t="s">
        <v>8603</v>
      </c>
      <c r="J46" s="197"/>
      <c r="K46" s="302"/>
      <c r="L46" s="197"/>
      <c r="M46" s="361"/>
      <c r="O46" s="361"/>
      <c r="P46" s="267"/>
      <c r="Q46" s="267"/>
      <c r="R46" s="361"/>
      <c r="T46" s="504" t="s">
        <v>8602</v>
      </c>
      <c r="U46" s="554" t="s">
        <v>8604</v>
      </c>
      <c r="V46" s="552"/>
      <c r="W46" s="552"/>
    </row>
    <row r="47" spans="1:23" ht="17.2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8605</v>
      </c>
      <c r="C48" s="485" t="s">
        <v>681</v>
      </c>
      <c r="D48" s="485">
        <v>3</v>
      </c>
      <c r="E48" s="551">
        <v>1.2310000000000001</v>
      </c>
      <c r="F48" s="552"/>
      <c r="G48" s="552"/>
      <c r="H48" s="197"/>
      <c r="I48" s="281" t="s">
        <v>8606</v>
      </c>
      <c r="J48" s="197"/>
      <c r="K48" s="283"/>
      <c r="L48" s="197"/>
      <c r="M48" s="361"/>
      <c r="N48" s="284">
        <f t="shared" ref="N48:N49" si="18">IF( SUM( P48:Q48 ) = 0, 0, $P$5 )</f>
        <v>0</v>
      </c>
      <c r="O48" s="361"/>
      <c r="P48" s="285">
        <f t="shared" ref="P48:P49" si="19" xml:space="preserve"> IF( ISNUMBER( E48 ), 0, 1 )</f>
        <v>0</v>
      </c>
      <c r="Q48" s="267"/>
      <c r="R48" s="361"/>
      <c r="T48" s="483" t="s">
        <v>8605</v>
      </c>
      <c r="U48" s="551" t="s">
        <v>8607</v>
      </c>
      <c r="V48" s="552"/>
      <c r="W48" s="552"/>
    </row>
    <row r="49" spans="1:23" ht="30">
      <c r="A49" s="197"/>
      <c r="B49" s="492" t="s">
        <v>8608</v>
      </c>
      <c r="C49" s="493" t="s">
        <v>681</v>
      </c>
      <c r="D49" s="493">
        <v>3</v>
      </c>
      <c r="E49" s="553">
        <v>1.2310000000000001</v>
      </c>
      <c r="F49" s="552"/>
      <c r="G49" s="552"/>
      <c r="H49" s="197"/>
      <c r="I49" s="290" t="s">
        <v>8609</v>
      </c>
      <c r="J49" s="197"/>
      <c r="K49" s="291"/>
      <c r="L49" s="197"/>
      <c r="M49" s="361"/>
      <c r="N49" s="284">
        <f t="shared" si="18"/>
        <v>0</v>
      </c>
      <c r="O49" s="361"/>
      <c r="P49" s="285">
        <f t="shared" si="19"/>
        <v>0</v>
      </c>
      <c r="Q49" s="267"/>
      <c r="R49" s="361"/>
      <c r="T49" s="492" t="s">
        <v>8608</v>
      </c>
      <c r="U49" s="553" t="s">
        <v>8610</v>
      </c>
      <c r="V49" s="552"/>
      <c r="W49" s="552"/>
    </row>
    <row r="50" spans="1:23" ht="30.75" thickBot="1">
      <c r="A50" s="197"/>
      <c r="B50" s="504" t="s">
        <v>4361</v>
      </c>
      <c r="C50" s="513" t="s">
        <v>681</v>
      </c>
      <c r="D50" s="513">
        <v>3</v>
      </c>
      <c r="E50" s="554">
        <f>IFERROR(E48-E49,0)</f>
        <v>0</v>
      </c>
      <c r="F50" s="552"/>
      <c r="G50" s="552"/>
      <c r="H50" s="197"/>
      <c r="I50" s="356" t="s">
        <v>8611</v>
      </c>
      <c r="J50" s="197"/>
      <c r="K50" s="302"/>
      <c r="L50" s="197"/>
      <c r="M50" s="361"/>
      <c r="O50" s="361"/>
      <c r="P50" s="267"/>
      <c r="Q50" s="267"/>
      <c r="R50" s="361"/>
      <c r="T50" s="504" t="s">
        <v>4361</v>
      </c>
      <c r="U50" s="554" t="s">
        <v>8612</v>
      </c>
      <c r="V50" s="552"/>
      <c r="W50" s="552"/>
    </row>
    <row r="51" spans="1:23" ht="17.2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5" thickTop="1" thickBot="1">
      <c r="A52" s="197"/>
      <c r="B52" s="547" t="s">
        <v>8613</v>
      </c>
      <c r="C52" s="543"/>
      <c r="D52" s="543"/>
      <c r="E52" s="550"/>
      <c r="F52" s="550"/>
      <c r="G52" s="549"/>
      <c r="H52" s="197"/>
      <c r="J52" s="197"/>
      <c r="K52" s="197"/>
      <c r="L52" s="197"/>
      <c r="M52" s="361"/>
      <c r="O52" s="361"/>
      <c r="P52" s="267"/>
      <c r="Q52" s="267"/>
      <c r="R52" s="361"/>
      <c r="T52" s="547" t="s">
        <v>8613</v>
      </c>
      <c r="U52" s="550"/>
      <c r="V52" s="550"/>
      <c r="W52" s="549"/>
    </row>
    <row r="53" spans="1:23" ht="30.75" thickTop="1">
      <c r="A53" s="197"/>
      <c r="B53" s="483" t="s">
        <v>4362</v>
      </c>
      <c r="C53" s="485" t="s">
        <v>681</v>
      </c>
      <c r="D53" s="485">
        <v>3</v>
      </c>
      <c r="E53" s="551">
        <v>175.54499999999999</v>
      </c>
      <c r="F53" s="552"/>
      <c r="G53" s="197"/>
      <c r="H53" s="197"/>
      <c r="I53" s="281" t="s">
        <v>8614</v>
      </c>
      <c r="J53" s="197"/>
      <c r="K53" s="557"/>
      <c r="L53" s="197"/>
      <c r="M53" s="361"/>
      <c r="N53" s="284">
        <f t="shared" ref="N53:N55" si="20">IF( SUM( P53:Q53 ) = 0, 0, $P$5 )</f>
        <v>0</v>
      </c>
      <c r="O53" s="361"/>
      <c r="P53" s="285">
        <f t="shared" ref="P53:P55" si="21" xml:space="preserve"> IF( ISNUMBER( E53 ), 0, 1 )</f>
        <v>0</v>
      </c>
      <c r="Q53" s="267"/>
      <c r="R53" s="361"/>
      <c r="T53" s="483" t="s">
        <v>4362</v>
      </c>
      <c r="U53" s="551" t="s">
        <v>8615</v>
      </c>
      <c r="V53" s="552"/>
      <c r="W53" s="197"/>
    </row>
    <row r="54" spans="1:23" ht="30">
      <c r="A54" s="197"/>
      <c r="B54" s="492" t="s">
        <v>4363</v>
      </c>
      <c r="C54" s="493" t="s">
        <v>681</v>
      </c>
      <c r="D54" s="493">
        <v>3</v>
      </c>
      <c r="E54" s="553">
        <v>147.08600000000001</v>
      </c>
      <c r="F54" s="552"/>
      <c r="G54" s="197"/>
      <c r="H54" s="197"/>
      <c r="I54" s="290" t="s">
        <v>8616</v>
      </c>
      <c r="J54" s="197"/>
      <c r="K54" s="558"/>
      <c r="L54" s="197"/>
      <c r="M54" s="361"/>
      <c r="N54" s="284">
        <f t="shared" si="20"/>
        <v>0</v>
      </c>
      <c r="O54" s="361"/>
      <c r="P54" s="285">
        <f t="shared" si="21"/>
        <v>0</v>
      </c>
      <c r="Q54" s="267"/>
      <c r="R54" s="361"/>
      <c r="T54" s="492" t="s">
        <v>4363</v>
      </c>
      <c r="U54" s="553" t="s">
        <v>8617</v>
      </c>
      <c r="V54" s="552"/>
      <c r="W54" s="197"/>
    </row>
    <row r="55" spans="1:23" thickBot="1">
      <c r="A55" s="197"/>
      <c r="B55" s="504" t="s">
        <v>4364</v>
      </c>
      <c r="C55" s="513" t="s">
        <v>681</v>
      </c>
      <c r="D55" s="513">
        <v>3</v>
      </c>
      <c r="E55" s="559">
        <v>247.49</v>
      </c>
      <c r="F55" s="552"/>
      <c r="G55" s="197"/>
      <c r="H55" s="197"/>
      <c r="I55" s="356" t="s">
        <v>8618</v>
      </c>
      <c r="J55" s="197"/>
      <c r="K55" s="560"/>
      <c r="L55" s="197"/>
      <c r="M55" s="361"/>
      <c r="N55" s="284">
        <f t="shared" si="20"/>
        <v>0</v>
      </c>
      <c r="O55" s="361"/>
      <c r="P55" s="285">
        <f t="shared" si="21"/>
        <v>0</v>
      </c>
      <c r="Q55" s="267"/>
      <c r="R55" s="361"/>
      <c r="T55" s="504" t="s">
        <v>4364</v>
      </c>
      <c r="U55" s="559" t="s">
        <v>8619</v>
      </c>
      <c r="V55" s="552"/>
      <c r="W55" s="197"/>
    </row>
    <row r="56" spans="1:23" ht="16.5"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tabColor rgb="FF00B050"/>
    <pageSetUpPr fitToPage="1"/>
  </sheetPr>
  <dimension ref="A1:AL33"/>
  <sheetViews>
    <sheetView showGridLines="0" topLeftCell="C12" zoomScale="60" zoomScaleNormal="60" zoomScaleSheetLayoutView="100" workbookViewId="0">
      <selection activeCell="E27" activeCellId="2" sqref="E8:K12 E16:K19 E27:K28"/>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84" customWidth="1"/>
    <col min="13" max="13" width="1.625" style="260" customWidth="1"/>
    <col min="14" max="14" width="12.5" style="585" customWidth="1"/>
    <col min="15" max="15" width="1.625" style="224" customWidth="1"/>
    <col min="16" max="16" width="33.625" style="224" customWidth="1"/>
    <col min="17" max="18" width="1.625" style="224" customWidth="1"/>
    <col min="19" max="19" width="20.125" style="224" customWidth="1"/>
    <col min="20" max="20" width="1.625" style="263" customWidth="1"/>
    <col min="21" max="27" width="7.5" style="263" hidden="1" customWidth="1"/>
    <col min="28" max="28" width="1.625" style="263"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89" customFormat="1" ht="23.25">
      <c r="B1" s="561" t="s">
        <v>8620</v>
      </c>
      <c r="C1" s="561"/>
      <c r="D1" s="561"/>
      <c r="E1" s="561"/>
      <c r="F1" s="561"/>
      <c r="G1" s="562"/>
      <c r="H1" s="562"/>
      <c r="I1" s="562"/>
      <c r="J1" s="562"/>
      <c r="K1" s="561"/>
      <c r="L1" s="561"/>
      <c r="M1" s="561"/>
      <c r="N1" s="561"/>
      <c r="R1" s="340"/>
      <c r="S1" s="259"/>
      <c r="T1" s="361"/>
      <c r="U1" s="263"/>
      <c r="V1" s="263"/>
      <c r="W1" s="263"/>
      <c r="X1" s="263"/>
      <c r="Y1" s="263"/>
      <c r="Z1" s="263"/>
      <c r="AA1" s="263"/>
      <c r="AB1" s="361"/>
      <c r="AD1" s="561" t="s">
        <v>7220</v>
      </c>
      <c r="AE1" s="561"/>
      <c r="AF1" s="561"/>
    </row>
    <row r="2" spans="1:38" s="389" customFormat="1" ht="23.25">
      <c r="B2" s="2661" t="str">
        <f>SelectCompany!B4</f>
        <v>Northumbrian Water</v>
      </c>
      <c r="C2" s="2661"/>
      <c r="D2" s="2661"/>
      <c r="E2" s="2661"/>
      <c r="F2" s="2661"/>
      <c r="G2" s="2661"/>
      <c r="H2" s="2661"/>
      <c r="I2" s="2661"/>
      <c r="J2" s="2661"/>
      <c r="K2" s="563"/>
      <c r="L2" s="563"/>
      <c r="M2" s="529"/>
      <c r="N2" s="529"/>
      <c r="R2" s="340"/>
      <c r="S2" s="259"/>
      <c r="T2" s="361"/>
      <c r="U2" s="263"/>
      <c r="V2" s="263"/>
      <c r="W2" s="263"/>
      <c r="X2" s="263"/>
      <c r="Y2" s="263"/>
      <c r="Z2" s="263"/>
      <c r="AA2" s="263"/>
      <c r="AB2" s="361"/>
      <c r="AD2" s="561"/>
      <c r="AE2" s="561"/>
      <c r="AF2" s="561"/>
    </row>
    <row r="3" spans="1:38" s="197" customFormat="1" ht="19.5">
      <c r="B3" s="2662" t="s">
        <v>8621</v>
      </c>
      <c r="C3" s="2663"/>
      <c r="D3" s="2663"/>
      <c r="E3" s="2663"/>
      <c r="F3" s="2663"/>
      <c r="G3" s="2663"/>
      <c r="H3" s="2663"/>
      <c r="I3" s="2663"/>
      <c r="J3" s="2663"/>
      <c r="K3" s="2663"/>
      <c r="L3" s="2663"/>
      <c r="M3" s="2663"/>
      <c r="N3" s="2663"/>
      <c r="O3" s="2663"/>
      <c r="P3" s="2663"/>
      <c r="R3" s="342"/>
      <c r="S3" s="265" t="s">
        <v>7222</v>
      </c>
      <c r="T3" s="361"/>
      <c r="U3" s="263"/>
      <c r="V3" s="263"/>
      <c r="W3" s="263"/>
      <c r="X3" s="263"/>
      <c r="Y3" s="263"/>
      <c r="Z3" s="263"/>
      <c r="AA3" s="263"/>
      <c r="AB3" s="361"/>
      <c r="AD3" s="2664" t="s">
        <v>8621</v>
      </c>
      <c r="AE3" s="2665"/>
      <c r="AF3" s="2665"/>
      <c r="AG3" s="2665"/>
      <c r="AH3" s="2665"/>
      <c r="AI3" s="2665"/>
      <c r="AJ3" s="2665"/>
      <c r="AK3" s="2665"/>
      <c r="AL3" s="2665"/>
    </row>
    <row r="4" spans="1:38" s="197" customFormat="1" ht="24" thickBot="1">
      <c r="B4" s="530"/>
      <c r="C4" s="530"/>
      <c r="D4" s="530"/>
      <c r="E4" s="530"/>
      <c r="F4" s="530"/>
      <c r="G4" s="564"/>
      <c r="H4" s="564"/>
      <c r="I4" s="564"/>
      <c r="J4" s="564"/>
      <c r="K4" s="564"/>
      <c r="L4" s="564"/>
      <c r="M4" s="106"/>
      <c r="N4" s="565"/>
      <c r="R4" s="345"/>
      <c r="S4" s="224"/>
      <c r="T4" s="361"/>
      <c r="U4" s="2668" t="s">
        <v>7223</v>
      </c>
      <c r="V4" s="2668"/>
      <c r="W4" s="2668"/>
      <c r="X4" s="2668"/>
      <c r="Y4" s="2668"/>
      <c r="Z4" s="2668"/>
      <c r="AA4" s="2668"/>
      <c r="AB4" s="361"/>
      <c r="AD4" s="530"/>
      <c r="AE4" s="530"/>
      <c r="AF4" s="530"/>
      <c r="AG4" s="530"/>
      <c r="AH4" s="530"/>
      <c r="AI4" s="530"/>
      <c r="AJ4" s="530"/>
      <c r="AK4" s="530"/>
      <c r="AL4" s="530"/>
    </row>
    <row r="5" spans="1:38" ht="46.5" thickTop="1" thickBot="1">
      <c r="A5" s="197"/>
      <c r="B5" s="445" t="s">
        <v>7224</v>
      </c>
      <c r="C5" s="446" t="s">
        <v>7225</v>
      </c>
      <c r="D5" s="446" t="s">
        <v>670</v>
      </c>
      <c r="E5" s="566" t="s">
        <v>8622</v>
      </c>
      <c r="F5" s="567" t="s">
        <v>8623</v>
      </c>
      <c r="G5" s="567" t="s">
        <v>8160</v>
      </c>
      <c r="H5" s="567" t="s">
        <v>8161</v>
      </c>
      <c r="I5" s="567" t="s">
        <v>8162</v>
      </c>
      <c r="J5" s="567" t="s">
        <v>8163</v>
      </c>
      <c r="K5" s="567" t="s">
        <v>8164</v>
      </c>
      <c r="L5" s="568" t="s">
        <v>7445</v>
      </c>
      <c r="M5" s="106"/>
      <c r="N5" s="569" t="s">
        <v>7229</v>
      </c>
      <c r="O5" s="197"/>
      <c r="P5" s="449" t="s">
        <v>7230</v>
      </c>
      <c r="Q5" s="197"/>
      <c r="R5" s="345"/>
      <c r="T5" s="361"/>
      <c r="U5" s="269" t="s">
        <v>7231</v>
      </c>
      <c r="V5" s="270"/>
      <c r="W5" s="270"/>
      <c r="X5" s="270"/>
      <c r="Y5" s="270"/>
      <c r="Z5" s="270"/>
      <c r="AA5" s="270"/>
      <c r="AB5" s="361"/>
      <c r="AD5" s="445" t="s">
        <v>7224</v>
      </c>
      <c r="AE5" s="566" t="s">
        <v>8622</v>
      </c>
      <c r="AF5" s="567" t="s">
        <v>8623</v>
      </c>
      <c r="AG5" s="567" t="s">
        <v>8624</v>
      </c>
      <c r="AH5" s="567" t="s">
        <v>8161</v>
      </c>
      <c r="AI5" s="567" t="s">
        <v>8162</v>
      </c>
      <c r="AJ5" s="567" t="s">
        <v>8163</v>
      </c>
      <c r="AK5" s="567" t="s">
        <v>8164</v>
      </c>
      <c r="AL5" s="568" t="s">
        <v>7445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8625</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8625</v>
      </c>
      <c r="AE7" s="394"/>
      <c r="AF7" s="394"/>
      <c r="AG7" s="571"/>
      <c r="AH7" s="571"/>
      <c r="AI7" s="571"/>
      <c r="AJ7" s="571"/>
      <c r="AK7" s="571"/>
      <c r="AL7" s="571"/>
    </row>
    <row r="8" spans="1:38" ht="22.35" customHeight="1" thickTop="1">
      <c r="A8" s="197"/>
      <c r="B8" s="451" t="s">
        <v>8626</v>
      </c>
      <c r="C8" s="277" t="s">
        <v>681</v>
      </c>
      <c r="D8" s="277">
        <v>3</v>
      </c>
      <c r="E8" s="278">
        <v>30.855</v>
      </c>
      <c r="F8" s="278">
        <v>0</v>
      </c>
      <c r="G8" s="278">
        <v>335.82799999999997</v>
      </c>
      <c r="H8" s="278">
        <v>3457.4630000000002</v>
      </c>
      <c r="I8" s="278">
        <v>3053.9549999999999</v>
      </c>
      <c r="J8" s="278">
        <v>204.35900000000001</v>
      </c>
      <c r="K8" s="278">
        <v>0</v>
      </c>
      <c r="L8" s="280">
        <f t="shared" ref="L8:L13" si="0">IFERROR(SUM(E8:K8),0)</f>
        <v>7082.4600000000009</v>
      </c>
      <c r="M8" s="309"/>
      <c r="N8" s="572" t="s">
        <v>8627</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8626</v>
      </c>
      <c r="AE8" s="278" t="s">
        <v>8628</v>
      </c>
      <c r="AF8" s="278" t="s">
        <v>8629</v>
      </c>
      <c r="AG8" s="278" t="s">
        <v>8630</v>
      </c>
      <c r="AH8" s="278" t="s">
        <v>8631</v>
      </c>
      <c r="AI8" s="278" t="s">
        <v>8632</v>
      </c>
      <c r="AJ8" s="278" t="s">
        <v>8633</v>
      </c>
      <c r="AK8" s="278" t="s">
        <v>8634</v>
      </c>
      <c r="AL8" s="280" t="s">
        <v>8635</v>
      </c>
    </row>
    <row r="9" spans="1:38" ht="22.35" customHeight="1">
      <c r="A9" s="197"/>
      <c r="B9" s="460" t="s">
        <v>8636</v>
      </c>
      <c r="C9" s="286" t="s">
        <v>681</v>
      </c>
      <c r="D9" s="286">
        <v>3</v>
      </c>
      <c r="E9" s="287">
        <v>-0.13</v>
      </c>
      <c r="F9" s="287">
        <v>0</v>
      </c>
      <c r="G9" s="287">
        <v>-0.17599999999999999</v>
      </c>
      <c r="H9" s="287">
        <v>-11.561999999999999</v>
      </c>
      <c r="I9" s="287">
        <v>-0.67200000000000004</v>
      </c>
      <c r="J9" s="287">
        <v>-0.35899999999999999</v>
      </c>
      <c r="K9" s="287">
        <v>0</v>
      </c>
      <c r="L9" s="289">
        <f t="shared" si="0"/>
        <v>-12.898999999999999</v>
      </c>
      <c r="M9" s="309"/>
      <c r="N9" s="573" t="s">
        <v>8637</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8636</v>
      </c>
      <c r="AE9" s="287" t="s">
        <v>8638</v>
      </c>
      <c r="AF9" s="287" t="s">
        <v>8639</v>
      </c>
      <c r="AG9" s="287" t="s">
        <v>8640</v>
      </c>
      <c r="AH9" s="287" t="s">
        <v>8641</v>
      </c>
      <c r="AI9" s="287" t="s">
        <v>8642</v>
      </c>
      <c r="AJ9" s="287" t="s">
        <v>8643</v>
      </c>
      <c r="AK9" s="287" t="s">
        <v>8644</v>
      </c>
      <c r="AL9" s="289" t="s">
        <v>8645</v>
      </c>
    </row>
    <row r="10" spans="1:38" ht="22.35" customHeight="1">
      <c r="A10" s="197"/>
      <c r="B10" s="460" t="s">
        <v>8646</v>
      </c>
      <c r="C10" s="286" t="s">
        <v>681</v>
      </c>
      <c r="D10" s="286">
        <v>3</v>
      </c>
      <c r="E10" s="287">
        <v>1.1309999999999998</v>
      </c>
      <c r="F10" s="287">
        <v>0</v>
      </c>
      <c r="G10" s="287">
        <v>24.204999999999998</v>
      </c>
      <c r="H10" s="287">
        <v>152.53700000000001</v>
      </c>
      <c r="I10" s="287">
        <v>99.057000000000002</v>
      </c>
      <c r="J10" s="287">
        <v>3.5230000000000001</v>
      </c>
      <c r="K10" s="287">
        <v>0</v>
      </c>
      <c r="L10" s="289">
        <f t="shared" si="0"/>
        <v>280.45300000000003</v>
      </c>
      <c r="M10" s="309"/>
      <c r="N10" s="574" t="s">
        <v>8647</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8646</v>
      </c>
      <c r="AE10" s="287" t="s">
        <v>8648</v>
      </c>
      <c r="AF10" s="287" t="s">
        <v>8649</v>
      </c>
      <c r="AG10" s="287" t="s">
        <v>8650</v>
      </c>
      <c r="AH10" s="287" t="s">
        <v>8651</v>
      </c>
      <c r="AI10" s="287" t="s">
        <v>8652</v>
      </c>
      <c r="AJ10" s="287" t="s">
        <v>8653</v>
      </c>
      <c r="AK10" s="287" t="s">
        <v>8654</v>
      </c>
      <c r="AL10" s="289" t="s">
        <v>8655</v>
      </c>
    </row>
    <row r="11" spans="1:38" ht="22.35" customHeight="1">
      <c r="A11" s="197"/>
      <c r="B11" s="460" t="s">
        <v>7227</v>
      </c>
      <c r="C11" s="286" t="s">
        <v>681</v>
      </c>
      <c r="D11" s="286">
        <v>3</v>
      </c>
      <c r="E11" s="287">
        <v>4.3999999999999997E-2</v>
      </c>
      <c r="F11" s="287">
        <v>0</v>
      </c>
      <c r="G11" s="287">
        <v>-0.23300000000000001</v>
      </c>
      <c r="H11" s="287">
        <v>0.31900000000000001</v>
      </c>
      <c r="I11" s="287">
        <v>-0.22500000000000001</v>
      </c>
      <c r="J11" s="287">
        <v>9.5000000000000001E-2</v>
      </c>
      <c r="K11" s="287">
        <v>0</v>
      </c>
      <c r="L11" s="289">
        <f t="shared" si="0"/>
        <v>0</v>
      </c>
      <c r="M11" s="309"/>
      <c r="N11" s="575" t="s">
        <v>8656</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7227</v>
      </c>
      <c r="AE11" s="287" t="s">
        <v>8657</v>
      </c>
      <c r="AF11" s="287" t="s">
        <v>8658</v>
      </c>
      <c r="AG11" s="287" t="s">
        <v>8659</v>
      </c>
      <c r="AH11" s="287" t="s">
        <v>8660</v>
      </c>
      <c r="AI11" s="287" t="s">
        <v>8661</v>
      </c>
      <c r="AJ11" s="287" t="s">
        <v>8662</v>
      </c>
      <c r="AK11" s="287" t="s">
        <v>8663</v>
      </c>
      <c r="AL11" s="289" t="s">
        <v>8664</v>
      </c>
    </row>
    <row r="12" spans="1:38" ht="22.35" customHeight="1">
      <c r="A12" s="197"/>
      <c r="B12" s="460" t="s">
        <v>8665</v>
      </c>
      <c r="C12" s="286" t="s">
        <v>681</v>
      </c>
      <c r="D12" s="286">
        <v>3</v>
      </c>
      <c r="E12" s="287">
        <v>0</v>
      </c>
      <c r="F12" s="287">
        <v>0</v>
      </c>
      <c r="G12" s="287">
        <v>0</v>
      </c>
      <c r="H12" s="287">
        <v>2.6179999999999999</v>
      </c>
      <c r="I12" s="287">
        <v>24.195</v>
      </c>
      <c r="J12" s="287">
        <v>0</v>
      </c>
      <c r="K12" s="287">
        <v>0</v>
      </c>
      <c r="L12" s="289">
        <f t="shared" si="0"/>
        <v>26.812999999999999</v>
      </c>
      <c r="M12" s="309"/>
      <c r="N12" s="573" t="s">
        <v>8666</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8665</v>
      </c>
      <c r="AE12" s="287" t="s">
        <v>8667</v>
      </c>
      <c r="AF12" s="287" t="s">
        <v>8668</v>
      </c>
      <c r="AG12" s="287" t="s">
        <v>8669</v>
      </c>
      <c r="AH12" s="287" t="s">
        <v>8670</v>
      </c>
      <c r="AI12" s="287" t="s">
        <v>8671</v>
      </c>
      <c r="AJ12" s="287" t="s">
        <v>8672</v>
      </c>
      <c r="AK12" s="287" t="s">
        <v>8673</v>
      </c>
      <c r="AL12" s="289" t="s">
        <v>8674</v>
      </c>
    </row>
    <row r="13" spans="1:38" ht="22.35" customHeight="1" thickBot="1">
      <c r="A13" s="197"/>
      <c r="B13" s="463" t="s">
        <v>8675</v>
      </c>
      <c r="C13" s="355" t="s">
        <v>681</v>
      </c>
      <c r="D13" s="355">
        <v>3</v>
      </c>
      <c r="E13" s="298">
        <f t="shared" ref="E13:K13" si="8">IFERROR(SUM(E8:E12),0)</f>
        <v>31.900000000000002</v>
      </c>
      <c r="F13" s="298">
        <f t="shared" si="8"/>
        <v>0</v>
      </c>
      <c r="G13" s="298">
        <f t="shared" si="8"/>
        <v>359.62399999999997</v>
      </c>
      <c r="H13" s="298">
        <f t="shared" si="8"/>
        <v>3601.375</v>
      </c>
      <c r="I13" s="298">
        <f t="shared" si="8"/>
        <v>3176.31</v>
      </c>
      <c r="J13" s="298">
        <f t="shared" si="8"/>
        <v>207.61799999999999</v>
      </c>
      <c r="K13" s="298">
        <f t="shared" si="8"/>
        <v>0</v>
      </c>
      <c r="L13" s="299">
        <f t="shared" si="0"/>
        <v>7376.8270000000002</v>
      </c>
      <c r="M13" s="309"/>
      <c r="N13" s="576" t="s">
        <v>8676</v>
      </c>
      <c r="O13" s="197"/>
      <c r="P13" s="302"/>
      <c r="Q13" s="197"/>
      <c r="R13" s="363"/>
      <c r="S13" s="284"/>
      <c r="T13" s="361"/>
      <c r="U13" s="267"/>
      <c r="V13" s="267"/>
      <c r="W13" s="267"/>
      <c r="X13" s="267"/>
      <c r="Y13" s="267"/>
      <c r="Z13" s="267"/>
      <c r="AA13" s="267"/>
      <c r="AB13" s="361"/>
      <c r="AD13" s="463" t="s">
        <v>8675</v>
      </c>
      <c r="AE13" s="298" t="s">
        <v>8677</v>
      </c>
      <c r="AF13" s="298" t="s">
        <v>8678</v>
      </c>
      <c r="AG13" s="298" t="s">
        <v>8679</v>
      </c>
      <c r="AH13" s="298" t="s">
        <v>8680</v>
      </c>
      <c r="AI13" s="298" t="s">
        <v>8681</v>
      </c>
      <c r="AJ13" s="298" t="s">
        <v>8682</v>
      </c>
      <c r="AK13" s="298" t="s">
        <v>8683</v>
      </c>
      <c r="AL13" s="299" t="s">
        <v>8684</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7649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7649</v>
      </c>
      <c r="AE15" s="578"/>
      <c r="AF15" s="578"/>
      <c r="AG15" s="578"/>
      <c r="AH15" s="578"/>
      <c r="AI15" s="578"/>
      <c r="AJ15" s="578"/>
      <c r="AK15" s="578"/>
      <c r="AL15" s="309"/>
    </row>
    <row r="16" spans="1:38" ht="22.35" customHeight="1" thickTop="1">
      <c r="A16" s="197"/>
      <c r="B16" s="451" t="s">
        <v>8626</v>
      </c>
      <c r="C16" s="277" t="s">
        <v>681</v>
      </c>
      <c r="D16" s="277">
        <v>3</v>
      </c>
      <c r="E16" s="278">
        <v>-25.111000000000001</v>
      </c>
      <c r="F16" s="278">
        <v>0</v>
      </c>
      <c r="G16" s="278">
        <v>-75.466000000000008</v>
      </c>
      <c r="H16" s="278">
        <v>-1294.6089999999999</v>
      </c>
      <c r="I16" s="278">
        <v>-886.57600000000002</v>
      </c>
      <c r="J16" s="278">
        <v>-141.72300000000001</v>
      </c>
      <c r="K16" s="278">
        <v>0</v>
      </c>
      <c r="L16" s="280">
        <f>IFERROR(SUM(E16:K16),0)</f>
        <v>-2423.4849999999997</v>
      </c>
      <c r="M16" s="309"/>
      <c r="N16" s="281" t="s">
        <v>8685</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8626</v>
      </c>
      <c r="AE16" s="278" t="s">
        <v>8686</v>
      </c>
      <c r="AF16" s="278" t="s">
        <v>8687</v>
      </c>
      <c r="AG16" s="278" t="s">
        <v>8688</v>
      </c>
      <c r="AH16" s="278" t="s">
        <v>8689</v>
      </c>
      <c r="AI16" s="278" t="s">
        <v>8690</v>
      </c>
      <c r="AJ16" s="278" t="s">
        <v>8691</v>
      </c>
      <c r="AK16" s="278" t="s">
        <v>8692</v>
      </c>
      <c r="AL16" s="280" t="s">
        <v>8693</v>
      </c>
    </row>
    <row r="17" spans="1:38" ht="22.35" customHeight="1">
      <c r="A17" s="197"/>
      <c r="B17" s="460" t="s">
        <v>8636</v>
      </c>
      <c r="C17" s="286" t="s">
        <v>681</v>
      </c>
      <c r="D17" s="286">
        <v>3</v>
      </c>
      <c r="E17" s="287">
        <v>0.128</v>
      </c>
      <c r="F17" s="287">
        <v>0</v>
      </c>
      <c r="G17" s="287">
        <v>7.8E-2</v>
      </c>
      <c r="H17" s="287">
        <v>7.3109999999999999</v>
      </c>
      <c r="I17" s="287">
        <v>0.66600000000000004</v>
      </c>
      <c r="J17" s="287">
        <v>0.35399999999999998</v>
      </c>
      <c r="K17" s="287">
        <v>0</v>
      </c>
      <c r="L17" s="289">
        <f>IFERROR(SUM(E17:K17),0)</f>
        <v>8.536999999999999</v>
      </c>
      <c r="M17" s="309"/>
      <c r="N17" s="290" t="s">
        <v>8694</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8636</v>
      </c>
      <c r="AE17" s="287" t="s">
        <v>8695</v>
      </c>
      <c r="AF17" s="287" t="s">
        <v>8696</v>
      </c>
      <c r="AG17" s="287" t="s">
        <v>8697</v>
      </c>
      <c r="AH17" s="287" t="s">
        <v>8698</v>
      </c>
      <c r="AI17" s="287" t="s">
        <v>8699</v>
      </c>
      <c r="AJ17" s="287" t="s">
        <v>8700</v>
      </c>
      <c r="AK17" s="287" t="s">
        <v>8701</v>
      </c>
      <c r="AL17" s="289" t="s">
        <v>8702</v>
      </c>
    </row>
    <row r="18" spans="1:38" ht="22.35" customHeight="1">
      <c r="A18" s="197"/>
      <c r="B18" s="460" t="s">
        <v>7227</v>
      </c>
      <c r="C18" s="286" t="s">
        <v>681</v>
      </c>
      <c r="D18" s="286">
        <v>3</v>
      </c>
      <c r="E18" s="287">
        <v>0.13100000000000001</v>
      </c>
      <c r="F18" s="287">
        <v>0</v>
      </c>
      <c r="G18" s="287">
        <v>-8.9999999999999993E-3</v>
      </c>
      <c r="H18" s="287">
        <v>-1.6E-2</v>
      </c>
      <c r="I18" s="287">
        <v>0.12</v>
      </c>
      <c r="J18" s="287">
        <v>-0.22600000000000001</v>
      </c>
      <c r="K18" s="287">
        <v>0</v>
      </c>
      <c r="L18" s="289">
        <f>IFERROR(SUM(E18:K18),0)</f>
        <v>0</v>
      </c>
      <c r="M18" s="309"/>
      <c r="N18" s="290" t="s">
        <v>8703</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7227</v>
      </c>
      <c r="AE18" s="287" t="s">
        <v>8704</v>
      </c>
      <c r="AF18" s="287" t="s">
        <v>8705</v>
      </c>
      <c r="AG18" s="287" t="s">
        <v>8706</v>
      </c>
      <c r="AH18" s="287" t="s">
        <v>8707</v>
      </c>
      <c r="AI18" s="287" t="s">
        <v>8708</v>
      </c>
      <c r="AJ18" s="287" t="s">
        <v>8709</v>
      </c>
      <c r="AK18" s="287" t="s">
        <v>8710</v>
      </c>
      <c r="AL18" s="289" t="s">
        <v>8711</v>
      </c>
    </row>
    <row r="19" spans="1:38" ht="22.35" customHeight="1">
      <c r="A19" s="197"/>
      <c r="B19" s="460" t="s">
        <v>8712</v>
      </c>
      <c r="C19" s="286" t="s">
        <v>681</v>
      </c>
      <c r="D19" s="286">
        <v>3</v>
      </c>
      <c r="E19" s="287">
        <v>-2.0990000000000002</v>
      </c>
      <c r="F19" s="287">
        <v>0</v>
      </c>
      <c r="G19" s="287">
        <v>-5.8570000000000002</v>
      </c>
      <c r="H19" s="287">
        <v>-68.921000000000006</v>
      </c>
      <c r="I19" s="287">
        <v>-52.238999999999997</v>
      </c>
      <c r="J19" s="287">
        <v>-7.9189999999999996</v>
      </c>
      <c r="K19" s="287">
        <v>0</v>
      </c>
      <c r="L19" s="289">
        <f>IFERROR(SUM(E19:K19),0)</f>
        <v>-137.03500000000003</v>
      </c>
      <c r="M19" s="309"/>
      <c r="N19" s="290" t="s">
        <v>8713</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8712</v>
      </c>
      <c r="AE19" s="287" t="s">
        <v>8714</v>
      </c>
      <c r="AF19" s="287" t="s">
        <v>8715</v>
      </c>
      <c r="AG19" s="287" t="s">
        <v>8716</v>
      </c>
      <c r="AH19" s="287" t="s">
        <v>8717</v>
      </c>
      <c r="AI19" s="287" t="s">
        <v>8718</v>
      </c>
      <c r="AJ19" s="287" t="s">
        <v>8719</v>
      </c>
      <c r="AK19" s="287" t="s">
        <v>8720</v>
      </c>
      <c r="AL19" s="289" t="s">
        <v>8721</v>
      </c>
    </row>
    <row r="20" spans="1:38" ht="22.35" customHeight="1" thickBot="1">
      <c r="A20" s="197"/>
      <c r="B20" s="463" t="s">
        <v>8675</v>
      </c>
      <c r="C20" s="355" t="s">
        <v>681</v>
      </c>
      <c r="D20" s="355">
        <v>3</v>
      </c>
      <c r="E20" s="298">
        <f t="shared" ref="E20:K20" si="17">IFERROR(SUM(E16:E19),0)</f>
        <v>-26.951000000000001</v>
      </c>
      <c r="F20" s="298">
        <f t="shared" si="17"/>
        <v>0</v>
      </c>
      <c r="G20" s="298">
        <f t="shared" si="17"/>
        <v>-81.254000000000005</v>
      </c>
      <c r="H20" s="298">
        <f t="shared" si="17"/>
        <v>-1356.2350000000001</v>
      </c>
      <c r="I20" s="298">
        <f t="shared" si="17"/>
        <v>-938.029</v>
      </c>
      <c r="J20" s="298">
        <f t="shared" si="17"/>
        <v>-149.51400000000001</v>
      </c>
      <c r="K20" s="298">
        <f t="shared" si="17"/>
        <v>0</v>
      </c>
      <c r="L20" s="299">
        <f>IFERROR(SUM(E20:K20),0)</f>
        <v>-2551.9830000000002</v>
      </c>
      <c r="M20" s="309"/>
      <c r="N20" s="356" t="s">
        <v>8722</v>
      </c>
      <c r="O20" s="197"/>
      <c r="P20" s="302"/>
      <c r="Q20" s="197"/>
      <c r="R20" s="363"/>
      <c r="S20" s="284"/>
      <c r="T20" s="361"/>
      <c r="U20" s="267"/>
      <c r="V20" s="267"/>
      <c r="W20" s="267"/>
      <c r="X20" s="267"/>
      <c r="Y20" s="267"/>
      <c r="Z20" s="267"/>
      <c r="AA20" s="267"/>
      <c r="AB20" s="361"/>
      <c r="AD20" s="463" t="s">
        <v>8675</v>
      </c>
      <c r="AE20" s="298" t="s">
        <v>8723</v>
      </c>
      <c r="AF20" s="298" t="s">
        <v>8724</v>
      </c>
      <c r="AG20" s="298" t="s">
        <v>8725</v>
      </c>
      <c r="AH20" s="298" t="s">
        <v>8726</v>
      </c>
      <c r="AI20" s="298" t="s">
        <v>8727</v>
      </c>
      <c r="AJ20" s="298" t="s">
        <v>8728</v>
      </c>
      <c r="AK20" s="298" t="s">
        <v>8729</v>
      </c>
      <c r="AL20" s="299" t="s">
        <v>8730</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8731</v>
      </c>
      <c r="C22" s="384" t="s">
        <v>681</v>
      </c>
      <c r="D22" s="384">
        <v>3</v>
      </c>
      <c r="E22" s="438">
        <f t="shared" ref="E22:K22" si="18">IFERROR(E13+E20,0)</f>
        <v>4.9490000000000016</v>
      </c>
      <c r="F22" s="438">
        <f t="shared" si="18"/>
        <v>0</v>
      </c>
      <c r="G22" s="438">
        <f t="shared" si="18"/>
        <v>278.36999999999995</v>
      </c>
      <c r="H22" s="438">
        <f t="shared" si="18"/>
        <v>2245.14</v>
      </c>
      <c r="I22" s="438">
        <f t="shared" si="18"/>
        <v>2238.2809999999999</v>
      </c>
      <c r="J22" s="438">
        <f t="shared" si="18"/>
        <v>58.103999999999985</v>
      </c>
      <c r="K22" s="438">
        <f t="shared" si="18"/>
        <v>0</v>
      </c>
      <c r="L22" s="439">
        <f>IFERROR(SUM(E22:K22),0)</f>
        <v>4824.8440000000001</v>
      </c>
      <c r="M22" s="309"/>
      <c r="N22" s="374" t="s">
        <v>8732</v>
      </c>
      <c r="O22" s="197"/>
      <c r="P22" s="375"/>
      <c r="Q22" s="197"/>
      <c r="R22" s="363"/>
      <c r="S22" s="284"/>
      <c r="T22" s="361"/>
      <c r="U22" s="267"/>
      <c r="V22" s="267"/>
      <c r="W22" s="267"/>
      <c r="X22" s="267"/>
      <c r="Y22" s="267"/>
      <c r="Z22" s="267"/>
      <c r="AA22" s="267"/>
      <c r="AB22" s="361"/>
      <c r="AD22" s="579" t="s">
        <v>8731</v>
      </c>
      <c r="AE22" s="438" t="s">
        <v>8733</v>
      </c>
      <c r="AF22" s="438" t="s">
        <v>8734</v>
      </c>
      <c r="AG22" s="438" t="s">
        <v>8735</v>
      </c>
      <c r="AH22" s="438" t="s">
        <v>8736</v>
      </c>
      <c r="AI22" s="438" t="s">
        <v>8737</v>
      </c>
      <c r="AJ22" s="438" t="s">
        <v>8738</v>
      </c>
      <c r="AK22" s="438" t="s">
        <v>8739</v>
      </c>
      <c r="AL22" s="439" t="s">
        <v>8740</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8741</v>
      </c>
      <c r="C24" s="384" t="s">
        <v>681</v>
      </c>
      <c r="D24" s="384">
        <v>3</v>
      </c>
      <c r="E24" s="438">
        <f t="shared" ref="E24:K24" si="19">IFERROR(E8+E16,0)</f>
        <v>5.7439999999999998</v>
      </c>
      <c r="F24" s="438">
        <f t="shared" si="19"/>
        <v>0</v>
      </c>
      <c r="G24" s="438">
        <f t="shared" si="19"/>
        <v>260.36199999999997</v>
      </c>
      <c r="H24" s="438">
        <f t="shared" si="19"/>
        <v>2162.8540000000003</v>
      </c>
      <c r="I24" s="438">
        <f t="shared" si="19"/>
        <v>2167.3789999999999</v>
      </c>
      <c r="J24" s="438">
        <f t="shared" si="19"/>
        <v>62.635999999999996</v>
      </c>
      <c r="K24" s="438">
        <f t="shared" si="19"/>
        <v>0</v>
      </c>
      <c r="L24" s="439">
        <f>IFERROR(SUM(E24:K24),0)</f>
        <v>4658.9750000000004</v>
      </c>
      <c r="M24" s="309"/>
      <c r="N24" s="374" t="s">
        <v>8742</v>
      </c>
      <c r="O24" s="197"/>
      <c r="P24" s="375"/>
      <c r="Q24" s="197"/>
      <c r="R24" s="363"/>
      <c r="S24" s="284"/>
      <c r="T24" s="370"/>
      <c r="U24" s="267"/>
      <c r="V24" s="267"/>
      <c r="W24" s="267"/>
      <c r="X24" s="267"/>
      <c r="Y24" s="267"/>
      <c r="Z24" s="267"/>
      <c r="AA24" s="267"/>
      <c r="AB24" s="370"/>
      <c r="AD24" s="579" t="s">
        <v>8741</v>
      </c>
      <c r="AE24" s="438" t="s">
        <v>8743</v>
      </c>
      <c r="AF24" s="438" t="s">
        <v>8744</v>
      </c>
      <c r="AG24" s="438" t="s">
        <v>8745</v>
      </c>
      <c r="AH24" s="438" t="s">
        <v>8746</v>
      </c>
      <c r="AI24" s="438" t="s">
        <v>8747</v>
      </c>
      <c r="AJ24" s="438" t="s">
        <v>8748</v>
      </c>
      <c r="AK24" s="438" t="s">
        <v>8749</v>
      </c>
      <c r="AL24" s="439" t="s">
        <v>8750</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8751</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8751</v>
      </c>
      <c r="AE26" s="309"/>
      <c r="AF26" s="309"/>
      <c r="AG26" s="309"/>
      <c r="AH26" s="309"/>
      <c r="AI26" s="309"/>
      <c r="AJ26" s="309"/>
      <c r="AK26" s="309"/>
      <c r="AL26" s="309"/>
    </row>
    <row r="27" spans="1:38" ht="22.35" customHeight="1" thickTop="1">
      <c r="A27" s="197"/>
      <c r="B27" s="451" t="s">
        <v>8752</v>
      </c>
      <c r="C27" s="277" t="s">
        <v>681</v>
      </c>
      <c r="D27" s="277">
        <v>3</v>
      </c>
      <c r="E27" s="278">
        <v>-2.0990000000000002</v>
      </c>
      <c r="F27" s="278">
        <v>0</v>
      </c>
      <c r="G27" s="278">
        <v>-5.5360000000000005</v>
      </c>
      <c r="H27" s="278">
        <v>-68.921000000000006</v>
      </c>
      <c r="I27" s="278">
        <v>-52.238999999999997</v>
      </c>
      <c r="J27" s="278">
        <v>-7.9189999999999996</v>
      </c>
      <c r="K27" s="278">
        <v>0</v>
      </c>
      <c r="L27" s="280">
        <f>IFERROR(SUM(E27:K27),0)</f>
        <v>-136.71400000000003</v>
      </c>
      <c r="M27" s="309"/>
      <c r="N27" s="281" t="s">
        <v>8753</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8752</v>
      </c>
      <c r="AE27" s="278" t="s">
        <v>8754</v>
      </c>
      <c r="AF27" s="278" t="s">
        <v>8755</v>
      </c>
      <c r="AG27" s="278" t="s">
        <v>8756</v>
      </c>
      <c r="AH27" s="278" t="s">
        <v>8757</v>
      </c>
      <c r="AI27" s="278" t="s">
        <v>8758</v>
      </c>
      <c r="AJ27" s="278" t="s">
        <v>8759</v>
      </c>
      <c r="AK27" s="278" t="s">
        <v>8760</v>
      </c>
      <c r="AL27" s="280" t="s">
        <v>8761</v>
      </c>
    </row>
    <row r="28" spans="1:38" ht="22.35" customHeight="1">
      <c r="A28" s="197"/>
      <c r="B28" s="460" t="s">
        <v>8361</v>
      </c>
      <c r="C28" s="286" t="s">
        <v>681</v>
      </c>
      <c r="D28" s="286">
        <v>3</v>
      </c>
      <c r="E28" s="287">
        <v>0</v>
      </c>
      <c r="F28" s="287">
        <v>0</v>
      </c>
      <c r="G28" s="287">
        <v>-0.32100000000000001</v>
      </c>
      <c r="H28" s="287">
        <v>0</v>
      </c>
      <c r="I28" s="287">
        <v>0</v>
      </c>
      <c r="J28" s="287">
        <v>0</v>
      </c>
      <c r="K28" s="287">
        <v>0</v>
      </c>
      <c r="L28" s="289">
        <f>IFERROR(SUM(E28:K28),0)</f>
        <v>-0.32100000000000001</v>
      </c>
      <c r="M28" s="309"/>
      <c r="N28" s="290" t="s">
        <v>8762</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8361</v>
      </c>
      <c r="AE28" s="287" t="s">
        <v>8763</v>
      </c>
      <c r="AF28" s="287" t="s">
        <v>8764</v>
      </c>
      <c r="AG28" s="287" t="s">
        <v>8765</v>
      </c>
      <c r="AH28" s="287" t="s">
        <v>8766</v>
      </c>
      <c r="AI28" s="287" t="s">
        <v>8767</v>
      </c>
      <c r="AJ28" s="287" t="s">
        <v>8768</v>
      </c>
      <c r="AK28" s="287" t="s">
        <v>8769</v>
      </c>
      <c r="AL28" s="289" t="s">
        <v>8770</v>
      </c>
    </row>
    <row r="29" spans="1:38" ht="22.35" customHeight="1" thickBot="1">
      <c r="A29" s="197"/>
      <c r="B29" s="463" t="s">
        <v>7445</v>
      </c>
      <c r="C29" s="355" t="s">
        <v>681</v>
      </c>
      <c r="D29" s="355">
        <v>3</v>
      </c>
      <c r="E29" s="298">
        <f t="shared" ref="E29:K29" si="28">IFERROR(E27+E28,0)</f>
        <v>-2.0990000000000002</v>
      </c>
      <c r="F29" s="298">
        <f t="shared" si="28"/>
        <v>0</v>
      </c>
      <c r="G29" s="298">
        <f t="shared" si="28"/>
        <v>-5.8570000000000002</v>
      </c>
      <c r="H29" s="298">
        <f t="shared" si="28"/>
        <v>-68.921000000000006</v>
      </c>
      <c r="I29" s="298">
        <f t="shared" si="28"/>
        <v>-52.238999999999997</v>
      </c>
      <c r="J29" s="298">
        <f t="shared" si="28"/>
        <v>-7.9189999999999996</v>
      </c>
      <c r="K29" s="298">
        <f t="shared" si="28"/>
        <v>0</v>
      </c>
      <c r="L29" s="299">
        <f>IFERROR(SUM(E29:K29),0)</f>
        <v>-137.03500000000003</v>
      </c>
      <c r="M29" s="309"/>
      <c r="N29" s="356" t="s">
        <v>8771</v>
      </c>
      <c r="O29" s="260"/>
      <c r="P29" s="302"/>
      <c r="Q29" s="197"/>
      <c r="R29" s="363"/>
      <c r="S29" s="284"/>
      <c r="T29" s="370"/>
      <c r="U29" s="267"/>
      <c r="V29" s="267"/>
      <c r="W29" s="267"/>
      <c r="X29" s="267"/>
      <c r="Y29" s="267"/>
      <c r="Z29" s="267"/>
      <c r="AA29" s="267"/>
      <c r="AB29" s="370"/>
      <c r="AD29" s="463" t="s">
        <v>7445</v>
      </c>
      <c r="AE29" s="298" t="s">
        <v>8772</v>
      </c>
      <c r="AF29" s="298" t="s">
        <v>8773</v>
      </c>
      <c r="AG29" s="298" t="s">
        <v>8774</v>
      </c>
      <c r="AH29" s="298" t="s">
        <v>8775</v>
      </c>
      <c r="AI29" s="298" t="s">
        <v>8776</v>
      </c>
      <c r="AJ29" s="298" t="s">
        <v>8777</v>
      </c>
      <c r="AK29" s="298" t="s">
        <v>8778</v>
      </c>
      <c r="AL29" s="299" t="s">
        <v>8779</v>
      </c>
    </row>
    <row r="30" spans="1:38" ht="16.5"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781"/>
      <c r="C31" s="2781"/>
      <c r="D31" s="2781"/>
      <c r="E31" s="2781"/>
      <c r="F31" s="2781"/>
      <c r="G31" s="2781"/>
      <c r="H31" s="2781"/>
      <c r="I31" s="2781"/>
      <c r="J31" s="2781"/>
      <c r="K31" s="2781"/>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504" customFormat="1" ht="15">
      <c r="A1" s="2504" t="s">
        <v>664</v>
      </c>
      <c r="B1" s="2504" t="s">
        <v>665</v>
      </c>
      <c r="C1" s="2504" t="s">
        <v>666</v>
      </c>
      <c r="D1" s="2504" t="s">
        <v>667</v>
      </c>
      <c r="E1" s="2504" t="s">
        <v>668</v>
      </c>
      <c r="F1" s="2504" t="s">
        <v>669</v>
      </c>
      <c r="G1" s="2504" t="s">
        <v>670</v>
      </c>
      <c r="H1" s="2504" t="s">
        <v>671</v>
      </c>
      <c r="I1" s="2504" t="s">
        <v>672</v>
      </c>
      <c r="J1" s="2504" t="s">
        <v>673</v>
      </c>
      <c r="K1" s="2504" t="s">
        <v>674</v>
      </c>
      <c r="L1" s="2504" t="s">
        <v>675</v>
      </c>
      <c r="M1" s="2504" t="s">
        <v>676</v>
      </c>
      <c r="N1" s="2504" t="s">
        <v>677</v>
      </c>
      <c r="O1" s="2504" t="s">
        <v>678</v>
      </c>
      <c r="P1" s="2504"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556"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682</v>
      </c>
      <c r="G844" t="str">
        <f>'4L'!$D$10</f>
        <v>£m</v>
      </c>
      <c r="O844" t="str">
        <f>_xlfn.CONCAT('4L'!$B$9, "-", '4L'!$B$10, "-", '4L'!$F$6, "-", '4L'!$F$6, "-", '4L'!$F$5)</f>
        <v>EA/NRW environmental programme (WINEP/NEP)-Ecological improvements at abstractions-Water resources-Water resources-Expenditure in report year</v>
      </c>
    </row>
    <row r="845" spans="1:15">
      <c r="A845" t="s">
        <v>639</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682</v>
      </c>
      <c r="G845" t="str">
        <f>'4L'!$D$10</f>
        <v>£m</v>
      </c>
      <c r="O845" t="str">
        <f>_xlfn.CONCAT('4L'!$B$9, "-", '4L'!$B$10, "-", '4L'!$G$7, "-", '4L'!$G$6, "-", '4L'!$F$5)</f>
        <v>EA/NRW environmental programme (WINEP/NEP)-Ecological improvements at abstractions-Raw water transport-Water network+-Expenditure in report year</v>
      </c>
    </row>
    <row r="846" spans="1:15">
      <c r="A846" t="s">
        <v>639</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682</v>
      </c>
      <c r="G846" t="str">
        <f>'4L'!$D$10</f>
        <v>£m</v>
      </c>
      <c r="O846" t="str">
        <f>_xlfn.CONCAT('4L'!$B$9, "-", '4L'!$B$10, "-", '4L'!$H$7, "-", '4L'!$G$6, "-", '4L'!$F$5)</f>
        <v>EA/NRW environmental programme (WINEP/NEP)-Ecological improvements at abstractions-Raw water storage-Water network+-Expenditure in report year</v>
      </c>
    </row>
    <row r="847" spans="1:15">
      <c r="A847" t="s">
        <v>639</v>
      </c>
      <c r="B847" t="str">
        <f>'4L'!$AY$10</f>
        <v>B0210EIC_WT</v>
      </c>
      <c r="D847" t="str">
        <f>_xlfn.CONCAT('4L'!$B$9, "-", '4L'!$B$10, "-", '4L'!$I$7, "-", '4L'!$G$6, "-", '4L'!$F$5)</f>
        <v>EA/NRW environmental programme (WINEP/NEP)-Ecological improvements at abstractions-Water treatment-Water network+-Expenditure in report year</v>
      </c>
      <c r="E847" t="str">
        <f>'4L'!$C$10</f>
        <v>Capex</v>
      </c>
      <c r="F847" t="s">
        <v>682</v>
      </c>
      <c r="G847" t="str">
        <f>'4L'!$D$10</f>
        <v>£m</v>
      </c>
      <c r="O847" t="str">
        <f>_xlfn.CONCAT('4L'!$B$9, "-", '4L'!$B$10, "-", '4L'!$I$7, "-", '4L'!$G$6, "-", '4L'!$F$5)</f>
        <v>EA/NRW environmental programme (WINEP/NEP)-Ecological improvements at abstractions-Water treatment-Water network+-Expenditure in report year</v>
      </c>
    </row>
    <row r="848" spans="1:15">
      <c r="A848" t="s">
        <v>639</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682</v>
      </c>
      <c r="G848" t="str">
        <f>'4L'!$D$10</f>
        <v>£m</v>
      </c>
      <c r="O848" t="str">
        <f>_xlfn.CONCAT('4L'!$B$9, "-", '4L'!$B$10, "-", '4L'!$J$7, "-", '4L'!$G$6, "-", '4L'!$F$5)</f>
        <v>EA/NRW environmental programme (WINEP/NEP)-Ecological improvements at abstractions-Treated water distribution-Water network+-Expenditure in report year</v>
      </c>
    </row>
    <row r="849" spans="1:15">
      <c r="A849" t="s">
        <v>639</v>
      </c>
      <c r="B849" t="str">
        <f>'4L'!$BA$10</f>
        <v>B0210EIC_TOT</v>
      </c>
      <c r="D849" t="str">
        <f>_xlfn.CONCAT('4L'!$B$9, "-", '4L'!$B$10, "-", '4L'!$K$6, "-", '4L'!$K$6, "-", '4L'!$F$5)</f>
        <v>EA/NRW environmental programme (WINEP/NEP)-Ecological improvements at abstractions-Total-Total-Expenditure in report year</v>
      </c>
      <c r="E849" t="str">
        <f>'4L'!$C$10</f>
        <v>Capex</v>
      </c>
      <c r="F849" t="s">
        <v>682</v>
      </c>
      <c r="G849" t="str">
        <f>'4L'!$D$10</f>
        <v>£m</v>
      </c>
      <c r="O849" t="str">
        <f>_xlfn.CONCAT('4L'!$B$9, "-", '4L'!$B$10, "-", '4L'!$K$6, "-", '4L'!$K$6, "-", '4L'!$F$5)</f>
        <v>EA/NRW environmental programme (WINEP/NEP)-Ecological improvements at abstractions-Total-Total-Expenditure in report year</v>
      </c>
    </row>
    <row r="850" spans="1:15">
      <c r="A850" t="s">
        <v>639</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682</v>
      </c>
      <c r="G850" t="str">
        <f>'4L'!$D$11</f>
        <v>£m</v>
      </c>
      <c r="O850" t="str">
        <f>_xlfn.CONCAT('4L'!$B$9, "-", '4L'!$B$11, "-", '4L'!$F$6, "-", '4L'!$F$6, "-", '4L'!$F$5)</f>
        <v>EA/NRW environmental programme (WINEP/NEP)-Ecological improvements at abstractions-Water resources-Water resources-Expenditure in report year</v>
      </c>
    </row>
    <row r="851" spans="1:15">
      <c r="A851" t="s">
        <v>639</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682</v>
      </c>
      <c r="G851" t="str">
        <f>'4L'!$D$11</f>
        <v>£m</v>
      </c>
      <c r="O851" t="str">
        <f>_xlfn.CONCAT('4L'!$B$9, "-", '4L'!$B$11, "-", '4L'!$G$7, "-", '4L'!$G$6, "-", '4L'!$F$5)</f>
        <v>EA/NRW environmental programme (WINEP/NEP)-Ecological improvements at abstractions-Raw water transport-Water network+-Expenditure in report year</v>
      </c>
    </row>
    <row r="852" spans="1:15">
      <c r="A852" t="s">
        <v>639</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682</v>
      </c>
      <c r="G852" t="str">
        <f>'4L'!$D$11</f>
        <v>£m</v>
      </c>
      <c r="O852" t="str">
        <f>_xlfn.CONCAT('4L'!$B$9, "-", '4L'!$B$11, "-", '4L'!$H$7, "-", '4L'!$G$6, "-", '4L'!$F$5)</f>
        <v>EA/NRW environmental programme (WINEP/NEP)-Ecological improvements at abstractions-Raw water storage-Water network+-Expenditure in report year</v>
      </c>
    </row>
    <row r="853" spans="1:15">
      <c r="A853" t="s">
        <v>639</v>
      </c>
      <c r="B853" t="str">
        <f>'4L'!$AY$11</f>
        <v>B0211EIO_WT</v>
      </c>
      <c r="D853" t="str">
        <f>_xlfn.CONCAT('4L'!$B$9, "-", '4L'!$B$11, "-", '4L'!$I$7, "-", '4L'!$G$6, "-", '4L'!$F$5)</f>
        <v>EA/NRW environmental programme (WINEP/NEP)-Ecological improvements at abstractions-Water treatment-Water network+-Expenditure in report year</v>
      </c>
      <c r="E853" t="str">
        <f>'4L'!$C$11</f>
        <v>Opex</v>
      </c>
      <c r="F853" t="s">
        <v>682</v>
      </c>
      <c r="G853" t="str">
        <f>'4L'!$D$11</f>
        <v>£m</v>
      </c>
      <c r="O853" t="str">
        <f>_xlfn.CONCAT('4L'!$B$9, "-", '4L'!$B$11, "-", '4L'!$I$7, "-", '4L'!$G$6, "-", '4L'!$F$5)</f>
        <v>EA/NRW environmental programme (WINEP/NEP)-Ecological improvements at abstractions-Water treatment-Water network+-Expenditure in report year</v>
      </c>
    </row>
    <row r="854" spans="1:15">
      <c r="A854" t="s">
        <v>639</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682</v>
      </c>
      <c r="G854" t="str">
        <f>'4L'!$D$11</f>
        <v>£m</v>
      </c>
      <c r="O854" t="str">
        <f>_xlfn.CONCAT('4L'!$B$9, "-", '4L'!$B$11, "-", '4L'!$J$7, "-", '4L'!$G$6, "-", '4L'!$F$5)</f>
        <v>EA/NRW environmental programme (WINEP/NEP)-Ecological improvements at abstractions-Treated water distribution-Water network+-Expenditure in report year</v>
      </c>
    </row>
    <row r="855" spans="1:15">
      <c r="A855" t="s">
        <v>639</v>
      </c>
      <c r="B855" t="str">
        <f>'4L'!$BA$11</f>
        <v>B0211EIO_TOT</v>
      </c>
      <c r="D855" t="str">
        <f>_xlfn.CONCAT('4L'!$B$9, "-", '4L'!$B$11, "-", '4L'!$K$6, "-", '4L'!$K$6, "-", '4L'!$F$5)</f>
        <v>EA/NRW environmental programme (WINEP/NEP)-Ecological improvements at abstractions-Total-Total-Expenditure in report year</v>
      </c>
      <c r="E855" t="str">
        <f>'4L'!$C$11</f>
        <v>Opex</v>
      </c>
      <c r="F855" t="s">
        <v>682</v>
      </c>
      <c r="G855" t="str">
        <f>'4L'!$D$11</f>
        <v>£m</v>
      </c>
      <c r="O855" t="str">
        <f>_xlfn.CONCAT('4L'!$B$9, "-", '4L'!$B$11, "-", '4L'!$K$6, "-", '4L'!$K$6, "-", '4L'!$F$5)</f>
        <v>EA/NRW environmental programme (WINEP/NEP)-Ecological improvements at abstractions-Total-Total-Expenditure in report year</v>
      </c>
    </row>
    <row r="856" spans="1:15">
      <c r="A856" t="s">
        <v>639</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682</v>
      </c>
      <c r="G856" t="str">
        <f>'4L'!$D$12</f>
        <v>£m</v>
      </c>
      <c r="O856" t="str">
        <f>_xlfn.CONCAT('4L'!$B$9, "-", '4L'!$B$12, "-", '4L'!$F$6, "-", '4L'!$F$6, "-", '4L'!$F$5)</f>
        <v>EA/NRW environmental programme (WINEP/NEP)-Ecological improvements at abstractions-Water resources-Water resources-Expenditure in report year</v>
      </c>
    </row>
    <row r="857" spans="1:15">
      <c r="A857" t="s">
        <v>639</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682</v>
      </c>
      <c r="G857" t="str">
        <f>'4L'!$D$12</f>
        <v>£m</v>
      </c>
      <c r="O857" t="str">
        <f>_xlfn.CONCAT('4L'!$B$9, "-", '4L'!$B$12, "-", '4L'!$G$7, "-", '4L'!$G$6, "-", '4L'!$F$5)</f>
        <v>EA/NRW environmental programme (WINEP/NEP)-Ecological improvements at abstractions-Raw water transport-Water network+-Expenditure in report year</v>
      </c>
    </row>
    <row r="858" spans="1:15">
      <c r="A858" t="s">
        <v>639</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682</v>
      </c>
      <c r="G858" t="str">
        <f>'4L'!$D$12</f>
        <v>£m</v>
      </c>
      <c r="O858" t="str">
        <f>_xlfn.CONCAT('4L'!$B$9, "-", '4L'!$B$12, "-", '4L'!$H$7, "-", '4L'!$G$6, "-", '4L'!$F$5)</f>
        <v>EA/NRW environmental programme (WINEP/NEP)-Ecological improvements at abstractions-Raw water storage-Water network+-Expenditure in report year</v>
      </c>
    </row>
    <row r="859" spans="1:15">
      <c r="A859" t="s">
        <v>639</v>
      </c>
      <c r="B859" t="str">
        <f>'4L'!$AY$12</f>
        <v>B0212EIT_WT</v>
      </c>
      <c r="D859" t="str">
        <f>_xlfn.CONCAT('4L'!$B$9, "-", '4L'!$B$12, "-", '4L'!$I$7, "-", '4L'!$G$6, "-", '4L'!$F$5)</f>
        <v>EA/NRW environmental programme (WINEP/NEP)-Ecological improvements at abstractions-Water treatment-Water network+-Expenditure in report year</v>
      </c>
      <c r="E859" t="str">
        <f>'4L'!$C$12</f>
        <v>Totex</v>
      </c>
      <c r="F859" t="s">
        <v>682</v>
      </c>
      <c r="G859" t="str">
        <f>'4L'!$D$12</f>
        <v>£m</v>
      </c>
      <c r="O859" t="str">
        <f>_xlfn.CONCAT('4L'!$B$9, "-", '4L'!$B$12, "-", '4L'!$I$7, "-", '4L'!$G$6, "-", '4L'!$F$5)</f>
        <v>EA/NRW environmental programme (WINEP/NEP)-Ecological improvements at abstractions-Water treatment-Water network+-Expenditure in report year</v>
      </c>
    </row>
    <row r="860" spans="1:15">
      <c r="A860" t="s">
        <v>639</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682</v>
      </c>
      <c r="G860" t="str">
        <f>'4L'!$D$12</f>
        <v>£m</v>
      </c>
      <c r="O860" t="str">
        <f>_xlfn.CONCAT('4L'!$B$9, "-", '4L'!$B$12, "-", '4L'!$J$7, "-", '4L'!$G$6, "-", '4L'!$F$5)</f>
        <v>EA/NRW environmental programme (WINEP/NEP)-Ecological improvements at abstractions-Treated water distribution-Water network+-Expenditure in report year</v>
      </c>
    </row>
    <row r="861" spans="1:15">
      <c r="A861" t="s">
        <v>639</v>
      </c>
      <c r="B861" t="str">
        <f>'4L'!$BA$12</f>
        <v>B0212EIT_TOT</v>
      </c>
      <c r="D861" t="str">
        <f>_xlfn.CONCAT('4L'!$B$9, "-", '4L'!$B$12, "-", '4L'!$K$6, "-", '4L'!$K$6, "-", '4L'!$F$5)</f>
        <v>EA/NRW environmental programme (WINEP/NEP)-Ecological improvements at abstractions-Total-Total-Expenditure in report year</v>
      </c>
      <c r="E861" t="str">
        <f>'4L'!$C$12</f>
        <v>Totex</v>
      </c>
      <c r="F861" t="s">
        <v>682</v>
      </c>
      <c r="G861" t="str">
        <f>'4L'!$D$12</f>
        <v>£m</v>
      </c>
      <c r="O861" t="str">
        <f>_xlfn.CONCAT('4L'!$B$9, "-", '4L'!$B$12, "-", '4L'!$K$6, "-", '4L'!$K$6, "-", '4L'!$F$5)</f>
        <v>EA/NRW environmental programme (WINEP/NEP)-Ecological improvements at abstractions-Total-Total-Expenditure in report year</v>
      </c>
    </row>
    <row r="862" spans="1:15">
      <c r="A862" t="s">
        <v>639</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682</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639</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682</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639</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682</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639</v>
      </c>
      <c r="B865" t="str">
        <f>'4L'!$AV$13</f>
        <v>B0213ERC_WR</v>
      </c>
      <c r="D865" t="str">
        <f>_xlfn.CONCAT('4L'!$B$9, "-", '4L'!$B$13, "-", '4L'!$F$6, "-", '4L'!$F$6, "-", '4L'!$F$5)</f>
        <v>EA/NRW environmental programme (WINEP/NEP)-Eels Regulations (measures at intakes)-Water resources-Water resources-Expenditure in report year</v>
      </c>
      <c r="E865" t="str">
        <f>'4L'!$C$13</f>
        <v>Capex</v>
      </c>
      <c r="F865" t="s">
        <v>682</v>
      </c>
      <c r="G865" t="str">
        <f>'4L'!$D$13</f>
        <v>£m</v>
      </c>
      <c r="O865" t="str">
        <f>_xlfn.CONCAT('4L'!$B$9, "-", '4L'!$B$13, "-", '4L'!$F$6, "-", '4L'!$F$6, "-", '4L'!$F$5)</f>
        <v>EA/NRW environmental programme (WINEP/NEP)-Eels Regulations (measures at intakes)-Water resources-Water resources-Expenditure in report year</v>
      </c>
    </row>
    <row r="866" spans="1:15">
      <c r="A866" t="s">
        <v>639</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682</v>
      </c>
      <c r="G866" t="str">
        <f>'4L'!$D$13</f>
        <v>£m</v>
      </c>
      <c r="O866" t="str">
        <f>_xlfn.CONCAT('4L'!$B$9, "-", '4L'!$B$13, "-", '4L'!$G$7, "-", '4L'!$G$6, "-", '4L'!$F$5)</f>
        <v>EA/NRW environmental programme (WINEP/NEP)-Eels Regulations (measures at intakes)-Raw water transport-Water network+-Expenditure in report year</v>
      </c>
    </row>
    <row r="867" spans="1:15">
      <c r="A867" t="s">
        <v>639</v>
      </c>
      <c r="B867" t="str">
        <f>'4L'!$AX$13</f>
        <v>B0213ERC_RWS</v>
      </c>
      <c r="D867" t="str">
        <f>_xlfn.CONCAT('4L'!$B$9, "-", '4L'!$B$13, "-", '4L'!$H$7, "-", '4L'!$G$6, "-", '4L'!$F$5)</f>
        <v>EA/NRW environmental programme (WINEP/NEP)-Eels Regulations (measures at intakes)-Raw water storage-Water network+-Expenditure in report year</v>
      </c>
      <c r="E867" t="str">
        <f>'4L'!$C$13</f>
        <v>Capex</v>
      </c>
      <c r="F867" t="s">
        <v>682</v>
      </c>
      <c r="G867" t="str">
        <f>'4L'!$D$13</f>
        <v>£m</v>
      </c>
      <c r="O867" t="str">
        <f>_xlfn.CONCAT('4L'!$B$9, "-", '4L'!$B$13, "-", '4L'!$H$7, "-", '4L'!$G$6, "-", '4L'!$F$5)</f>
        <v>EA/NRW environmental programme (WINEP/NEP)-Eels Regulations (measures at intakes)-Raw water storage-Water network+-Expenditure in report year</v>
      </c>
    </row>
    <row r="868" spans="1:15">
      <c r="A868" t="s">
        <v>639</v>
      </c>
      <c r="B868" t="str">
        <f>'4L'!$AY$13</f>
        <v>B0213ERC_WT</v>
      </c>
      <c r="D868" t="str">
        <f>_xlfn.CONCAT('4L'!$B$9, "-", '4L'!$B$13, "-", '4L'!$I$7, "-", '4L'!$G$6, "-", '4L'!$F$5)</f>
        <v>EA/NRW environmental programme (WINEP/NEP)-Eels Regulations (measures at intakes)-Water treatment-Water network+-Expenditure in report year</v>
      </c>
      <c r="E868" t="str">
        <f>'4L'!$C$13</f>
        <v>Capex</v>
      </c>
      <c r="F868" t="s">
        <v>682</v>
      </c>
      <c r="G868" t="str">
        <f>'4L'!$D$13</f>
        <v>£m</v>
      </c>
      <c r="O868" t="str">
        <f>_xlfn.CONCAT('4L'!$B$9, "-", '4L'!$B$13, "-", '4L'!$I$7, "-", '4L'!$G$6, "-", '4L'!$F$5)</f>
        <v>EA/NRW environmental programme (WINEP/NEP)-Eels Regulations (measures at intakes)-Water treatment-Water network+-Expenditure in report year</v>
      </c>
    </row>
    <row r="869" spans="1:15">
      <c r="A869" t="s">
        <v>639</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682</v>
      </c>
      <c r="G869" t="str">
        <f>'4L'!$D$13</f>
        <v>£m</v>
      </c>
      <c r="O869" t="str">
        <f>_xlfn.CONCAT('4L'!$B$9, "-", '4L'!$B$13, "-", '4L'!$J$7, "-", '4L'!$G$6, "-", '4L'!$F$5)</f>
        <v>EA/NRW environmental programme (WINEP/NEP)-Eels Regulations (measures at intakes)-Treated water distribution-Water network+-Expenditure in report year</v>
      </c>
    </row>
    <row r="870" spans="1:15">
      <c r="A870" t="s">
        <v>639</v>
      </c>
      <c r="B870" t="str">
        <f>'4L'!$BA$13</f>
        <v>B0213ERC_TOT</v>
      </c>
      <c r="D870" t="str">
        <f>_xlfn.CONCAT('4L'!$B$9, "-", '4L'!$B$13, "-", '4L'!$K$6, "-", '4L'!$K$6, "-", '4L'!$F$5)</f>
        <v>EA/NRW environmental programme (WINEP/NEP)-Eels Regulations (measures at intakes)-Total-Total-Expenditure in report year</v>
      </c>
      <c r="E870" t="str">
        <f>'4L'!$C$13</f>
        <v>Capex</v>
      </c>
      <c r="F870" t="s">
        <v>682</v>
      </c>
      <c r="G870" t="str">
        <f>'4L'!$D$13</f>
        <v>£m</v>
      </c>
      <c r="O870" t="str">
        <f>_xlfn.CONCAT('4L'!$B$9, "-", '4L'!$B$13, "-", '4L'!$K$6, "-", '4L'!$K$6, "-", '4L'!$F$5)</f>
        <v>EA/NRW environmental programme (WINEP/NEP)-Eels Regulations (measures at intakes)-Total-Total-Expenditure in report year</v>
      </c>
    </row>
    <row r="871" spans="1:15">
      <c r="A871" t="s">
        <v>639</v>
      </c>
      <c r="B871" t="str">
        <f>'4L'!$AV$14</f>
        <v>B0214ERO_WR</v>
      </c>
      <c r="D871" t="str">
        <f>_xlfn.CONCAT('4L'!$B$9, "-", '4L'!$B$14, "-", '4L'!$F$6, "-", '4L'!$F$6, "-", '4L'!$F$5)</f>
        <v>EA/NRW environmental programme (WINEP/NEP)-Eels Regulations (measures at intakes)-Water resources-Water resources-Expenditure in report year</v>
      </c>
      <c r="E871" t="str">
        <f>'4L'!$C$14</f>
        <v>Opex</v>
      </c>
      <c r="F871" t="s">
        <v>682</v>
      </c>
      <c r="G871" t="str">
        <f>'4L'!$D$14</f>
        <v>£m</v>
      </c>
      <c r="O871" t="str">
        <f>_xlfn.CONCAT('4L'!$B$9, "-", '4L'!$B$14, "-", '4L'!$F$6, "-", '4L'!$F$6, "-", '4L'!$F$5)</f>
        <v>EA/NRW environmental programme (WINEP/NEP)-Eels Regulations (measures at intakes)-Water resources-Water resources-Expenditure in report year</v>
      </c>
    </row>
    <row r="872" spans="1:15">
      <c r="A872" t="s">
        <v>639</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682</v>
      </c>
      <c r="G872" t="str">
        <f>'4L'!$D$14</f>
        <v>£m</v>
      </c>
      <c r="O872" t="str">
        <f>_xlfn.CONCAT('4L'!$B$9, "-", '4L'!$B$14, "-", '4L'!$G$7, "-", '4L'!$G$6, "-", '4L'!$F$5)</f>
        <v>EA/NRW environmental programme (WINEP/NEP)-Eels Regulations (measures at intakes)-Raw water transport-Water network+-Expenditure in report year</v>
      </c>
    </row>
    <row r="873" spans="1:15">
      <c r="A873" t="s">
        <v>639</v>
      </c>
      <c r="B873" t="str">
        <f>'4L'!$AX$14</f>
        <v>B0214ERO_RWS</v>
      </c>
      <c r="D873" t="str">
        <f>_xlfn.CONCAT('4L'!$B$9, "-", '4L'!$B$14, "-", '4L'!$H$7, "-", '4L'!$G$6, "-", '4L'!$F$5)</f>
        <v>EA/NRW environmental programme (WINEP/NEP)-Eels Regulations (measures at intakes)-Raw water storage-Water network+-Expenditure in report year</v>
      </c>
      <c r="E873" t="str">
        <f>'4L'!$C$14</f>
        <v>Opex</v>
      </c>
      <c r="F873" t="s">
        <v>682</v>
      </c>
      <c r="G873" t="str">
        <f>'4L'!$D$14</f>
        <v>£m</v>
      </c>
      <c r="O873" t="str">
        <f>_xlfn.CONCAT('4L'!$B$9, "-", '4L'!$B$14, "-", '4L'!$H$7, "-", '4L'!$G$6, "-", '4L'!$F$5)</f>
        <v>EA/NRW environmental programme (WINEP/NEP)-Eels Regulations (measures at intakes)-Raw water storage-Water network+-Expenditure in report year</v>
      </c>
    </row>
    <row r="874" spans="1:15">
      <c r="A874" t="s">
        <v>639</v>
      </c>
      <c r="B874" t="str">
        <f>'4L'!$AY$14</f>
        <v>B0214ERO_WT</v>
      </c>
      <c r="D874" t="str">
        <f>_xlfn.CONCAT('4L'!$B$9, "-", '4L'!$B$14, "-", '4L'!$I$7, "-", '4L'!$G$6, "-", '4L'!$F$5)</f>
        <v>EA/NRW environmental programme (WINEP/NEP)-Eels Regulations (measures at intakes)-Water treatment-Water network+-Expenditure in report year</v>
      </c>
      <c r="E874" t="str">
        <f>'4L'!$C$14</f>
        <v>Opex</v>
      </c>
      <c r="F874" t="s">
        <v>682</v>
      </c>
      <c r="G874" t="str">
        <f>'4L'!$D$14</f>
        <v>£m</v>
      </c>
      <c r="O874" t="str">
        <f>_xlfn.CONCAT('4L'!$B$9, "-", '4L'!$B$14, "-", '4L'!$I$7, "-", '4L'!$G$6, "-", '4L'!$F$5)</f>
        <v>EA/NRW environmental programme (WINEP/NEP)-Eels Regulations (measures at intakes)-Water treatment-Water network+-Expenditure in report year</v>
      </c>
    </row>
    <row r="875" spans="1:15">
      <c r="A875" t="s">
        <v>639</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682</v>
      </c>
      <c r="G875" t="str">
        <f>'4L'!$D$14</f>
        <v>£m</v>
      </c>
      <c r="O875" t="str">
        <f>_xlfn.CONCAT('4L'!$B$9, "-", '4L'!$B$14, "-", '4L'!$J$7, "-", '4L'!$G$6, "-", '4L'!$F$5)</f>
        <v>EA/NRW environmental programme (WINEP/NEP)-Eels Regulations (measures at intakes)-Treated water distribution-Water network+-Expenditure in report year</v>
      </c>
    </row>
    <row r="876" spans="1:15">
      <c r="A876" t="s">
        <v>639</v>
      </c>
      <c r="B876" t="str">
        <f>'4L'!$BA$14</f>
        <v>B0214ERO_TOT</v>
      </c>
      <c r="D876" t="str">
        <f>_xlfn.CONCAT('4L'!$B$9, "-", '4L'!$B$14, "-", '4L'!$K$6, "-", '4L'!$K$6, "-", '4L'!$F$5)</f>
        <v>EA/NRW environmental programme (WINEP/NEP)-Eels Regulations (measures at intakes)-Total-Total-Expenditure in report year</v>
      </c>
      <c r="E876" t="str">
        <f>'4L'!$C$14</f>
        <v>Opex</v>
      </c>
      <c r="F876" t="s">
        <v>682</v>
      </c>
      <c r="G876" t="str">
        <f>'4L'!$D$14</f>
        <v>£m</v>
      </c>
      <c r="O876" t="str">
        <f>_xlfn.CONCAT('4L'!$B$9, "-", '4L'!$B$14, "-", '4L'!$K$6, "-", '4L'!$K$6, "-", '4L'!$F$5)</f>
        <v>EA/NRW environmental programme (WINEP/NEP)-Eels Regulations (measures at intakes)-Total-Total-Expenditure in report year</v>
      </c>
    </row>
    <row r="877" spans="1:15">
      <c r="A877" t="s">
        <v>639</v>
      </c>
      <c r="B877" t="str">
        <f>'4L'!$AV$15</f>
        <v>B0215ERT_WR</v>
      </c>
      <c r="D877" t="str">
        <f>_xlfn.CONCAT('4L'!$B$9, "-", '4L'!$B$15, "-", '4L'!$F$6, "-", '4L'!$F$6, "-", '4L'!$F$5)</f>
        <v>EA/NRW environmental programme (WINEP/NEP)-Eels Regulations (measures at intakes)-Water resources-Water resources-Expenditure in report year</v>
      </c>
      <c r="E877" t="str">
        <f>'4L'!$C$15</f>
        <v>Totex</v>
      </c>
      <c r="F877" t="s">
        <v>682</v>
      </c>
      <c r="G877" t="str">
        <f>'4L'!$D$15</f>
        <v>£m</v>
      </c>
      <c r="O877" t="str">
        <f>_xlfn.CONCAT('4L'!$B$9, "-", '4L'!$B$15, "-", '4L'!$F$6, "-", '4L'!$F$6, "-", '4L'!$F$5)</f>
        <v>EA/NRW environmental programme (WINEP/NEP)-Eels Regulations (measures at intakes)-Water resources-Water resources-Expenditure in report year</v>
      </c>
    </row>
    <row r="878" spans="1:15">
      <c r="A878" t="s">
        <v>639</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682</v>
      </c>
      <c r="G878" t="str">
        <f>'4L'!$D$15</f>
        <v>£m</v>
      </c>
      <c r="O878" t="str">
        <f>_xlfn.CONCAT('4L'!$B$9, "-", '4L'!$B$15, "-", '4L'!$G$7, "-", '4L'!$G$6, "-", '4L'!$F$5)</f>
        <v>EA/NRW environmental programme (WINEP/NEP)-Eels Regulations (measures at intakes)-Raw water transport-Water network+-Expenditure in report year</v>
      </c>
    </row>
    <row r="879" spans="1:15">
      <c r="A879" t="s">
        <v>639</v>
      </c>
      <c r="B879" t="str">
        <f>'4L'!$AX$15</f>
        <v>B0215ERT_RWS</v>
      </c>
      <c r="D879" t="str">
        <f>_xlfn.CONCAT('4L'!$B$9, "-", '4L'!$B$15, "-", '4L'!$H$7, "-", '4L'!$G$6, "-", '4L'!$F$5)</f>
        <v>EA/NRW environmental programme (WINEP/NEP)-Eels Regulations (measures at intakes)-Raw water storage-Water network+-Expenditure in report year</v>
      </c>
      <c r="E879" t="str">
        <f>'4L'!$C$15</f>
        <v>Totex</v>
      </c>
      <c r="F879" t="s">
        <v>682</v>
      </c>
      <c r="G879" t="str">
        <f>'4L'!$D$15</f>
        <v>£m</v>
      </c>
      <c r="O879" t="str">
        <f>_xlfn.CONCAT('4L'!$B$9, "-", '4L'!$B$15, "-", '4L'!$H$7, "-", '4L'!$G$6, "-", '4L'!$F$5)</f>
        <v>EA/NRW environmental programme (WINEP/NEP)-Eels Regulations (measures at intakes)-Raw water storage-Water network+-Expenditure in report year</v>
      </c>
    </row>
    <row r="880" spans="1:15">
      <c r="A880" t="s">
        <v>639</v>
      </c>
      <c r="B880" t="str">
        <f>'4L'!$AY$15</f>
        <v>B0215ERT_WT</v>
      </c>
      <c r="D880" t="str">
        <f>_xlfn.CONCAT('4L'!$B$9, "-", '4L'!$B$15, "-", '4L'!$I$7, "-", '4L'!$G$6, "-", '4L'!$F$5)</f>
        <v>EA/NRW environmental programme (WINEP/NEP)-Eels Regulations (measures at intakes)-Water treatment-Water network+-Expenditure in report year</v>
      </c>
      <c r="E880" t="str">
        <f>'4L'!$C$15</f>
        <v>Totex</v>
      </c>
      <c r="F880" t="s">
        <v>682</v>
      </c>
      <c r="G880" t="str">
        <f>'4L'!$D$15</f>
        <v>£m</v>
      </c>
      <c r="O880" t="str">
        <f>_xlfn.CONCAT('4L'!$B$9, "-", '4L'!$B$15, "-", '4L'!$I$7, "-", '4L'!$G$6, "-", '4L'!$F$5)</f>
        <v>EA/NRW environmental programme (WINEP/NEP)-Eels Regulations (measures at intakes)-Water treatment-Water network+-Expenditure in report year</v>
      </c>
    </row>
    <row r="881" spans="1:15">
      <c r="A881" t="s">
        <v>639</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682</v>
      </c>
      <c r="G881" t="str">
        <f>'4L'!$D$15</f>
        <v>£m</v>
      </c>
      <c r="O881" t="str">
        <f>_xlfn.CONCAT('4L'!$B$9, "-", '4L'!$B$15, "-", '4L'!$J$7, "-", '4L'!$G$6, "-", '4L'!$F$5)</f>
        <v>EA/NRW environmental programme (WINEP/NEP)-Eels Regulations (measures at intakes)-Treated water distribution-Water network+-Expenditure in report year</v>
      </c>
    </row>
    <row r="882" spans="1:15">
      <c r="A882" t="s">
        <v>639</v>
      </c>
      <c r="B882" t="str">
        <f>'4L'!$BA$15</f>
        <v>B0215ERT_TOT</v>
      </c>
      <c r="D882" t="str">
        <f>_xlfn.CONCAT('4L'!$B$9, "-", '4L'!$B$15, "-", '4L'!$K$6, "-", '4L'!$K$6, "-", '4L'!$F$5)</f>
        <v>EA/NRW environmental programme (WINEP/NEP)-Eels Regulations (measures at intakes)-Total-Total-Expenditure in report year</v>
      </c>
      <c r="E882" t="str">
        <f>'4L'!$C$15</f>
        <v>Totex</v>
      </c>
      <c r="F882" t="s">
        <v>682</v>
      </c>
      <c r="G882" t="str">
        <f>'4L'!$D$15</f>
        <v>£m</v>
      </c>
      <c r="O882" t="str">
        <f>_xlfn.CONCAT('4L'!$B$9, "-", '4L'!$B$15, "-", '4L'!$K$6, "-", '4L'!$K$6, "-", '4L'!$F$5)</f>
        <v>EA/NRW environmental programme (WINEP/NEP)-Eels Regulations (measures at intakes)-Total-Total-Expenditure in report year</v>
      </c>
    </row>
    <row r="883" spans="1:15">
      <c r="A883" t="s">
        <v>639</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682</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639</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682</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639</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682</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639</v>
      </c>
      <c r="B886" t="str">
        <f>'4L'!$AV$16</f>
        <v>B0216INC_WR</v>
      </c>
      <c r="D886" t="str">
        <f>_xlfn.CONCAT('4L'!$B$9, "-", '4L'!$B$16, "-", '4L'!$F$6, "-", '4L'!$F$6, "-", '4L'!$F$5)</f>
        <v>EA/NRW environmental programme (WINEP/NEP)-Invasive Non Native Species-Water resources-Water resources-Expenditure in report year</v>
      </c>
      <c r="E886" t="str">
        <f>'4L'!$C$16</f>
        <v>Capex</v>
      </c>
      <c r="F886" t="s">
        <v>682</v>
      </c>
      <c r="G886" t="str">
        <f>'4L'!$D$16</f>
        <v>£m</v>
      </c>
      <c r="O886" t="str">
        <f>_xlfn.CONCAT('4L'!$B$9, "-", '4L'!$B$16, "-", '4L'!$F$6, "-", '4L'!$F$6, "-", '4L'!$F$5)</f>
        <v>EA/NRW environmental programme (WINEP/NEP)-Invasive Non Native Species-Water resources-Water resources-Expenditure in report year</v>
      </c>
    </row>
    <row r="887" spans="1:15">
      <c r="A887" t="s">
        <v>639</v>
      </c>
      <c r="B887" t="str">
        <f>'4L'!$AW$16</f>
        <v>B0216INC_RWT</v>
      </c>
      <c r="D887" t="str">
        <f>_xlfn.CONCAT('4L'!$B$9, "-", '4L'!$B$16, "-", '4L'!$G$7, "-", '4L'!$G$6, "-", '4L'!$F$5)</f>
        <v>EA/NRW environmental programme (WINEP/NEP)-Invasive Non Native Species-Raw water transport-Water network+-Expenditure in report year</v>
      </c>
      <c r="E887" t="str">
        <f>'4L'!$C$16</f>
        <v>Capex</v>
      </c>
      <c r="F887" t="s">
        <v>682</v>
      </c>
      <c r="G887" t="str">
        <f>'4L'!$D$16</f>
        <v>£m</v>
      </c>
      <c r="O887" t="str">
        <f>_xlfn.CONCAT('4L'!$B$9, "-", '4L'!$B$16, "-", '4L'!$G$7, "-", '4L'!$G$6, "-", '4L'!$F$5)</f>
        <v>EA/NRW environmental programme (WINEP/NEP)-Invasive Non Native Species-Raw water transport-Water network+-Expenditure in report year</v>
      </c>
    </row>
    <row r="888" spans="1:15">
      <c r="A888" t="s">
        <v>639</v>
      </c>
      <c r="B888" t="str">
        <f>'4L'!$AX$16</f>
        <v>B0216INC_RWS</v>
      </c>
      <c r="D888" t="str">
        <f>_xlfn.CONCAT('4L'!$B$9, "-", '4L'!$B$16, "-", '4L'!$H$7, "-", '4L'!$G$6, "-", '4L'!$F$5)</f>
        <v>EA/NRW environmental programme (WINEP/NEP)-Invasive Non Native Species-Raw water storage-Water network+-Expenditure in report year</v>
      </c>
      <c r="E888" t="str">
        <f>'4L'!$C$16</f>
        <v>Capex</v>
      </c>
      <c r="F888" t="s">
        <v>682</v>
      </c>
      <c r="G888" t="str">
        <f>'4L'!$D$16</f>
        <v>£m</v>
      </c>
      <c r="O888" t="str">
        <f>_xlfn.CONCAT('4L'!$B$9, "-", '4L'!$B$16, "-", '4L'!$H$7, "-", '4L'!$G$6, "-", '4L'!$F$5)</f>
        <v>EA/NRW environmental programme (WINEP/NEP)-Invasive Non Native Species-Raw water storage-Water network+-Expenditure in report year</v>
      </c>
    </row>
    <row r="889" spans="1:15">
      <c r="A889" t="s">
        <v>639</v>
      </c>
      <c r="B889" t="str">
        <f>'4L'!$AY$16</f>
        <v>B0216INC_WT</v>
      </c>
      <c r="D889" t="str">
        <f>_xlfn.CONCAT('4L'!$B$9, "-", '4L'!$B$16, "-", '4L'!$I$7, "-", '4L'!$G$6, "-", '4L'!$F$5)</f>
        <v>EA/NRW environmental programme (WINEP/NEP)-Invasive Non Native Species-Water treatment-Water network+-Expenditure in report year</v>
      </c>
      <c r="E889" t="str">
        <f>'4L'!$C$16</f>
        <v>Capex</v>
      </c>
      <c r="F889" t="s">
        <v>682</v>
      </c>
      <c r="G889" t="str">
        <f>'4L'!$D$16</f>
        <v>£m</v>
      </c>
      <c r="O889" t="str">
        <f>_xlfn.CONCAT('4L'!$B$9, "-", '4L'!$B$16, "-", '4L'!$I$7, "-", '4L'!$G$6, "-", '4L'!$F$5)</f>
        <v>EA/NRW environmental programme (WINEP/NEP)-Invasive Non Native Species-Water treatment-Water network+-Expenditure in report year</v>
      </c>
    </row>
    <row r="890" spans="1:15">
      <c r="A890" t="s">
        <v>639</v>
      </c>
      <c r="B890" t="str">
        <f>'4L'!$AZ$16</f>
        <v>B0216INC_TWD</v>
      </c>
      <c r="D890" t="str">
        <f>_xlfn.CONCAT('4L'!$B$9, "-", '4L'!$B$16, "-", '4L'!$J$7, "-", '4L'!$G$6, "-", '4L'!$F$5)</f>
        <v>EA/NRW environmental programme (WINEP/NEP)-Invasive Non Native Species-Treated water distribution-Water network+-Expenditure in report year</v>
      </c>
      <c r="E890" t="str">
        <f>'4L'!$C$16</f>
        <v>Capex</v>
      </c>
      <c r="F890" t="s">
        <v>682</v>
      </c>
      <c r="G890" t="str">
        <f>'4L'!$D$16</f>
        <v>£m</v>
      </c>
      <c r="O890" t="str">
        <f>_xlfn.CONCAT('4L'!$B$9, "-", '4L'!$B$16, "-", '4L'!$J$7, "-", '4L'!$G$6, "-", '4L'!$F$5)</f>
        <v>EA/NRW environmental programme (WINEP/NEP)-Invasive Non Native Species-Treated water distribution-Water network+-Expenditure in report year</v>
      </c>
    </row>
    <row r="891" spans="1:15">
      <c r="A891" t="s">
        <v>639</v>
      </c>
      <c r="B891" t="str">
        <f>'4L'!$BA$16</f>
        <v>B0216INC_TOT</v>
      </c>
      <c r="D891" t="str">
        <f>_xlfn.CONCAT('4L'!$B$9, "-", '4L'!$B$16, "-", '4L'!$K$6, "-", '4L'!$K$6, "-", '4L'!$F$5)</f>
        <v>EA/NRW environmental programme (WINEP/NEP)-Invasive Non Native Species-Total-Total-Expenditure in report year</v>
      </c>
      <c r="E891" t="str">
        <f>'4L'!$C$16</f>
        <v>Capex</v>
      </c>
      <c r="F891" t="s">
        <v>682</v>
      </c>
      <c r="G891" t="str">
        <f>'4L'!$D$16</f>
        <v>£m</v>
      </c>
      <c r="O891" t="str">
        <f>_xlfn.CONCAT('4L'!$B$9, "-", '4L'!$B$16, "-", '4L'!$K$6, "-", '4L'!$K$6, "-", '4L'!$F$5)</f>
        <v>EA/NRW environmental programme (WINEP/NEP)-Invasive Non Native Species-Total-Total-Expenditure in report year</v>
      </c>
    </row>
    <row r="892" spans="1:15">
      <c r="A892" t="s">
        <v>639</v>
      </c>
      <c r="B892" t="str">
        <f>'4L'!$AV$17</f>
        <v>B0217INO_WR</v>
      </c>
      <c r="D892" t="str">
        <f>_xlfn.CONCAT('4L'!$B$9, "-", '4L'!$B$17, "-", '4L'!$F$6, "-", '4L'!$F$6, "-", '4L'!$F$5)</f>
        <v>EA/NRW environmental programme (WINEP/NEP)-Invasive Non Native Species-Water resources-Water resources-Expenditure in report year</v>
      </c>
      <c r="E892" t="str">
        <f>'4L'!$C$17</f>
        <v>Opex</v>
      </c>
      <c r="F892" t="s">
        <v>682</v>
      </c>
      <c r="G892" t="str">
        <f>'4L'!$D$17</f>
        <v>£m</v>
      </c>
      <c r="O892" t="str">
        <f>_xlfn.CONCAT('4L'!$B$9, "-", '4L'!$B$17, "-", '4L'!$F$6, "-", '4L'!$F$6, "-", '4L'!$F$5)</f>
        <v>EA/NRW environmental programme (WINEP/NEP)-Invasive Non Native Species-Water resources-Water resources-Expenditure in report year</v>
      </c>
    </row>
    <row r="893" spans="1:15">
      <c r="A893" t="s">
        <v>639</v>
      </c>
      <c r="B893" t="str">
        <f>'4L'!$AW$17</f>
        <v>B0217INO_RWT</v>
      </c>
      <c r="D893" t="str">
        <f>_xlfn.CONCAT('4L'!$B$9, "-", '4L'!$B$17, "-", '4L'!$G$7, "-", '4L'!$G$6, "-", '4L'!$F$5)</f>
        <v>EA/NRW environmental programme (WINEP/NEP)-Invasive Non Native Species-Raw water transport-Water network+-Expenditure in report year</v>
      </c>
      <c r="E893" t="str">
        <f>'4L'!$C$17</f>
        <v>Opex</v>
      </c>
      <c r="F893" t="s">
        <v>682</v>
      </c>
      <c r="G893" t="str">
        <f>'4L'!$D$17</f>
        <v>£m</v>
      </c>
      <c r="O893" t="str">
        <f>_xlfn.CONCAT('4L'!$B$9, "-", '4L'!$B$17, "-", '4L'!$G$7, "-", '4L'!$G$6, "-", '4L'!$F$5)</f>
        <v>EA/NRW environmental programme (WINEP/NEP)-Invasive Non Native Species-Raw water transport-Water network+-Expenditure in report year</v>
      </c>
    </row>
    <row r="894" spans="1:15">
      <c r="A894" t="s">
        <v>639</v>
      </c>
      <c r="B894" t="str">
        <f>'4L'!$AX$17</f>
        <v>B0217INO_RWS</v>
      </c>
      <c r="D894" t="str">
        <f>_xlfn.CONCAT('4L'!$B$9, "-", '4L'!$B$17, "-", '4L'!$H$7, "-", '4L'!$G$6, "-", '4L'!$F$5)</f>
        <v>EA/NRW environmental programme (WINEP/NEP)-Invasive Non Native Species-Raw water storage-Water network+-Expenditure in report year</v>
      </c>
      <c r="E894" t="str">
        <f>'4L'!$C$17</f>
        <v>Opex</v>
      </c>
      <c r="F894" t="s">
        <v>682</v>
      </c>
      <c r="G894" t="str">
        <f>'4L'!$D$17</f>
        <v>£m</v>
      </c>
      <c r="O894" t="str">
        <f>_xlfn.CONCAT('4L'!$B$9, "-", '4L'!$B$17, "-", '4L'!$H$7, "-", '4L'!$G$6, "-", '4L'!$F$5)</f>
        <v>EA/NRW environmental programme (WINEP/NEP)-Invasive Non Native Species-Raw water storage-Water network+-Expenditure in report year</v>
      </c>
    </row>
    <row r="895" spans="1:15">
      <c r="A895" t="s">
        <v>639</v>
      </c>
      <c r="B895" t="str">
        <f>'4L'!$AY$17</f>
        <v>B0217INO_WT</v>
      </c>
      <c r="D895" t="str">
        <f>_xlfn.CONCAT('4L'!$B$9, "-", '4L'!$B$17, "-", '4L'!$I$7, "-", '4L'!$G$6, "-", '4L'!$F$5)</f>
        <v>EA/NRW environmental programme (WINEP/NEP)-Invasive Non Native Species-Water treatment-Water network+-Expenditure in report year</v>
      </c>
      <c r="E895" t="str">
        <f>'4L'!$C$17</f>
        <v>Opex</v>
      </c>
      <c r="F895" t="s">
        <v>682</v>
      </c>
      <c r="G895" t="str">
        <f>'4L'!$D$17</f>
        <v>£m</v>
      </c>
      <c r="O895" t="str">
        <f>_xlfn.CONCAT('4L'!$B$9, "-", '4L'!$B$17, "-", '4L'!$I$7, "-", '4L'!$G$6, "-", '4L'!$F$5)</f>
        <v>EA/NRW environmental programme (WINEP/NEP)-Invasive Non Native Species-Water treatment-Water network+-Expenditure in report year</v>
      </c>
    </row>
    <row r="896" spans="1:15">
      <c r="A896" t="s">
        <v>639</v>
      </c>
      <c r="B896" t="str">
        <f>'4L'!$AZ$17</f>
        <v>B0217INO_TWD</v>
      </c>
      <c r="D896" t="str">
        <f>_xlfn.CONCAT('4L'!$B$9, "-", '4L'!$B$17, "-", '4L'!$J$7, "-", '4L'!$G$6, "-", '4L'!$F$5)</f>
        <v>EA/NRW environmental programme (WINEP/NEP)-Invasive Non Native Species-Treated water distribution-Water network+-Expenditure in report year</v>
      </c>
      <c r="E896" t="str">
        <f>'4L'!$C$17</f>
        <v>Opex</v>
      </c>
      <c r="F896" t="s">
        <v>682</v>
      </c>
      <c r="G896" t="str">
        <f>'4L'!$D$17</f>
        <v>£m</v>
      </c>
      <c r="O896" t="str">
        <f>_xlfn.CONCAT('4L'!$B$9, "-", '4L'!$B$17, "-", '4L'!$J$7, "-", '4L'!$G$6, "-", '4L'!$F$5)</f>
        <v>EA/NRW environmental programme (WINEP/NEP)-Invasive Non Native Species-Treated water distribution-Water network+-Expenditure in report year</v>
      </c>
    </row>
    <row r="897" spans="1:15">
      <c r="A897" t="s">
        <v>639</v>
      </c>
      <c r="B897" t="str">
        <f>'4L'!$BA$17</f>
        <v>B0217INO_TOT</v>
      </c>
      <c r="D897" t="str">
        <f>_xlfn.CONCAT('4L'!$B$9, "-", '4L'!$B$17, "-", '4L'!$K$6, "-", '4L'!$K$6, "-", '4L'!$F$5)</f>
        <v>EA/NRW environmental programme (WINEP/NEP)-Invasive Non Native Species-Total-Total-Expenditure in report year</v>
      </c>
      <c r="E897" t="str">
        <f>'4L'!$C$17</f>
        <v>Opex</v>
      </c>
      <c r="F897" t="s">
        <v>682</v>
      </c>
      <c r="G897" t="str">
        <f>'4L'!$D$17</f>
        <v>£m</v>
      </c>
      <c r="O897" t="str">
        <f>_xlfn.CONCAT('4L'!$B$9, "-", '4L'!$B$17, "-", '4L'!$K$6, "-", '4L'!$K$6, "-", '4L'!$F$5)</f>
        <v>EA/NRW environmental programme (WINEP/NEP)-Invasive Non Native Species-Total-Total-Expenditure in report year</v>
      </c>
    </row>
    <row r="898" spans="1:15">
      <c r="A898" t="s">
        <v>639</v>
      </c>
      <c r="B898" t="str">
        <f>'4L'!$AV$18</f>
        <v>B0218INT_WR</v>
      </c>
      <c r="D898" t="str">
        <f>_xlfn.CONCAT('4L'!$B$9, "-", '4L'!$B$18, "-", '4L'!$F$6, "-", '4L'!$F$6, "-", '4L'!$F$5)</f>
        <v>EA/NRW environmental programme (WINEP/NEP)-Invasive Non Native Species-Water resources-Water resources-Expenditure in report year</v>
      </c>
      <c r="E898" t="str">
        <f>'4L'!$C$18</f>
        <v>Totex</v>
      </c>
      <c r="F898" t="s">
        <v>682</v>
      </c>
      <c r="G898" t="str">
        <f>'4L'!$D$18</f>
        <v>£m</v>
      </c>
      <c r="O898" t="str">
        <f>_xlfn.CONCAT('4L'!$B$9, "-", '4L'!$B$18, "-", '4L'!$F$6, "-", '4L'!$F$6, "-", '4L'!$F$5)</f>
        <v>EA/NRW environmental programme (WINEP/NEP)-Invasive Non Native Species-Water resources-Water resources-Expenditure in report year</v>
      </c>
    </row>
    <row r="899" spans="1:15">
      <c r="A899" t="s">
        <v>639</v>
      </c>
      <c r="B899" t="str">
        <f>'4L'!$AW$18</f>
        <v>B0218INT_RWT</v>
      </c>
      <c r="D899" t="str">
        <f>_xlfn.CONCAT('4L'!$B$9, "-", '4L'!$B$18, "-", '4L'!$G$7, "-", '4L'!$G$6, "-", '4L'!$F$5)</f>
        <v>EA/NRW environmental programme (WINEP/NEP)-Invasive Non Native Species-Raw water transport-Water network+-Expenditure in report year</v>
      </c>
      <c r="E899" t="str">
        <f>'4L'!$C$18</f>
        <v>Totex</v>
      </c>
      <c r="F899" t="s">
        <v>682</v>
      </c>
      <c r="G899" t="str">
        <f>'4L'!$D$18</f>
        <v>£m</v>
      </c>
      <c r="O899" t="str">
        <f>_xlfn.CONCAT('4L'!$B$9, "-", '4L'!$B$18, "-", '4L'!$G$7, "-", '4L'!$G$6, "-", '4L'!$F$5)</f>
        <v>EA/NRW environmental programme (WINEP/NEP)-Invasive Non Native Species-Raw water transport-Water network+-Expenditure in report year</v>
      </c>
    </row>
    <row r="900" spans="1:15">
      <c r="A900" t="s">
        <v>639</v>
      </c>
      <c r="B900" t="str">
        <f>'4L'!$AX$18</f>
        <v>B0218INT_RWS</v>
      </c>
      <c r="D900" t="str">
        <f>_xlfn.CONCAT('4L'!$B$9, "-", '4L'!$B$18, "-", '4L'!$H$7, "-", '4L'!$G$6, "-", '4L'!$F$5)</f>
        <v>EA/NRW environmental programme (WINEP/NEP)-Invasive Non Native Species-Raw water storage-Water network+-Expenditure in report year</v>
      </c>
      <c r="E900" t="str">
        <f>'4L'!$C$18</f>
        <v>Totex</v>
      </c>
      <c r="F900" t="s">
        <v>682</v>
      </c>
      <c r="G900" t="str">
        <f>'4L'!$D$18</f>
        <v>£m</v>
      </c>
      <c r="O900" t="str">
        <f>_xlfn.CONCAT('4L'!$B$9, "-", '4L'!$B$18, "-", '4L'!$H$7, "-", '4L'!$G$6, "-", '4L'!$F$5)</f>
        <v>EA/NRW environmental programme (WINEP/NEP)-Invasive Non Native Species-Raw water storage-Water network+-Expenditure in report year</v>
      </c>
    </row>
    <row r="901" spans="1:15">
      <c r="A901" t="s">
        <v>639</v>
      </c>
      <c r="B901" t="str">
        <f>'4L'!$AY$18</f>
        <v>B0218INT_WT</v>
      </c>
      <c r="D901" t="str">
        <f>_xlfn.CONCAT('4L'!$B$9, "-", '4L'!$B$18, "-", '4L'!$I$7, "-", '4L'!$G$6, "-", '4L'!$F$5)</f>
        <v>EA/NRW environmental programme (WINEP/NEP)-Invasive Non Native Species-Water treatment-Water network+-Expenditure in report year</v>
      </c>
      <c r="E901" t="str">
        <f>'4L'!$C$18</f>
        <v>Totex</v>
      </c>
      <c r="F901" t="s">
        <v>682</v>
      </c>
      <c r="G901" t="str">
        <f>'4L'!$D$18</f>
        <v>£m</v>
      </c>
      <c r="O901" t="str">
        <f>_xlfn.CONCAT('4L'!$B$9, "-", '4L'!$B$18, "-", '4L'!$I$7, "-", '4L'!$G$6, "-", '4L'!$F$5)</f>
        <v>EA/NRW environmental programme (WINEP/NEP)-Invasive Non Native Species-Water treatment-Water network+-Expenditure in report year</v>
      </c>
    </row>
    <row r="902" spans="1:15">
      <c r="A902" t="s">
        <v>639</v>
      </c>
      <c r="B902" t="str">
        <f>'4L'!$AZ$18</f>
        <v>B0218INT_TWD</v>
      </c>
      <c r="D902" t="str">
        <f>_xlfn.CONCAT('4L'!$B$9, "-", '4L'!$B$18, "-", '4L'!$J$7, "-", '4L'!$G$6, "-", '4L'!$F$5)</f>
        <v>EA/NRW environmental programme (WINEP/NEP)-Invasive Non Native Species-Treated water distribution-Water network+-Expenditure in report year</v>
      </c>
      <c r="E902" t="str">
        <f>'4L'!$C$18</f>
        <v>Totex</v>
      </c>
      <c r="F902" t="s">
        <v>682</v>
      </c>
      <c r="G902" t="str">
        <f>'4L'!$D$18</f>
        <v>£m</v>
      </c>
      <c r="O902" t="str">
        <f>_xlfn.CONCAT('4L'!$B$9, "-", '4L'!$B$18, "-", '4L'!$J$7, "-", '4L'!$G$6, "-", '4L'!$F$5)</f>
        <v>EA/NRW environmental programme (WINEP/NEP)-Invasive Non Native Species-Treated water distribution-Water network+-Expenditure in report year</v>
      </c>
    </row>
    <row r="903" spans="1:15">
      <c r="A903" t="s">
        <v>639</v>
      </c>
      <c r="B903" t="str">
        <f>'4L'!$BA$18</f>
        <v>B0218INT_TOT</v>
      </c>
      <c r="D903" t="str">
        <f>_xlfn.CONCAT('4L'!$B$9, "-", '4L'!$B$18, "-", '4L'!$K$6, "-", '4L'!$K$6, "-", '4L'!$F$5)</f>
        <v>EA/NRW environmental programme (WINEP/NEP)-Invasive Non Native Species-Total-Total-Expenditure in report year</v>
      </c>
      <c r="E903" t="str">
        <f>'4L'!$C$18</f>
        <v>Totex</v>
      </c>
      <c r="F903" t="s">
        <v>682</v>
      </c>
      <c r="G903" t="str">
        <f>'4L'!$D$18</f>
        <v>£m</v>
      </c>
      <c r="O903" t="str">
        <f>_xlfn.CONCAT('4L'!$B$9, "-", '4L'!$B$18, "-", '4L'!$K$6, "-", '4L'!$K$6, "-", '4L'!$F$5)</f>
        <v>EA/NRW environmental programme (WINEP/NEP)-Invasive Non Native Species-Total-Total-Expenditure in report year</v>
      </c>
    </row>
    <row r="904" spans="1:15">
      <c r="A904" t="s">
        <v>639</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682</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639</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682</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639</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682</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639</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682</v>
      </c>
      <c r="G907" t="str">
        <f>'4L'!$D$19</f>
        <v>£m</v>
      </c>
      <c r="O907" t="str">
        <f>_xlfn.CONCAT('4L'!$B$9, "-", '4L'!$B$19, "-", '4L'!$F$6, "-", '4L'!$F$6, "-", '4L'!$F$5)</f>
        <v>EA/NRW environmental programme (WINEP/NEP)-Drinking Water Protected Areas (schemes)-Water resources-Water resources-Expenditure in report year</v>
      </c>
    </row>
    <row r="908" spans="1:15">
      <c r="A908" t="s">
        <v>639</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682</v>
      </c>
      <c r="G908" t="str">
        <f>'4L'!$D$19</f>
        <v>£m</v>
      </c>
      <c r="O908" t="str">
        <f>_xlfn.CONCAT('4L'!$B$9, "-", '4L'!$B$19, "-", '4L'!$G$7, "-", '4L'!$G$6, "-", '4L'!$F$5)</f>
        <v>EA/NRW environmental programme (WINEP/NEP)-Drinking Water Protected Areas (schemes)-Raw water transport-Water network+-Expenditure in report year</v>
      </c>
    </row>
    <row r="909" spans="1:15">
      <c r="A909" t="s">
        <v>639</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682</v>
      </c>
      <c r="G909" t="str">
        <f>'4L'!$D$19</f>
        <v>£m</v>
      </c>
      <c r="O909" t="str">
        <f>_xlfn.CONCAT('4L'!$B$9, "-", '4L'!$B$19, "-", '4L'!$H$7, "-", '4L'!$G$6, "-", '4L'!$F$5)</f>
        <v>EA/NRW environmental programme (WINEP/NEP)-Drinking Water Protected Areas (schemes)-Raw water storage-Water network+-Expenditure in report year</v>
      </c>
    </row>
    <row r="910" spans="1:15">
      <c r="A910" t="s">
        <v>639</v>
      </c>
      <c r="B910" t="str">
        <f>'4L'!$AY$19</f>
        <v>B0219DWC_WT</v>
      </c>
      <c r="D910" t="str">
        <f>_xlfn.CONCAT('4L'!$B$9, "-", '4L'!$B$19, "-", '4L'!$I$7, "-", '4L'!$G$6, "-", '4L'!$F$5)</f>
        <v>EA/NRW environmental programme (WINEP/NEP)-Drinking Water Protected Areas (schemes)-Water treatment-Water network+-Expenditure in report year</v>
      </c>
      <c r="E910" t="str">
        <f>'4L'!$C$19</f>
        <v>Capex</v>
      </c>
      <c r="F910" t="s">
        <v>682</v>
      </c>
      <c r="G910" t="str">
        <f>'4L'!$D$19</f>
        <v>£m</v>
      </c>
      <c r="O910" t="str">
        <f>_xlfn.CONCAT('4L'!$B$9, "-", '4L'!$B$19, "-", '4L'!$I$7, "-", '4L'!$G$6, "-", '4L'!$F$5)</f>
        <v>EA/NRW environmental programme (WINEP/NEP)-Drinking Water Protected Areas (schemes)-Water treatment-Water network+-Expenditure in report year</v>
      </c>
    </row>
    <row r="911" spans="1:15">
      <c r="A911" t="s">
        <v>639</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682</v>
      </c>
      <c r="G911" t="str">
        <f>'4L'!$D$19</f>
        <v>£m</v>
      </c>
      <c r="O911" t="str">
        <f>_xlfn.CONCAT('4L'!$B$9, "-", '4L'!$B$19, "-", '4L'!$J$7, "-", '4L'!$G$6, "-", '4L'!$F$5)</f>
        <v>EA/NRW environmental programme (WINEP/NEP)-Drinking Water Protected Areas (schemes)-Treated water distribution-Water network+-Expenditure in report year</v>
      </c>
    </row>
    <row r="912" spans="1:15">
      <c r="A912" t="s">
        <v>639</v>
      </c>
      <c r="B912" t="str">
        <f>'4L'!$BA$19</f>
        <v>B0219DWC_TOT</v>
      </c>
      <c r="D912" t="str">
        <f>_xlfn.CONCAT('4L'!$B$9, "-", '4L'!$B$19, "-", '4L'!$K$6, "-", '4L'!$K$6, "-", '4L'!$F$5)</f>
        <v>EA/NRW environmental programme (WINEP/NEP)-Drinking Water Protected Areas (schemes)-Total-Total-Expenditure in report year</v>
      </c>
      <c r="E912" t="str">
        <f>'4L'!$C$19</f>
        <v>Capex</v>
      </c>
      <c r="F912" t="s">
        <v>682</v>
      </c>
      <c r="G912" t="str">
        <f>'4L'!$D$19</f>
        <v>£m</v>
      </c>
      <c r="O912" t="str">
        <f>_xlfn.CONCAT('4L'!$B$9, "-", '4L'!$B$19, "-", '4L'!$K$6, "-", '4L'!$K$6, "-", '4L'!$F$5)</f>
        <v>EA/NRW environmental programme (WINEP/NEP)-Drinking Water Protected Areas (schemes)-Total-Total-Expenditure in report year</v>
      </c>
    </row>
    <row r="913" spans="1:15">
      <c r="A913" t="s">
        <v>639</v>
      </c>
      <c r="B913" t="str">
        <f>'4L'!$AV$20</f>
        <v>B0220DWO_WR</v>
      </c>
      <c r="D913" t="str">
        <f>_xlfn.CONCAT('4L'!$B$9, "-", '4L'!$B$20, "-", '4L'!$F$6, "-", '4L'!$F$6, "-", '4L'!$F$5)</f>
        <v>EA/NRW environmental programme (WINEP/NEP)-Drinking Water Protected Areas (schemes)-Water resources-Water resources-Expenditure in report year</v>
      </c>
      <c r="E913" t="str">
        <f>'4L'!$C$20</f>
        <v>Opex</v>
      </c>
      <c r="F913" t="s">
        <v>682</v>
      </c>
      <c r="G913" t="str">
        <f>'4L'!$D$20</f>
        <v>£m</v>
      </c>
      <c r="O913" t="str">
        <f>_xlfn.CONCAT('4L'!$B$9, "-", '4L'!$B$20, "-", '4L'!$F$6, "-", '4L'!$F$6, "-", '4L'!$F$5)</f>
        <v>EA/NRW environmental programme (WINEP/NEP)-Drinking Water Protected Areas (schemes)-Water resources-Water resources-Expenditure in report year</v>
      </c>
    </row>
    <row r="914" spans="1:15">
      <c r="A914" t="s">
        <v>639</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682</v>
      </c>
      <c r="G914" t="str">
        <f>'4L'!$D$20</f>
        <v>£m</v>
      </c>
      <c r="O914" t="str">
        <f>_xlfn.CONCAT('4L'!$B$9, "-", '4L'!$B$20, "-", '4L'!$G$7, "-", '4L'!$G$6, "-", '4L'!$F$5)</f>
        <v>EA/NRW environmental programme (WINEP/NEP)-Drinking Water Protected Areas (schemes)-Raw water transport-Water network+-Expenditure in report year</v>
      </c>
    </row>
    <row r="915" spans="1:15">
      <c r="A915" t="s">
        <v>639</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682</v>
      </c>
      <c r="G915" t="str">
        <f>'4L'!$D$20</f>
        <v>£m</v>
      </c>
      <c r="O915" t="str">
        <f>_xlfn.CONCAT('4L'!$B$9, "-", '4L'!$B$20, "-", '4L'!$H$7, "-", '4L'!$G$6, "-", '4L'!$F$5)</f>
        <v>EA/NRW environmental programme (WINEP/NEP)-Drinking Water Protected Areas (schemes)-Raw water storage-Water network+-Expenditure in report year</v>
      </c>
    </row>
    <row r="916" spans="1:15">
      <c r="A916" t="s">
        <v>639</v>
      </c>
      <c r="B916" t="str">
        <f>'4L'!$AY$20</f>
        <v>B0220DWO_WT</v>
      </c>
      <c r="D916" t="str">
        <f>_xlfn.CONCAT('4L'!$B$9, "-", '4L'!$B$20, "-", '4L'!$I$7, "-", '4L'!$G$6, "-", '4L'!$F$5)</f>
        <v>EA/NRW environmental programme (WINEP/NEP)-Drinking Water Protected Areas (schemes)-Water treatment-Water network+-Expenditure in report year</v>
      </c>
      <c r="E916" t="str">
        <f>'4L'!$C$20</f>
        <v>Opex</v>
      </c>
      <c r="F916" t="s">
        <v>682</v>
      </c>
      <c r="G916" t="str">
        <f>'4L'!$D$20</f>
        <v>£m</v>
      </c>
      <c r="O916" t="str">
        <f>_xlfn.CONCAT('4L'!$B$9, "-", '4L'!$B$20, "-", '4L'!$I$7, "-", '4L'!$G$6, "-", '4L'!$F$5)</f>
        <v>EA/NRW environmental programme (WINEP/NEP)-Drinking Water Protected Areas (schemes)-Water treatment-Water network+-Expenditure in report year</v>
      </c>
    </row>
    <row r="917" spans="1:15">
      <c r="A917" t="s">
        <v>639</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682</v>
      </c>
      <c r="G917" t="str">
        <f>'4L'!$D$20</f>
        <v>£m</v>
      </c>
      <c r="O917" t="str">
        <f>_xlfn.CONCAT('4L'!$B$9, "-", '4L'!$B$20, "-", '4L'!$J$7, "-", '4L'!$G$6, "-", '4L'!$F$5)</f>
        <v>EA/NRW environmental programme (WINEP/NEP)-Drinking Water Protected Areas (schemes)-Treated water distribution-Water network+-Expenditure in report year</v>
      </c>
    </row>
    <row r="918" spans="1:15">
      <c r="A918" t="s">
        <v>639</v>
      </c>
      <c r="B918" t="str">
        <f>'4L'!$BA$20</f>
        <v>B0220DWO_TOT</v>
      </c>
      <c r="D918" t="str">
        <f>_xlfn.CONCAT('4L'!$B$9, "-", '4L'!$B$20, "-", '4L'!$K$6, "-", '4L'!$K$6, "-", '4L'!$F$5)</f>
        <v>EA/NRW environmental programme (WINEP/NEP)-Drinking Water Protected Areas (schemes)-Total-Total-Expenditure in report year</v>
      </c>
      <c r="E918" t="str">
        <f>'4L'!$C$20</f>
        <v>Opex</v>
      </c>
      <c r="F918" t="s">
        <v>682</v>
      </c>
      <c r="G918" t="str">
        <f>'4L'!$D$20</f>
        <v>£m</v>
      </c>
      <c r="O918" t="str">
        <f>_xlfn.CONCAT('4L'!$B$9, "-", '4L'!$B$20, "-", '4L'!$K$6, "-", '4L'!$K$6, "-", '4L'!$F$5)</f>
        <v>EA/NRW environmental programme (WINEP/NEP)-Drinking Water Protected Areas (schemes)-Total-Total-Expenditure in report year</v>
      </c>
    </row>
    <row r="919" spans="1:15">
      <c r="A919" t="s">
        <v>639</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682</v>
      </c>
      <c r="G919" t="str">
        <f>'4L'!$D$21</f>
        <v>£m</v>
      </c>
      <c r="O919" t="str">
        <f>_xlfn.CONCAT('4L'!$B$9, "-", '4L'!$B$21, "-", '4L'!$F$6, "-", '4L'!$F$6, "-", '4L'!$F$5)</f>
        <v>EA/NRW environmental programme (WINEP/NEP)-Drinking Water Protected Areas (schemes)-Water resources-Water resources-Expenditure in report year</v>
      </c>
    </row>
    <row r="920" spans="1:15">
      <c r="A920" t="s">
        <v>639</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682</v>
      </c>
      <c r="G920" t="str">
        <f>'4L'!$D$21</f>
        <v>£m</v>
      </c>
      <c r="O920" t="str">
        <f>_xlfn.CONCAT('4L'!$B$9, "-", '4L'!$B$21, "-", '4L'!$G$7, "-", '4L'!$G$6, "-", '4L'!$F$5)</f>
        <v>EA/NRW environmental programme (WINEP/NEP)-Drinking Water Protected Areas (schemes)-Raw water transport-Water network+-Expenditure in report year</v>
      </c>
    </row>
    <row r="921" spans="1:15">
      <c r="A921" t="s">
        <v>639</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682</v>
      </c>
      <c r="G921" t="str">
        <f>'4L'!$D$21</f>
        <v>£m</v>
      </c>
      <c r="O921" t="str">
        <f>_xlfn.CONCAT('4L'!$B$9, "-", '4L'!$B$21, "-", '4L'!$H$7, "-", '4L'!$G$6, "-", '4L'!$F$5)</f>
        <v>EA/NRW environmental programme (WINEP/NEP)-Drinking Water Protected Areas (schemes)-Raw water storage-Water network+-Expenditure in report year</v>
      </c>
    </row>
    <row r="922" spans="1:15">
      <c r="A922" t="s">
        <v>639</v>
      </c>
      <c r="B922" t="str">
        <f>'4L'!$AY$21</f>
        <v>B0221DWT_WT</v>
      </c>
      <c r="D922" t="str">
        <f>_xlfn.CONCAT('4L'!$B$9, "-", '4L'!$B$21, "-", '4L'!$I$7, "-", '4L'!$G$6, "-", '4L'!$F$5)</f>
        <v>EA/NRW environmental programme (WINEP/NEP)-Drinking Water Protected Areas (schemes)-Water treatment-Water network+-Expenditure in report year</v>
      </c>
      <c r="E922" t="str">
        <f>'4L'!$C$21</f>
        <v>Totex</v>
      </c>
      <c r="F922" t="s">
        <v>682</v>
      </c>
      <c r="G922" t="str">
        <f>'4L'!$D$21</f>
        <v>£m</v>
      </c>
      <c r="O922" t="str">
        <f>_xlfn.CONCAT('4L'!$B$9, "-", '4L'!$B$21, "-", '4L'!$I$7, "-", '4L'!$G$6, "-", '4L'!$F$5)</f>
        <v>EA/NRW environmental programme (WINEP/NEP)-Drinking Water Protected Areas (schemes)-Water treatment-Water network+-Expenditure in report year</v>
      </c>
    </row>
    <row r="923" spans="1:15">
      <c r="A923" t="s">
        <v>639</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682</v>
      </c>
      <c r="G923" t="str">
        <f>'4L'!$D$21</f>
        <v>£m</v>
      </c>
      <c r="O923" t="str">
        <f>_xlfn.CONCAT('4L'!$B$9, "-", '4L'!$B$21, "-", '4L'!$J$7, "-", '4L'!$G$6, "-", '4L'!$F$5)</f>
        <v>EA/NRW environmental programme (WINEP/NEP)-Drinking Water Protected Areas (schemes)-Treated water distribution-Water network+-Expenditure in report year</v>
      </c>
    </row>
    <row r="924" spans="1:15">
      <c r="A924" t="s">
        <v>639</v>
      </c>
      <c r="B924" t="str">
        <f>'4L'!$BA$21</f>
        <v>B0221DWT_TOT</v>
      </c>
      <c r="D924" t="str">
        <f>_xlfn.CONCAT('4L'!$B$9, "-", '4L'!$B$21, "-", '4L'!$K$6, "-", '4L'!$K$6, "-", '4L'!$F$5)</f>
        <v>EA/NRW environmental programme (WINEP/NEP)-Drinking Water Protected Areas (schemes)-Total-Total-Expenditure in report year</v>
      </c>
      <c r="E924" t="str">
        <f>'4L'!$C$21</f>
        <v>Totex</v>
      </c>
      <c r="F924" t="s">
        <v>682</v>
      </c>
      <c r="G924" t="str">
        <f>'4L'!$D$21</f>
        <v>£m</v>
      </c>
      <c r="O924" t="str">
        <f>_xlfn.CONCAT('4L'!$B$9, "-", '4L'!$B$21, "-", '4L'!$K$6, "-", '4L'!$K$6, "-", '4L'!$F$5)</f>
        <v>EA/NRW environmental programme (WINEP/NEP)-Drinking Water Protected Areas (schemes)-Total-Total-Expenditure in report year</v>
      </c>
    </row>
    <row r="925" spans="1:15">
      <c r="A925" t="s">
        <v>639</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682</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639</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682</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639</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682</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639</v>
      </c>
      <c r="B928" t="str">
        <f>'4L'!$AV$22</f>
        <v>B0222WFC_WR</v>
      </c>
      <c r="D928" t="str">
        <f>_xlfn.CONCAT('4L'!$B$9, "-", '4L'!$B$22, "-", '4L'!$F$6, "-", '4L'!$F$6, "-", '4L'!$F$5)</f>
        <v>EA/NRW environmental programme (WINEP/NEP)-Water Framework Directive measures-Water resources-Water resources-Expenditure in report year</v>
      </c>
      <c r="E928" t="str">
        <f>'4L'!$C$22</f>
        <v>Capex</v>
      </c>
      <c r="F928" t="s">
        <v>682</v>
      </c>
      <c r="G928" t="str">
        <f>'4L'!$D$22</f>
        <v>£m</v>
      </c>
      <c r="O928" t="str">
        <f>_xlfn.CONCAT('4L'!$B$9, "-", '4L'!$B$22, "-", '4L'!$F$6, "-", '4L'!$F$6, "-", '4L'!$F$5)</f>
        <v>EA/NRW environmental programme (WINEP/NEP)-Water Framework Directive measures-Water resources-Water resources-Expenditure in report year</v>
      </c>
    </row>
    <row r="929" spans="1:15">
      <c r="A929" t="s">
        <v>639</v>
      </c>
      <c r="B929" t="str">
        <f>'4L'!$AW$22</f>
        <v>B0222WFC_RWT</v>
      </c>
      <c r="D929" t="str">
        <f>_xlfn.CONCAT('4L'!$B$9, "-", '4L'!$B$22, "-", '4L'!$G$7, "-", '4L'!$G$6, "-", '4L'!$F$5)</f>
        <v>EA/NRW environmental programme (WINEP/NEP)-Water Framework Directive measures-Raw water transport-Water network+-Expenditure in report year</v>
      </c>
      <c r="E929" t="str">
        <f>'4L'!$C$22</f>
        <v>Capex</v>
      </c>
      <c r="F929" t="s">
        <v>682</v>
      </c>
      <c r="G929" t="str">
        <f>'4L'!$D$22</f>
        <v>£m</v>
      </c>
      <c r="O929" t="str">
        <f>_xlfn.CONCAT('4L'!$B$9, "-", '4L'!$B$22, "-", '4L'!$G$7, "-", '4L'!$G$6, "-", '4L'!$F$5)</f>
        <v>EA/NRW environmental programme (WINEP/NEP)-Water Framework Directive measures-Raw water transport-Water network+-Expenditure in report year</v>
      </c>
    </row>
    <row r="930" spans="1:15">
      <c r="A930" t="s">
        <v>639</v>
      </c>
      <c r="B930" t="str">
        <f>'4L'!$AX$22</f>
        <v>B0222WFC_RWS</v>
      </c>
      <c r="D930" t="str">
        <f>_xlfn.CONCAT('4L'!$B$9, "-", '4L'!$B$22, "-", '4L'!$H$7, "-", '4L'!$G$6, "-", '4L'!$F$5)</f>
        <v>EA/NRW environmental programme (WINEP/NEP)-Water Framework Directive measures-Raw water storage-Water network+-Expenditure in report year</v>
      </c>
      <c r="E930" t="str">
        <f>'4L'!$C$22</f>
        <v>Capex</v>
      </c>
      <c r="F930" t="s">
        <v>682</v>
      </c>
      <c r="G930" t="str">
        <f>'4L'!$D$22</f>
        <v>£m</v>
      </c>
      <c r="O930" t="str">
        <f>_xlfn.CONCAT('4L'!$B$9, "-", '4L'!$B$22, "-", '4L'!$H$7, "-", '4L'!$G$6, "-", '4L'!$F$5)</f>
        <v>EA/NRW environmental programme (WINEP/NEP)-Water Framework Directive measures-Raw water storage-Water network+-Expenditure in report year</v>
      </c>
    </row>
    <row r="931" spans="1:15">
      <c r="A931" t="s">
        <v>639</v>
      </c>
      <c r="B931" t="str">
        <f>'4L'!$AY$22</f>
        <v>B0222WFC_WT</v>
      </c>
      <c r="D931" t="str">
        <f>_xlfn.CONCAT('4L'!$B$9, "-", '4L'!$B$22, "-", '4L'!$I$7, "-", '4L'!$G$6, "-", '4L'!$F$5)</f>
        <v>EA/NRW environmental programme (WINEP/NEP)-Water Framework Directive measures-Water treatment-Water network+-Expenditure in report year</v>
      </c>
      <c r="E931" t="str">
        <f>'4L'!$C$22</f>
        <v>Capex</v>
      </c>
      <c r="F931" t="s">
        <v>682</v>
      </c>
      <c r="G931" t="str">
        <f>'4L'!$D$22</f>
        <v>£m</v>
      </c>
      <c r="O931" t="str">
        <f>_xlfn.CONCAT('4L'!$B$9, "-", '4L'!$B$22, "-", '4L'!$I$7, "-", '4L'!$G$6, "-", '4L'!$F$5)</f>
        <v>EA/NRW environmental programme (WINEP/NEP)-Water Framework Directive measures-Water treatment-Water network+-Expenditure in report year</v>
      </c>
    </row>
    <row r="932" spans="1:15">
      <c r="A932" t="s">
        <v>639</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682</v>
      </c>
      <c r="G932" t="str">
        <f>'4L'!$D$22</f>
        <v>£m</v>
      </c>
      <c r="O932" t="str">
        <f>_xlfn.CONCAT('4L'!$B$9, "-", '4L'!$B$22, "-", '4L'!$J$7, "-", '4L'!$G$6, "-", '4L'!$F$5)</f>
        <v>EA/NRW environmental programme (WINEP/NEP)-Water Framework Directive measures-Treated water distribution-Water network+-Expenditure in report year</v>
      </c>
    </row>
    <row r="933" spans="1:15">
      <c r="A933" t="s">
        <v>639</v>
      </c>
      <c r="B933" t="str">
        <f>'4L'!$BA$22</f>
        <v>B0222WFC_TOT</v>
      </c>
      <c r="D933" t="str">
        <f>_xlfn.CONCAT('4L'!$B$9, "-", '4L'!$B$22, "-", '4L'!$K$6, "-", '4L'!$K$6, "-", '4L'!$F$5)</f>
        <v>EA/NRW environmental programme (WINEP/NEP)-Water Framework Directive measures-Total-Total-Expenditure in report year</v>
      </c>
      <c r="E933" t="str">
        <f>'4L'!$C$22</f>
        <v>Capex</v>
      </c>
      <c r="F933" t="s">
        <v>682</v>
      </c>
      <c r="G933" t="str">
        <f>'4L'!$D$22</f>
        <v>£m</v>
      </c>
      <c r="O933" t="str">
        <f>_xlfn.CONCAT('4L'!$B$9, "-", '4L'!$B$22, "-", '4L'!$K$6, "-", '4L'!$K$6, "-", '4L'!$F$5)</f>
        <v>EA/NRW environmental programme (WINEP/NEP)-Water Framework Directive measures-Total-Total-Expenditure in report year</v>
      </c>
    </row>
    <row r="934" spans="1:15">
      <c r="A934" t="s">
        <v>639</v>
      </c>
      <c r="B934" t="str">
        <f>'4L'!$AV$23</f>
        <v>B0223WFO_WR</v>
      </c>
      <c r="D934" t="str">
        <f>_xlfn.CONCAT('4L'!$B$9, "-", '4L'!$B$23, "-", '4L'!$F$6, "-", '4L'!$F$6, "-", '4L'!$F$5)</f>
        <v>EA/NRW environmental programme (WINEP/NEP)-Water Framework Directive measures-Water resources-Water resources-Expenditure in report year</v>
      </c>
      <c r="E934" t="str">
        <f>'4L'!$C$23</f>
        <v>Opex</v>
      </c>
      <c r="F934" t="s">
        <v>682</v>
      </c>
      <c r="G934" t="str">
        <f>'4L'!$D$23</f>
        <v>£m</v>
      </c>
      <c r="O934" t="str">
        <f>_xlfn.CONCAT('4L'!$B$9, "-", '4L'!$B$23, "-", '4L'!$F$6, "-", '4L'!$F$6, "-", '4L'!$F$5)</f>
        <v>EA/NRW environmental programme (WINEP/NEP)-Water Framework Directive measures-Water resources-Water resources-Expenditure in report year</v>
      </c>
    </row>
    <row r="935" spans="1:15">
      <c r="A935" t="s">
        <v>639</v>
      </c>
      <c r="B935" t="str">
        <f>'4L'!$AW$23</f>
        <v>B0223WFO_RWT</v>
      </c>
      <c r="D935" t="str">
        <f>_xlfn.CONCAT('4L'!$B$9, "-", '4L'!$B$23, "-", '4L'!$G$7, "-", '4L'!$G$6, "-", '4L'!$F$5)</f>
        <v>EA/NRW environmental programme (WINEP/NEP)-Water Framework Directive measures-Raw water transport-Water network+-Expenditure in report year</v>
      </c>
      <c r="E935" t="str">
        <f>'4L'!$C$23</f>
        <v>Opex</v>
      </c>
      <c r="F935" t="s">
        <v>682</v>
      </c>
      <c r="G935" t="str">
        <f>'4L'!$D$23</f>
        <v>£m</v>
      </c>
      <c r="O935" t="str">
        <f>_xlfn.CONCAT('4L'!$B$9, "-", '4L'!$B$23, "-", '4L'!$G$7, "-", '4L'!$G$6, "-", '4L'!$F$5)</f>
        <v>EA/NRW environmental programme (WINEP/NEP)-Water Framework Directive measures-Raw water transport-Water network+-Expenditure in report year</v>
      </c>
    </row>
    <row r="936" spans="1:15">
      <c r="A936" t="s">
        <v>639</v>
      </c>
      <c r="B936" t="str">
        <f>'4L'!$AX$23</f>
        <v>B0223WFO_RWS</v>
      </c>
      <c r="D936" t="str">
        <f>_xlfn.CONCAT('4L'!$B$9, "-", '4L'!$B$23, "-", '4L'!$H$7, "-", '4L'!$G$6, "-", '4L'!$F$5)</f>
        <v>EA/NRW environmental programme (WINEP/NEP)-Water Framework Directive measures-Raw water storage-Water network+-Expenditure in report year</v>
      </c>
      <c r="E936" t="str">
        <f>'4L'!$C$23</f>
        <v>Opex</v>
      </c>
      <c r="F936" t="s">
        <v>682</v>
      </c>
      <c r="G936" t="str">
        <f>'4L'!$D$23</f>
        <v>£m</v>
      </c>
      <c r="O936" t="str">
        <f>_xlfn.CONCAT('4L'!$B$9, "-", '4L'!$B$23, "-", '4L'!$H$7, "-", '4L'!$G$6, "-", '4L'!$F$5)</f>
        <v>EA/NRW environmental programme (WINEP/NEP)-Water Framework Directive measures-Raw water storage-Water network+-Expenditure in report year</v>
      </c>
    </row>
    <row r="937" spans="1:15">
      <c r="A937" t="s">
        <v>639</v>
      </c>
      <c r="B937" t="str">
        <f>'4L'!$AY$23</f>
        <v>B0223WFO_WT</v>
      </c>
      <c r="D937" t="str">
        <f>_xlfn.CONCAT('4L'!$B$9, "-", '4L'!$B$23, "-", '4L'!$I$7, "-", '4L'!$G$6, "-", '4L'!$F$5)</f>
        <v>EA/NRW environmental programme (WINEP/NEP)-Water Framework Directive measures-Water treatment-Water network+-Expenditure in report year</v>
      </c>
      <c r="E937" t="str">
        <f>'4L'!$C$23</f>
        <v>Opex</v>
      </c>
      <c r="F937" t="s">
        <v>682</v>
      </c>
      <c r="G937" t="str">
        <f>'4L'!$D$23</f>
        <v>£m</v>
      </c>
      <c r="O937" t="str">
        <f>_xlfn.CONCAT('4L'!$B$9, "-", '4L'!$B$23, "-", '4L'!$I$7, "-", '4L'!$G$6, "-", '4L'!$F$5)</f>
        <v>EA/NRW environmental programme (WINEP/NEP)-Water Framework Directive measures-Water treatment-Water network+-Expenditure in report year</v>
      </c>
    </row>
    <row r="938" spans="1:15">
      <c r="A938" t="s">
        <v>639</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682</v>
      </c>
      <c r="G938" t="str">
        <f>'4L'!$D$23</f>
        <v>£m</v>
      </c>
      <c r="O938" t="str">
        <f>_xlfn.CONCAT('4L'!$B$9, "-", '4L'!$B$23, "-", '4L'!$J$7, "-", '4L'!$G$6, "-", '4L'!$F$5)</f>
        <v>EA/NRW environmental programme (WINEP/NEP)-Water Framework Directive measures-Treated water distribution-Water network+-Expenditure in report year</v>
      </c>
    </row>
    <row r="939" spans="1:15">
      <c r="A939" t="s">
        <v>639</v>
      </c>
      <c r="B939" t="str">
        <f>'4L'!$BA$23</f>
        <v>B0223WFO_TOT</v>
      </c>
      <c r="D939" t="str">
        <f>_xlfn.CONCAT('4L'!$B$9, "-", '4L'!$B$23, "-", '4L'!$K$6, "-", '4L'!$K$6, "-", '4L'!$F$5)</f>
        <v>EA/NRW environmental programme (WINEP/NEP)-Water Framework Directive measures-Total-Total-Expenditure in report year</v>
      </c>
      <c r="E939" t="str">
        <f>'4L'!$C$23</f>
        <v>Opex</v>
      </c>
      <c r="F939" t="s">
        <v>682</v>
      </c>
      <c r="G939" t="str">
        <f>'4L'!$D$23</f>
        <v>£m</v>
      </c>
      <c r="O939" t="str">
        <f>_xlfn.CONCAT('4L'!$B$9, "-", '4L'!$B$23, "-", '4L'!$K$6, "-", '4L'!$K$6, "-", '4L'!$F$5)</f>
        <v>EA/NRW environmental programme (WINEP/NEP)-Water Framework Directive measures-Total-Total-Expenditure in report year</v>
      </c>
    </row>
    <row r="940" spans="1:15">
      <c r="A940" t="s">
        <v>639</v>
      </c>
      <c r="B940" t="str">
        <f>'4L'!$AV$24</f>
        <v>B0224WFT_WR</v>
      </c>
      <c r="D940" t="str">
        <f>_xlfn.CONCAT('4L'!$B$9, "-", '4L'!$B$24, "-", '4L'!$F$6, "-", '4L'!$F$6, "-", '4L'!$F$5)</f>
        <v>EA/NRW environmental programme (WINEP/NEP)-Water Framework Directive measures-Water resources-Water resources-Expenditure in report year</v>
      </c>
      <c r="E940" t="str">
        <f>'4L'!$C$24</f>
        <v>Totex</v>
      </c>
      <c r="F940" t="s">
        <v>682</v>
      </c>
      <c r="G940" t="str">
        <f>'4L'!$D$24</f>
        <v>£m</v>
      </c>
      <c r="O940" t="str">
        <f>_xlfn.CONCAT('4L'!$B$9, "-", '4L'!$B$24, "-", '4L'!$F$6, "-", '4L'!$F$6, "-", '4L'!$F$5)</f>
        <v>EA/NRW environmental programme (WINEP/NEP)-Water Framework Directive measures-Water resources-Water resources-Expenditure in report year</v>
      </c>
    </row>
    <row r="941" spans="1:15">
      <c r="A941" t="s">
        <v>639</v>
      </c>
      <c r="B941" t="str">
        <f>'4L'!$AW$24</f>
        <v>B0224WFT_RWT</v>
      </c>
      <c r="D941" t="str">
        <f>_xlfn.CONCAT('4L'!$B$9, "-", '4L'!$B$24, "-", '4L'!$G$7, "-", '4L'!$G$6, "-", '4L'!$F$5)</f>
        <v>EA/NRW environmental programme (WINEP/NEP)-Water Framework Directive measures-Raw water transport-Water network+-Expenditure in report year</v>
      </c>
      <c r="E941" t="str">
        <f>'4L'!$C$24</f>
        <v>Totex</v>
      </c>
      <c r="F941" t="s">
        <v>682</v>
      </c>
      <c r="G941" t="str">
        <f>'4L'!$D$24</f>
        <v>£m</v>
      </c>
      <c r="O941" t="str">
        <f>_xlfn.CONCAT('4L'!$B$9, "-", '4L'!$B$24, "-", '4L'!$G$7, "-", '4L'!$G$6, "-", '4L'!$F$5)</f>
        <v>EA/NRW environmental programme (WINEP/NEP)-Water Framework Directive measures-Raw water transport-Water network+-Expenditure in report year</v>
      </c>
    </row>
    <row r="942" spans="1:15">
      <c r="A942" t="s">
        <v>639</v>
      </c>
      <c r="B942" t="str">
        <f>'4L'!$AX$24</f>
        <v>B0224WFT_RWS</v>
      </c>
      <c r="D942" t="str">
        <f>_xlfn.CONCAT('4L'!$B$9, "-", '4L'!$B$24, "-", '4L'!$H$7, "-", '4L'!$G$6, "-", '4L'!$F$5)</f>
        <v>EA/NRW environmental programme (WINEP/NEP)-Water Framework Directive measures-Raw water storage-Water network+-Expenditure in report year</v>
      </c>
      <c r="E942" t="str">
        <f>'4L'!$C$24</f>
        <v>Totex</v>
      </c>
      <c r="F942" t="s">
        <v>682</v>
      </c>
      <c r="G942" t="str">
        <f>'4L'!$D$24</f>
        <v>£m</v>
      </c>
      <c r="O942" t="str">
        <f>_xlfn.CONCAT('4L'!$B$9, "-", '4L'!$B$24, "-", '4L'!$H$7, "-", '4L'!$G$6, "-", '4L'!$F$5)</f>
        <v>EA/NRW environmental programme (WINEP/NEP)-Water Framework Directive measures-Raw water storage-Water network+-Expenditure in report year</v>
      </c>
    </row>
    <row r="943" spans="1:15">
      <c r="A943" t="s">
        <v>639</v>
      </c>
      <c r="B943" t="str">
        <f>'4L'!$AY$24</f>
        <v>B0224WFT_WT</v>
      </c>
      <c r="D943" t="str">
        <f>_xlfn.CONCAT('4L'!$B$9, "-", '4L'!$B$24, "-", '4L'!$I$7, "-", '4L'!$G$6, "-", '4L'!$F$5)</f>
        <v>EA/NRW environmental programme (WINEP/NEP)-Water Framework Directive measures-Water treatment-Water network+-Expenditure in report year</v>
      </c>
      <c r="E943" t="str">
        <f>'4L'!$C$24</f>
        <v>Totex</v>
      </c>
      <c r="F943" t="s">
        <v>682</v>
      </c>
      <c r="G943" t="str">
        <f>'4L'!$D$24</f>
        <v>£m</v>
      </c>
      <c r="O943" t="str">
        <f>_xlfn.CONCAT('4L'!$B$9, "-", '4L'!$B$24, "-", '4L'!$I$7, "-", '4L'!$G$6, "-", '4L'!$F$5)</f>
        <v>EA/NRW environmental programme (WINEP/NEP)-Water Framework Directive measures-Water treatment-Water network+-Expenditure in report year</v>
      </c>
    </row>
    <row r="944" spans="1:15">
      <c r="A944" t="s">
        <v>639</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682</v>
      </c>
      <c r="G944" t="str">
        <f>'4L'!$D$24</f>
        <v>£m</v>
      </c>
      <c r="O944" t="str">
        <f>_xlfn.CONCAT('4L'!$B$9, "-", '4L'!$B$24, "-", '4L'!$J$7, "-", '4L'!$G$6, "-", '4L'!$F$5)</f>
        <v>EA/NRW environmental programme (WINEP/NEP)-Water Framework Directive measures-Treated water distribution-Water network+-Expenditure in report year</v>
      </c>
    </row>
    <row r="945" spans="1:15">
      <c r="A945" t="s">
        <v>639</v>
      </c>
      <c r="B945" t="str">
        <f>'4L'!$BA$24</f>
        <v>B0224WFT_TOT</v>
      </c>
      <c r="D945" t="str">
        <f>_xlfn.CONCAT('4L'!$B$9, "-", '4L'!$B$24, "-", '4L'!$K$6, "-", '4L'!$K$6, "-", '4L'!$F$5)</f>
        <v>EA/NRW environmental programme (WINEP/NEP)-Water Framework Directive measures-Total-Total-Expenditure in report year</v>
      </c>
      <c r="E945" t="str">
        <f>'4L'!$C$24</f>
        <v>Totex</v>
      </c>
      <c r="F945" t="s">
        <v>682</v>
      </c>
      <c r="G945" t="str">
        <f>'4L'!$D$24</f>
        <v>£m</v>
      </c>
      <c r="O945" t="str">
        <f>_xlfn.CONCAT('4L'!$B$9, "-", '4L'!$B$24, "-", '4L'!$K$6, "-", '4L'!$K$6, "-", '4L'!$F$5)</f>
        <v>EA/NRW environmental programme (WINEP/NEP)-Water Framework Directive measures-Total-Total-Expenditure in report year</v>
      </c>
    </row>
    <row r="946" spans="1:15">
      <c r="A946" t="s">
        <v>639</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682</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639</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682</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639</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682</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639</v>
      </c>
      <c r="B949" t="str">
        <f>'4L'!$AV$25</f>
        <v>B0225IVC_WR</v>
      </c>
      <c r="D949" t="str">
        <f>_xlfn.CONCAT('4L'!$B$9, "-", '4L'!$B$25, "-", '4L'!$F$6, "-", '4L'!$F$6, "-", '4L'!$F$5)</f>
        <v>EA/NRW environmental programme (WINEP/NEP)-Investigations-Water resources-Water resources-Expenditure in report year</v>
      </c>
      <c r="E949" t="str">
        <f>'4L'!$C$25</f>
        <v>Capex</v>
      </c>
      <c r="F949" t="s">
        <v>682</v>
      </c>
      <c r="G949" t="str">
        <f>'4L'!$D$25</f>
        <v>£m</v>
      </c>
      <c r="O949" t="str">
        <f>_xlfn.CONCAT('4L'!$B$9, "-", '4L'!$B$25, "-", '4L'!$F$6, "-", '4L'!$F$6, "-", '4L'!$F$5)</f>
        <v>EA/NRW environmental programme (WINEP/NEP)-Investigations-Water resources-Water resources-Expenditure in report year</v>
      </c>
    </row>
    <row r="950" spans="1:15">
      <c r="A950" t="s">
        <v>639</v>
      </c>
      <c r="B950" t="str">
        <f>'4L'!$AW$25</f>
        <v>B0225IVC_RWT</v>
      </c>
      <c r="D950" t="str">
        <f>_xlfn.CONCAT('4L'!$B$9, "-", '4L'!$B$25, "-", '4L'!$G$7, "-", '4L'!$G$6, "-", '4L'!$F$5)</f>
        <v>EA/NRW environmental programme (WINEP/NEP)-Investigations-Raw water transport-Water network+-Expenditure in report year</v>
      </c>
      <c r="E950" t="str">
        <f>'4L'!$C$25</f>
        <v>Capex</v>
      </c>
      <c r="F950" t="s">
        <v>682</v>
      </c>
      <c r="G950" t="str">
        <f>'4L'!$D$25</f>
        <v>£m</v>
      </c>
      <c r="O950" t="str">
        <f>_xlfn.CONCAT('4L'!$B$9, "-", '4L'!$B$25, "-", '4L'!$G$7, "-", '4L'!$G$6, "-", '4L'!$F$5)</f>
        <v>EA/NRW environmental programme (WINEP/NEP)-Investigations-Raw water transport-Water network+-Expenditure in report year</v>
      </c>
    </row>
    <row r="951" spans="1:15">
      <c r="A951" t="s">
        <v>639</v>
      </c>
      <c r="B951" t="str">
        <f>'4L'!$AX$25</f>
        <v>B0225IVC_RWS</v>
      </c>
      <c r="D951" t="str">
        <f>_xlfn.CONCAT('4L'!$B$9, "-", '4L'!$B$25, "-", '4L'!$H$7, "-", '4L'!$G$6, "-", '4L'!$F$5)</f>
        <v>EA/NRW environmental programme (WINEP/NEP)-Investigations-Raw water storage-Water network+-Expenditure in report year</v>
      </c>
      <c r="E951" t="str">
        <f>'4L'!$C$25</f>
        <v>Capex</v>
      </c>
      <c r="F951" t="s">
        <v>682</v>
      </c>
      <c r="G951" t="str">
        <f>'4L'!$D$25</f>
        <v>£m</v>
      </c>
      <c r="O951" t="str">
        <f>_xlfn.CONCAT('4L'!$B$9, "-", '4L'!$B$25, "-", '4L'!$H$7, "-", '4L'!$G$6, "-", '4L'!$F$5)</f>
        <v>EA/NRW environmental programme (WINEP/NEP)-Investigations-Raw water storage-Water network+-Expenditure in report year</v>
      </c>
    </row>
    <row r="952" spans="1:15">
      <c r="A952" t="s">
        <v>639</v>
      </c>
      <c r="B952" t="str">
        <f>'4L'!$AY$25</f>
        <v>B0225IVC_WT</v>
      </c>
      <c r="D952" t="str">
        <f>_xlfn.CONCAT('4L'!$B$9, "-", '4L'!$B$25, "-", '4L'!$I$7, "-", '4L'!$G$6, "-", '4L'!$F$5)</f>
        <v>EA/NRW environmental programme (WINEP/NEP)-Investigations-Water treatment-Water network+-Expenditure in report year</v>
      </c>
      <c r="E952" t="str">
        <f>'4L'!$C$25</f>
        <v>Capex</v>
      </c>
      <c r="F952" t="s">
        <v>682</v>
      </c>
      <c r="G952" t="str">
        <f>'4L'!$D$25</f>
        <v>£m</v>
      </c>
      <c r="O952" t="str">
        <f>_xlfn.CONCAT('4L'!$B$9, "-", '4L'!$B$25, "-", '4L'!$I$7, "-", '4L'!$G$6, "-", '4L'!$F$5)</f>
        <v>EA/NRW environmental programme (WINEP/NEP)-Investigations-Water treatment-Water network+-Expenditure in report year</v>
      </c>
    </row>
    <row r="953" spans="1:15">
      <c r="A953" t="s">
        <v>639</v>
      </c>
      <c r="B953" t="str">
        <f>'4L'!$AZ$25</f>
        <v>B0225IVC_TWD</v>
      </c>
      <c r="D953" t="str">
        <f>_xlfn.CONCAT('4L'!$B$9, "-", '4L'!$B$25, "-", '4L'!$J$7, "-", '4L'!$G$6, "-", '4L'!$F$5)</f>
        <v>EA/NRW environmental programme (WINEP/NEP)-Investigations-Treated water distribution-Water network+-Expenditure in report year</v>
      </c>
      <c r="E953" t="str">
        <f>'4L'!$C$25</f>
        <v>Capex</v>
      </c>
      <c r="F953" t="s">
        <v>682</v>
      </c>
      <c r="G953" t="str">
        <f>'4L'!$D$25</f>
        <v>£m</v>
      </c>
      <c r="O953" t="str">
        <f>_xlfn.CONCAT('4L'!$B$9, "-", '4L'!$B$25, "-", '4L'!$J$7, "-", '4L'!$G$6, "-", '4L'!$F$5)</f>
        <v>EA/NRW environmental programme (WINEP/NEP)-Investigations-Treated water distribution-Water network+-Expenditure in report year</v>
      </c>
    </row>
    <row r="954" spans="1:15">
      <c r="A954" t="s">
        <v>639</v>
      </c>
      <c r="B954" t="str">
        <f>'4L'!$BA$25</f>
        <v>B0225IVC_TOT</v>
      </c>
      <c r="D954" t="str">
        <f>_xlfn.CONCAT('4L'!$B$9, "-", '4L'!$B$25, "-", '4L'!$K$6, "-", '4L'!$K$6, "-", '4L'!$F$5)</f>
        <v>EA/NRW environmental programme (WINEP/NEP)-Investigations-Total-Total-Expenditure in report year</v>
      </c>
      <c r="E954" t="str">
        <f>'4L'!$C$25</f>
        <v>Capex</v>
      </c>
      <c r="F954" t="s">
        <v>682</v>
      </c>
      <c r="G954" t="str">
        <f>'4L'!$D$25</f>
        <v>£m</v>
      </c>
      <c r="O954" t="str">
        <f>_xlfn.CONCAT('4L'!$B$9, "-", '4L'!$B$25, "-", '4L'!$K$6, "-", '4L'!$K$6, "-", '4L'!$F$5)</f>
        <v>EA/NRW environmental programme (WINEP/NEP)-Investigations-Total-Total-Expenditure in report year</v>
      </c>
    </row>
    <row r="955" spans="1:15">
      <c r="A955" t="s">
        <v>639</v>
      </c>
      <c r="B955" t="str">
        <f>'4L'!$BB$25</f>
        <v>B0C225IVC_WR</v>
      </c>
      <c r="D955" s="2555" t="str">
        <f>_xlfn.CONCAT('4L'!$B$9, "-", '4L'!$B$25, "-", '4L'!$L$6, "-", '4L'!$L$6, "-", '4L'!$L$5)</f>
        <v>EA/NRW environmental programme (WINEP/NEP)-Investigations-Water resources-Water resources-Cumulative expenditure on schemes completed in the report year</v>
      </c>
      <c r="E955" t="str">
        <f>'4L'!$C$25</f>
        <v>Capex</v>
      </c>
      <c r="F955" t="s">
        <v>682</v>
      </c>
      <c r="G955" t="str">
        <f>'4L'!$D$25</f>
        <v>£m</v>
      </c>
      <c r="O955" t="str">
        <f>_xlfn.CONCAT('4L'!$B$9, "-", '4L'!$B$25, "-", '4L'!$L$6, "-", '4L'!$L$6, "-", '4L'!$L$5)</f>
        <v>EA/NRW environmental programme (WINEP/NEP)-Investigations-Water resources-Water resources-Cumulative expenditure on schemes completed in the report year</v>
      </c>
    </row>
    <row r="956" spans="1:15">
      <c r="A956" t="s">
        <v>639</v>
      </c>
      <c r="B956" t="str">
        <f>'4L'!$BC$25</f>
        <v>B0C225IVC_RWT</v>
      </c>
      <c r="D956" s="2555" t="str">
        <f>_xlfn.CONCAT('4L'!$B$9, "-", '4L'!$B$25, "-", '4L'!$M$7, "-", '4L'!$M$6, "-", '4L'!$L$5)</f>
        <v>EA/NRW environmental programme (WINEP/NEP)-Investigations-Raw water transport-Water network+-Cumulative expenditure on schemes completed in the report year</v>
      </c>
      <c r="E956" t="str">
        <f>'4L'!$C$25</f>
        <v>Capex</v>
      </c>
      <c r="F956" t="s">
        <v>682</v>
      </c>
      <c r="G956" t="str">
        <f>'4L'!$D$25</f>
        <v>£m</v>
      </c>
      <c r="O956" t="str">
        <f>_xlfn.CONCAT('4L'!$B$9, "-", '4L'!$B$25, "-", '4L'!$M$7, "-", '4L'!$M$6, "-", '4L'!$L$5)</f>
        <v>EA/NRW environmental programme (WINEP/NEP)-Investigations-Raw water transport-Water network+-Cumulative expenditure on schemes completed in the report year</v>
      </c>
    </row>
    <row r="957" spans="1:15">
      <c r="A957" t="s">
        <v>639</v>
      </c>
      <c r="B957" t="str">
        <f>'4L'!$BD$25</f>
        <v>B0C225IVC_RWS</v>
      </c>
      <c r="D957" s="2555" t="str">
        <f>_xlfn.CONCAT('4L'!$B$9, "-", '4L'!$B$25, "-", '4L'!$N$7, "-", '4L'!$M$6, "-", '4L'!$L$5)</f>
        <v>EA/NRW environmental programme (WINEP/NEP)-Investigations-Raw water storage-Water network+-Cumulative expenditure on schemes completed in the report year</v>
      </c>
      <c r="E957" t="str">
        <f>'4L'!$C$25</f>
        <v>Capex</v>
      </c>
      <c r="F957" t="s">
        <v>682</v>
      </c>
      <c r="G957" t="str">
        <f>'4L'!$D$25</f>
        <v>£m</v>
      </c>
      <c r="O957" t="str">
        <f>_xlfn.CONCAT('4L'!$B$9, "-", '4L'!$B$25, "-", '4L'!$N$7, "-", '4L'!$M$6, "-", '4L'!$L$5)</f>
        <v>EA/NRW environmental programme (WINEP/NEP)-Investigations-Raw water storage-Water network+-Cumulative expenditure on schemes completed in the report year</v>
      </c>
    </row>
    <row r="958" spans="1:15">
      <c r="A958" t="s">
        <v>639</v>
      </c>
      <c r="B958" t="str">
        <f>'4L'!$BE$25</f>
        <v>B0C225IVC_WT</v>
      </c>
      <c r="D958" s="2555" t="str">
        <f>_xlfn.CONCAT('4L'!$B$9, "-", '4L'!$B$25, "-", '4L'!$O$7, "-", '4L'!$M$6, "-", '4L'!$L$5)</f>
        <v>EA/NRW environmental programme (WINEP/NEP)-Investigations-Water treatment-Water network+-Cumulative expenditure on schemes completed in the report year</v>
      </c>
      <c r="E958" t="str">
        <f>'4L'!$C$25</f>
        <v>Capex</v>
      </c>
      <c r="F958" t="s">
        <v>682</v>
      </c>
      <c r="G958" t="str">
        <f>'4L'!$D$25</f>
        <v>£m</v>
      </c>
      <c r="O958" t="str">
        <f>_xlfn.CONCAT('4L'!$B$9, "-", '4L'!$B$25, "-", '4L'!$O$7, "-", '4L'!$M$6, "-", '4L'!$L$5)</f>
        <v>EA/NRW environmental programme (WINEP/NEP)-Investigations-Water treatment-Water network+-Cumulative expenditure on schemes completed in the report year</v>
      </c>
    </row>
    <row r="959" spans="1:15">
      <c r="A959" t="s">
        <v>639</v>
      </c>
      <c r="B959" t="str">
        <f>'4L'!$BF$25</f>
        <v>B0C225IVC_TWD</v>
      </c>
      <c r="D959" s="2555" t="str">
        <f>_xlfn.CONCAT('4L'!$B$9, "-", '4L'!$B$25, "-", '4L'!$P$7, "-", '4L'!$M$6, "-", '4L'!$L$5)</f>
        <v>EA/NRW environmental programme (WINEP/NEP)-Investigations-Treated water distribution-Water network+-Cumulative expenditure on schemes completed in the report year</v>
      </c>
      <c r="E959" t="str">
        <f>'4L'!$C$25</f>
        <v>Capex</v>
      </c>
      <c r="F959" t="s">
        <v>682</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639</v>
      </c>
      <c r="B960" t="str">
        <f>'4L'!$BG$25</f>
        <v>B0C225IVC_TOT</v>
      </c>
      <c r="D960" s="2555" t="str">
        <f>_xlfn.CONCAT('4L'!$B$9, "-", '4L'!$B$25, "-", '4L'!$Q$6, "-", '4L'!$Q$6, "-", '4L'!$L$5)</f>
        <v>EA/NRW environmental programme (WINEP/NEP)-Investigations-Total-Total-Cumulative expenditure on schemes completed in the report year</v>
      </c>
      <c r="E960" t="str">
        <f>'4L'!$C$25</f>
        <v>Capex</v>
      </c>
      <c r="F960" t="s">
        <v>682</v>
      </c>
      <c r="G960" t="str">
        <f>'4L'!$D$25</f>
        <v>£m</v>
      </c>
      <c r="O960" t="str">
        <f>_xlfn.CONCAT('4L'!$B$9, "-", '4L'!$B$25, "-", '4L'!$Q$6, "-", '4L'!$Q$6, "-", '4L'!$L$5)</f>
        <v>EA/NRW environmental programme (WINEP/NEP)-Investigations-Total-Total-Cumulative expenditure on schemes completed in the report year</v>
      </c>
    </row>
    <row r="961" spans="1:15">
      <c r="A961" t="s">
        <v>639</v>
      </c>
      <c r="B961" t="str">
        <f>'4L'!$AV$26</f>
        <v>B0226IVO_WR</v>
      </c>
      <c r="D961" t="str">
        <f>_xlfn.CONCAT('4L'!$B$9, "-", '4L'!$B$26, "-", '4L'!$F$6, "-", '4L'!$F$6, "-", '4L'!$F$5)</f>
        <v>EA/NRW environmental programme (WINEP/NEP)-Investigations-Water resources-Water resources-Expenditure in report year</v>
      </c>
      <c r="E961" t="str">
        <f>'4L'!$C$26</f>
        <v>Opex</v>
      </c>
      <c r="F961" t="s">
        <v>682</v>
      </c>
      <c r="G961" t="str">
        <f>'4L'!$D$26</f>
        <v>£m</v>
      </c>
      <c r="O961" t="str">
        <f>_xlfn.CONCAT('4L'!$B$9, "-", '4L'!$B$26, "-", '4L'!$F$6, "-", '4L'!$F$6, "-", '4L'!$F$5)</f>
        <v>EA/NRW environmental programme (WINEP/NEP)-Investigations-Water resources-Water resources-Expenditure in report year</v>
      </c>
    </row>
    <row r="962" spans="1:15">
      <c r="A962" t="s">
        <v>639</v>
      </c>
      <c r="B962" t="str">
        <f>'4L'!$AW$26</f>
        <v>B0226IVO_RWT</v>
      </c>
      <c r="D962" t="str">
        <f>_xlfn.CONCAT('4L'!$B$9, "-", '4L'!$B$26, "-", '4L'!$G$7, "-", '4L'!$G$6, "-", '4L'!$F$5)</f>
        <v>EA/NRW environmental programme (WINEP/NEP)-Investigations-Raw water transport-Water network+-Expenditure in report year</v>
      </c>
      <c r="E962" t="str">
        <f>'4L'!$C$26</f>
        <v>Opex</v>
      </c>
      <c r="F962" t="s">
        <v>682</v>
      </c>
      <c r="G962" t="str">
        <f>'4L'!$D$26</f>
        <v>£m</v>
      </c>
      <c r="O962" t="str">
        <f>_xlfn.CONCAT('4L'!$B$9, "-", '4L'!$B$26, "-", '4L'!$G$7, "-", '4L'!$G$6, "-", '4L'!$F$5)</f>
        <v>EA/NRW environmental programme (WINEP/NEP)-Investigations-Raw water transport-Water network+-Expenditure in report year</v>
      </c>
    </row>
    <row r="963" spans="1:15">
      <c r="A963" t="s">
        <v>639</v>
      </c>
      <c r="B963" t="str">
        <f>'4L'!$AX$26</f>
        <v>B0226IVO_RWS</v>
      </c>
      <c r="D963" t="str">
        <f>_xlfn.CONCAT('4L'!$B$9, "-", '4L'!$B$26, "-", '4L'!$H$7, "-", '4L'!$G$6, "-", '4L'!$F$5)</f>
        <v>EA/NRW environmental programme (WINEP/NEP)-Investigations-Raw water storage-Water network+-Expenditure in report year</v>
      </c>
      <c r="E963" t="str">
        <f>'4L'!$C$26</f>
        <v>Opex</v>
      </c>
      <c r="F963" t="s">
        <v>682</v>
      </c>
      <c r="G963" t="str">
        <f>'4L'!$D$26</f>
        <v>£m</v>
      </c>
      <c r="O963" t="str">
        <f>_xlfn.CONCAT('4L'!$B$9, "-", '4L'!$B$26, "-", '4L'!$H$7, "-", '4L'!$G$6, "-", '4L'!$F$5)</f>
        <v>EA/NRW environmental programme (WINEP/NEP)-Investigations-Raw water storage-Water network+-Expenditure in report year</v>
      </c>
    </row>
    <row r="964" spans="1:15">
      <c r="A964" t="s">
        <v>639</v>
      </c>
      <c r="B964" t="str">
        <f>'4L'!$AY$26</f>
        <v>B0226IVO_WT</v>
      </c>
      <c r="D964" t="str">
        <f>_xlfn.CONCAT('4L'!$B$9, "-", '4L'!$B$26, "-", '4L'!$I$7, "-", '4L'!$G$6, "-", '4L'!$F$5)</f>
        <v>EA/NRW environmental programme (WINEP/NEP)-Investigations-Water treatment-Water network+-Expenditure in report year</v>
      </c>
      <c r="E964" t="str">
        <f>'4L'!$C$26</f>
        <v>Opex</v>
      </c>
      <c r="F964" t="s">
        <v>682</v>
      </c>
      <c r="G964" t="str">
        <f>'4L'!$D$26</f>
        <v>£m</v>
      </c>
      <c r="O964" t="str">
        <f>_xlfn.CONCAT('4L'!$B$9, "-", '4L'!$B$26, "-", '4L'!$I$7, "-", '4L'!$G$6, "-", '4L'!$F$5)</f>
        <v>EA/NRW environmental programme (WINEP/NEP)-Investigations-Water treatment-Water network+-Expenditure in report year</v>
      </c>
    </row>
    <row r="965" spans="1:15">
      <c r="A965" t="s">
        <v>639</v>
      </c>
      <c r="B965" t="str">
        <f>'4L'!$AZ$26</f>
        <v>B0226IVO_TWD</v>
      </c>
      <c r="D965" t="str">
        <f>_xlfn.CONCAT('4L'!$B$9, "-", '4L'!$B$26, "-", '4L'!$J$7, "-", '4L'!$G$6, "-", '4L'!$F$5)</f>
        <v>EA/NRW environmental programme (WINEP/NEP)-Investigations-Treated water distribution-Water network+-Expenditure in report year</v>
      </c>
      <c r="E965" t="str">
        <f>'4L'!$C$26</f>
        <v>Opex</v>
      </c>
      <c r="F965" t="s">
        <v>682</v>
      </c>
      <c r="G965" t="str">
        <f>'4L'!$D$26</f>
        <v>£m</v>
      </c>
      <c r="O965" t="str">
        <f>_xlfn.CONCAT('4L'!$B$9, "-", '4L'!$B$26, "-", '4L'!$J$7, "-", '4L'!$G$6, "-", '4L'!$F$5)</f>
        <v>EA/NRW environmental programme (WINEP/NEP)-Investigations-Treated water distribution-Water network+-Expenditure in report year</v>
      </c>
    </row>
    <row r="966" spans="1:15">
      <c r="A966" t="s">
        <v>639</v>
      </c>
      <c r="B966" t="str">
        <f>'4L'!$BA$26</f>
        <v>B0226IVO_TOT</v>
      </c>
      <c r="D966" t="str">
        <f>_xlfn.CONCAT('4L'!$B$9, "-", '4L'!$B$26, "-", '4L'!$K$6, "-", '4L'!$K$6, "-", '4L'!$F$5)</f>
        <v>EA/NRW environmental programme (WINEP/NEP)-Investigations-Total-Total-Expenditure in report year</v>
      </c>
      <c r="E966" t="str">
        <f>'4L'!$C$26</f>
        <v>Opex</v>
      </c>
      <c r="F966" t="s">
        <v>682</v>
      </c>
      <c r="G966" t="str">
        <f>'4L'!$D$26</f>
        <v>£m</v>
      </c>
      <c r="O966" t="str">
        <f>_xlfn.CONCAT('4L'!$B$9, "-", '4L'!$B$26, "-", '4L'!$K$6, "-", '4L'!$K$6, "-", '4L'!$F$5)</f>
        <v>EA/NRW environmental programme (WINEP/NEP)-Investigations-Total-Total-Expenditure in report year</v>
      </c>
    </row>
    <row r="967" spans="1:15">
      <c r="A967" t="s">
        <v>639</v>
      </c>
      <c r="B967" t="str">
        <f>'4L'!$BB$26</f>
        <v>B0C226IVO_WR</v>
      </c>
      <c r="D967" s="2555" t="str">
        <f>_xlfn.CONCAT('4L'!$B$9, "-", '4L'!$B$26, "-", '4L'!$L$6, "-", '4L'!$L$6, "-", '4L'!$L$5)</f>
        <v>EA/NRW environmental programme (WINEP/NEP)-Investigations-Water resources-Water resources-Cumulative expenditure on schemes completed in the report year</v>
      </c>
      <c r="E967" t="str">
        <f>'4L'!$C$26</f>
        <v>Opex</v>
      </c>
      <c r="F967" t="s">
        <v>682</v>
      </c>
      <c r="G967" t="str">
        <f>'4L'!$D$26</f>
        <v>£m</v>
      </c>
      <c r="O967" t="str">
        <f>_xlfn.CONCAT('4L'!$B$9, "-", '4L'!$B$26, "-", '4L'!$L$6, "-", '4L'!$L$6, "-", '4L'!$L$5)</f>
        <v>EA/NRW environmental programme (WINEP/NEP)-Investigations-Water resources-Water resources-Cumulative expenditure on schemes completed in the report year</v>
      </c>
    </row>
    <row r="968" spans="1:15">
      <c r="A968" t="s">
        <v>639</v>
      </c>
      <c r="B968" t="str">
        <f>'4L'!$BC$26</f>
        <v>B0C226IVO_RWT</v>
      </c>
      <c r="D968" s="2555" t="str">
        <f>_xlfn.CONCAT('4L'!$B$9, "-", '4L'!$B$26, "-", '4L'!$M$7, "-", '4L'!$M$6, "-", '4L'!$L$5)</f>
        <v>EA/NRW environmental programme (WINEP/NEP)-Investigations-Raw water transport-Water network+-Cumulative expenditure on schemes completed in the report year</v>
      </c>
      <c r="E968" t="str">
        <f>'4L'!$C$26</f>
        <v>Opex</v>
      </c>
      <c r="F968" t="s">
        <v>682</v>
      </c>
      <c r="G968" t="str">
        <f>'4L'!$D$26</f>
        <v>£m</v>
      </c>
      <c r="O968" t="str">
        <f>_xlfn.CONCAT('4L'!$B$9, "-", '4L'!$B$26, "-", '4L'!$M$7, "-", '4L'!$M$6, "-", '4L'!$L$5)</f>
        <v>EA/NRW environmental programme (WINEP/NEP)-Investigations-Raw water transport-Water network+-Cumulative expenditure on schemes completed in the report year</v>
      </c>
    </row>
    <row r="969" spans="1:15">
      <c r="A969" t="s">
        <v>639</v>
      </c>
      <c r="B969" t="str">
        <f>'4L'!$BD$26</f>
        <v>B0C226IVO_RWS</v>
      </c>
      <c r="D969" s="2555" t="str">
        <f>_xlfn.CONCAT('4L'!$B$9, "-", '4L'!$B$26, "-", '4L'!$N$7, "-", '4L'!$M$6, "-", '4L'!$L$5)</f>
        <v>EA/NRW environmental programme (WINEP/NEP)-Investigations-Raw water storage-Water network+-Cumulative expenditure on schemes completed in the report year</v>
      </c>
      <c r="E969" t="str">
        <f>'4L'!$C$26</f>
        <v>Opex</v>
      </c>
      <c r="F969" t="s">
        <v>682</v>
      </c>
      <c r="G969" t="str">
        <f>'4L'!$D$26</f>
        <v>£m</v>
      </c>
      <c r="O969" t="str">
        <f>_xlfn.CONCAT('4L'!$B$9, "-", '4L'!$B$26, "-", '4L'!$N$7, "-", '4L'!$M$6, "-", '4L'!$L$5)</f>
        <v>EA/NRW environmental programme (WINEP/NEP)-Investigations-Raw water storage-Water network+-Cumulative expenditure on schemes completed in the report year</v>
      </c>
    </row>
    <row r="970" spans="1:15">
      <c r="A970" t="s">
        <v>639</v>
      </c>
      <c r="B970" t="str">
        <f>'4L'!$BE$26</f>
        <v>B0C226IVO_WT</v>
      </c>
      <c r="D970" s="2555" t="str">
        <f>_xlfn.CONCAT('4L'!$B$9, "-", '4L'!$B$26, "-", '4L'!$O$7, "-", '4L'!$M$6, "-", '4L'!$L$5)</f>
        <v>EA/NRW environmental programme (WINEP/NEP)-Investigations-Water treatment-Water network+-Cumulative expenditure on schemes completed in the report year</v>
      </c>
      <c r="E970" t="str">
        <f>'4L'!$C$26</f>
        <v>Opex</v>
      </c>
      <c r="F970" t="s">
        <v>682</v>
      </c>
      <c r="G970" t="str">
        <f>'4L'!$D$26</f>
        <v>£m</v>
      </c>
      <c r="O970" t="str">
        <f>_xlfn.CONCAT('4L'!$B$9, "-", '4L'!$B$26, "-", '4L'!$O$7, "-", '4L'!$M$6, "-", '4L'!$L$5)</f>
        <v>EA/NRW environmental programme (WINEP/NEP)-Investigations-Water treatment-Water network+-Cumulative expenditure on schemes completed in the report year</v>
      </c>
    </row>
    <row r="971" spans="1:15">
      <c r="A971" t="s">
        <v>639</v>
      </c>
      <c r="B971" t="str">
        <f>'4L'!$BF$26</f>
        <v>B0C226IVO_TWD</v>
      </c>
      <c r="D971" s="2555" t="str">
        <f>_xlfn.CONCAT('4L'!$B$9, "-", '4L'!$B$26, "-", '4L'!$P$7, "-", '4L'!$M$6, "-", '4L'!$L$5)</f>
        <v>EA/NRW environmental programme (WINEP/NEP)-Investigations-Treated water distribution-Water network+-Cumulative expenditure on schemes completed in the report year</v>
      </c>
      <c r="E971" t="str">
        <f>'4L'!$C$26</f>
        <v>Opex</v>
      </c>
      <c r="F971" t="s">
        <v>682</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639</v>
      </c>
      <c r="B972" t="str">
        <f>'4L'!$BG$26</f>
        <v>B0C226IVO_TOT</v>
      </c>
      <c r="D972" s="2555" t="str">
        <f>_xlfn.CONCAT('4L'!$B$9, "-", '4L'!$B$26, "-", '4L'!$Q$6, "-", '4L'!$Q$6, "-", '4L'!$L$5)</f>
        <v>EA/NRW environmental programme (WINEP/NEP)-Investigations-Total-Total-Cumulative expenditure on schemes completed in the report year</v>
      </c>
      <c r="E972" t="str">
        <f>'4L'!$C$26</f>
        <v>Opex</v>
      </c>
      <c r="F972" t="s">
        <v>682</v>
      </c>
      <c r="G972" t="str">
        <f>'4L'!$D$26</f>
        <v>£m</v>
      </c>
      <c r="O972" t="str">
        <f>_xlfn.CONCAT('4L'!$B$9, "-", '4L'!$B$26, "-", '4L'!$Q$6, "-", '4L'!$Q$6, "-", '4L'!$L$5)</f>
        <v>EA/NRW environmental programme (WINEP/NEP)-Investigations-Total-Total-Cumulative expenditure on schemes completed in the report year</v>
      </c>
    </row>
    <row r="973" spans="1:15">
      <c r="A973" t="s">
        <v>639</v>
      </c>
      <c r="B973" t="str">
        <f>'4L'!$AV$27</f>
        <v>B0227IVT_WR</v>
      </c>
      <c r="D973" t="str">
        <f>_xlfn.CONCAT('4L'!$B$9, "-", '4L'!$B$27, "-", '4L'!$F$6, "-", '4L'!$F$6, "-", '4L'!$F$5)</f>
        <v>EA/NRW environmental programme (WINEP/NEP)-Investigations-Water resources-Water resources-Expenditure in report year</v>
      </c>
      <c r="E973" t="str">
        <f>'4L'!$C$27</f>
        <v>Totex</v>
      </c>
      <c r="F973" t="s">
        <v>682</v>
      </c>
      <c r="G973" t="str">
        <f>'4L'!$D$27</f>
        <v>£m</v>
      </c>
      <c r="O973" t="str">
        <f>_xlfn.CONCAT('4L'!$B$9, "-", '4L'!$B$27, "-", '4L'!$F$6, "-", '4L'!$F$6, "-", '4L'!$F$5)</f>
        <v>EA/NRW environmental programme (WINEP/NEP)-Investigations-Water resources-Water resources-Expenditure in report year</v>
      </c>
    </row>
    <row r="974" spans="1:15">
      <c r="A974" t="s">
        <v>639</v>
      </c>
      <c r="B974" t="str">
        <f>'4L'!$AW$27</f>
        <v>B0227IVT_RWT</v>
      </c>
      <c r="D974" t="str">
        <f>_xlfn.CONCAT('4L'!$B$9, "-", '4L'!$B$27, "-", '4L'!$G$7, "-", '4L'!$G$6, "-", '4L'!$F$5)</f>
        <v>EA/NRW environmental programme (WINEP/NEP)-Investigations-Raw water transport-Water network+-Expenditure in report year</v>
      </c>
      <c r="E974" t="str">
        <f>'4L'!$C$27</f>
        <v>Totex</v>
      </c>
      <c r="F974" t="s">
        <v>682</v>
      </c>
      <c r="G974" t="str">
        <f>'4L'!$D$27</f>
        <v>£m</v>
      </c>
      <c r="O974" t="str">
        <f>_xlfn.CONCAT('4L'!$B$9, "-", '4L'!$B$27, "-", '4L'!$G$7, "-", '4L'!$G$6, "-", '4L'!$F$5)</f>
        <v>EA/NRW environmental programme (WINEP/NEP)-Investigations-Raw water transport-Water network+-Expenditure in report year</v>
      </c>
    </row>
    <row r="975" spans="1:15">
      <c r="A975" t="s">
        <v>639</v>
      </c>
      <c r="B975" t="str">
        <f>'4L'!$AX$27</f>
        <v>B0227IVT_RWS</v>
      </c>
      <c r="D975" t="str">
        <f>_xlfn.CONCAT('4L'!$B$9, "-", '4L'!$B$27, "-", '4L'!$H$7, "-", '4L'!$G$6, "-", '4L'!$F$5)</f>
        <v>EA/NRW environmental programme (WINEP/NEP)-Investigations-Raw water storage-Water network+-Expenditure in report year</v>
      </c>
      <c r="E975" t="str">
        <f>'4L'!$C$27</f>
        <v>Totex</v>
      </c>
      <c r="F975" t="s">
        <v>682</v>
      </c>
      <c r="G975" t="str">
        <f>'4L'!$D$27</f>
        <v>£m</v>
      </c>
      <c r="O975" t="str">
        <f>_xlfn.CONCAT('4L'!$B$9, "-", '4L'!$B$27, "-", '4L'!$H$7, "-", '4L'!$G$6, "-", '4L'!$F$5)</f>
        <v>EA/NRW environmental programme (WINEP/NEP)-Investigations-Raw water storage-Water network+-Expenditure in report year</v>
      </c>
    </row>
    <row r="976" spans="1:15">
      <c r="A976" t="s">
        <v>639</v>
      </c>
      <c r="B976" t="str">
        <f>'4L'!$AY$27</f>
        <v>B0227IVT_WT</v>
      </c>
      <c r="D976" t="str">
        <f>_xlfn.CONCAT('4L'!$B$9, "-", '4L'!$B$27, "-", '4L'!$I$7, "-", '4L'!$G$6, "-", '4L'!$F$5)</f>
        <v>EA/NRW environmental programme (WINEP/NEP)-Investigations-Water treatment-Water network+-Expenditure in report year</v>
      </c>
      <c r="E976" t="str">
        <f>'4L'!$C$27</f>
        <v>Totex</v>
      </c>
      <c r="F976" t="s">
        <v>682</v>
      </c>
      <c r="G976" t="str">
        <f>'4L'!$D$27</f>
        <v>£m</v>
      </c>
      <c r="O976" t="str">
        <f>_xlfn.CONCAT('4L'!$B$9, "-", '4L'!$B$27, "-", '4L'!$I$7, "-", '4L'!$G$6, "-", '4L'!$F$5)</f>
        <v>EA/NRW environmental programme (WINEP/NEP)-Investigations-Water treatment-Water network+-Expenditure in report year</v>
      </c>
    </row>
    <row r="977" spans="1:15">
      <c r="A977" t="s">
        <v>639</v>
      </c>
      <c r="B977" t="str">
        <f>'4L'!$AZ$27</f>
        <v>B0227IVT_TWD</v>
      </c>
      <c r="D977" t="str">
        <f>_xlfn.CONCAT('4L'!$B$9, "-", '4L'!$B$27, "-", '4L'!$J$7, "-", '4L'!$G$6, "-", '4L'!$F$5)</f>
        <v>EA/NRW environmental programme (WINEP/NEP)-Investigations-Treated water distribution-Water network+-Expenditure in report year</v>
      </c>
      <c r="E977" t="str">
        <f>'4L'!$C$27</f>
        <v>Totex</v>
      </c>
      <c r="F977" t="s">
        <v>682</v>
      </c>
      <c r="G977" t="str">
        <f>'4L'!$D$27</f>
        <v>£m</v>
      </c>
      <c r="O977" t="str">
        <f>_xlfn.CONCAT('4L'!$B$9, "-", '4L'!$B$27, "-", '4L'!$J$7, "-", '4L'!$G$6, "-", '4L'!$F$5)</f>
        <v>EA/NRW environmental programme (WINEP/NEP)-Investigations-Treated water distribution-Water network+-Expenditure in report year</v>
      </c>
    </row>
    <row r="978" spans="1:15">
      <c r="A978" t="s">
        <v>639</v>
      </c>
      <c r="B978" t="str">
        <f>'4L'!$BA$27</f>
        <v>B0227IVT_TOT</v>
      </c>
      <c r="D978" t="str">
        <f>_xlfn.CONCAT('4L'!$B$9, "-", '4L'!$B$27, "-", '4L'!$K$6, "-", '4L'!$K$6, "-", '4L'!$F$5)</f>
        <v>EA/NRW environmental programme (WINEP/NEP)-Investigations-Total-Total-Expenditure in report year</v>
      </c>
      <c r="E978" t="str">
        <f>'4L'!$C$27</f>
        <v>Totex</v>
      </c>
      <c r="F978" t="s">
        <v>682</v>
      </c>
      <c r="G978" t="str">
        <f>'4L'!$D$27</f>
        <v>£m</v>
      </c>
      <c r="O978" t="str">
        <f>_xlfn.CONCAT('4L'!$B$9, "-", '4L'!$B$27, "-", '4L'!$K$6, "-", '4L'!$K$6, "-", '4L'!$F$5)</f>
        <v>EA/NRW environmental programme (WINEP/NEP)-Investigations-Total-Total-Expenditure in report year</v>
      </c>
    </row>
    <row r="979" spans="1:15">
      <c r="A979" t="s">
        <v>639</v>
      </c>
      <c r="B979" t="str">
        <f>'4L'!$BB$27</f>
        <v>B0C227IVT_WR</v>
      </c>
      <c r="D979" s="2555" t="str">
        <f>_xlfn.CONCAT('4L'!$B$9, "-", '4L'!$B$27, "-", '4L'!$L$6, "-", '4L'!$L$6, "-", '4L'!$L$5)</f>
        <v>EA/NRW environmental programme (WINEP/NEP)-Investigations-Water resources-Water resources-Cumulative expenditure on schemes completed in the report year</v>
      </c>
      <c r="E979" t="str">
        <f>'4L'!$C$27</f>
        <v>Totex</v>
      </c>
      <c r="F979" t="s">
        <v>682</v>
      </c>
      <c r="G979" t="str">
        <f>'4L'!$D$27</f>
        <v>£m</v>
      </c>
      <c r="O979" t="str">
        <f>_xlfn.CONCAT('4L'!$B$9, "-", '4L'!$B$27, "-", '4L'!$L$6, "-", '4L'!$L$6, "-", '4L'!$L$5)</f>
        <v>EA/NRW environmental programme (WINEP/NEP)-Investigations-Water resources-Water resources-Cumulative expenditure on schemes completed in the report year</v>
      </c>
    </row>
    <row r="980" spans="1:15">
      <c r="A980" t="s">
        <v>639</v>
      </c>
      <c r="B980" t="str">
        <f>'4L'!$BC$27</f>
        <v>B0C227IVT_RWT</v>
      </c>
      <c r="D980" s="2555" t="str">
        <f>_xlfn.CONCAT('4L'!$B$9, "-", '4L'!$B$27, "-", '4L'!$M$7, "-", '4L'!$M$6, "-", '4L'!$L$5)</f>
        <v>EA/NRW environmental programme (WINEP/NEP)-Investigations-Raw water transport-Water network+-Cumulative expenditure on schemes completed in the report year</v>
      </c>
      <c r="E980" t="str">
        <f>'4L'!$C$27</f>
        <v>Totex</v>
      </c>
      <c r="F980" t="s">
        <v>682</v>
      </c>
      <c r="G980" t="str">
        <f>'4L'!$D$27</f>
        <v>£m</v>
      </c>
      <c r="O980" t="str">
        <f>_xlfn.CONCAT('4L'!$B$9, "-", '4L'!$B$27, "-", '4L'!$M$7, "-", '4L'!$M$6, "-", '4L'!$L$5)</f>
        <v>EA/NRW environmental programme (WINEP/NEP)-Investigations-Raw water transport-Water network+-Cumulative expenditure on schemes completed in the report year</v>
      </c>
    </row>
    <row r="981" spans="1:15">
      <c r="A981" t="s">
        <v>639</v>
      </c>
      <c r="B981" t="str">
        <f>'4L'!$BD$27</f>
        <v>B0C227IVT_RWS</v>
      </c>
      <c r="D981" s="2555" t="str">
        <f>_xlfn.CONCAT('4L'!$B$9, "-", '4L'!$B$27, "-", '4L'!$N$7, "-", '4L'!$M$6, "-", '4L'!$L$5)</f>
        <v>EA/NRW environmental programme (WINEP/NEP)-Investigations-Raw water storage-Water network+-Cumulative expenditure on schemes completed in the report year</v>
      </c>
      <c r="E981" t="str">
        <f>'4L'!$C$27</f>
        <v>Totex</v>
      </c>
      <c r="F981" t="s">
        <v>682</v>
      </c>
      <c r="G981" t="str">
        <f>'4L'!$D$27</f>
        <v>£m</v>
      </c>
      <c r="O981" t="str">
        <f>_xlfn.CONCAT('4L'!$B$9, "-", '4L'!$B$27, "-", '4L'!$N$7, "-", '4L'!$M$6, "-", '4L'!$L$5)</f>
        <v>EA/NRW environmental programme (WINEP/NEP)-Investigations-Raw water storage-Water network+-Cumulative expenditure on schemes completed in the report year</v>
      </c>
    </row>
    <row r="982" spans="1:15">
      <c r="A982" t="s">
        <v>639</v>
      </c>
      <c r="B982" t="str">
        <f>'4L'!$BE$27</f>
        <v>B0C227IVT_WT</v>
      </c>
      <c r="D982" s="2555" t="str">
        <f>_xlfn.CONCAT('4L'!$B$9, "-", '4L'!$B$27, "-", '4L'!$O$7, "-", '4L'!$M$6, "-", '4L'!$L$5)</f>
        <v>EA/NRW environmental programme (WINEP/NEP)-Investigations-Water treatment-Water network+-Cumulative expenditure on schemes completed in the report year</v>
      </c>
      <c r="E982" t="str">
        <f>'4L'!$C$27</f>
        <v>Totex</v>
      </c>
      <c r="F982" t="s">
        <v>682</v>
      </c>
      <c r="G982" t="str">
        <f>'4L'!$D$27</f>
        <v>£m</v>
      </c>
      <c r="O982" t="str">
        <f>_xlfn.CONCAT('4L'!$B$9, "-", '4L'!$B$27, "-", '4L'!$O$7, "-", '4L'!$M$6, "-", '4L'!$L$5)</f>
        <v>EA/NRW environmental programme (WINEP/NEP)-Investigations-Water treatment-Water network+-Cumulative expenditure on schemes completed in the report year</v>
      </c>
    </row>
    <row r="983" spans="1:15">
      <c r="A983" t="s">
        <v>639</v>
      </c>
      <c r="B983" t="str">
        <f>'4L'!$BF$27</f>
        <v>B0C227IVT_TWD</v>
      </c>
      <c r="D983" s="2555" t="str">
        <f>_xlfn.CONCAT('4L'!$B$9, "-", '4L'!$B$27, "-", '4L'!$P$7, "-", '4L'!$M$6, "-", '4L'!$L$5)</f>
        <v>EA/NRW environmental programme (WINEP/NEP)-Investigations-Treated water distribution-Water network+-Cumulative expenditure on schemes completed in the report year</v>
      </c>
      <c r="E983" t="str">
        <f>'4L'!$C$27</f>
        <v>Totex</v>
      </c>
      <c r="F983" t="s">
        <v>682</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639</v>
      </c>
      <c r="B984" t="str">
        <f>'4L'!$BG$27</f>
        <v>B0C227IVT_TOT</v>
      </c>
      <c r="D984" s="2555" t="str">
        <f>_xlfn.CONCAT('4L'!$B$9, "-", '4L'!$B$27, "-", '4L'!$Q$6, "-", '4L'!$Q$6, "-", '4L'!$L$5)</f>
        <v>EA/NRW environmental programme (WINEP/NEP)-Investigations-Total-Total-Cumulative expenditure on schemes completed in the report year</v>
      </c>
      <c r="E984" t="str">
        <f>'4L'!$C$27</f>
        <v>Totex</v>
      </c>
      <c r="F984" t="s">
        <v>682</v>
      </c>
      <c r="G984" t="str">
        <f>'4L'!$D$27</f>
        <v>£m</v>
      </c>
      <c r="O984" t="str">
        <f>_xlfn.CONCAT('4L'!$B$9, "-", '4L'!$B$27, "-", '4L'!$Q$6, "-", '4L'!$Q$6, "-", '4L'!$L$5)</f>
        <v>EA/NRW environmental programme (WINEP/NEP)-Investigations-Total-Total-Cumulative expenditure on schemes completed in the report year</v>
      </c>
    </row>
    <row r="985" spans="1:15">
      <c r="A985" t="s">
        <v>639</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682</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639</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682</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639</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682</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639</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682</v>
      </c>
      <c r="G988" t="str">
        <f>'4L'!$D$28</f>
        <v>£m</v>
      </c>
      <c r="O988" t="str">
        <f>_xlfn.CONCAT('4L'!$B$9, "-", '4L'!$B$28, "-", '4L'!$F$6, "-", '4L'!$F$6, "-", '4L'!$F$5)</f>
        <v>EA/NRW environmental programme (WINEP/NEP)-Total environmental programme expenditure -Water resources-Water resources-Expenditure in report year</v>
      </c>
    </row>
    <row r="989" spans="1:15">
      <c r="A989" t="s">
        <v>639</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682</v>
      </c>
      <c r="G989" t="str">
        <f>'4L'!$D$28</f>
        <v>£m</v>
      </c>
      <c r="O989" t="str">
        <f>_xlfn.CONCAT('4L'!$B$9, "-", '4L'!$B$28, "-", '4L'!$G$7, "-", '4L'!$G$6, "-", '4L'!$F$5)</f>
        <v>EA/NRW environmental programme (WINEP/NEP)-Total environmental programme expenditure -Raw water transport-Water network+-Expenditure in report year</v>
      </c>
    </row>
    <row r="990" spans="1:15">
      <c r="A990" t="s">
        <v>639</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682</v>
      </c>
      <c r="G990" t="str">
        <f>'4L'!$D$28</f>
        <v>£m</v>
      </c>
      <c r="O990" t="str">
        <f>_xlfn.CONCAT('4L'!$B$9, "-", '4L'!$B$28, "-", '4L'!$H$7, "-", '4L'!$G$6, "-", '4L'!$F$5)</f>
        <v>EA/NRW environmental programme (WINEP/NEP)-Total environmental programme expenditure -Raw water storage-Water network+-Expenditure in report year</v>
      </c>
    </row>
    <row r="991" spans="1:15">
      <c r="A991" t="s">
        <v>639</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682</v>
      </c>
      <c r="G991" t="str">
        <f>'4L'!$D$28</f>
        <v>£m</v>
      </c>
      <c r="O991" t="str">
        <f>_xlfn.CONCAT('4L'!$B$9, "-", '4L'!$B$28, "-", '4L'!$I$7, "-", '4L'!$G$6, "-", '4L'!$F$5)</f>
        <v>EA/NRW environmental programme (WINEP/NEP)-Total environmental programme expenditure -Water treatment-Water network+-Expenditure in report year</v>
      </c>
    </row>
    <row r="992" spans="1:15">
      <c r="A992" t="s">
        <v>639</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682</v>
      </c>
      <c r="G992" t="str">
        <f>'4L'!$D$28</f>
        <v>£m</v>
      </c>
      <c r="O992" t="str">
        <f>_xlfn.CONCAT('4L'!$B$9, "-", '4L'!$B$28, "-", '4L'!$J$7, "-", '4L'!$G$6, "-", '4L'!$F$5)</f>
        <v>EA/NRW environmental programme (WINEP/NEP)-Total environmental programme expenditure -Treated water distribution-Water network+-Expenditure in report year</v>
      </c>
    </row>
    <row r="993" spans="1:15">
      <c r="A993" t="s">
        <v>639</v>
      </c>
      <c r="B993" t="str">
        <f>'4L'!$BA$28</f>
        <v>B0228TET_TOT</v>
      </c>
      <c r="D993" t="str">
        <f>_xlfn.CONCAT('4L'!$B$9, "-", '4L'!$B$28, "-", '4L'!$K$6, "-", '4L'!$K$6, "-", '4L'!$F$5)</f>
        <v>EA/NRW environmental programme (WINEP/NEP)-Total environmental programme expenditure -Total-Total-Expenditure in report year</v>
      </c>
      <c r="E993" t="str">
        <f>'4L'!$C$28</f>
        <v>Totex</v>
      </c>
      <c r="F993" t="s">
        <v>682</v>
      </c>
      <c r="G993" t="str">
        <f>'4L'!$D$28</f>
        <v>£m</v>
      </c>
      <c r="O993" t="str">
        <f>_xlfn.CONCAT('4L'!$B$9, "-", '4L'!$B$28, "-", '4L'!$K$6, "-", '4L'!$K$6, "-", '4L'!$F$5)</f>
        <v>EA/NRW environmental programme (WINEP/NEP)-Total environmental programme expenditure -Total-Total-Expenditure in report year</v>
      </c>
    </row>
    <row r="994" spans="1:15">
      <c r="A994" t="s">
        <v>639</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682</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639</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682</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639</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682</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639</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682</v>
      </c>
      <c r="G997" t="str">
        <f>'4L'!$D$31</f>
        <v>£m</v>
      </c>
      <c r="O997" t="str">
        <f>_xlfn.CONCAT('4L'!$B$30, "-", '4L'!$B$31, "-", '4L'!$F$6, "-", '4L'!$F$6, "-", '4L'!$F$5)</f>
        <v>Supply-demand balance-Supply-side improvements delivering benefits in 2020-2025-Water resources-Water resources-Expenditure in report year</v>
      </c>
    </row>
    <row r="998" spans="1:15">
      <c r="A998" t="s">
        <v>639</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682</v>
      </c>
      <c r="G998" t="str">
        <f>'4L'!$D$31</f>
        <v>£m</v>
      </c>
      <c r="O998" t="str">
        <f>_xlfn.CONCAT('4L'!$B$30, "-", '4L'!$B$31, "-", '4L'!$G$7, "-", '4L'!$G$6, "-", '4L'!$F$5)</f>
        <v>Supply-demand balance-Supply-side improvements delivering benefits in 2020-2025-Raw water transport-Water network+-Expenditure in report year</v>
      </c>
    </row>
    <row r="999" spans="1:15">
      <c r="A999" t="s">
        <v>639</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682</v>
      </c>
      <c r="G999" t="str">
        <f>'4L'!$D$31</f>
        <v>£m</v>
      </c>
      <c r="O999" t="str">
        <f>_xlfn.CONCAT('4L'!$B$30, "-", '4L'!$B$31, "-", '4L'!$H$7, "-", '4L'!$G$6, "-", '4L'!$F$5)</f>
        <v>Supply-demand balance-Supply-side improvements delivering benefits in 2020-2025-Raw water storage-Water network+-Expenditure in report year</v>
      </c>
    </row>
    <row r="1000" spans="1:15">
      <c r="A1000" t="s">
        <v>639</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682</v>
      </c>
      <c r="G1000" t="str">
        <f>'4L'!$D$31</f>
        <v>£m</v>
      </c>
      <c r="O1000" t="str">
        <f>_xlfn.CONCAT('4L'!$B$30, "-", '4L'!$B$31, "-", '4L'!$I$7, "-", '4L'!$G$6, "-", '4L'!$F$5)</f>
        <v>Supply-demand balance-Supply-side improvements delivering benefits in 2020-2025-Water treatment-Water network+-Expenditure in report year</v>
      </c>
    </row>
    <row r="1001" spans="1:15">
      <c r="A1001" t="s">
        <v>639</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682</v>
      </c>
      <c r="G1001" t="str">
        <f>'4L'!$D$31</f>
        <v>£m</v>
      </c>
      <c r="O1001" t="str">
        <f>_xlfn.CONCAT('4L'!$B$30, "-", '4L'!$B$31, "-", '4L'!$J$7, "-", '4L'!$G$6, "-", '4L'!$F$5)</f>
        <v>Supply-demand balance-Supply-side improvements delivering benefits in 2020-2025-Treated water distribution-Water network+-Expenditure in report year</v>
      </c>
    </row>
    <row r="1002" spans="1:15">
      <c r="A1002" t="s">
        <v>639</v>
      </c>
      <c r="B1002" t="str">
        <f>'4L'!$BA$31</f>
        <v>B0229SSC_TOT</v>
      </c>
      <c r="D1002" t="str">
        <f>_xlfn.CONCAT('4L'!$B$30, "-", '4L'!$B$31, "-", '4L'!$K$6, "-", '4L'!$K$6, "-", '4L'!$F$5)</f>
        <v>Supply-demand balance-Supply-side improvements delivering benefits in 2020-2025-Total-Total-Expenditure in report year</v>
      </c>
      <c r="E1002" t="str">
        <f>'4L'!$C$31</f>
        <v>Capex</v>
      </c>
      <c r="F1002" t="s">
        <v>682</v>
      </c>
      <c r="G1002" t="str">
        <f>'4L'!$D$31</f>
        <v>£m</v>
      </c>
      <c r="O1002" t="str">
        <f>_xlfn.CONCAT('4L'!$B$30, "-", '4L'!$B$31, "-", '4L'!$K$6, "-", '4L'!$K$6, "-", '4L'!$F$5)</f>
        <v>Supply-demand balance-Supply-side improvements delivering benefits in 2020-2025-Total-Total-Expenditure in report year</v>
      </c>
    </row>
    <row r="1003" spans="1:15">
      <c r="A1003" t="s">
        <v>639</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682</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639</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682</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639</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682</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639</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682</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639</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682</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639</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682</v>
      </c>
      <c r="G1008" t="str">
        <f>'4L'!$D$31</f>
        <v>£m</v>
      </c>
      <c r="O1008" t="str">
        <f>_xlfn.CONCAT('4L'!$B$30, "-", '4L'!$B$31, "-", '4L'!$Q$6, "-", '4L'!$Q$6, "-", '4L'!$L$5)</f>
        <v>Supply-demand balance-Supply-side improvements delivering benefits in 2020-2025-Total-Total-Cumulative expenditure on schemes completed in the report year</v>
      </c>
    </row>
    <row r="1009" spans="1:15">
      <c r="A1009" t="s">
        <v>639</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682</v>
      </c>
      <c r="G1009" t="str">
        <f>'4L'!$D$32</f>
        <v>£m</v>
      </c>
      <c r="O1009" t="str">
        <f>_xlfn.CONCAT('4L'!$B$30, "-", '4L'!$B$32, "-", '4L'!$F$6, "-", '4L'!$F$6, "-", '4L'!$F$5)</f>
        <v>Supply-demand balance-Supply-side improvements delivering benefits in 2020-2025-Water resources-Water resources-Expenditure in report year</v>
      </c>
    </row>
    <row r="1010" spans="1:15">
      <c r="A1010" t="s">
        <v>639</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682</v>
      </c>
      <c r="G1010" t="str">
        <f>'4L'!$D$32</f>
        <v>£m</v>
      </c>
      <c r="O1010" t="str">
        <f>_xlfn.CONCAT('4L'!$B$30, "-", '4L'!$B$32, "-", '4L'!$G$7, "-", '4L'!$G$6, "-", '4L'!$F$5)</f>
        <v>Supply-demand balance-Supply-side improvements delivering benefits in 2020-2025-Raw water transport-Water network+-Expenditure in report year</v>
      </c>
    </row>
    <row r="1011" spans="1:15">
      <c r="A1011" t="s">
        <v>639</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682</v>
      </c>
      <c r="G1011" t="str">
        <f>'4L'!$D$32</f>
        <v>£m</v>
      </c>
      <c r="O1011" t="str">
        <f>_xlfn.CONCAT('4L'!$B$30, "-", '4L'!$B$32, "-", '4L'!$H$7, "-", '4L'!$G$6, "-", '4L'!$F$5)</f>
        <v>Supply-demand balance-Supply-side improvements delivering benefits in 2020-2025-Raw water storage-Water network+-Expenditure in report year</v>
      </c>
    </row>
    <row r="1012" spans="1:15">
      <c r="A1012" t="s">
        <v>639</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682</v>
      </c>
      <c r="G1012" t="str">
        <f>'4L'!$D$32</f>
        <v>£m</v>
      </c>
      <c r="O1012" t="str">
        <f>_xlfn.CONCAT('4L'!$B$30, "-", '4L'!$B$32, "-", '4L'!$I$7, "-", '4L'!$G$6, "-", '4L'!$F$5)</f>
        <v>Supply-demand balance-Supply-side improvements delivering benefits in 2020-2025-Water treatment-Water network+-Expenditure in report year</v>
      </c>
    </row>
    <row r="1013" spans="1:15">
      <c r="A1013" t="s">
        <v>639</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682</v>
      </c>
      <c r="G1013" t="str">
        <f>'4L'!$D$32</f>
        <v>£m</v>
      </c>
      <c r="O1013" t="str">
        <f>_xlfn.CONCAT('4L'!$B$30, "-", '4L'!$B$32, "-", '4L'!$J$7, "-", '4L'!$G$6, "-", '4L'!$F$5)</f>
        <v>Supply-demand balance-Supply-side improvements delivering benefits in 2020-2025-Treated water distribution-Water network+-Expenditure in report year</v>
      </c>
    </row>
    <row r="1014" spans="1:15">
      <c r="A1014" t="s">
        <v>639</v>
      </c>
      <c r="B1014" t="str">
        <f>'4L'!$BA$32</f>
        <v>B0230SSO_TOT</v>
      </c>
      <c r="D1014" t="str">
        <f>_xlfn.CONCAT('4L'!$B$30, "-", '4L'!$B$32, "-", '4L'!$K$6, "-", '4L'!$K$6, "-", '4L'!$F$5)</f>
        <v>Supply-demand balance-Supply-side improvements delivering benefits in 2020-2025-Total-Total-Expenditure in report year</v>
      </c>
      <c r="E1014" t="str">
        <f>'4L'!$C$32</f>
        <v>Opex</v>
      </c>
      <c r="F1014" t="s">
        <v>682</v>
      </c>
      <c r="G1014" t="str">
        <f>'4L'!$D$32</f>
        <v>£m</v>
      </c>
      <c r="O1014" t="str">
        <f>_xlfn.CONCAT('4L'!$B$30, "-", '4L'!$B$32, "-", '4L'!$K$6, "-", '4L'!$K$6, "-", '4L'!$F$5)</f>
        <v>Supply-demand balance-Supply-side improvements delivering benefits in 2020-2025-Total-Total-Expenditure in report year</v>
      </c>
    </row>
    <row r="1015" spans="1:15">
      <c r="A1015" t="s">
        <v>639</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682</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639</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682</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639</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682</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639</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682</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639</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682</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639</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682</v>
      </c>
      <c r="G1020" t="str">
        <f>'4L'!$D$32</f>
        <v>£m</v>
      </c>
      <c r="O1020" t="str">
        <f>_xlfn.CONCAT('4L'!$B$30, "-", '4L'!$B$32, "-", '4L'!$Q$6, "-", '4L'!$Q$6, "-", '4L'!$L$5)</f>
        <v>Supply-demand balance-Supply-side improvements delivering benefits in 2020-2025-Total-Total-Cumulative expenditure on schemes completed in the report year</v>
      </c>
    </row>
    <row r="1021" spans="1:15">
      <c r="A1021" t="s">
        <v>639</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682</v>
      </c>
      <c r="G1021" t="str">
        <f>'4L'!$D$33</f>
        <v>£m</v>
      </c>
      <c r="O1021" t="str">
        <f>_xlfn.CONCAT('4L'!$B$30, "-", '4L'!$B$33, "-", '4L'!$F$6, "-", '4L'!$F$6, "-", '4L'!$F$5)</f>
        <v>Supply-demand balance-Supply-side improvements delivering benefits in 2020-2025-Water resources-Water resources-Expenditure in report year</v>
      </c>
    </row>
    <row r="1022" spans="1:15">
      <c r="A1022" t="s">
        <v>639</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682</v>
      </c>
      <c r="G1022" t="str">
        <f>'4L'!$D$33</f>
        <v>£m</v>
      </c>
      <c r="O1022" t="str">
        <f>_xlfn.CONCAT('4L'!$B$30, "-", '4L'!$B$33, "-", '4L'!$G$7, "-", '4L'!$G$6, "-", '4L'!$F$5)</f>
        <v>Supply-demand balance-Supply-side improvements delivering benefits in 2020-2025-Raw water transport-Water network+-Expenditure in report year</v>
      </c>
    </row>
    <row r="1023" spans="1:15">
      <c r="A1023" t="s">
        <v>639</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682</v>
      </c>
      <c r="G1023" t="str">
        <f>'4L'!$D$33</f>
        <v>£m</v>
      </c>
      <c r="O1023" t="str">
        <f>_xlfn.CONCAT('4L'!$B$30, "-", '4L'!$B$33, "-", '4L'!$H$7, "-", '4L'!$G$6, "-", '4L'!$F$5)</f>
        <v>Supply-demand balance-Supply-side improvements delivering benefits in 2020-2025-Raw water storage-Water network+-Expenditure in report year</v>
      </c>
    </row>
    <row r="1024" spans="1:15">
      <c r="A1024" t="s">
        <v>639</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682</v>
      </c>
      <c r="G1024" t="str">
        <f>'4L'!$D$33</f>
        <v>£m</v>
      </c>
      <c r="O1024" t="str">
        <f>_xlfn.CONCAT('4L'!$B$30, "-", '4L'!$B$33, "-", '4L'!$I$7, "-", '4L'!$G$6, "-", '4L'!$F$5)</f>
        <v>Supply-demand balance-Supply-side improvements delivering benefits in 2020-2025-Water treatment-Water network+-Expenditure in report year</v>
      </c>
    </row>
    <row r="1025" spans="1:15">
      <c r="A1025" t="s">
        <v>639</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682</v>
      </c>
      <c r="G1025" t="str">
        <f>'4L'!$D$33</f>
        <v>£m</v>
      </c>
      <c r="O1025" t="str">
        <f>_xlfn.CONCAT('4L'!$B$30, "-", '4L'!$B$33, "-", '4L'!$J$7, "-", '4L'!$G$6, "-", '4L'!$F$5)</f>
        <v>Supply-demand balance-Supply-side improvements delivering benefits in 2020-2025-Treated water distribution-Water network+-Expenditure in report year</v>
      </c>
    </row>
    <row r="1026" spans="1:15">
      <c r="A1026" t="s">
        <v>639</v>
      </c>
      <c r="B1026" t="str">
        <f>'4L'!$BA$33</f>
        <v>B0231SST_TOT</v>
      </c>
      <c r="D1026" t="str">
        <f>_xlfn.CONCAT('4L'!$B$30, "-", '4L'!$B$33, "-", '4L'!$K$6, "-", '4L'!$K$6, "-", '4L'!$F$5)</f>
        <v>Supply-demand balance-Supply-side improvements delivering benefits in 2020-2025-Total-Total-Expenditure in report year</v>
      </c>
      <c r="E1026" t="str">
        <f>'4L'!$C$33</f>
        <v>Totex</v>
      </c>
      <c r="F1026" t="s">
        <v>682</v>
      </c>
      <c r="G1026" t="str">
        <f>'4L'!$D$33</f>
        <v>£m</v>
      </c>
      <c r="O1026" t="str">
        <f>_xlfn.CONCAT('4L'!$B$30, "-", '4L'!$B$33, "-", '4L'!$K$6, "-", '4L'!$K$6, "-", '4L'!$F$5)</f>
        <v>Supply-demand balance-Supply-side improvements delivering benefits in 2020-2025-Total-Total-Expenditure in report year</v>
      </c>
    </row>
    <row r="1027" spans="1:15">
      <c r="A1027" t="s">
        <v>639</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682</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639</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682</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639</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682</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639</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682</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639</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682</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639</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682</v>
      </c>
      <c r="G1032" t="str">
        <f>'4L'!$D$33</f>
        <v>£m</v>
      </c>
      <c r="O1032" t="str">
        <f>_xlfn.CONCAT('4L'!$B$30, "-", '4L'!$B$33, "-", '4L'!$Q$6, "-", '4L'!$Q$6, "-", '4L'!$L$5)</f>
        <v>Supply-demand balance-Supply-side improvements delivering benefits in 2020-2025-Total-Total-Cumulative expenditure on schemes completed in the report year</v>
      </c>
    </row>
    <row r="1033" spans="1:15">
      <c r="A1033" t="s">
        <v>639</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682</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639</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682</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639</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682</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639</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682</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639</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682</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639</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682</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639</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682</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639</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682</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639</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682</v>
      </c>
      <c r="G1041" t="str">
        <f>'4L'!$D$34</f>
        <v>£m</v>
      </c>
      <c r="O1041" t="str">
        <f>_xlfn.CONCAT('4L'!$B$30, "-", '4L'!$B$34, "-", '4L'!$K$6, "-", '4L'!$K$6, "-", '4L'!$F$5)</f>
        <v>Supply-demand balance-Demand-side improvements delivering benefits in 2020-2025 (excl leakage and metering)-Total-Total-Expenditure in report year</v>
      </c>
    </row>
    <row r="1042" spans="1:15">
      <c r="A1042" t="s">
        <v>639</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682</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639</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682</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639</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682</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639</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682</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639</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682</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639</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682</v>
      </c>
      <c r="G1047" t="str">
        <f>'4L'!$D$35</f>
        <v>£m</v>
      </c>
      <c r="O1047" t="str">
        <f>_xlfn.CONCAT('4L'!$B$30, "-", '4L'!$B$35, "-", '4L'!$K$6, "-", '4L'!$K$6, "-", '4L'!$F$5)</f>
        <v>Supply-demand balance-Demand-side improvements delivering benefits in 2020-2025 (excl leakage and metering)-Total-Total-Expenditure in report year</v>
      </c>
    </row>
    <row r="1048" spans="1:15">
      <c r="A1048" t="s">
        <v>639</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682</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639</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682</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639</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682</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639</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682</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639</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682</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639</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682</v>
      </c>
      <c r="G1053" t="str">
        <f>'4L'!$D$36</f>
        <v>£m</v>
      </c>
      <c r="O1053" t="str">
        <f>_xlfn.CONCAT('4L'!$B$30, "-", '4L'!$B$36, "-", '4L'!$K$6, "-", '4L'!$K$6, "-", '4L'!$F$5)</f>
        <v>Supply-demand balance-Demand-side improvements delivering benefits in 2020-2025 (excl leakage and metering)-Total-Total-Expenditure in report year</v>
      </c>
    </row>
    <row r="1054" spans="1:15">
      <c r="A1054" t="s">
        <v>639</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682</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639</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682</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639</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682</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639</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682</v>
      </c>
      <c r="G1057" t="str">
        <f>'4L'!$D$37</f>
        <v>£m</v>
      </c>
      <c r="O1057" t="str">
        <f>_xlfn.CONCAT('4L'!$B$30, "-", '4L'!$B$37, "-", '4L'!$F$6, "-", '4L'!$F$6, "-", '4L'!$F$5)</f>
        <v>Supply-demand balance-Leakage improvements delivering benefits in 2020-2025-Water resources-Water resources-Expenditure in report year</v>
      </c>
    </row>
    <row r="1058" spans="1:15">
      <c r="A1058" t="s">
        <v>639</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682</v>
      </c>
      <c r="G1058" t="str">
        <f>'4L'!$D$37</f>
        <v>£m</v>
      </c>
      <c r="O1058" t="str">
        <f>_xlfn.CONCAT('4L'!$B$30, "-", '4L'!$B$37, "-", '4L'!$G$7, "-", '4L'!$G$6, "-", '4L'!$F$5)</f>
        <v>Supply-demand balance-Leakage improvements delivering benefits in 2020-2025-Raw water transport-Water network+-Expenditure in report year</v>
      </c>
    </row>
    <row r="1059" spans="1:15">
      <c r="A1059" t="s">
        <v>639</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682</v>
      </c>
      <c r="G1059" t="str">
        <f>'4L'!$D$37</f>
        <v>£m</v>
      </c>
      <c r="O1059" t="str">
        <f>_xlfn.CONCAT('4L'!$B$30, "-", '4L'!$B$37, "-", '4L'!$H$7, "-", '4L'!$G$6, "-", '4L'!$F$5)</f>
        <v>Supply-demand balance-Leakage improvements delivering benefits in 2020-2025-Raw water storage-Water network+-Expenditure in report year</v>
      </c>
    </row>
    <row r="1060" spans="1:15">
      <c r="A1060" t="s">
        <v>639</v>
      </c>
      <c r="B1060" t="str">
        <f>'4L'!$AY$37</f>
        <v>B0235LIC_WT</v>
      </c>
      <c r="D1060" t="str">
        <f>_xlfn.CONCAT('4L'!$B$30, "-", '4L'!$B$37, "-", '4L'!$I$7, "-", '4L'!$G$6, "-", '4L'!$F$5)</f>
        <v>Supply-demand balance-Leakage improvements delivering benefits in 2020-2025-Water treatment-Water network+-Expenditure in report year</v>
      </c>
      <c r="E1060" t="str">
        <f>'4L'!$C$37</f>
        <v>Capex</v>
      </c>
      <c r="F1060" t="s">
        <v>682</v>
      </c>
      <c r="G1060" t="str">
        <f>'4L'!$D$37</f>
        <v>£m</v>
      </c>
      <c r="O1060" t="str">
        <f>_xlfn.CONCAT('4L'!$B$30, "-", '4L'!$B$37, "-", '4L'!$I$7, "-", '4L'!$G$6, "-", '4L'!$F$5)</f>
        <v>Supply-demand balance-Leakage improvements delivering benefits in 2020-2025-Water treatment-Water network+-Expenditure in report year</v>
      </c>
    </row>
    <row r="1061" spans="1:15">
      <c r="A1061" t="s">
        <v>639</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682</v>
      </c>
      <c r="G1061" t="str">
        <f>'4L'!$D$37</f>
        <v>£m</v>
      </c>
      <c r="O1061" t="str">
        <f>_xlfn.CONCAT('4L'!$B$30, "-", '4L'!$B$37, "-", '4L'!$J$7, "-", '4L'!$G$6, "-", '4L'!$F$5)</f>
        <v>Supply-demand balance-Leakage improvements delivering benefits in 2020-2025-Treated water distribution-Water network+-Expenditure in report year</v>
      </c>
    </row>
    <row r="1062" spans="1:15">
      <c r="A1062" t="s">
        <v>639</v>
      </c>
      <c r="B1062" t="str">
        <f>'4L'!$BA$37</f>
        <v>B0235LIC_TOT</v>
      </c>
      <c r="D1062" t="str">
        <f>_xlfn.CONCAT('4L'!$B$30, "-", '4L'!$B$37, "-", '4L'!$K$6, "-", '4L'!$K$6, "-", '4L'!$F$5)</f>
        <v>Supply-demand balance-Leakage improvements delivering benefits in 2020-2025-Total-Total-Expenditure in report year</v>
      </c>
      <c r="E1062" t="str">
        <f>'4L'!$C$37</f>
        <v>Capex</v>
      </c>
      <c r="F1062" t="s">
        <v>682</v>
      </c>
      <c r="G1062" t="str">
        <f>'4L'!$D$37</f>
        <v>£m</v>
      </c>
      <c r="O1062" t="str">
        <f>_xlfn.CONCAT('4L'!$B$30, "-", '4L'!$B$37, "-", '4L'!$K$6, "-", '4L'!$K$6, "-", '4L'!$F$5)</f>
        <v>Supply-demand balance-Leakage improvements delivering benefits in 2020-2025-Total-Total-Expenditure in report year</v>
      </c>
    </row>
    <row r="1063" spans="1:15">
      <c r="A1063" t="s">
        <v>639</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682</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639</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682</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639</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682</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639</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682</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639</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682</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639</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682</v>
      </c>
      <c r="G1068" t="str">
        <f>'4L'!$D$37</f>
        <v>£m</v>
      </c>
      <c r="O1068" t="str">
        <f>_xlfn.CONCAT('4L'!$B$30, "-", '4L'!$B$37, "-", '4L'!$Q$6, "-", '4L'!$Q$6, "-", '4L'!$L$5)</f>
        <v>Supply-demand balance-Leakage improvements delivering benefits in 2020-2025-Total-Total-Cumulative expenditure on schemes completed in the report year</v>
      </c>
    </row>
    <row r="1069" spans="1:15">
      <c r="A1069" t="s">
        <v>639</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682</v>
      </c>
      <c r="G1069" t="str">
        <f>'4L'!$D$38</f>
        <v>£m</v>
      </c>
      <c r="O1069" t="str">
        <f>_xlfn.CONCAT('4L'!$B$30, "-", '4L'!$B$38, "-", '4L'!$F$6, "-", '4L'!$F$6, "-", '4L'!$F$5)</f>
        <v>Supply-demand balance-Leakage improvements delivering benefits in 2020-2025-Water resources-Water resources-Expenditure in report year</v>
      </c>
    </row>
    <row r="1070" spans="1:15">
      <c r="A1070" t="s">
        <v>639</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682</v>
      </c>
      <c r="G1070" t="str">
        <f>'4L'!$D$38</f>
        <v>£m</v>
      </c>
      <c r="O1070" t="str">
        <f>_xlfn.CONCAT('4L'!$B$30, "-", '4L'!$B$38, "-", '4L'!$G$7, "-", '4L'!$G$6, "-", '4L'!$F$5)</f>
        <v>Supply-demand balance-Leakage improvements delivering benefits in 2020-2025-Raw water transport-Water network+-Expenditure in report year</v>
      </c>
    </row>
    <row r="1071" spans="1:15">
      <c r="A1071" t="s">
        <v>639</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682</v>
      </c>
      <c r="G1071" t="str">
        <f>'4L'!$D$38</f>
        <v>£m</v>
      </c>
      <c r="O1071" t="str">
        <f>_xlfn.CONCAT('4L'!$B$30, "-", '4L'!$B$38, "-", '4L'!$H$7, "-", '4L'!$G$6, "-", '4L'!$F$5)</f>
        <v>Supply-demand balance-Leakage improvements delivering benefits in 2020-2025-Raw water storage-Water network+-Expenditure in report year</v>
      </c>
    </row>
    <row r="1072" spans="1:15">
      <c r="A1072" t="s">
        <v>639</v>
      </c>
      <c r="B1072" t="str">
        <f>'4L'!$AY$38</f>
        <v>B0236LIO_WT</v>
      </c>
      <c r="D1072" t="str">
        <f>_xlfn.CONCAT('4L'!$B$30, "-", '4L'!$B$38, "-", '4L'!$I$7, "-", '4L'!$G$6, "-", '4L'!$F$5)</f>
        <v>Supply-demand balance-Leakage improvements delivering benefits in 2020-2025-Water treatment-Water network+-Expenditure in report year</v>
      </c>
      <c r="E1072" t="str">
        <f>'4L'!$C$38</f>
        <v>Opex</v>
      </c>
      <c r="F1072" t="s">
        <v>682</v>
      </c>
      <c r="G1072" t="str">
        <f>'4L'!$D$38</f>
        <v>£m</v>
      </c>
      <c r="O1072" t="str">
        <f>_xlfn.CONCAT('4L'!$B$30, "-", '4L'!$B$38, "-", '4L'!$I$7, "-", '4L'!$G$6, "-", '4L'!$F$5)</f>
        <v>Supply-demand balance-Leakage improvements delivering benefits in 2020-2025-Water treatment-Water network+-Expenditure in report year</v>
      </c>
    </row>
    <row r="1073" spans="1:15">
      <c r="A1073" t="s">
        <v>639</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682</v>
      </c>
      <c r="G1073" t="str">
        <f>'4L'!$D$38</f>
        <v>£m</v>
      </c>
      <c r="O1073" t="str">
        <f>_xlfn.CONCAT('4L'!$B$30, "-", '4L'!$B$38, "-", '4L'!$J$7, "-", '4L'!$G$6, "-", '4L'!$F$5)</f>
        <v>Supply-demand balance-Leakage improvements delivering benefits in 2020-2025-Treated water distribution-Water network+-Expenditure in report year</v>
      </c>
    </row>
    <row r="1074" spans="1:15">
      <c r="A1074" t="s">
        <v>639</v>
      </c>
      <c r="B1074" t="str">
        <f>'4L'!$BA$38</f>
        <v>B0236LIO_TOT</v>
      </c>
      <c r="D1074" t="str">
        <f>_xlfn.CONCAT('4L'!$B$30, "-", '4L'!$B$38, "-", '4L'!$K$6, "-", '4L'!$K$6, "-", '4L'!$F$5)</f>
        <v>Supply-demand balance-Leakage improvements delivering benefits in 2020-2025-Total-Total-Expenditure in report year</v>
      </c>
      <c r="E1074" t="str">
        <f>'4L'!$C$38</f>
        <v>Opex</v>
      </c>
      <c r="F1074" t="s">
        <v>682</v>
      </c>
      <c r="G1074" t="str">
        <f>'4L'!$D$38</f>
        <v>£m</v>
      </c>
      <c r="O1074" t="str">
        <f>_xlfn.CONCAT('4L'!$B$30, "-", '4L'!$B$38, "-", '4L'!$K$6, "-", '4L'!$K$6, "-", '4L'!$F$5)</f>
        <v>Supply-demand balance-Leakage improvements delivering benefits in 2020-2025-Total-Total-Expenditure in report year</v>
      </c>
    </row>
    <row r="1075" spans="1:15">
      <c r="A1075" t="s">
        <v>639</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682</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639</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682</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639</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682</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639</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682</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639</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682</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639</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682</v>
      </c>
      <c r="G1080" t="str">
        <f>'4L'!$D$38</f>
        <v>£m</v>
      </c>
      <c r="O1080" t="str">
        <f>_xlfn.CONCAT('4L'!$B$30, "-", '4L'!$B$38, "-", '4L'!$Q$6, "-", '4L'!$Q$6, "-", '4L'!$L$5)</f>
        <v>Supply-demand balance-Leakage improvements delivering benefits in 2020-2025-Total-Total-Cumulative expenditure on schemes completed in the report year</v>
      </c>
    </row>
    <row r="1081" spans="1:15">
      <c r="A1081" t="s">
        <v>639</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682</v>
      </c>
      <c r="G1081" t="str">
        <f>'4L'!$D$39</f>
        <v>£m</v>
      </c>
      <c r="O1081" t="str">
        <f>_xlfn.CONCAT('4L'!$B$30, "-", '4L'!$B$39, "-", '4L'!$F$6, "-", '4L'!$F$6, "-", '4L'!$F$5)</f>
        <v>Supply-demand balance-Leakage improvements delivering benefits in 2020-2025-Water resources-Water resources-Expenditure in report year</v>
      </c>
    </row>
    <row r="1082" spans="1:15">
      <c r="A1082" t="s">
        <v>639</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682</v>
      </c>
      <c r="G1082" t="str">
        <f>'4L'!$D$39</f>
        <v>£m</v>
      </c>
      <c r="O1082" t="str">
        <f>_xlfn.CONCAT('4L'!$B$30, "-", '4L'!$B$39, "-", '4L'!$G$7, "-", '4L'!$G$6, "-", '4L'!$F$5)</f>
        <v>Supply-demand balance-Leakage improvements delivering benefits in 2020-2025-Raw water transport-Water network+-Expenditure in report year</v>
      </c>
    </row>
    <row r="1083" spans="1:15">
      <c r="A1083" t="s">
        <v>639</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682</v>
      </c>
      <c r="G1083" t="str">
        <f>'4L'!$D$39</f>
        <v>£m</v>
      </c>
      <c r="O1083" t="str">
        <f>_xlfn.CONCAT('4L'!$B$30, "-", '4L'!$B$39, "-", '4L'!$H$7, "-", '4L'!$G$6, "-", '4L'!$F$5)</f>
        <v>Supply-demand balance-Leakage improvements delivering benefits in 2020-2025-Raw water storage-Water network+-Expenditure in report year</v>
      </c>
    </row>
    <row r="1084" spans="1:15">
      <c r="A1084" t="s">
        <v>639</v>
      </c>
      <c r="B1084" t="str">
        <f>'4L'!$AY$39</f>
        <v>B0237LIT_WT</v>
      </c>
      <c r="D1084" t="str">
        <f>_xlfn.CONCAT('4L'!$B$30, "-", '4L'!$B$39, "-", '4L'!$I$7, "-", '4L'!$G$6, "-", '4L'!$F$5)</f>
        <v>Supply-demand balance-Leakage improvements delivering benefits in 2020-2025-Water treatment-Water network+-Expenditure in report year</v>
      </c>
      <c r="E1084" t="str">
        <f>'4L'!$C$39</f>
        <v>Totex</v>
      </c>
      <c r="F1084" t="s">
        <v>682</v>
      </c>
      <c r="G1084" t="str">
        <f>'4L'!$D$39</f>
        <v>£m</v>
      </c>
      <c r="O1084" t="str">
        <f>_xlfn.CONCAT('4L'!$B$30, "-", '4L'!$B$39, "-", '4L'!$I$7, "-", '4L'!$G$6, "-", '4L'!$F$5)</f>
        <v>Supply-demand balance-Leakage improvements delivering benefits in 2020-2025-Water treatment-Water network+-Expenditure in report year</v>
      </c>
    </row>
    <row r="1085" spans="1:15">
      <c r="A1085" t="s">
        <v>639</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682</v>
      </c>
      <c r="G1085" t="str">
        <f>'4L'!$D$39</f>
        <v>£m</v>
      </c>
      <c r="O1085" t="str">
        <f>_xlfn.CONCAT('4L'!$B$30, "-", '4L'!$B$39, "-", '4L'!$J$7, "-", '4L'!$G$6, "-", '4L'!$F$5)</f>
        <v>Supply-demand balance-Leakage improvements delivering benefits in 2020-2025-Treated water distribution-Water network+-Expenditure in report year</v>
      </c>
    </row>
    <row r="1086" spans="1:15">
      <c r="A1086" t="s">
        <v>639</v>
      </c>
      <c r="B1086" t="str">
        <f>'4L'!$BA$39</f>
        <v>B0237LIT_TOT</v>
      </c>
      <c r="D1086" t="str">
        <f>_xlfn.CONCAT('4L'!$B$30, "-", '4L'!$B$39, "-", '4L'!$K$6, "-", '4L'!$K$6, "-", '4L'!$F$5)</f>
        <v>Supply-demand balance-Leakage improvements delivering benefits in 2020-2025-Total-Total-Expenditure in report year</v>
      </c>
      <c r="E1086" t="str">
        <f>'4L'!$C$39</f>
        <v>Totex</v>
      </c>
      <c r="F1086" t="s">
        <v>682</v>
      </c>
      <c r="G1086" t="str">
        <f>'4L'!$D$39</f>
        <v>£m</v>
      </c>
      <c r="O1086" t="str">
        <f>_xlfn.CONCAT('4L'!$B$30, "-", '4L'!$B$39, "-", '4L'!$K$6, "-", '4L'!$K$6, "-", '4L'!$F$5)</f>
        <v>Supply-demand balance-Leakage improvements delivering benefits in 2020-2025-Total-Total-Expenditure in report year</v>
      </c>
    </row>
    <row r="1087" spans="1:15">
      <c r="A1087" t="s">
        <v>639</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682</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639</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682</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639</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682</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639</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682</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639</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682</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639</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682</v>
      </c>
      <c r="G1092" t="str">
        <f>'4L'!$D$39</f>
        <v>£m</v>
      </c>
      <c r="O1092" t="str">
        <f>_xlfn.CONCAT('4L'!$B$30, "-", '4L'!$B$39, "-", '4L'!$Q$6, "-", '4L'!$Q$6, "-", '4L'!$L$5)</f>
        <v>Supply-demand balance-Leakage improvements delivering benefits in 2020-2025-Total-Total-Cumulative expenditure on schemes completed in the report year</v>
      </c>
    </row>
    <row r="1093" spans="1:15">
      <c r="A1093" t="s">
        <v>639</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682</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639</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682</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639</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682</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639</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682</v>
      </c>
      <c r="G1096" t="str">
        <f>'4L'!$D$40</f>
        <v>£m</v>
      </c>
      <c r="O1096" t="str">
        <f>_xlfn.CONCAT('4L'!$B$30, "-", '4L'!$B$40, "-", '4L'!$F$6, "-", '4L'!$F$6, "-", '4L'!$F$5)</f>
        <v>Supply-demand balance-Internal interconnectors delivering benefits in 2020-2025-Water resources-Water resources-Expenditure in report year</v>
      </c>
    </row>
    <row r="1097" spans="1:15">
      <c r="A1097" t="s">
        <v>639</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682</v>
      </c>
      <c r="G1097" t="str">
        <f>'4L'!$D$40</f>
        <v>£m</v>
      </c>
      <c r="O1097" t="str">
        <f>_xlfn.CONCAT('4L'!$B$30, "-", '4L'!$B$40, "-", '4L'!$G$7, "-", '4L'!$G$6, "-", '4L'!$F$5)</f>
        <v>Supply-demand balance-Internal interconnectors delivering benefits in 2020-2025-Raw water transport-Water network+-Expenditure in report year</v>
      </c>
    </row>
    <row r="1098" spans="1:15">
      <c r="A1098" t="s">
        <v>639</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682</v>
      </c>
      <c r="G1098" t="str">
        <f>'4L'!$D$40</f>
        <v>£m</v>
      </c>
      <c r="O1098" t="str">
        <f>_xlfn.CONCAT('4L'!$B$30, "-", '4L'!$B$40, "-", '4L'!$H$7, "-", '4L'!$G$6, "-", '4L'!$F$5)</f>
        <v>Supply-demand balance-Internal interconnectors delivering benefits in 2020-2025-Raw water storage-Water network+-Expenditure in report year</v>
      </c>
    </row>
    <row r="1099" spans="1:15">
      <c r="A1099" t="s">
        <v>639</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682</v>
      </c>
      <c r="G1099" t="str">
        <f>'4L'!$D$40</f>
        <v>£m</v>
      </c>
      <c r="O1099" t="str">
        <f>_xlfn.CONCAT('4L'!$B$30, "-", '4L'!$B$40, "-", '4L'!$I$7, "-", '4L'!$G$6, "-", '4L'!$F$5)</f>
        <v>Supply-demand balance-Internal interconnectors delivering benefits in 2020-2025-Water treatment-Water network+-Expenditure in report year</v>
      </c>
    </row>
    <row r="1100" spans="1:15">
      <c r="A1100" t="s">
        <v>639</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682</v>
      </c>
      <c r="G1100" t="str">
        <f>'4L'!$D$40</f>
        <v>£m</v>
      </c>
      <c r="O1100" t="str">
        <f>_xlfn.CONCAT('4L'!$B$30, "-", '4L'!$B$40, "-", '4L'!$J$7, "-", '4L'!$G$6, "-", '4L'!$F$5)</f>
        <v>Supply-demand balance-Internal interconnectors delivering benefits in 2020-2025-Treated water distribution-Water network+-Expenditure in report year</v>
      </c>
    </row>
    <row r="1101" spans="1:15">
      <c r="A1101" t="s">
        <v>639</v>
      </c>
      <c r="B1101" t="str">
        <f>'4L'!$BA$40</f>
        <v>B0238IIC_TOT</v>
      </c>
      <c r="D1101" t="str">
        <f>_xlfn.CONCAT('4L'!$B$30, "-", '4L'!$B$40, "-", '4L'!$K$6, "-", '4L'!$K$6, "-", '4L'!$F$5)</f>
        <v>Supply-demand balance-Internal interconnectors delivering benefits in 2020-2025-Total-Total-Expenditure in report year</v>
      </c>
      <c r="E1101" t="str">
        <f>'4L'!$C$40</f>
        <v>Capex</v>
      </c>
      <c r="F1101" t="s">
        <v>682</v>
      </c>
      <c r="G1101" t="str">
        <f>'4L'!$D$40</f>
        <v>£m</v>
      </c>
      <c r="O1101" t="str">
        <f>_xlfn.CONCAT('4L'!$B$30, "-", '4L'!$B$40, "-", '4L'!$K$6, "-", '4L'!$K$6, "-", '4L'!$F$5)</f>
        <v>Supply-demand balance-Internal interconnectors delivering benefits in 2020-2025-Total-Total-Expenditure in report year</v>
      </c>
    </row>
    <row r="1102" spans="1:15">
      <c r="A1102" t="s">
        <v>639</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682</v>
      </c>
      <c r="G1102" t="str">
        <f>'4L'!$D$41</f>
        <v>£m</v>
      </c>
      <c r="O1102" t="str">
        <f>_xlfn.CONCAT('4L'!$B$30, "-", '4L'!$B$41, "-", '4L'!$F$6, "-", '4L'!$F$6, "-", '4L'!$F$5)</f>
        <v>Supply-demand balance-Internal interconnectors delivering benefits in 2020-2025-Water resources-Water resources-Expenditure in report year</v>
      </c>
    </row>
    <row r="1103" spans="1:15">
      <c r="A1103" t="s">
        <v>639</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682</v>
      </c>
      <c r="G1103" t="str">
        <f>'4L'!$D$41</f>
        <v>£m</v>
      </c>
      <c r="O1103" t="str">
        <f>_xlfn.CONCAT('4L'!$B$30, "-", '4L'!$B$41, "-", '4L'!$G$7, "-", '4L'!$G$6, "-", '4L'!$F$5)</f>
        <v>Supply-demand balance-Internal interconnectors delivering benefits in 2020-2025-Raw water transport-Water network+-Expenditure in report year</v>
      </c>
    </row>
    <row r="1104" spans="1:15">
      <c r="A1104" t="s">
        <v>639</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682</v>
      </c>
      <c r="G1104" t="str">
        <f>'4L'!$D$41</f>
        <v>£m</v>
      </c>
      <c r="O1104" t="str">
        <f>_xlfn.CONCAT('4L'!$B$30, "-", '4L'!$B$41, "-", '4L'!$H$7, "-", '4L'!$G$6, "-", '4L'!$F$5)</f>
        <v>Supply-demand balance-Internal interconnectors delivering benefits in 2020-2025-Raw water storage-Water network+-Expenditure in report year</v>
      </c>
    </row>
    <row r="1105" spans="1:15">
      <c r="A1105" t="s">
        <v>639</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682</v>
      </c>
      <c r="G1105" t="str">
        <f>'4L'!$D$41</f>
        <v>£m</v>
      </c>
      <c r="O1105" t="str">
        <f>_xlfn.CONCAT('4L'!$B$30, "-", '4L'!$B$41, "-", '4L'!$I$7, "-", '4L'!$G$6, "-", '4L'!$F$5)</f>
        <v>Supply-demand balance-Internal interconnectors delivering benefits in 2020-2025-Water treatment-Water network+-Expenditure in report year</v>
      </c>
    </row>
    <row r="1106" spans="1:15">
      <c r="A1106" t="s">
        <v>639</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682</v>
      </c>
      <c r="G1106" t="str">
        <f>'4L'!$D$41</f>
        <v>£m</v>
      </c>
      <c r="O1106" t="str">
        <f>_xlfn.CONCAT('4L'!$B$30, "-", '4L'!$B$41, "-", '4L'!$J$7, "-", '4L'!$G$6, "-", '4L'!$F$5)</f>
        <v>Supply-demand balance-Internal interconnectors delivering benefits in 2020-2025-Treated water distribution-Water network+-Expenditure in report year</v>
      </c>
    </row>
    <row r="1107" spans="1:15">
      <c r="A1107" t="s">
        <v>639</v>
      </c>
      <c r="B1107" t="str">
        <f>'4L'!$BA$41</f>
        <v>B0239IIO_TOT</v>
      </c>
      <c r="D1107" t="str">
        <f>_xlfn.CONCAT('4L'!$B$30, "-", '4L'!$B$41, "-", '4L'!$K$6, "-", '4L'!$K$6, "-", '4L'!$F$5)</f>
        <v>Supply-demand balance-Internal interconnectors delivering benefits in 2020-2025-Total-Total-Expenditure in report year</v>
      </c>
      <c r="E1107" t="str">
        <f>'4L'!$C$41</f>
        <v>Opex</v>
      </c>
      <c r="F1107" t="s">
        <v>682</v>
      </c>
      <c r="G1107" t="str">
        <f>'4L'!$D$41</f>
        <v>£m</v>
      </c>
      <c r="O1107" t="str">
        <f>_xlfn.CONCAT('4L'!$B$30, "-", '4L'!$B$41, "-", '4L'!$K$6, "-", '4L'!$K$6, "-", '4L'!$F$5)</f>
        <v>Supply-demand balance-Internal interconnectors delivering benefits in 2020-2025-Total-Total-Expenditure in report year</v>
      </c>
    </row>
    <row r="1108" spans="1:15">
      <c r="A1108" t="s">
        <v>639</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682</v>
      </c>
      <c r="G1108" t="str">
        <f>'4L'!$D$42</f>
        <v>£m</v>
      </c>
      <c r="O1108" t="str">
        <f>_xlfn.CONCAT('4L'!$B$30, "-", '4L'!$B$42, "-", '4L'!$F$6, "-", '4L'!$F$6, "-", '4L'!$F$5)</f>
        <v>Supply-demand balance-Internal interconnectors delivering benefits in 2020-2025-Water resources-Water resources-Expenditure in report year</v>
      </c>
    </row>
    <row r="1109" spans="1:15">
      <c r="A1109" t="s">
        <v>639</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682</v>
      </c>
      <c r="G1109" t="str">
        <f>'4L'!$D$42</f>
        <v>£m</v>
      </c>
      <c r="O1109" t="str">
        <f>_xlfn.CONCAT('4L'!$B$30, "-", '4L'!$B$42, "-", '4L'!$G$7, "-", '4L'!$G$6, "-", '4L'!$F$5)</f>
        <v>Supply-demand balance-Internal interconnectors delivering benefits in 2020-2025-Raw water transport-Water network+-Expenditure in report year</v>
      </c>
    </row>
    <row r="1110" spans="1:15">
      <c r="A1110" t="s">
        <v>639</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682</v>
      </c>
      <c r="G1110" t="str">
        <f>'4L'!$D$42</f>
        <v>£m</v>
      </c>
      <c r="O1110" t="str">
        <f>_xlfn.CONCAT('4L'!$B$30, "-", '4L'!$B$42, "-", '4L'!$H$7, "-", '4L'!$G$6, "-", '4L'!$F$5)</f>
        <v>Supply-demand balance-Internal interconnectors delivering benefits in 2020-2025-Raw water storage-Water network+-Expenditure in report year</v>
      </c>
    </row>
    <row r="1111" spans="1:15">
      <c r="A1111" t="s">
        <v>639</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682</v>
      </c>
      <c r="G1111" t="str">
        <f>'4L'!$D$42</f>
        <v>£m</v>
      </c>
      <c r="O1111" t="str">
        <f>_xlfn.CONCAT('4L'!$B$30, "-", '4L'!$B$42, "-", '4L'!$I$7, "-", '4L'!$G$6, "-", '4L'!$F$5)</f>
        <v>Supply-demand balance-Internal interconnectors delivering benefits in 2020-2025-Water treatment-Water network+-Expenditure in report year</v>
      </c>
    </row>
    <row r="1112" spans="1:15">
      <c r="A1112" t="s">
        <v>639</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682</v>
      </c>
      <c r="G1112" t="str">
        <f>'4L'!$D$42</f>
        <v>£m</v>
      </c>
      <c r="O1112" t="str">
        <f>_xlfn.CONCAT('4L'!$B$30, "-", '4L'!$B$42, "-", '4L'!$J$7, "-", '4L'!$G$6, "-", '4L'!$F$5)</f>
        <v>Supply-demand balance-Internal interconnectors delivering benefits in 2020-2025-Treated water distribution-Water network+-Expenditure in report year</v>
      </c>
    </row>
    <row r="1113" spans="1:15">
      <c r="A1113" t="s">
        <v>639</v>
      </c>
      <c r="B1113" t="str">
        <f>'4L'!$BA$42</f>
        <v>B0240IIT_TOT</v>
      </c>
      <c r="D1113" t="str">
        <f>_xlfn.CONCAT('4L'!$B$30, "-", '4L'!$B$42, "-", '4L'!$K$6, "-", '4L'!$K$6, "-", '4L'!$F$5)</f>
        <v>Supply-demand balance-Internal interconnectors delivering benefits in 2020-2025-Total-Total-Expenditure in report year</v>
      </c>
      <c r="E1113" t="str">
        <f>'4L'!$C$42</f>
        <v>Totex</v>
      </c>
      <c r="F1113" t="s">
        <v>682</v>
      </c>
      <c r="G1113" t="str">
        <f>'4L'!$D$42</f>
        <v>£m</v>
      </c>
      <c r="O1113" t="str">
        <f>_xlfn.CONCAT('4L'!$B$30, "-", '4L'!$B$42, "-", '4L'!$K$6, "-", '4L'!$K$6, "-", '4L'!$F$5)</f>
        <v>Supply-demand balance-Internal interconnectors delivering benefits in 2020-2025-Total-Total-Expenditure in report year</v>
      </c>
    </row>
    <row r="1114" spans="1:15">
      <c r="A1114" t="s">
        <v>639</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682</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639</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682</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639</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682</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639</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682</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639</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682</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639</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682</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639</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682</v>
      </c>
      <c r="G1120" t="str">
        <f>'4L'!$D$43</f>
        <v>£m</v>
      </c>
      <c r="O1120" t="str">
        <f>_xlfn.CONCAT('4L'!$B$30, "-", '4L'!$B$43, "-", '4L'!$I$7, "-", '4L'!$G$6, "-", '4L'!$F$5)</f>
        <v>Supply-demand balance-Supply demand balance improvements delivering benefits starting from 2026-Water treatment-Water network+-Expenditure in report year</v>
      </c>
    </row>
    <row r="1121" spans="1:15">
      <c r="A1121" t="s">
        <v>639</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682</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639</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682</v>
      </c>
      <c r="G1122" t="str">
        <f>'4L'!$D$43</f>
        <v>£m</v>
      </c>
      <c r="O1122" t="str">
        <f>_xlfn.CONCAT('4L'!$B$30, "-", '4L'!$B$43, "-", '4L'!$K$6, "-", '4L'!$K$6, "-", '4L'!$F$5)</f>
        <v>Supply-demand balance-Supply demand balance improvements delivering benefits starting from 2026-Total-Total-Expenditure in report year</v>
      </c>
    </row>
    <row r="1123" spans="1:15">
      <c r="A1123" t="s">
        <v>639</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682</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639</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682</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639</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682</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639</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682</v>
      </c>
      <c r="G1126" t="str">
        <f>'4L'!$D$44</f>
        <v>£m</v>
      </c>
      <c r="O1126" t="str">
        <f>_xlfn.CONCAT('4L'!$B$30, "-", '4L'!$B$44, "-", '4L'!$I$7, "-", '4L'!$G$6, "-", '4L'!$F$5)</f>
        <v>Supply-demand balance-Supply demand balance improvements delivering benefits starting from 2026-Water treatment-Water network+-Expenditure in report year</v>
      </c>
    </row>
    <row r="1127" spans="1:15">
      <c r="A1127" t="s">
        <v>639</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682</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639</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682</v>
      </c>
      <c r="G1128" t="str">
        <f>'4L'!$D$44</f>
        <v>£m</v>
      </c>
      <c r="O1128" t="str">
        <f>_xlfn.CONCAT('4L'!$B$30, "-", '4L'!$B$44, "-", '4L'!$K$6, "-", '4L'!$K$6, "-", '4L'!$F$5)</f>
        <v>Supply-demand balance-Supply demand balance improvements delivering benefits starting from 2026-Total-Total-Expenditure in report year</v>
      </c>
    </row>
    <row r="1129" spans="1:15">
      <c r="A1129" t="s">
        <v>639</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682</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639</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682</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639</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682</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639</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682</v>
      </c>
      <c r="G1132" t="str">
        <f>'4L'!$D$45</f>
        <v>£m</v>
      </c>
      <c r="O1132" t="str">
        <f>_xlfn.CONCAT('4L'!$B$30, "-", '4L'!$B$45, "-", '4L'!$I$7, "-", '4L'!$G$6, "-", '4L'!$F$5)</f>
        <v>Supply-demand balance-Supply demand balance improvements delivering benefits starting from 2026-Water treatment-Water network+-Expenditure in report year</v>
      </c>
    </row>
    <row r="1133" spans="1:15">
      <c r="A1133" t="s">
        <v>639</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682</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639</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682</v>
      </c>
      <c r="G1134" t="str">
        <f>'4L'!$D$45</f>
        <v>£m</v>
      </c>
      <c r="O1134" t="str">
        <f>_xlfn.CONCAT('4L'!$B$30, "-", '4L'!$B$45, "-", '4L'!$K$6, "-", '4L'!$K$6, "-", '4L'!$F$5)</f>
        <v>Supply-demand balance-Supply demand balance improvements delivering benefits starting from 2026-Total-Total-Expenditure in report year</v>
      </c>
    </row>
    <row r="1135" spans="1:15">
      <c r="A1135" t="s">
        <v>639</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682</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639</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682</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639</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682</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639</v>
      </c>
      <c r="B1138" t="str">
        <f>'4L'!$AV$46</f>
        <v>B0244SRC_WR</v>
      </c>
      <c r="D1138" t="str">
        <f>_xlfn.CONCAT('4L'!$B$30, "-", '4L'!$B$46, "-", '4L'!$F$6, "-", '4L'!$F$6, "-", '4L'!$F$5)</f>
        <v>Supply-demand balance-Strategic regional water resources-Water resources-Water resources-Expenditure in report year</v>
      </c>
      <c r="E1138" t="str">
        <f>'4L'!$C$46</f>
        <v>Capex</v>
      </c>
      <c r="F1138" t="s">
        <v>682</v>
      </c>
      <c r="G1138" t="str">
        <f>'4L'!$D$46</f>
        <v>£m</v>
      </c>
      <c r="O1138" t="str">
        <f>_xlfn.CONCAT('4L'!$B$30, "-", '4L'!$B$46, "-", '4L'!$F$6, "-", '4L'!$F$6, "-", '4L'!$F$5)</f>
        <v>Supply-demand balance-Strategic regional water resources-Water resources-Water resources-Expenditure in report year</v>
      </c>
    </row>
    <row r="1139" spans="1:15">
      <c r="A1139" t="s">
        <v>639</v>
      </c>
      <c r="B1139" t="str">
        <f>'4L'!$AW$46</f>
        <v>B0244SRC_RWT</v>
      </c>
      <c r="D1139" t="str">
        <f>_xlfn.CONCAT('4L'!$B$30, "-", '4L'!$B$46, "-", '4L'!$G$7, "-", '4L'!$G$6, "-", '4L'!$F$5)</f>
        <v>Supply-demand balance-Strategic regional water resources-Raw water transport-Water network+-Expenditure in report year</v>
      </c>
      <c r="E1139" t="str">
        <f>'4L'!$C$46</f>
        <v>Capex</v>
      </c>
      <c r="F1139" t="s">
        <v>682</v>
      </c>
      <c r="G1139" t="str">
        <f>'4L'!$D$46</f>
        <v>£m</v>
      </c>
      <c r="O1139" t="str">
        <f>_xlfn.CONCAT('4L'!$B$30, "-", '4L'!$B$46, "-", '4L'!$G$7, "-", '4L'!$G$6, "-", '4L'!$F$5)</f>
        <v>Supply-demand balance-Strategic regional water resources-Raw water transport-Water network+-Expenditure in report year</v>
      </c>
    </row>
    <row r="1140" spans="1:15">
      <c r="A1140" t="s">
        <v>639</v>
      </c>
      <c r="B1140" t="str">
        <f>'4L'!$AX$46</f>
        <v>B0244SRC_RWS</v>
      </c>
      <c r="D1140" t="str">
        <f>_xlfn.CONCAT('4L'!$B$30, "-", '4L'!$B$46, "-", '4L'!$H$7, "-", '4L'!$G$6, "-", '4L'!$F$5)</f>
        <v>Supply-demand balance-Strategic regional water resources-Raw water storage-Water network+-Expenditure in report year</v>
      </c>
      <c r="E1140" t="str">
        <f>'4L'!$C$46</f>
        <v>Capex</v>
      </c>
      <c r="F1140" t="s">
        <v>682</v>
      </c>
      <c r="G1140" t="str">
        <f>'4L'!$D$46</f>
        <v>£m</v>
      </c>
      <c r="O1140" t="str">
        <f>_xlfn.CONCAT('4L'!$B$30, "-", '4L'!$B$46, "-", '4L'!$H$7, "-", '4L'!$G$6, "-", '4L'!$F$5)</f>
        <v>Supply-demand balance-Strategic regional water resources-Raw water storage-Water network+-Expenditure in report year</v>
      </c>
    </row>
    <row r="1141" spans="1:15">
      <c r="A1141" t="s">
        <v>639</v>
      </c>
      <c r="B1141" t="str">
        <f>'4L'!$AY$46</f>
        <v>B0244SRC_WT</v>
      </c>
      <c r="D1141" t="str">
        <f>_xlfn.CONCAT('4L'!$B$30, "-", '4L'!$B$46, "-", '4L'!$I$7, "-", '4L'!$G$6, "-", '4L'!$F$5)</f>
        <v>Supply-demand balance-Strategic regional water resources-Water treatment-Water network+-Expenditure in report year</v>
      </c>
      <c r="E1141" t="str">
        <f>'4L'!$C$46</f>
        <v>Capex</v>
      </c>
      <c r="F1141" t="s">
        <v>682</v>
      </c>
      <c r="G1141" t="str">
        <f>'4L'!$D$46</f>
        <v>£m</v>
      </c>
      <c r="O1141" t="str">
        <f>_xlfn.CONCAT('4L'!$B$30, "-", '4L'!$B$46, "-", '4L'!$I$7, "-", '4L'!$G$6, "-", '4L'!$F$5)</f>
        <v>Supply-demand balance-Strategic regional water resources-Water treatment-Water network+-Expenditure in report year</v>
      </c>
    </row>
    <row r="1142" spans="1:15">
      <c r="A1142" t="s">
        <v>639</v>
      </c>
      <c r="B1142" t="str">
        <f>'4L'!$AZ$46</f>
        <v>B0244SRC_TWD</v>
      </c>
      <c r="D1142" t="str">
        <f>_xlfn.CONCAT('4L'!$B$30, "-", '4L'!$B$46, "-", '4L'!$J$7, "-", '4L'!$G$6, "-", '4L'!$F$5)</f>
        <v>Supply-demand balance-Strategic regional water resources-Treated water distribution-Water network+-Expenditure in report year</v>
      </c>
      <c r="E1142" t="str">
        <f>'4L'!$C$46</f>
        <v>Capex</v>
      </c>
      <c r="F1142" t="s">
        <v>682</v>
      </c>
      <c r="G1142" t="str">
        <f>'4L'!$D$46</f>
        <v>£m</v>
      </c>
      <c r="O1142" t="str">
        <f>_xlfn.CONCAT('4L'!$B$30, "-", '4L'!$B$46, "-", '4L'!$J$7, "-", '4L'!$G$6, "-", '4L'!$F$5)</f>
        <v>Supply-demand balance-Strategic regional water resources-Treated water distribution-Water network+-Expenditure in report year</v>
      </c>
    </row>
    <row r="1143" spans="1:15">
      <c r="A1143" t="s">
        <v>639</v>
      </c>
      <c r="B1143" t="str">
        <f>'4L'!$BA$46</f>
        <v>B0244SRC_TOT</v>
      </c>
      <c r="D1143" t="str">
        <f>_xlfn.CONCAT('4L'!$B$30, "-", '4L'!$B$46, "-", '4L'!$K$6, "-", '4L'!$K$6, "-", '4L'!$F$5)</f>
        <v>Supply-demand balance-Strategic regional water resources-Total-Total-Expenditure in report year</v>
      </c>
      <c r="E1143" t="str">
        <f>'4L'!$C$46</f>
        <v>Capex</v>
      </c>
      <c r="F1143" t="s">
        <v>682</v>
      </c>
      <c r="G1143" t="str">
        <f>'4L'!$D$46</f>
        <v>£m</v>
      </c>
      <c r="O1143" t="str">
        <f>_xlfn.CONCAT('4L'!$B$30, "-", '4L'!$B$46, "-", '4L'!$K$6, "-", '4L'!$K$6, "-", '4L'!$F$5)</f>
        <v>Supply-demand balance-Strategic regional water resources-Total-Total-Expenditure in report year</v>
      </c>
    </row>
    <row r="1144" spans="1:15">
      <c r="A1144" t="s">
        <v>639</v>
      </c>
      <c r="B1144" t="str">
        <f>'4L'!$AV$47</f>
        <v>B0245SRO_WR</v>
      </c>
      <c r="D1144" t="str">
        <f>_xlfn.CONCAT('4L'!$B$30, "-", '4L'!$B$47, "-", '4L'!$F$6, "-", '4L'!$F$6, "-", '4L'!$F$5)</f>
        <v>Supply-demand balance-Strategic regional water resources-Water resources-Water resources-Expenditure in report year</v>
      </c>
      <c r="E1144" t="str">
        <f>'4L'!$C$47</f>
        <v>Opex</v>
      </c>
      <c r="F1144" t="s">
        <v>682</v>
      </c>
      <c r="G1144" t="str">
        <f>'4L'!$D$47</f>
        <v>£m</v>
      </c>
      <c r="O1144" t="str">
        <f>_xlfn.CONCAT('4L'!$B$30, "-", '4L'!$B$47, "-", '4L'!$F$6, "-", '4L'!$F$6, "-", '4L'!$F$5)</f>
        <v>Supply-demand balance-Strategic regional water resources-Water resources-Water resources-Expenditure in report year</v>
      </c>
    </row>
    <row r="1145" spans="1:15">
      <c r="A1145" t="s">
        <v>639</v>
      </c>
      <c r="B1145" t="str">
        <f>'4L'!$AW$47</f>
        <v>B0245SRO_RWT</v>
      </c>
      <c r="D1145" t="str">
        <f>_xlfn.CONCAT('4L'!$B$30, "-", '4L'!$B$47, "-", '4L'!$G$7, "-", '4L'!$G$6, "-", '4L'!$F$5)</f>
        <v>Supply-demand balance-Strategic regional water resources-Raw water transport-Water network+-Expenditure in report year</v>
      </c>
      <c r="E1145" t="str">
        <f>'4L'!$C$47</f>
        <v>Opex</v>
      </c>
      <c r="F1145" t="s">
        <v>682</v>
      </c>
      <c r="G1145" t="str">
        <f>'4L'!$D$47</f>
        <v>£m</v>
      </c>
      <c r="O1145" t="str">
        <f>_xlfn.CONCAT('4L'!$B$30, "-", '4L'!$B$47, "-", '4L'!$G$7, "-", '4L'!$G$6, "-", '4L'!$F$5)</f>
        <v>Supply-demand balance-Strategic regional water resources-Raw water transport-Water network+-Expenditure in report year</v>
      </c>
    </row>
    <row r="1146" spans="1:15">
      <c r="A1146" t="s">
        <v>639</v>
      </c>
      <c r="B1146" t="str">
        <f>'4L'!$AX$47</f>
        <v>B0245SRO_RWS</v>
      </c>
      <c r="D1146" t="str">
        <f>_xlfn.CONCAT('4L'!$B$30, "-", '4L'!$B$47, "-", '4L'!$H$7, "-", '4L'!$G$6, "-", '4L'!$F$5)</f>
        <v>Supply-demand balance-Strategic regional water resources-Raw water storage-Water network+-Expenditure in report year</v>
      </c>
      <c r="E1146" t="str">
        <f>'4L'!$C$47</f>
        <v>Opex</v>
      </c>
      <c r="F1146" t="s">
        <v>682</v>
      </c>
      <c r="G1146" t="str">
        <f>'4L'!$D$47</f>
        <v>£m</v>
      </c>
      <c r="O1146" t="str">
        <f>_xlfn.CONCAT('4L'!$B$30, "-", '4L'!$B$47, "-", '4L'!$H$7, "-", '4L'!$G$6, "-", '4L'!$F$5)</f>
        <v>Supply-demand balance-Strategic regional water resources-Raw water storage-Water network+-Expenditure in report year</v>
      </c>
    </row>
    <row r="1147" spans="1:15">
      <c r="A1147" t="s">
        <v>639</v>
      </c>
      <c r="B1147" t="str">
        <f>'4L'!$AY$47</f>
        <v>B0245SRO_WT</v>
      </c>
      <c r="D1147" t="str">
        <f>_xlfn.CONCAT('4L'!$B$30, "-", '4L'!$B$47, "-", '4L'!$I$7, "-", '4L'!$G$6, "-", '4L'!$F$5)</f>
        <v>Supply-demand balance-Strategic regional water resources-Water treatment-Water network+-Expenditure in report year</v>
      </c>
      <c r="E1147" t="str">
        <f>'4L'!$C$47</f>
        <v>Opex</v>
      </c>
      <c r="F1147" t="s">
        <v>682</v>
      </c>
      <c r="G1147" t="str">
        <f>'4L'!$D$47</f>
        <v>£m</v>
      </c>
      <c r="O1147" t="str">
        <f>_xlfn.CONCAT('4L'!$B$30, "-", '4L'!$B$47, "-", '4L'!$I$7, "-", '4L'!$G$6, "-", '4L'!$F$5)</f>
        <v>Supply-demand balance-Strategic regional water resources-Water treatment-Water network+-Expenditure in report year</v>
      </c>
    </row>
    <row r="1148" spans="1:15">
      <c r="A1148" t="s">
        <v>639</v>
      </c>
      <c r="B1148" t="str">
        <f>'4L'!$AZ$47</f>
        <v>B0245SRO_TWD</v>
      </c>
      <c r="D1148" t="str">
        <f>_xlfn.CONCAT('4L'!$B$30, "-", '4L'!$B$47, "-", '4L'!$J$7, "-", '4L'!$G$6, "-", '4L'!$F$5)</f>
        <v>Supply-demand balance-Strategic regional water resources-Treated water distribution-Water network+-Expenditure in report year</v>
      </c>
      <c r="E1148" t="str">
        <f>'4L'!$C$47</f>
        <v>Opex</v>
      </c>
      <c r="F1148" t="s">
        <v>682</v>
      </c>
      <c r="G1148" t="str">
        <f>'4L'!$D$47</f>
        <v>£m</v>
      </c>
      <c r="O1148" t="str">
        <f>_xlfn.CONCAT('4L'!$B$30, "-", '4L'!$B$47, "-", '4L'!$J$7, "-", '4L'!$G$6, "-", '4L'!$F$5)</f>
        <v>Supply-demand balance-Strategic regional water resources-Treated water distribution-Water network+-Expenditure in report year</v>
      </c>
    </row>
    <row r="1149" spans="1:15">
      <c r="A1149" t="s">
        <v>639</v>
      </c>
      <c r="B1149" t="str">
        <f>'4L'!$BA$47</f>
        <v>B0245SRO_TOT</v>
      </c>
      <c r="D1149" t="str">
        <f>_xlfn.CONCAT('4L'!$B$30, "-", '4L'!$B$47, "-", '4L'!$K$6, "-", '4L'!$K$6, "-", '4L'!$F$5)</f>
        <v>Supply-demand balance-Strategic regional water resources-Total-Total-Expenditure in report year</v>
      </c>
      <c r="E1149" t="str">
        <f>'4L'!$C$47</f>
        <v>Opex</v>
      </c>
      <c r="F1149" t="s">
        <v>682</v>
      </c>
      <c r="G1149" t="str">
        <f>'4L'!$D$47</f>
        <v>£m</v>
      </c>
      <c r="O1149" t="str">
        <f>_xlfn.CONCAT('4L'!$B$30, "-", '4L'!$B$47, "-", '4L'!$K$6, "-", '4L'!$K$6, "-", '4L'!$F$5)</f>
        <v>Supply-demand balance-Strategic regional water resources-Total-Total-Expenditure in report year</v>
      </c>
    </row>
    <row r="1150" spans="1:15">
      <c r="A1150" t="s">
        <v>639</v>
      </c>
      <c r="B1150" t="str">
        <f>'4L'!$AV$48</f>
        <v>B0246SRT_WR</v>
      </c>
      <c r="D1150" t="str">
        <f>_xlfn.CONCAT('4L'!$B$30, "-", '4L'!$B$48, "-", '4L'!$F$6, "-", '4L'!$F$6, "-", '4L'!$F$5)</f>
        <v>Supply-demand balance-Strategic regional water resources-Water resources-Water resources-Expenditure in report year</v>
      </c>
      <c r="E1150" t="str">
        <f>'4L'!$C$48</f>
        <v>Totex</v>
      </c>
      <c r="F1150" t="s">
        <v>682</v>
      </c>
      <c r="G1150" t="str">
        <f>'4L'!$D$48</f>
        <v>£m</v>
      </c>
      <c r="O1150" t="str">
        <f>_xlfn.CONCAT('4L'!$B$30, "-", '4L'!$B$48, "-", '4L'!$F$6, "-", '4L'!$F$6, "-", '4L'!$F$5)</f>
        <v>Supply-demand balance-Strategic regional water resources-Water resources-Water resources-Expenditure in report year</v>
      </c>
    </row>
    <row r="1151" spans="1:15">
      <c r="A1151" t="s">
        <v>639</v>
      </c>
      <c r="B1151" t="str">
        <f>'4L'!$AW$48</f>
        <v>B0246SRT_RWT</v>
      </c>
      <c r="D1151" t="str">
        <f>_xlfn.CONCAT('4L'!$B$30, "-", '4L'!$B$48, "-", '4L'!$G$7, "-", '4L'!$G$6, "-", '4L'!$F$5)</f>
        <v>Supply-demand balance-Strategic regional water resources-Raw water transport-Water network+-Expenditure in report year</v>
      </c>
      <c r="E1151" t="str">
        <f>'4L'!$C$48</f>
        <v>Totex</v>
      </c>
      <c r="F1151" t="s">
        <v>682</v>
      </c>
      <c r="G1151" t="str">
        <f>'4L'!$D$48</f>
        <v>£m</v>
      </c>
      <c r="O1151" t="str">
        <f>_xlfn.CONCAT('4L'!$B$30, "-", '4L'!$B$48, "-", '4L'!$G$7, "-", '4L'!$G$6, "-", '4L'!$F$5)</f>
        <v>Supply-demand balance-Strategic regional water resources-Raw water transport-Water network+-Expenditure in report year</v>
      </c>
    </row>
    <row r="1152" spans="1:15">
      <c r="A1152" t="s">
        <v>639</v>
      </c>
      <c r="B1152" t="str">
        <f>'4L'!$AX$48</f>
        <v>B0246SRT_RWS</v>
      </c>
      <c r="D1152" t="str">
        <f>_xlfn.CONCAT('4L'!$B$30, "-", '4L'!$B$48, "-", '4L'!$H$7, "-", '4L'!$G$6, "-", '4L'!$F$5)</f>
        <v>Supply-demand balance-Strategic regional water resources-Raw water storage-Water network+-Expenditure in report year</v>
      </c>
      <c r="E1152" t="str">
        <f>'4L'!$C$48</f>
        <v>Totex</v>
      </c>
      <c r="F1152" t="s">
        <v>682</v>
      </c>
      <c r="G1152" t="str">
        <f>'4L'!$D$48</f>
        <v>£m</v>
      </c>
      <c r="O1152" t="str">
        <f>_xlfn.CONCAT('4L'!$B$30, "-", '4L'!$B$48, "-", '4L'!$H$7, "-", '4L'!$G$6, "-", '4L'!$F$5)</f>
        <v>Supply-demand balance-Strategic regional water resources-Raw water storage-Water network+-Expenditure in report year</v>
      </c>
    </row>
    <row r="1153" spans="1:15">
      <c r="A1153" t="s">
        <v>639</v>
      </c>
      <c r="B1153" t="str">
        <f>'4L'!$AY$48</f>
        <v>B0246SRT_WT</v>
      </c>
      <c r="D1153" t="str">
        <f>_xlfn.CONCAT('4L'!$B$30, "-", '4L'!$B$48, "-", '4L'!$I$7, "-", '4L'!$G$6, "-", '4L'!$F$5)</f>
        <v>Supply-demand balance-Strategic regional water resources-Water treatment-Water network+-Expenditure in report year</v>
      </c>
      <c r="E1153" t="str">
        <f>'4L'!$C$48</f>
        <v>Totex</v>
      </c>
      <c r="F1153" t="s">
        <v>682</v>
      </c>
      <c r="G1153" t="str">
        <f>'4L'!$D$48</f>
        <v>£m</v>
      </c>
      <c r="O1153" t="str">
        <f>_xlfn.CONCAT('4L'!$B$30, "-", '4L'!$B$48, "-", '4L'!$I$7, "-", '4L'!$G$6, "-", '4L'!$F$5)</f>
        <v>Supply-demand balance-Strategic regional water resources-Water treatment-Water network+-Expenditure in report year</v>
      </c>
    </row>
    <row r="1154" spans="1:15">
      <c r="A1154" t="s">
        <v>639</v>
      </c>
      <c r="B1154" t="str">
        <f>'4L'!$AZ$48</f>
        <v>B0246SRT_TWD</v>
      </c>
      <c r="D1154" t="str">
        <f>_xlfn.CONCAT('4L'!$B$30, "-", '4L'!$B$48, "-", '4L'!$J$7, "-", '4L'!$G$6, "-", '4L'!$F$5)</f>
        <v>Supply-demand balance-Strategic regional water resources-Treated water distribution-Water network+-Expenditure in report year</v>
      </c>
      <c r="E1154" t="str">
        <f>'4L'!$C$48</f>
        <v>Totex</v>
      </c>
      <c r="F1154" t="s">
        <v>682</v>
      </c>
      <c r="G1154" t="str">
        <f>'4L'!$D$48</f>
        <v>£m</v>
      </c>
      <c r="O1154" t="str">
        <f>_xlfn.CONCAT('4L'!$B$30, "-", '4L'!$B$48, "-", '4L'!$J$7, "-", '4L'!$G$6, "-", '4L'!$F$5)</f>
        <v>Supply-demand balance-Strategic regional water resources-Treated water distribution-Water network+-Expenditure in report year</v>
      </c>
    </row>
    <row r="1155" spans="1:15">
      <c r="A1155" t="s">
        <v>639</v>
      </c>
      <c r="B1155" t="str">
        <f>'4L'!$BA$48</f>
        <v>B0246SRT_TOT</v>
      </c>
      <c r="D1155" t="str">
        <f>_xlfn.CONCAT('4L'!$B$30, "-", '4L'!$B$48, "-", '4L'!$K$6, "-", '4L'!$K$6, "-", '4L'!$F$5)</f>
        <v>Supply-demand balance-Strategic regional water resources-Total-Total-Expenditure in report year</v>
      </c>
      <c r="E1155" t="str">
        <f>'4L'!$C$48</f>
        <v>Totex</v>
      </c>
      <c r="F1155" t="s">
        <v>682</v>
      </c>
      <c r="G1155" t="str">
        <f>'4L'!$D$48</f>
        <v>£m</v>
      </c>
      <c r="O1155" t="str">
        <f>_xlfn.CONCAT('4L'!$B$30, "-", '4L'!$B$48, "-", '4L'!$K$6, "-", '4L'!$K$6, "-", '4L'!$F$5)</f>
        <v>Supply-demand balance-Strategic regional water resources-Total-Total-Expenditure in report year</v>
      </c>
    </row>
    <row r="1156" spans="1:15">
      <c r="A1156" t="s">
        <v>639</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682</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639</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682</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639</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682</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639</v>
      </c>
      <c r="B1159" t="str">
        <f>'4L'!$AV$49</f>
        <v>B0247SST_WR</v>
      </c>
      <c r="D1159" t="str">
        <f>_xlfn.CONCAT('4L'!$B$30, "-", '4L'!$B$49, "-", '4L'!$F$6, "-", '4L'!$F$6, "-", '4L'!$F$5)</f>
        <v>Supply-demand balance-Total supply demand expenditure -Water resources-Water resources-Expenditure in report year</v>
      </c>
      <c r="E1159" t="str">
        <f>'4L'!$C$49</f>
        <v>Totex</v>
      </c>
      <c r="F1159" t="s">
        <v>682</v>
      </c>
      <c r="G1159" t="str">
        <f>'4L'!$D$49</f>
        <v>£m</v>
      </c>
      <c r="O1159" t="str">
        <f>_xlfn.CONCAT('4L'!$B$30, "-", '4L'!$B$49, "-", '4L'!$F$6, "-", '4L'!$F$6, "-", '4L'!$F$5)</f>
        <v>Supply-demand balance-Total supply demand expenditure -Water resources-Water resources-Expenditure in report year</v>
      </c>
    </row>
    <row r="1160" spans="1:15">
      <c r="A1160" t="s">
        <v>639</v>
      </c>
      <c r="B1160" t="str">
        <f>'4L'!$AW$49</f>
        <v>B0247SST_RWT</v>
      </c>
      <c r="D1160" t="str">
        <f>_xlfn.CONCAT('4L'!$B$30, "-", '4L'!$B$49, "-", '4L'!$G$7, "-", '4L'!$G$6, "-", '4L'!$F$5)</f>
        <v>Supply-demand balance-Total supply demand expenditure -Raw water transport-Water network+-Expenditure in report year</v>
      </c>
      <c r="E1160" t="str">
        <f>'4L'!$C$49</f>
        <v>Totex</v>
      </c>
      <c r="F1160" t="s">
        <v>682</v>
      </c>
      <c r="G1160" t="str">
        <f>'4L'!$D$49</f>
        <v>£m</v>
      </c>
      <c r="O1160" t="str">
        <f>_xlfn.CONCAT('4L'!$B$30, "-", '4L'!$B$49, "-", '4L'!$G$7, "-", '4L'!$G$6, "-", '4L'!$F$5)</f>
        <v>Supply-demand balance-Total supply demand expenditure -Raw water transport-Water network+-Expenditure in report year</v>
      </c>
    </row>
    <row r="1161" spans="1:15">
      <c r="A1161" t="s">
        <v>639</v>
      </c>
      <c r="B1161" t="str">
        <f>'4L'!$AX$49</f>
        <v>B0247SST_RWS</v>
      </c>
      <c r="D1161" t="str">
        <f>_xlfn.CONCAT('4L'!$B$30, "-", '4L'!$B$49, "-", '4L'!$H$7, "-", '4L'!$G$6, "-", '4L'!$F$5)</f>
        <v>Supply-demand balance-Total supply demand expenditure -Raw water storage-Water network+-Expenditure in report year</v>
      </c>
      <c r="E1161" t="str">
        <f>'4L'!$C$49</f>
        <v>Totex</v>
      </c>
      <c r="F1161" t="s">
        <v>682</v>
      </c>
      <c r="G1161" t="str">
        <f>'4L'!$D$49</f>
        <v>£m</v>
      </c>
      <c r="O1161" t="str">
        <f>_xlfn.CONCAT('4L'!$B$30, "-", '4L'!$B$49, "-", '4L'!$H$7, "-", '4L'!$G$6, "-", '4L'!$F$5)</f>
        <v>Supply-demand balance-Total supply demand expenditure -Raw water storage-Water network+-Expenditure in report year</v>
      </c>
    </row>
    <row r="1162" spans="1:15">
      <c r="A1162" t="s">
        <v>639</v>
      </c>
      <c r="B1162" t="str">
        <f>'4L'!$AY$49</f>
        <v>B0247SST_WT</v>
      </c>
      <c r="D1162" t="str">
        <f>_xlfn.CONCAT('4L'!$B$30, "-", '4L'!$B$49, "-", '4L'!$I$7, "-", '4L'!$G$6, "-", '4L'!$F$5)</f>
        <v>Supply-demand balance-Total supply demand expenditure -Water treatment-Water network+-Expenditure in report year</v>
      </c>
      <c r="E1162" t="str">
        <f>'4L'!$C$49</f>
        <v>Totex</v>
      </c>
      <c r="F1162" t="s">
        <v>682</v>
      </c>
      <c r="G1162" t="str">
        <f>'4L'!$D$49</f>
        <v>£m</v>
      </c>
      <c r="O1162" t="str">
        <f>_xlfn.CONCAT('4L'!$B$30, "-", '4L'!$B$49, "-", '4L'!$I$7, "-", '4L'!$G$6, "-", '4L'!$F$5)</f>
        <v>Supply-demand balance-Total supply demand expenditure -Water treatment-Water network+-Expenditure in report year</v>
      </c>
    </row>
    <row r="1163" spans="1:15">
      <c r="A1163" t="s">
        <v>639</v>
      </c>
      <c r="B1163" t="str">
        <f>'4L'!$AZ$49</f>
        <v>B0247SST_TWD</v>
      </c>
      <c r="D1163" t="str">
        <f>_xlfn.CONCAT('4L'!$B$30, "-", '4L'!$B$49, "-", '4L'!$J$7, "-", '4L'!$G$6, "-", '4L'!$F$5)</f>
        <v>Supply-demand balance-Total supply demand expenditure -Treated water distribution-Water network+-Expenditure in report year</v>
      </c>
      <c r="E1163" t="str">
        <f>'4L'!$C$49</f>
        <v>Totex</v>
      </c>
      <c r="F1163" t="s">
        <v>682</v>
      </c>
      <c r="G1163" t="str">
        <f>'4L'!$D$49</f>
        <v>£m</v>
      </c>
      <c r="O1163" t="str">
        <f>_xlfn.CONCAT('4L'!$B$30, "-", '4L'!$B$49, "-", '4L'!$J$7, "-", '4L'!$G$6, "-", '4L'!$F$5)</f>
        <v>Supply-demand balance-Total supply demand expenditure -Treated water distribution-Water network+-Expenditure in report year</v>
      </c>
    </row>
    <row r="1164" spans="1:15">
      <c r="A1164" t="s">
        <v>639</v>
      </c>
      <c r="B1164" t="str">
        <f>'4L'!$BA$49</f>
        <v>B0247SST_TOT</v>
      </c>
      <c r="D1164" t="str">
        <f>_xlfn.CONCAT('4L'!$B$30, "-", '4L'!$B$49, "-", '4L'!$K$6, "-", '4L'!$K$6, "-", '4L'!$F$5)</f>
        <v>Supply-demand balance-Total supply demand expenditure -Total-Total-Expenditure in report year</v>
      </c>
      <c r="E1164" t="str">
        <f>'4L'!$C$49</f>
        <v>Totex</v>
      </c>
      <c r="F1164" t="s">
        <v>682</v>
      </c>
      <c r="G1164" t="str">
        <f>'4L'!$D$49</f>
        <v>£m</v>
      </c>
      <c r="O1164" t="str">
        <f>_xlfn.CONCAT('4L'!$B$30, "-", '4L'!$B$49, "-", '4L'!$K$6, "-", '4L'!$K$6, "-", '4L'!$F$5)</f>
        <v>Supply-demand balance-Total supply demand expenditure -Total-Total-Expenditure in report year</v>
      </c>
    </row>
    <row r="1165" spans="1:15">
      <c r="A1165" t="s">
        <v>639</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682</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639</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682</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639</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682</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639</v>
      </c>
      <c r="B1168" t="str">
        <f>'4L'!$AZ$52</f>
        <v>B0248NMC_TWD</v>
      </c>
      <c r="D1168" t="str">
        <f>_xlfn.CONCAT('4L'!$B$51, "-", '4L'!$B$52, "-", '4L'!$J$7, "-", '4L'!$G$6, "-", '4L'!$F$5)</f>
        <v>Metering-New meters requested by existing customers (optants)-Treated water distribution-Water network+-Expenditure in report year</v>
      </c>
      <c r="E1168" t="str">
        <f>'4L'!$C$52</f>
        <v>Capex</v>
      </c>
      <c r="F1168" t="s">
        <v>682</v>
      </c>
      <c r="G1168" t="str">
        <f>'4L'!$D$52</f>
        <v>£m</v>
      </c>
      <c r="O1168" t="str">
        <f>_xlfn.CONCAT('4L'!$B$51, "-", '4L'!$B$52, "-", '4L'!$J$7, "-", '4L'!$G$6, "-", '4L'!$F$5)</f>
        <v>Metering-New meters requested by existing customers (optants)-Treated water distribution-Water network+-Expenditure in report year</v>
      </c>
    </row>
    <row r="1169" spans="1:15">
      <c r="A1169" t="s">
        <v>639</v>
      </c>
      <c r="B1169" t="str">
        <f>'4L'!$BA$52</f>
        <v>B0248NMC_TOT</v>
      </c>
      <c r="D1169" t="str">
        <f>_xlfn.CONCAT('4L'!$B$51, "-", '4L'!$B$52, "-", '4L'!$K$6, "-", '4L'!$K$6, "-", '4L'!$F$5)</f>
        <v>Metering-New meters requested by existing customers (optants)-Total-Total-Expenditure in report year</v>
      </c>
      <c r="E1169" t="str">
        <f>'4L'!$C$52</f>
        <v>Capex</v>
      </c>
      <c r="F1169" t="s">
        <v>682</v>
      </c>
      <c r="G1169" t="str">
        <f>'4L'!$D$52</f>
        <v>£m</v>
      </c>
      <c r="O1169" t="str">
        <f>_xlfn.CONCAT('4L'!$B$51, "-", '4L'!$B$52, "-", '4L'!$K$6, "-", '4L'!$K$6, "-", '4L'!$F$5)</f>
        <v>Metering-New meters requested by existing customers (optants)-Total-Total-Expenditure in report year</v>
      </c>
    </row>
    <row r="1170" spans="1:15">
      <c r="A1170" t="s">
        <v>639</v>
      </c>
      <c r="B1170" t="str">
        <f>'4L'!$AZ$53</f>
        <v>B0249NMO_TWD</v>
      </c>
      <c r="D1170" t="str">
        <f>_xlfn.CONCAT('4L'!$B$51, "-", '4L'!$B$53, "-", '4L'!$J$7, "-", '4L'!$G$6, "-", '4L'!$F$5)</f>
        <v>Metering-New meters requested by existing customers (optants)-Treated water distribution-Water network+-Expenditure in report year</v>
      </c>
      <c r="E1170" t="str">
        <f>'4L'!$C$53</f>
        <v>Opex</v>
      </c>
      <c r="F1170" t="s">
        <v>682</v>
      </c>
      <c r="G1170" t="str">
        <f>'4L'!$D$53</f>
        <v>£m</v>
      </c>
      <c r="O1170" t="str">
        <f>_xlfn.CONCAT('4L'!$B$51, "-", '4L'!$B$53, "-", '4L'!$J$7, "-", '4L'!$G$6, "-", '4L'!$F$5)</f>
        <v>Metering-New meters requested by existing customers (optants)-Treated water distribution-Water network+-Expenditure in report year</v>
      </c>
    </row>
    <row r="1171" spans="1:15">
      <c r="A1171" t="s">
        <v>639</v>
      </c>
      <c r="B1171" t="str">
        <f>'4L'!$BA$53</f>
        <v>B0249NMO_TOT</v>
      </c>
      <c r="D1171" t="str">
        <f>_xlfn.CONCAT('4L'!$B$51, "-", '4L'!$B$53, "-", '4L'!$K$6, "-", '4L'!$K$6, "-", '4L'!$F$5)</f>
        <v>Metering-New meters requested by existing customers (optants)-Total-Total-Expenditure in report year</v>
      </c>
      <c r="E1171" t="str">
        <f>'4L'!$C$53</f>
        <v>Opex</v>
      </c>
      <c r="F1171" t="s">
        <v>682</v>
      </c>
      <c r="G1171" t="str">
        <f>'4L'!$D$53</f>
        <v>£m</v>
      </c>
      <c r="O1171" t="str">
        <f>_xlfn.CONCAT('4L'!$B$51, "-", '4L'!$B$53, "-", '4L'!$K$6, "-", '4L'!$K$6, "-", '4L'!$F$5)</f>
        <v>Metering-New meters requested by existing customers (optants)-Total-Total-Expenditure in report year</v>
      </c>
    </row>
    <row r="1172" spans="1:15">
      <c r="A1172" t="s">
        <v>639</v>
      </c>
      <c r="B1172" t="str">
        <f>'4L'!$AZ$54</f>
        <v>B0250NMT_TWD</v>
      </c>
      <c r="D1172" t="str">
        <f>_xlfn.CONCAT('4L'!$B$51, "-", '4L'!$B$54, "-", '4L'!$J$7, "-", '4L'!$G$6, "-", '4L'!$F$5)</f>
        <v>Metering-New meters requested by existing customers (optants)-Treated water distribution-Water network+-Expenditure in report year</v>
      </c>
      <c r="E1172" t="str">
        <f>'4L'!$C$54</f>
        <v>Totex</v>
      </c>
      <c r="F1172" t="s">
        <v>682</v>
      </c>
      <c r="G1172" t="str">
        <f>'4L'!$D$54</f>
        <v>£m</v>
      </c>
      <c r="O1172" t="str">
        <f>_xlfn.CONCAT('4L'!$B$51, "-", '4L'!$B$54, "-", '4L'!$J$7, "-", '4L'!$G$6, "-", '4L'!$F$5)</f>
        <v>Metering-New meters requested by existing customers (optants)-Treated water distribution-Water network+-Expenditure in report year</v>
      </c>
    </row>
    <row r="1173" spans="1:15">
      <c r="A1173" t="s">
        <v>639</v>
      </c>
      <c r="B1173" t="str">
        <f>'4L'!$BA$54</f>
        <v>B0250NMT_TOT</v>
      </c>
      <c r="D1173" t="str">
        <f>_xlfn.CONCAT('4L'!$B$51, "-", '4L'!$B$54, "-", '4L'!$K$6, "-", '4L'!$K$6, "-", '4L'!$F$5)</f>
        <v>Metering-New meters requested by existing customers (optants)-Total-Total-Expenditure in report year</v>
      </c>
      <c r="E1173" t="str">
        <f>'4L'!$C$54</f>
        <v>Totex</v>
      </c>
      <c r="F1173" t="s">
        <v>682</v>
      </c>
      <c r="G1173" t="str">
        <f>'4L'!$D$54</f>
        <v>£m</v>
      </c>
      <c r="O1173" t="str">
        <f>_xlfn.CONCAT('4L'!$B$51, "-", '4L'!$B$54, "-", '4L'!$K$6, "-", '4L'!$K$6, "-", '4L'!$F$5)</f>
        <v>Metering-New meters requested by existing customers (optants)-Total-Total-Expenditure in report year</v>
      </c>
    </row>
    <row r="1174" spans="1:15">
      <c r="A1174" t="s">
        <v>639</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682</v>
      </c>
      <c r="G1174" t="str">
        <f>'4L'!$D$55</f>
        <v>£m</v>
      </c>
      <c r="O1174" t="str">
        <f>_xlfn.CONCAT('4L'!$B$51, "-", '4L'!$B$55, "-", '4L'!$J$7, "-", '4L'!$G$6, "-", '4L'!$F$5)</f>
        <v>Metering-New meters introduced by companies for existing customers-Treated water distribution-Water network+-Expenditure in report year</v>
      </c>
    </row>
    <row r="1175" spans="1:15">
      <c r="A1175" t="s">
        <v>639</v>
      </c>
      <c r="B1175" t="str">
        <f>'4L'!$BA$55</f>
        <v>B0251NMC_TOT</v>
      </c>
      <c r="D1175" t="str">
        <f>_xlfn.CONCAT('4L'!$B$51, "-", '4L'!$B$55, "-", '4L'!$K$6, "-", '4L'!$K$6, "-", '4L'!$F$5)</f>
        <v>Metering-New meters introduced by companies for existing customers-Total-Total-Expenditure in report year</v>
      </c>
      <c r="E1175" t="str">
        <f>'4L'!$C$55</f>
        <v>Capex</v>
      </c>
      <c r="F1175" t="s">
        <v>682</v>
      </c>
      <c r="G1175" t="str">
        <f>'4L'!$D$55</f>
        <v>£m</v>
      </c>
      <c r="O1175" t="str">
        <f>_xlfn.CONCAT('4L'!$B$51, "-", '4L'!$B$55, "-", '4L'!$K$6, "-", '4L'!$K$6, "-", '4L'!$F$5)</f>
        <v>Metering-New meters introduced by companies for existing customers-Total-Total-Expenditure in report year</v>
      </c>
    </row>
    <row r="1176" spans="1:15">
      <c r="A1176" t="s">
        <v>639</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682</v>
      </c>
      <c r="G1176" t="str">
        <f>'4L'!$D$56</f>
        <v>£m</v>
      </c>
      <c r="O1176" t="str">
        <f>_xlfn.CONCAT('4L'!$B$51, "-", '4L'!$B$56, "-", '4L'!$J$7, "-", '4L'!$G$6, "-", '4L'!$F$5)</f>
        <v>Metering-New meters introduced by companies for existing customers-Treated water distribution-Water network+-Expenditure in report year</v>
      </c>
    </row>
    <row r="1177" spans="1:15">
      <c r="A1177" t="s">
        <v>639</v>
      </c>
      <c r="B1177" t="str">
        <f>'4L'!$BA$56</f>
        <v>B0252NMO_TOT</v>
      </c>
      <c r="D1177" t="str">
        <f>_xlfn.CONCAT('4L'!$B$51, "-", '4L'!$B$56, "-", '4L'!$K$6, "-", '4L'!$K$6, "-", '4L'!$F$5)</f>
        <v>Metering-New meters introduced by companies for existing customers-Total-Total-Expenditure in report year</v>
      </c>
      <c r="E1177" t="str">
        <f>'4L'!$C$56</f>
        <v>Opex</v>
      </c>
      <c r="F1177" t="s">
        <v>682</v>
      </c>
      <c r="G1177" t="str">
        <f>'4L'!$D$56</f>
        <v>£m</v>
      </c>
      <c r="O1177" t="str">
        <f>_xlfn.CONCAT('4L'!$B$51, "-", '4L'!$B$56, "-", '4L'!$K$6, "-", '4L'!$K$6, "-", '4L'!$F$5)</f>
        <v>Metering-New meters introduced by companies for existing customers-Total-Total-Expenditure in report year</v>
      </c>
    </row>
    <row r="1178" spans="1:15">
      <c r="A1178" t="s">
        <v>639</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682</v>
      </c>
      <c r="G1178" t="str">
        <f>'4L'!$D$57</f>
        <v>£m</v>
      </c>
      <c r="O1178" t="str">
        <f>_xlfn.CONCAT('4L'!$B$51, "-", '4L'!$B$57, "-", '4L'!$J$7, "-", '4L'!$G$6, "-", '4L'!$F$5)</f>
        <v>Metering-New meters introduced by companies for existing customers-Treated water distribution-Water network+-Expenditure in report year</v>
      </c>
    </row>
    <row r="1179" spans="1:15">
      <c r="A1179" t="s">
        <v>639</v>
      </c>
      <c r="B1179" t="str">
        <f>'4L'!$BA$57</f>
        <v>B0253NMT_TOT</v>
      </c>
      <c r="D1179" t="str">
        <f>_xlfn.CONCAT('4L'!$B$51, "-", '4L'!$B$57, "-", '4L'!$K$6, "-", '4L'!$K$6, "-", '4L'!$F$5)</f>
        <v>Metering-New meters introduced by companies for existing customers-Total-Total-Expenditure in report year</v>
      </c>
      <c r="E1179" t="str">
        <f>'4L'!$C$57</f>
        <v>Totex</v>
      </c>
      <c r="F1179" t="s">
        <v>682</v>
      </c>
      <c r="G1179" t="str">
        <f>'4L'!$D$57</f>
        <v>£m</v>
      </c>
      <c r="O1179" t="str">
        <f>_xlfn.CONCAT('4L'!$B$51, "-", '4L'!$B$57, "-", '4L'!$K$6, "-", '4L'!$K$6, "-", '4L'!$F$5)</f>
        <v>Metering-New meters introduced by companies for existing customers-Total-Total-Expenditure in report year</v>
      </c>
    </row>
    <row r="1180" spans="1:15">
      <c r="A1180" t="s">
        <v>639</v>
      </c>
      <c r="B1180" t="str">
        <f>'4L'!$AZ$58</f>
        <v>B0254NMC_TWD</v>
      </c>
      <c r="D1180" t="str">
        <f>_xlfn.CONCAT('4L'!$B$51, "-", '4L'!$B$58, "-", '4L'!$J$7, "-", '4L'!$G$6, "-", '4L'!$F$5)</f>
        <v>Metering-New meters for existing customers - business-Treated water distribution-Water network+-Expenditure in report year</v>
      </c>
      <c r="E1180" t="str">
        <f>'4L'!$C$58</f>
        <v>Capex</v>
      </c>
      <c r="F1180" t="s">
        <v>682</v>
      </c>
      <c r="G1180" t="str">
        <f>'4L'!$D$58</f>
        <v>£m</v>
      </c>
      <c r="O1180" t="str">
        <f>_xlfn.CONCAT('4L'!$B$51, "-", '4L'!$B$58, "-", '4L'!$J$7, "-", '4L'!$G$6, "-", '4L'!$F$5)</f>
        <v>Metering-New meters for existing customers - business-Treated water distribution-Water network+-Expenditure in report year</v>
      </c>
    </row>
    <row r="1181" spans="1:15">
      <c r="A1181" t="s">
        <v>639</v>
      </c>
      <c r="B1181" t="str">
        <f>'4L'!$BA$58</f>
        <v>B0254NMC_TOT</v>
      </c>
      <c r="D1181" t="str">
        <f>_xlfn.CONCAT('4L'!$B$51, "-", '4L'!$B$58, "-", '4L'!$K$6, "-", '4L'!$K$6, "-", '4L'!$F$5)</f>
        <v>Metering-New meters for existing customers - business-Total-Total-Expenditure in report year</v>
      </c>
      <c r="E1181" t="str">
        <f>'4L'!$C$58</f>
        <v>Capex</v>
      </c>
      <c r="F1181" t="s">
        <v>682</v>
      </c>
      <c r="G1181" t="str">
        <f>'4L'!$D$58</f>
        <v>£m</v>
      </c>
      <c r="O1181" t="str">
        <f>_xlfn.CONCAT('4L'!$B$51, "-", '4L'!$B$58, "-", '4L'!$K$6, "-", '4L'!$K$6, "-", '4L'!$F$5)</f>
        <v>Metering-New meters for existing customers - business-Total-Total-Expenditure in report year</v>
      </c>
    </row>
    <row r="1182" spans="1:15">
      <c r="A1182" t="s">
        <v>639</v>
      </c>
      <c r="B1182" t="str">
        <f>'4L'!$AZ$59</f>
        <v>B0255NMO_TWD</v>
      </c>
      <c r="D1182" t="str">
        <f>_xlfn.CONCAT('4L'!$B$51, "-", '4L'!$B$59, "-", '4L'!$J$7, "-", '4L'!$G$6, "-", '4L'!$F$5)</f>
        <v>Metering-New meters for existing customers - business-Treated water distribution-Water network+-Expenditure in report year</v>
      </c>
      <c r="E1182" t="str">
        <f>'4L'!$C$59</f>
        <v>Opex</v>
      </c>
      <c r="F1182" t="s">
        <v>682</v>
      </c>
      <c r="G1182" t="str">
        <f>'4L'!$D$59</f>
        <v>£m</v>
      </c>
      <c r="O1182" t="str">
        <f>_xlfn.CONCAT('4L'!$B$51, "-", '4L'!$B$59, "-", '4L'!$J$7, "-", '4L'!$G$6, "-", '4L'!$F$5)</f>
        <v>Metering-New meters for existing customers - business-Treated water distribution-Water network+-Expenditure in report year</v>
      </c>
    </row>
    <row r="1183" spans="1:15">
      <c r="A1183" t="s">
        <v>639</v>
      </c>
      <c r="B1183" t="str">
        <f>'4L'!$BA$59</f>
        <v>B0255NMO_TOT</v>
      </c>
      <c r="D1183" t="str">
        <f>_xlfn.CONCAT('4L'!$B$51, "-", '4L'!$B$59, "-", '4L'!$K$6, "-", '4L'!$K$6, "-", '4L'!$F$5)</f>
        <v>Metering-New meters for existing customers - business-Total-Total-Expenditure in report year</v>
      </c>
      <c r="E1183" t="str">
        <f>'4L'!$C$59</f>
        <v>Opex</v>
      </c>
      <c r="F1183" t="s">
        <v>682</v>
      </c>
      <c r="G1183" t="str">
        <f>'4L'!$D$59</f>
        <v>£m</v>
      </c>
      <c r="O1183" t="str">
        <f>_xlfn.CONCAT('4L'!$B$51, "-", '4L'!$B$59, "-", '4L'!$K$6, "-", '4L'!$K$6, "-", '4L'!$F$5)</f>
        <v>Metering-New meters for existing customers - business-Total-Total-Expenditure in report year</v>
      </c>
    </row>
    <row r="1184" spans="1:15">
      <c r="A1184" t="s">
        <v>639</v>
      </c>
      <c r="B1184" t="str">
        <f>'4L'!$AZ$60</f>
        <v>B0256NMT_TWD</v>
      </c>
      <c r="D1184" t="str">
        <f>_xlfn.CONCAT('4L'!$B$51, "-", '4L'!$B$60, "-", '4L'!$J$7, "-", '4L'!$G$6, "-", '4L'!$F$5)</f>
        <v>Metering-New meters for existing customers - business-Treated water distribution-Water network+-Expenditure in report year</v>
      </c>
      <c r="E1184" t="str">
        <f>'4L'!$C$60</f>
        <v>Totex</v>
      </c>
      <c r="F1184" t="s">
        <v>682</v>
      </c>
      <c r="G1184" t="str">
        <f>'4L'!$D$60</f>
        <v>£m</v>
      </c>
      <c r="O1184" t="str">
        <f>_xlfn.CONCAT('4L'!$B$51, "-", '4L'!$B$60, "-", '4L'!$J$7, "-", '4L'!$G$6, "-", '4L'!$F$5)</f>
        <v>Metering-New meters for existing customers - business-Treated water distribution-Water network+-Expenditure in report year</v>
      </c>
    </row>
    <row r="1185" spans="1:15">
      <c r="A1185" t="s">
        <v>639</v>
      </c>
      <c r="B1185" t="str">
        <f>'4L'!$BA$60</f>
        <v>B0256NMT_TOT</v>
      </c>
      <c r="D1185" t="str">
        <f>_xlfn.CONCAT('4L'!$B$51, "-", '4L'!$B$60, "-", '4L'!$K$6, "-", '4L'!$K$6, "-", '4L'!$F$5)</f>
        <v>Metering-New meters for existing customers - business-Total-Total-Expenditure in report year</v>
      </c>
      <c r="E1185" t="str">
        <f>'4L'!$C$60</f>
        <v>Totex</v>
      </c>
      <c r="F1185" t="s">
        <v>682</v>
      </c>
      <c r="G1185" t="str">
        <f>'4L'!$D$60</f>
        <v>£m</v>
      </c>
      <c r="O1185" t="str">
        <f>_xlfn.CONCAT('4L'!$B$51, "-", '4L'!$B$60, "-", '4L'!$K$6, "-", '4L'!$K$6, "-", '4L'!$F$5)</f>
        <v>Metering-New meters for existing customers - business-Total-Total-Expenditure in report year</v>
      </c>
    </row>
    <row r="1186" spans="1:15">
      <c r="A1186" t="s">
        <v>639</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682</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639</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682</v>
      </c>
      <c r="G1187" t="str">
        <f>'4L'!$D$63</f>
        <v>£m</v>
      </c>
      <c r="O1187" t="str">
        <f>_xlfn.CONCAT('4L'!$B$51, "-", '4L'!$B$63, "-", '4L'!$K$6, "-", '4L'!$K$6, "-", '4L'!$F$5)</f>
        <v>Metering-Replacement of existing basic meters with AMR or AMI meters for household customers-Total-Total-Expenditure in report year</v>
      </c>
    </row>
    <row r="1188" spans="1:15">
      <c r="A1188" t="s">
        <v>639</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682</v>
      </c>
      <c r="G1188" t="str">
        <f>'4L'!$D$64</f>
        <v>£m</v>
      </c>
      <c r="O1188" t="str">
        <f>_xlfn.CONCAT('4L'!$B$51, "-", '4L'!$B$64, "-", '4L'!$J$7, "-", '4L'!$G$6, "-", '4L'!$F$5)</f>
        <v>Metering-Replacement of existing AMR meters with AMI meters for household customers-Treated water distribution-Water network+-Expenditure in report year</v>
      </c>
    </row>
    <row r="1189" spans="1:15">
      <c r="A1189" t="s">
        <v>639</v>
      </c>
      <c r="B1189" t="str">
        <f>'4L'!$BA$64</f>
        <v>B0C233DSO_TOT</v>
      </c>
      <c r="D1189" t="str">
        <f>_xlfn.CONCAT('4L'!$B$51, "-", '4L'!$B$64, "-", '4L'!$K$6, "-", '4L'!$K$6, "-", '4L'!$F$5)</f>
        <v>Metering-Replacement of existing AMR meters with AMI meters for household customers-Total-Total-Expenditure in report year</v>
      </c>
      <c r="E1189" t="str">
        <f>'4L'!$C$64</f>
        <v>Capex</v>
      </c>
      <c r="F1189" t="s">
        <v>682</v>
      </c>
      <c r="G1189" t="str">
        <f>'4L'!$D$64</f>
        <v>£m</v>
      </c>
      <c r="O1189" t="str">
        <f>_xlfn.CONCAT('4L'!$B$51, "-", '4L'!$B$64, "-", '4L'!$K$6, "-", '4L'!$K$6, "-", '4L'!$F$5)</f>
        <v>Metering-Replacement of existing AMR meters with AMI meters for household customers-Total-Total-Expenditure in report year</v>
      </c>
    </row>
    <row r="1190" spans="1:15">
      <c r="A1190" t="s">
        <v>639</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682</v>
      </c>
      <c r="G1190" t="str">
        <f>'4L'!$D$65</f>
        <v>£m</v>
      </c>
      <c r="O1190" t="str">
        <f>_xlfn.CONCAT('4L'!$B$51, "-", '4L'!$B$65, "-", '4L'!$J$7, "-", '4L'!$G$6, "-", '4L'!$F$5)</f>
        <v>Metering-Replacement of existing AMR meters with AMI meters for household customers-Treated water distribution-Water network+-Expenditure in report year</v>
      </c>
    </row>
    <row r="1191" spans="1:15">
      <c r="A1191" t="s">
        <v>639</v>
      </c>
      <c r="B1191" t="str">
        <f>'4L'!$BA$65</f>
        <v>B0C234DST_TOT</v>
      </c>
      <c r="D1191" t="str">
        <f>_xlfn.CONCAT('4L'!$B$51, "-", '4L'!$B$65, "-", '4L'!$K$6, "-", '4L'!$K$6, "-", '4L'!$F$5)</f>
        <v>Metering-Replacement of existing AMR meters with AMI meters for household customers-Total-Total-Expenditure in report year</v>
      </c>
      <c r="E1191" t="str">
        <f>'4L'!$C$65</f>
        <v>Opex</v>
      </c>
      <c r="F1191" t="s">
        <v>682</v>
      </c>
      <c r="G1191" t="str">
        <f>'4L'!$D$65</f>
        <v>£m</v>
      </c>
      <c r="O1191" t="str">
        <f>_xlfn.CONCAT('4L'!$B$51, "-", '4L'!$B$65, "-", '4L'!$K$6, "-", '4L'!$K$6, "-", '4L'!$F$5)</f>
        <v>Metering-Replacement of existing AMR meters with AMI meters for household customers-Total-Total-Expenditure in report year</v>
      </c>
    </row>
    <row r="1192" spans="1:15">
      <c r="A1192" t="s">
        <v>639</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682</v>
      </c>
      <c r="G1192" t="str">
        <f>'4L'!$D$66</f>
        <v>£m</v>
      </c>
      <c r="O1192" t="str">
        <f>_xlfn.CONCAT('4L'!$B$51, "-", '4L'!$B$66, "-", '4L'!$J$7, "-", '4L'!$G$6, "-", '4L'!$F$5)</f>
        <v>Metering-Replacement of existing AMR meters with AMI meters for household customers-Treated water distribution-Water network+-Expenditure in report year</v>
      </c>
    </row>
    <row r="1193" spans="1:15">
      <c r="A1193" t="s">
        <v>639</v>
      </c>
      <c r="B1193" t="str">
        <f>'4L'!$BA$66</f>
        <v>B0C235LIC_TOT</v>
      </c>
      <c r="D1193" t="str">
        <f>_xlfn.CONCAT('4L'!$B$51, "-", '4L'!$B$66, "-", '4L'!$K$6, "-", '4L'!$K$6, "-", '4L'!$F$5)</f>
        <v>Metering-Replacement of existing AMR meters with AMI meters for household customers-Total-Total-Expenditure in report year</v>
      </c>
      <c r="E1193" t="str">
        <f>'4L'!$C$66</f>
        <v>Totex</v>
      </c>
      <c r="F1193" t="s">
        <v>682</v>
      </c>
      <c r="G1193" t="str">
        <f>'4L'!$D$66</f>
        <v>£m</v>
      </c>
      <c r="O1193" t="str">
        <f>_xlfn.CONCAT('4L'!$B$51, "-", '4L'!$B$66, "-", '4L'!$K$6, "-", '4L'!$K$6, "-", '4L'!$F$5)</f>
        <v>Metering-Replacement of existing AMR meters with AMI meters for household customers-Total-Total-Expenditure in report year</v>
      </c>
    </row>
    <row r="1194" spans="1:15">
      <c r="A1194" t="s">
        <v>639</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682</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639</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682</v>
      </c>
      <c r="G1195" t="str">
        <f>'4L'!$D$67</f>
        <v>£m</v>
      </c>
      <c r="O1195" t="str">
        <f>_xlfn.CONCAT('4L'!$B$51, "-", '4L'!$B$67, "-", '4L'!$K$6, "-", '4L'!$K$6, "-", '4L'!$F$5)</f>
        <v>Metering-Replacement of existing basic meters with AMR or AMI meters for business customers-Total-Total-Expenditure in report year</v>
      </c>
    </row>
    <row r="1196" spans="1:15">
      <c r="A1196" t="s">
        <v>639</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682</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639</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682</v>
      </c>
      <c r="G1197" t="str">
        <f>'4L'!$D$68</f>
        <v>£m</v>
      </c>
      <c r="O1197" t="str">
        <f>_xlfn.CONCAT('4L'!$B$51, "-", '4L'!$B$68, "-", '4L'!$K$6, "-", '4L'!$K$6, "-", '4L'!$F$5)</f>
        <v>Metering-Replacement of existing basic meters with AMR or AMI meters for business customers-Total-Total-Expenditure in report year</v>
      </c>
    </row>
    <row r="1198" spans="1:15">
      <c r="A1198" t="s">
        <v>639</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682</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639</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682</v>
      </c>
      <c r="G1199" t="str">
        <f>'4L'!$D$69</f>
        <v>£m</v>
      </c>
      <c r="O1199" t="str">
        <f>_xlfn.CONCAT('4L'!$B$51, "-", '4L'!$B$69, "-", '4L'!$K$6, "-", '4L'!$K$6, "-", '4L'!$F$5)</f>
        <v>Metering-Replacement of existing basic meters with AMR or AMI meters for business customers-Total-Total-Expenditure in report year</v>
      </c>
    </row>
    <row r="1200" spans="1:15">
      <c r="A1200" t="s">
        <v>639</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682</v>
      </c>
      <c r="G1200" t="str">
        <f>'4L'!$D$70</f>
        <v>£m</v>
      </c>
      <c r="O1200" t="str">
        <f>_xlfn.CONCAT('4L'!$B$51, "-", '4L'!$B$70, "-", '4L'!$J$7, "-", '4L'!$G$6, "-", '4L'!$F$5)</f>
        <v>Metering-Replacement of existing AMR meters with AMI meters for business customers-Treated water distribution-Water network+-Expenditure in report year</v>
      </c>
    </row>
    <row r="1201" spans="1:15">
      <c r="A1201" t="s">
        <v>639</v>
      </c>
      <c r="B1201" t="str">
        <f>'4L'!$BA$70</f>
        <v>B0C266ARTT_TOT</v>
      </c>
      <c r="D1201" t="str">
        <f>_xlfn.CONCAT('4L'!$B$51, "-", '4L'!$B$70, "-", '4L'!$K$6, "-", '4L'!$K$6, "-", '4L'!$F$5)</f>
        <v>Metering-Replacement of existing AMR meters with AMI meters for business customers-Total-Total-Expenditure in report year</v>
      </c>
      <c r="E1201" t="str">
        <f>'4L'!$C$70</f>
        <v>Capex</v>
      </c>
      <c r="F1201" t="s">
        <v>682</v>
      </c>
      <c r="G1201" t="str">
        <f>'4L'!$D$70</f>
        <v>£m</v>
      </c>
      <c r="O1201" t="str">
        <f>_xlfn.CONCAT('4L'!$B$51, "-", '4L'!$B$70, "-", '4L'!$K$6, "-", '4L'!$K$6, "-", '4L'!$F$5)</f>
        <v>Metering-Replacement of existing AMR meters with AMI meters for business customers-Total-Total-Expenditure in report year</v>
      </c>
    </row>
    <row r="1202" spans="1:15">
      <c r="A1202" t="s">
        <v>639</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682</v>
      </c>
      <c r="G1202" t="str">
        <f>'4L'!$D$71</f>
        <v>£m</v>
      </c>
      <c r="O1202" t="str">
        <f>_xlfn.CONCAT('4L'!$B$51, "-", '4L'!$B$71, "-", '4L'!$J$7, "-", '4L'!$G$6, "-", '4L'!$F$5)</f>
        <v>Metering-Replacement of existing AMR meters with AMI meters for business customers-Treated water distribution-Water network+-Expenditure in report year</v>
      </c>
    </row>
    <row r="1203" spans="1:15">
      <c r="A1203" t="s">
        <v>639</v>
      </c>
      <c r="B1203" t="str">
        <f>'4L'!$BA$71</f>
        <v>B0C264ARCN_TOT</v>
      </c>
      <c r="D1203" t="str">
        <f>_xlfn.CONCAT('4L'!$B$51, "-", '4L'!$B$71, "-", '4L'!$K$6, "-", '4L'!$K$6, "-", '4L'!$F$5)</f>
        <v>Metering-Replacement of existing AMR meters with AMI meters for business customers-Total-Total-Expenditure in report year</v>
      </c>
      <c r="E1203" t="str">
        <f>'4L'!$C$71</f>
        <v>Opex</v>
      </c>
      <c r="F1203" t="s">
        <v>682</v>
      </c>
      <c r="G1203" t="str">
        <f>'4L'!$D$71</f>
        <v>£m</v>
      </c>
      <c r="O1203" t="str">
        <f>_xlfn.CONCAT('4L'!$B$51, "-", '4L'!$B$71, "-", '4L'!$K$6, "-", '4L'!$K$6, "-", '4L'!$F$5)</f>
        <v>Metering-Replacement of existing AMR meters with AMI meters for business customers-Total-Total-Expenditure in report year</v>
      </c>
    </row>
    <row r="1204" spans="1:15">
      <c r="A1204" t="s">
        <v>639</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682</v>
      </c>
      <c r="G1204" t="str">
        <f>'4L'!$D$72</f>
        <v>£m</v>
      </c>
      <c r="O1204" t="str">
        <f>_xlfn.CONCAT('4L'!$B$51, "-", '4L'!$B$72, "-", '4L'!$J$7, "-", '4L'!$G$6, "-", '4L'!$F$5)</f>
        <v>Metering-Replacement of existing AMR meters with AMI meters for business customers-Treated water distribution-Water network+-Expenditure in report year</v>
      </c>
    </row>
    <row r="1205" spans="1:15">
      <c r="A1205" t="s">
        <v>639</v>
      </c>
      <c r="B1205" t="str">
        <f>'4L'!$BA$72</f>
        <v>B0C265ARON_TOT</v>
      </c>
      <c r="D1205" t="str">
        <f>_xlfn.CONCAT('4L'!$B$51, "-", '4L'!$B$72, "-", '4L'!$K$6, "-", '4L'!$K$6, "-", '4L'!$F$5)</f>
        <v>Metering-Replacement of existing AMR meters with AMI meters for business customers-Total-Total-Expenditure in report year</v>
      </c>
      <c r="E1205" t="str">
        <f>'4L'!$C$72</f>
        <v>Totex</v>
      </c>
      <c r="F1205" t="s">
        <v>682</v>
      </c>
      <c r="G1205" t="str">
        <f>'4L'!$D$72</f>
        <v>£m</v>
      </c>
      <c r="O1205" t="str">
        <f>_xlfn.CONCAT('4L'!$B$51, "-", '4L'!$B$72, "-", '4L'!$K$6, "-", '4L'!$K$6, "-", '4L'!$F$5)</f>
        <v>Metering-Replacement of existing AMR meters with AMI meters for business customers-Total-Total-Expenditure in report year</v>
      </c>
    </row>
    <row r="1206" spans="1:15">
      <c r="A1206" t="s">
        <v>639</v>
      </c>
      <c r="B1206" t="str">
        <f>'4L'!$AZ$73</f>
        <v>B0378SMI_TWD</v>
      </c>
      <c r="D1206" t="str">
        <f>_xlfn.CONCAT('4L'!$B$51, "-", '4L'!$B$73, "-", '4L'!$J$7, "-", '4L'!$G$6, "-", '4L'!$F$5)</f>
        <v>Metering-Smart meter infrastructure-Treated water distribution-Water network+-Expenditure in report year</v>
      </c>
      <c r="E1206" t="str">
        <f>'4L'!$C$73</f>
        <v>Capex</v>
      </c>
      <c r="F1206" t="s">
        <v>682</v>
      </c>
      <c r="G1206" t="str">
        <f>'4L'!$D$73</f>
        <v>£m</v>
      </c>
      <c r="O1206" t="str">
        <f>_xlfn.CONCAT('4L'!$B$51, "-", '4L'!$B$73, "-", '4L'!$J$7, "-", '4L'!$G$6, "-", '4L'!$F$5)</f>
        <v>Metering-Smart meter infrastructure-Treated water distribution-Water network+-Expenditure in report year</v>
      </c>
    </row>
    <row r="1207" spans="1:15">
      <c r="A1207" t="s">
        <v>639</v>
      </c>
      <c r="B1207" t="str">
        <f>'4L'!$BA$73</f>
        <v>B0378SMI_TOT</v>
      </c>
      <c r="D1207" t="str">
        <f>_xlfn.CONCAT('4L'!$B$51, "-", '4L'!$B$73, "-", '4L'!$K$6, "-", '4L'!$K$6, "-", '4L'!$F$5)</f>
        <v>Metering-Smart meter infrastructure-Total-Total-Expenditure in report year</v>
      </c>
      <c r="E1207" t="str">
        <f>'4L'!$C$73</f>
        <v>Capex</v>
      </c>
      <c r="F1207" t="s">
        <v>682</v>
      </c>
      <c r="G1207" t="str">
        <f>'4L'!$D$73</f>
        <v>£m</v>
      </c>
      <c r="O1207" t="str">
        <f>_xlfn.CONCAT('4L'!$B$51, "-", '4L'!$B$73, "-", '4L'!$K$6, "-", '4L'!$K$6, "-", '4L'!$F$5)</f>
        <v>Metering-Smart meter infrastructure-Total-Total-Expenditure in report year</v>
      </c>
    </row>
    <row r="1208" spans="1:15">
      <c r="A1208" t="s">
        <v>639</v>
      </c>
      <c r="B1208" t="str">
        <f>'4L'!$AZ$74</f>
        <v>B0379SMI_TWD</v>
      </c>
      <c r="D1208" t="str">
        <f>_xlfn.CONCAT('4L'!$B$51, "-", '4L'!$B$74, "-", '4L'!$J$7, "-", '4L'!$G$6, "-", '4L'!$F$5)</f>
        <v>Metering-Smart meter infrastructure-Treated water distribution-Water network+-Expenditure in report year</v>
      </c>
      <c r="E1208" t="str">
        <f>'4L'!$C$74</f>
        <v>Opex</v>
      </c>
      <c r="F1208" t="s">
        <v>682</v>
      </c>
      <c r="G1208" t="str">
        <f>'4L'!$D$74</f>
        <v>£m</v>
      </c>
      <c r="O1208" t="str">
        <f>_xlfn.CONCAT('4L'!$B$51, "-", '4L'!$B$74, "-", '4L'!$J$7, "-", '4L'!$G$6, "-", '4L'!$F$5)</f>
        <v>Metering-Smart meter infrastructure-Treated water distribution-Water network+-Expenditure in report year</v>
      </c>
    </row>
    <row r="1209" spans="1:15">
      <c r="A1209" t="s">
        <v>639</v>
      </c>
      <c r="B1209" t="str">
        <f>'4L'!$BA$74</f>
        <v>B0379SMI_TOT</v>
      </c>
      <c r="D1209" t="str">
        <f>_xlfn.CONCAT('4L'!$B$51, "-", '4L'!$B$74, "-", '4L'!$K$6, "-", '4L'!$K$6, "-", '4L'!$F$5)</f>
        <v>Metering-Smart meter infrastructure-Total-Total-Expenditure in report year</v>
      </c>
      <c r="E1209" t="str">
        <f>'4L'!$C$74</f>
        <v>Opex</v>
      </c>
      <c r="F1209" t="s">
        <v>682</v>
      </c>
      <c r="G1209" t="str">
        <f>'4L'!$D$74</f>
        <v>£m</v>
      </c>
      <c r="O1209" t="str">
        <f>_xlfn.CONCAT('4L'!$B$51, "-", '4L'!$B$74, "-", '4L'!$K$6, "-", '4L'!$K$6, "-", '4L'!$F$5)</f>
        <v>Metering-Smart meter infrastructure-Total-Total-Expenditure in report year</v>
      </c>
    </row>
    <row r="1210" spans="1:15">
      <c r="A1210" t="s">
        <v>639</v>
      </c>
      <c r="B1210" t="str">
        <f>'4L'!$AZ$75</f>
        <v>B0380SMI_TWD</v>
      </c>
      <c r="D1210" t="str">
        <f>_xlfn.CONCAT('4L'!$B$51, "-", '4L'!$B$75, "-", '4L'!$J$7, "-", '4L'!$G$6, "-", '4L'!$F$5)</f>
        <v>Metering-Smart meter infrastructure-Treated water distribution-Water network+-Expenditure in report year</v>
      </c>
      <c r="E1210" t="str">
        <f>'4L'!$C$75</f>
        <v>Totex</v>
      </c>
      <c r="F1210" t="s">
        <v>682</v>
      </c>
      <c r="G1210" t="str">
        <f>'4L'!$D$75</f>
        <v>£m</v>
      </c>
      <c r="O1210" t="str">
        <f>_xlfn.CONCAT('4L'!$B$51, "-", '4L'!$B$75, "-", '4L'!$J$7, "-", '4L'!$G$6, "-", '4L'!$F$5)</f>
        <v>Metering-Smart meter infrastructure-Treated water distribution-Water network+-Expenditure in report year</v>
      </c>
    </row>
    <row r="1211" spans="1:15">
      <c r="A1211" t="s">
        <v>639</v>
      </c>
      <c r="B1211" t="str">
        <f>'4L'!$BA$75</f>
        <v>B0380SMI_TOT</v>
      </c>
      <c r="D1211" t="str">
        <f>_xlfn.CONCAT('4L'!$B$51, "-", '4L'!$B$75, "-", '4L'!$K$6, "-", '4L'!$K$6, "-", '4L'!$F$5)</f>
        <v>Metering-Smart meter infrastructure-Total-Total-Expenditure in report year</v>
      </c>
      <c r="E1211" t="str">
        <f>'4L'!$C$75</f>
        <v>Totex</v>
      </c>
      <c r="F1211" t="s">
        <v>682</v>
      </c>
      <c r="G1211" t="str">
        <f>'4L'!$D$75</f>
        <v>£m</v>
      </c>
      <c r="O1211" t="str">
        <f>_xlfn.CONCAT('4L'!$B$51, "-", '4L'!$B$75, "-", '4L'!$K$6, "-", '4L'!$K$6, "-", '4L'!$F$5)</f>
        <v>Metering-Smart meter infrastructure-Total-Total-Expenditure in report year</v>
      </c>
    </row>
    <row r="1212" spans="1:15">
      <c r="A1212" t="s">
        <v>639</v>
      </c>
      <c r="B1212" t="str">
        <f>'4L'!$AZ$76</f>
        <v>B0257TMT_TWD</v>
      </c>
      <c r="D1212" t="str">
        <f>_xlfn.CONCAT('4L'!$B$51, "-", '4L'!$B$76, "-", '4L'!$J$7, "-", '4L'!$G$6, "-", '4L'!$F$5)</f>
        <v>Metering-Total metering expenditure -Treated water distribution-Water network+-Expenditure in report year</v>
      </c>
      <c r="E1212" t="str">
        <f>'4L'!$C$76</f>
        <v>Totex</v>
      </c>
      <c r="F1212" t="s">
        <v>682</v>
      </c>
      <c r="G1212" t="str">
        <f>'4L'!$D$76</f>
        <v>£m</v>
      </c>
      <c r="O1212" t="str">
        <f>_xlfn.CONCAT('4L'!$B$51, "-", '4L'!$B$76, "-", '4L'!$J$7, "-", '4L'!$G$6, "-", '4L'!$F$5)</f>
        <v>Metering-Total metering expenditure -Treated water distribution-Water network+-Expenditure in report year</v>
      </c>
    </row>
    <row r="1213" spans="1:15">
      <c r="A1213" t="s">
        <v>639</v>
      </c>
      <c r="B1213" t="str">
        <f>'4L'!$BA$76</f>
        <v>B0257TMT_TOT</v>
      </c>
      <c r="D1213" t="str">
        <f>_xlfn.CONCAT('4L'!$B$51, "-", '4L'!$B$76, "-", '4L'!$K$6, "-", '4L'!$K$6, "-", '4L'!$F$5)</f>
        <v>Metering-Total metering expenditure -Total-Total-Expenditure in report year</v>
      </c>
      <c r="E1213" t="str">
        <f>'4L'!$C$76</f>
        <v>Totex</v>
      </c>
      <c r="F1213" t="s">
        <v>682</v>
      </c>
      <c r="G1213" t="str">
        <f>'4L'!$D$76</f>
        <v>£m</v>
      </c>
      <c r="O1213" t="str">
        <f>_xlfn.CONCAT('4L'!$B$51, "-", '4L'!$B$76, "-", '4L'!$K$6, "-", '4L'!$K$6, "-", '4L'!$F$5)</f>
        <v>Metering-Total metering expenditure -Total-Total-Expenditure in report year</v>
      </c>
    </row>
    <row r="1214" spans="1:15">
      <c r="A1214" t="s">
        <v>639</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682</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639</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682</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639</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682</v>
      </c>
      <c r="G1216" t="str">
        <f>'4L'!$D$76</f>
        <v>£m</v>
      </c>
      <c r="O1216" t="str">
        <f>_xlfn.CONCAT('4L'!$B$51, "-", '4L'!$B$76, "-", '4L'!$T$7, "-", '4L'!$T$5, "-", '4L'!$T$5)</f>
        <v>Metering-Total metering expenditure -Total-Cumulative allowed expenditure on all schemes 2020-25-Cumulative allowed expenditure on all schemes 2020-25</v>
      </c>
    </row>
    <row r="1217" spans="1:15">
      <c r="A1217" t="s">
        <v>639</v>
      </c>
      <c r="B1217" t="str">
        <f>'4L'!$AV$79</f>
        <v>B0258ITC_WR</v>
      </c>
      <c r="D1217" t="str">
        <f>_xlfn.CONCAT('4L'!$B$78, "-", '4L'!$B$79, "-", '4L'!$F$6, "-", '4L'!$F$6, "-", '4L'!$F$5)</f>
        <v>Other enhancement-Improvements to taste, odour and colour-Water resources-Water resources-Expenditure in report year</v>
      </c>
      <c r="E1217" t="str">
        <f>'4L'!$C$79</f>
        <v>Capex</v>
      </c>
      <c r="F1217" t="s">
        <v>682</v>
      </c>
      <c r="G1217" t="str">
        <f>'4L'!$D$79</f>
        <v>£m</v>
      </c>
      <c r="O1217" t="str">
        <f>_xlfn.CONCAT('4L'!$B$78, "-", '4L'!$B$79, "-", '4L'!$F$6, "-", '4L'!$F$6, "-", '4L'!$F$5)</f>
        <v>Other enhancement-Improvements to taste, odour and colour-Water resources-Water resources-Expenditure in report year</v>
      </c>
    </row>
    <row r="1218" spans="1:15">
      <c r="A1218" t="s">
        <v>639</v>
      </c>
      <c r="B1218" t="str">
        <f>'4L'!$AW$79</f>
        <v>B0258ITC_RWT</v>
      </c>
      <c r="D1218" t="str">
        <f>_xlfn.CONCAT('4L'!$B$78, "-", '4L'!$B$79, "-", '4L'!$G$7, "-", '4L'!$G$6, "-", '4L'!$F$5)</f>
        <v>Other enhancement-Improvements to taste, odour and colour-Raw water transport-Water network+-Expenditure in report year</v>
      </c>
      <c r="E1218" t="str">
        <f>'4L'!$C$79</f>
        <v>Capex</v>
      </c>
      <c r="F1218" t="s">
        <v>682</v>
      </c>
      <c r="G1218" t="str">
        <f>'4L'!$D$79</f>
        <v>£m</v>
      </c>
      <c r="O1218" t="str">
        <f>_xlfn.CONCAT('4L'!$B$78, "-", '4L'!$B$79, "-", '4L'!$G$7, "-", '4L'!$G$6, "-", '4L'!$F$5)</f>
        <v>Other enhancement-Improvements to taste, odour and colour-Raw water transport-Water network+-Expenditure in report year</v>
      </c>
    </row>
    <row r="1219" spans="1:15">
      <c r="A1219" t="s">
        <v>639</v>
      </c>
      <c r="B1219" t="str">
        <f>'4L'!$AX$79</f>
        <v>B0258ITC_RWS</v>
      </c>
      <c r="D1219" t="str">
        <f>_xlfn.CONCAT('4L'!$B$78, "-", '4L'!$B$79, "-", '4L'!$H$7, "-", '4L'!$G$6, "-", '4L'!$F$5)</f>
        <v>Other enhancement-Improvements to taste, odour and colour-Raw water storage-Water network+-Expenditure in report year</v>
      </c>
      <c r="E1219" t="str">
        <f>'4L'!$C$79</f>
        <v>Capex</v>
      </c>
      <c r="F1219" t="s">
        <v>682</v>
      </c>
      <c r="G1219" t="str">
        <f>'4L'!$D$79</f>
        <v>£m</v>
      </c>
      <c r="O1219" t="str">
        <f>_xlfn.CONCAT('4L'!$B$78, "-", '4L'!$B$79, "-", '4L'!$H$7, "-", '4L'!$G$6, "-", '4L'!$F$5)</f>
        <v>Other enhancement-Improvements to taste, odour and colour-Raw water storage-Water network+-Expenditure in report year</v>
      </c>
    </row>
    <row r="1220" spans="1:15">
      <c r="A1220" t="s">
        <v>639</v>
      </c>
      <c r="B1220" t="str">
        <f>'4L'!$AY$79</f>
        <v>B0258ITC_WT</v>
      </c>
      <c r="D1220" t="str">
        <f>_xlfn.CONCAT('4L'!$B$78, "-", '4L'!$B$79, "-", '4L'!$I$7, "-", '4L'!$G$6, "-", '4L'!$F$5)</f>
        <v>Other enhancement-Improvements to taste, odour and colour-Water treatment-Water network+-Expenditure in report year</v>
      </c>
      <c r="E1220" t="str">
        <f>'4L'!$C$79</f>
        <v>Capex</v>
      </c>
      <c r="F1220" t="s">
        <v>682</v>
      </c>
      <c r="G1220" t="str">
        <f>'4L'!$D$79</f>
        <v>£m</v>
      </c>
      <c r="O1220" t="str">
        <f>_xlfn.CONCAT('4L'!$B$78, "-", '4L'!$B$79, "-", '4L'!$I$7, "-", '4L'!$G$6, "-", '4L'!$F$5)</f>
        <v>Other enhancement-Improvements to taste, odour and colour-Water treatment-Water network+-Expenditure in report year</v>
      </c>
    </row>
    <row r="1221" spans="1:15">
      <c r="A1221" t="s">
        <v>639</v>
      </c>
      <c r="B1221" t="str">
        <f>'4L'!$AZ$79</f>
        <v>B0258ITC_TWD</v>
      </c>
      <c r="D1221" t="str">
        <f>_xlfn.CONCAT('4L'!$B$78, "-", '4L'!$B$79, "-", '4L'!$J$7, "-", '4L'!$G$6, "-", '4L'!$F$5)</f>
        <v>Other enhancement-Improvements to taste, odour and colour-Treated water distribution-Water network+-Expenditure in report year</v>
      </c>
      <c r="E1221" t="str">
        <f>'4L'!$C$79</f>
        <v>Capex</v>
      </c>
      <c r="F1221" t="s">
        <v>682</v>
      </c>
      <c r="G1221" t="str">
        <f>'4L'!$D$79</f>
        <v>£m</v>
      </c>
      <c r="O1221" t="str">
        <f>_xlfn.CONCAT('4L'!$B$78, "-", '4L'!$B$79, "-", '4L'!$J$7, "-", '4L'!$G$6, "-", '4L'!$F$5)</f>
        <v>Other enhancement-Improvements to taste, odour and colour-Treated water distribution-Water network+-Expenditure in report year</v>
      </c>
    </row>
    <row r="1222" spans="1:15">
      <c r="A1222" t="s">
        <v>639</v>
      </c>
      <c r="B1222" t="str">
        <f>'4L'!$BA$79</f>
        <v>B0258ITC_TOT</v>
      </c>
      <c r="D1222" t="str">
        <f>_xlfn.CONCAT('4L'!$B$78, "-", '4L'!$B$79, "-", '4L'!$K$6, "-", '4L'!$K$6, "-", '4L'!$F$5)</f>
        <v>Other enhancement-Improvements to taste, odour and colour-Total-Total-Expenditure in report year</v>
      </c>
      <c r="E1222" t="str">
        <f>'4L'!$C$79</f>
        <v>Capex</v>
      </c>
      <c r="F1222" t="s">
        <v>682</v>
      </c>
      <c r="G1222" t="str">
        <f>'4L'!$D$79</f>
        <v>£m</v>
      </c>
      <c r="O1222" t="str">
        <f>_xlfn.CONCAT('4L'!$B$78, "-", '4L'!$B$79, "-", '4L'!$K$6, "-", '4L'!$K$6, "-", '4L'!$F$5)</f>
        <v>Other enhancement-Improvements to taste, odour and colour-Total-Total-Expenditure in report year</v>
      </c>
    </row>
    <row r="1223" spans="1:15">
      <c r="A1223" t="s">
        <v>639</v>
      </c>
      <c r="B1223" t="str">
        <f>'4L'!$AV$80</f>
        <v>B0259ITO_WR</v>
      </c>
      <c r="D1223" t="str">
        <f>_xlfn.CONCAT('4L'!$B$78, "-", '4L'!$B$80, "-", '4L'!$F$6, "-", '4L'!$F$6, "-", '4L'!$F$5)</f>
        <v>Other enhancement-Improvements to taste, odour and colour-Water resources-Water resources-Expenditure in report year</v>
      </c>
      <c r="E1223" t="str">
        <f>'4L'!$C$80</f>
        <v>Opex</v>
      </c>
      <c r="F1223" t="s">
        <v>682</v>
      </c>
      <c r="G1223" t="str">
        <f>'4L'!$D$80</f>
        <v>£m</v>
      </c>
      <c r="O1223" t="str">
        <f>_xlfn.CONCAT('4L'!$B$78, "-", '4L'!$B$80, "-", '4L'!$F$6, "-", '4L'!$F$6, "-", '4L'!$F$5)</f>
        <v>Other enhancement-Improvements to taste, odour and colour-Water resources-Water resources-Expenditure in report year</v>
      </c>
    </row>
    <row r="1224" spans="1:15">
      <c r="A1224" t="s">
        <v>639</v>
      </c>
      <c r="B1224" t="str">
        <f>'4L'!$AW$80</f>
        <v>B0259ITO_RWT</v>
      </c>
      <c r="D1224" t="str">
        <f>_xlfn.CONCAT('4L'!$B$78, "-", '4L'!$B$80, "-", '4L'!$G$7, "-", '4L'!$G$6, "-", '4L'!$F$5)</f>
        <v>Other enhancement-Improvements to taste, odour and colour-Raw water transport-Water network+-Expenditure in report year</v>
      </c>
      <c r="E1224" t="str">
        <f>'4L'!$C$80</f>
        <v>Opex</v>
      </c>
      <c r="F1224" t="s">
        <v>682</v>
      </c>
      <c r="G1224" t="str">
        <f>'4L'!$D$80</f>
        <v>£m</v>
      </c>
      <c r="O1224" t="str">
        <f>_xlfn.CONCAT('4L'!$B$78, "-", '4L'!$B$80, "-", '4L'!$G$7, "-", '4L'!$G$6, "-", '4L'!$F$5)</f>
        <v>Other enhancement-Improvements to taste, odour and colour-Raw water transport-Water network+-Expenditure in report year</v>
      </c>
    </row>
    <row r="1225" spans="1:15">
      <c r="A1225" t="s">
        <v>639</v>
      </c>
      <c r="B1225" t="str">
        <f>'4L'!$AX$80</f>
        <v>B0259ITO_RWS</v>
      </c>
      <c r="D1225" t="str">
        <f>_xlfn.CONCAT('4L'!$B$78, "-", '4L'!$B$80, "-", '4L'!$H$7, "-", '4L'!$G$6, "-", '4L'!$F$5)</f>
        <v>Other enhancement-Improvements to taste, odour and colour-Raw water storage-Water network+-Expenditure in report year</v>
      </c>
      <c r="E1225" t="str">
        <f>'4L'!$C$80</f>
        <v>Opex</v>
      </c>
      <c r="F1225" t="s">
        <v>682</v>
      </c>
      <c r="G1225" t="str">
        <f>'4L'!$D$80</f>
        <v>£m</v>
      </c>
      <c r="O1225" t="str">
        <f>_xlfn.CONCAT('4L'!$B$78, "-", '4L'!$B$80, "-", '4L'!$H$7, "-", '4L'!$G$6, "-", '4L'!$F$5)</f>
        <v>Other enhancement-Improvements to taste, odour and colour-Raw water storage-Water network+-Expenditure in report year</v>
      </c>
    </row>
    <row r="1226" spans="1:15">
      <c r="A1226" t="s">
        <v>639</v>
      </c>
      <c r="B1226" t="str">
        <f>'4L'!$AY$80</f>
        <v>B0259ITO_WT</v>
      </c>
      <c r="D1226" t="str">
        <f>_xlfn.CONCAT('4L'!$B$78, "-", '4L'!$B$80, "-", '4L'!$I$7, "-", '4L'!$G$6, "-", '4L'!$F$5)</f>
        <v>Other enhancement-Improvements to taste, odour and colour-Water treatment-Water network+-Expenditure in report year</v>
      </c>
      <c r="E1226" t="str">
        <f>'4L'!$C$80</f>
        <v>Opex</v>
      </c>
      <c r="F1226" t="s">
        <v>682</v>
      </c>
      <c r="G1226" t="str">
        <f>'4L'!$D$80</f>
        <v>£m</v>
      </c>
      <c r="O1226" t="str">
        <f>_xlfn.CONCAT('4L'!$B$78, "-", '4L'!$B$80, "-", '4L'!$I$7, "-", '4L'!$G$6, "-", '4L'!$F$5)</f>
        <v>Other enhancement-Improvements to taste, odour and colour-Water treatment-Water network+-Expenditure in report year</v>
      </c>
    </row>
    <row r="1227" spans="1:15">
      <c r="A1227" t="s">
        <v>639</v>
      </c>
      <c r="B1227" t="str">
        <f>'4L'!$AZ$80</f>
        <v>B0259ITO_TWD</v>
      </c>
      <c r="D1227" t="str">
        <f>_xlfn.CONCAT('4L'!$B$78, "-", '4L'!$B$80, "-", '4L'!$J$7, "-", '4L'!$G$6, "-", '4L'!$F$5)</f>
        <v>Other enhancement-Improvements to taste, odour and colour-Treated water distribution-Water network+-Expenditure in report year</v>
      </c>
      <c r="E1227" t="str">
        <f>'4L'!$C$80</f>
        <v>Opex</v>
      </c>
      <c r="F1227" t="s">
        <v>682</v>
      </c>
      <c r="G1227" t="str">
        <f>'4L'!$D$80</f>
        <v>£m</v>
      </c>
      <c r="O1227" t="str">
        <f>_xlfn.CONCAT('4L'!$B$78, "-", '4L'!$B$80, "-", '4L'!$J$7, "-", '4L'!$G$6, "-", '4L'!$F$5)</f>
        <v>Other enhancement-Improvements to taste, odour and colour-Treated water distribution-Water network+-Expenditure in report year</v>
      </c>
    </row>
    <row r="1228" spans="1:15">
      <c r="A1228" t="s">
        <v>639</v>
      </c>
      <c r="B1228" t="str">
        <f>'4L'!$BA$80</f>
        <v>B0259ITO_TOT</v>
      </c>
      <c r="D1228" t="str">
        <f>_xlfn.CONCAT('4L'!$B$78, "-", '4L'!$B$80, "-", '4L'!$K$6, "-", '4L'!$K$6, "-", '4L'!$F$5)</f>
        <v>Other enhancement-Improvements to taste, odour and colour-Total-Total-Expenditure in report year</v>
      </c>
      <c r="E1228" t="str">
        <f>'4L'!$C$80</f>
        <v>Opex</v>
      </c>
      <c r="F1228" t="s">
        <v>682</v>
      </c>
      <c r="G1228" t="str">
        <f>'4L'!$D$80</f>
        <v>£m</v>
      </c>
      <c r="O1228" t="str">
        <f>_xlfn.CONCAT('4L'!$B$78, "-", '4L'!$B$80, "-", '4L'!$K$6, "-", '4L'!$K$6, "-", '4L'!$F$5)</f>
        <v>Other enhancement-Improvements to taste, odour and colour-Total-Total-Expenditure in report year</v>
      </c>
    </row>
    <row r="1229" spans="1:15">
      <c r="A1229" t="s">
        <v>639</v>
      </c>
      <c r="B1229" t="str">
        <f>'4L'!$AV$81</f>
        <v>B0260ITT_WR</v>
      </c>
      <c r="D1229" t="str">
        <f>_xlfn.CONCAT('4L'!$B$78, "-", '4L'!$B$81, "-", '4L'!$F$6, "-", '4L'!$F$6, "-", '4L'!$F$5)</f>
        <v>Other enhancement-Improvements to taste, odour and colour-Water resources-Water resources-Expenditure in report year</v>
      </c>
      <c r="E1229" t="str">
        <f>'4L'!$C$81</f>
        <v>Totex</v>
      </c>
      <c r="F1229" t="s">
        <v>682</v>
      </c>
      <c r="G1229" t="str">
        <f>'4L'!$D$81</f>
        <v>£m</v>
      </c>
      <c r="O1229" t="str">
        <f>_xlfn.CONCAT('4L'!$B$78, "-", '4L'!$B$81, "-", '4L'!$F$6, "-", '4L'!$F$6, "-", '4L'!$F$5)</f>
        <v>Other enhancement-Improvements to taste, odour and colour-Water resources-Water resources-Expenditure in report year</v>
      </c>
    </row>
    <row r="1230" spans="1:15">
      <c r="A1230" t="s">
        <v>639</v>
      </c>
      <c r="B1230" t="str">
        <f>'4L'!$AW$81</f>
        <v>B0260ITT_RWT</v>
      </c>
      <c r="D1230" t="str">
        <f>_xlfn.CONCAT('4L'!$B$78, "-", '4L'!$B$81, "-", '4L'!$G$7, "-", '4L'!$G$6, "-", '4L'!$F$5)</f>
        <v>Other enhancement-Improvements to taste, odour and colour-Raw water transport-Water network+-Expenditure in report year</v>
      </c>
      <c r="E1230" t="str">
        <f>'4L'!$C$81</f>
        <v>Totex</v>
      </c>
      <c r="F1230" t="s">
        <v>682</v>
      </c>
      <c r="G1230" t="str">
        <f>'4L'!$D$81</f>
        <v>£m</v>
      </c>
      <c r="O1230" t="str">
        <f>_xlfn.CONCAT('4L'!$B$78, "-", '4L'!$B$81, "-", '4L'!$G$7, "-", '4L'!$G$6, "-", '4L'!$F$5)</f>
        <v>Other enhancement-Improvements to taste, odour and colour-Raw water transport-Water network+-Expenditure in report year</v>
      </c>
    </row>
    <row r="1231" spans="1:15">
      <c r="A1231" t="s">
        <v>639</v>
      </c>
      <c r="B1231" t="str">
        <f>'4L'!$AX$81</f>
        <v>B0260ITT_RWS</v>
      </c>
      <c r="D1231" t="str">
        <f>_xlfn.CONCAT('4L'!$B$78, "-", '4L'!$B$81, "-", '4L'!$H$7, "-", '4L'!$G$6, "-", '4L'!$F$5)</f>
        <v>Other enhancement-Improvements to taste, odour and colour-Raw water storage-Water network+-Expenditure in report year</v>
      </c>
      <c r="E1231" t="str">
        <f>'4L'!$C$81</f>
        <v>Totex</v>
      </c>
      <c r="F1231" t="s">
        <v>682</v>
      </c>
      <c r="G1231" t="str">
        <f>'4L'!$D$81</f>
        <v>£m</v>
      </c>
      <c r="O1231" t="str">
        <f>_xlfn.CONCAT('4L'!$B$78, "-", '4L'!$B$81, "-", '4L'!$H$7, "-", '4L'!$G$6, "-", '4L'!$F$5)</f>
        <v>Other enhancement-Improvements to taste, odour and colour-Raw water storage-Water network+-Expenditure in report year</v>
      </c>
    </row>
    <row r="1232" spans="1:15">
      <c r="A1232" t="s">
        <v>639</v>
      </c>
      <c r="B1232" t="str">
        <f>'4L'!$AY$81</f>
        <v>B0260ITT_WT</v>
      </c>
      <c r="D1232" t="str">
        <f>_xlfn.CONCAT('4L'!$B$78, "-", '4L'!$B$81, "-", '4L'!$I$7, "-", '4L'!$G$6, "-", '4L'!$F$5)</f>
        <v>Other enhancement-Improvements to taste, odour and colour-Water treatment-Water network+-Expenditure in report year</v>
      </c>
      <c r="E1232" t="str">
        <f>'4L'!$C$81</f>
        <v>Totex</v>
      </c>
      <c r="F1232" t="s">
        <v>682</v>
      </c>
      <c r="G1232" t="str">
        <f>'4L'!$D$81</f>
        <v>£m</v>
      </c>
      <c r="O1232" t="str">
        <f>_xlfn.CONCAT('4L'!$B$78, "-", '4L'!$B$81, "-", '4L'!$I$7, "-", '4L'!$G$6, "-", '4L'!$F$5)</f>
        <v>Other enhancement-Improvements to taste, odour and colour-Water treatment-Water network+-Expenditure in report year</v>
      </c>
    </row>
    <row r="1233" spans="1:15">
      <c r="A1233" t="s">
        <v>639</v>
      </c>
      <c r="B1233" t="str">
        <f>'4L'!$AZ$81</f>
        <v>B0260ITT_TWD</v>
      </c>
      <c r="D1233" t="str">
        <f>_xlfn.CONCAT('4L'!$B$78, "-", '4L'!$B$81, "-", '4L'!$J$7, "-", '4L'!$G$6, "-", '4L'!$F$5)</f>
        <v>Other enhancement-Improvements to taste, odour and colour-Treated water distribution-Water network+-Expenditure in report year</v>
      </c>
      <c r="E1233" t="str">
        <f>'4L'!$C$81</f>
        <v>Totex</v>
      </c>
      <c r="F1233" t="s">
        <v>682</v>
      </c>
      <c r="G1233" t="str">
        <f>'4L'!$D$81</f>
        <v>£m</v>
      </c>
      <c r="O1233" t="str">
        <f>_xlfn.CONCAT('4L'!$B$78, "-", '4L'!$B$81, "-", '4L'!$J$7, "-", '4L'!$G$6, "-", '4L'!$F$5)</f>
        <v>Other enhancement-Improvements to taste, odour and colour-Treated water distribution-Water network+-Expenditure in report year</v>
      </c>
    </row>
    <row r="1234" spans="1:15">
      <c r="A1234" t="s">
        <v>639</v>
      </c>
      <c r="B1234" t="str">
        <f>'4L'!$BA$81</f>
        <v>B0260ITT_TOT</v>
      </c>
      <c r="D1234" t="str">
        <f>_xlfn.CONCAT('4L'!$B$78, "-", '4L'!$B$81, "-", '4L'!$K$6, "-", '4L'!$K$6, "-", '4L'!$F$5)</f>
        <v>Other enhancement-Improvements to taste, odour and colour-Total-Total-Expenditure in report year</v>
      </c>
      <c r="E1234" t="str">
        <f>'4L'!$C$81</f>
        <v>Totex</v>
      </c>
      <c r="F1234" t="s">
        <v>682</v>
      </c>
      <c r="G1234" t="str">
        <f>'4L'!$D$81</f>
        <v>£m</v>
      </c>
      <c r="O1234" t="str">
        <f>_xlfn.CONCAT('4L'!$B$78, "-", '4L'!$B$81, "-", '4L'!$K$6, "-", '4L'!$K$6, "-", '4L'!$F$5)</f>
        <v>Other enhancement-Improvements to taste, odour and colour-Total-Total-Expenditure in report year</v>
      </c>
    </row>
    <row r="1235" spans="1:15">
      <c r="A1235" t="s">
        <v>639</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682</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639</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682</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639</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682</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639</v>
      </c>
      <c r="B1238" t="str">
        <f>'4L'!$AV$82</f>
        <v>B0264ARCT_WR</v>
      </c>
      <c r="D1238" t="str">
        <f>_xlfn.CONCAT('4L'!$B$78, "-", '4L'!$B$82, "-", '4L'!$F$6, "-", '4L'!$F$6, "-", '4L'!$F$5)</f>
        <v>Other enhancement-Addressing raw water deterioration (grey solutions)-Water resources-Water resources-Expenditure in report year</v>
      </c>
      <c r="E1238" t="str">
        <f>'4L'!$C$82</f>
        <v>Capex</v>
      </c>
      <c r="F1238" t="s">
        <v>682</v>
      </c>
      <c r="G1238" t="str">
        <f>'4L'!$D$82</f>
        <v>£m</v>
      </c>
      <c r="O1238" t="str">
        <f>_xlfn.CONCAT('4L'!$B$78, "-", '4L'!$B$82, "-", '4L'!$F$6, "-", '4L'!$F$6, "-", '4L'!$F$5)</f>
        <v>Other enhancement-Addressing raw water deterioration (grey solutions)-Water resources-Water resources-Expenditure in report year</v>
      </c>
    </row>
    <row r="1239" spans="1:15">
      <c r="A1239" t="s">
        <v>639</v>
      </c>
      <c r="B1239" t="str">
        <f>'4L'!$AW$82</f>
        <v>B0264ARCT_RWT</v>
      </c>
      <c r="D1239" t="str">
        <f>_xlfn.CONCAT('4L'!$B$78, "-", '4L'!$B$82, "-", '4L'!$G$7, "-", '4L'!$G$6, "-", '4L'!$F$5)</f>
        <v>Other enhancement-Addressing raw water deterioration (grey solutions)-Raw water transport-Water network+-Expenditure in report year</v>
      </c>
      <c r="E1239" t="str">
        <f>'4L'!$C$82</f>
        <v>Capex</v>
      </c>
      <c r="F1239" t="s">
        <v>682</v>
      </c>
      <c r="G1239" t="str">
        <f>'4L'!$D$82</f>
        <v>£m</v>
      </c>
      <c r="O1239" t="str">
        <f>_xlfn.CONCAT('4L'!$B$78, "-", '4L'!$B$82, "-", '4L'!$G$7, "-", '4L'!$G$6, "-", '4L'!$F$5)</f>
        <v>Other enhancement-Addressing raw water deterioration (grey solutions)-Raw water transport-Water network+-Expenditure in report year</v>
      </c>
    </row>
    <row r="1240" spans="1:15">
      <c r="A1240" t="s">
        <v>639</v>
      </c>
      <c r="B1240" t="str">
        <f>'4L'!$AX$82</f>
        <v>B0264ARCT_RWS</v>
      </c>
      <c r="D1240" t="str">
        <f>_xlfn.CONCAT('4L'!$B$78, "-", '4L'!$B$82, "-", '4L'!$H$7, "-", '4L'!$G$6, "-", '4L'!$F$5)</f>
        <v>Other enhancement-Addressing raw water deterioration (grey solutions)-Raw water storage-Water network+-Expenditure in report year</v>
      </c>
      <c r="E1240" t="str">
        <f>'4L'!$C$82</f>
        <v>Capex</v>
      </c>
      <c r="F1240" t="s">
        <v>682</v>
      </c>
      <c r="G1240" t="str">
        <f>'4L'!$D$82</f>
        <v>£m</v>
      </c>
      <c r="O1240" t="str">
        <f>_xlfn.CONCAT('4L'!$B$78, "-", '4L'!$B$82, "-", '4L'!$H$7, "-", '4L'!$G$6, "-", '4L'!$F$5)</f>
        <v>Other enhancement-Addressing raw water deterioration (grey solutions)-Raw water storage-Water network+-Expenditure in report year</v>
      </c>
    </row>
    <row r="1241" spans="1:15">
      <c r="A1241" t="s">
        <v>639</v>
      </c>
      <c r="B1241" t="str">
        <f>'4L'!$AY$82</f>
        <v>B0264ARCT_WT</v>
      </c>
      <c r="D1241" t="str">
        <f>_xlfn.CONCAT('4L'!$B$78, "-", '4L'!$B$82, "-", '4L'!$I$7, "-", '4L'!$G$6, "-", '4L'!$F$5)</f>
        <v>Other enhancement-Addressing raw water deterioration (grey solutions)-Water treatment-Water network+-Expenditure in report year</v>
      </c>
      <c r="E1241" t="str">
        <f>'4L'!$C$82</f>
        <v>Capex</v>
      </c>
      <c r="F1241" t="s">
        <v>682</v>
      </c>
      <c r="G1241" t="str">
        <f>'4L'!$D$82</f>
        <v>£m</v>
      </c>
      <c r="O1241" t="str">
        <f>_xlfn.CONCAT('4L'!$B$78, "-", '4L'!$B$82, "-", '4L'!$I$7, "-", '4L'!$G$6, "-", '4L'!$F$5)</f>
        <v>Other enhancement-Addressing raw water deterioration (grey solutions)-Water treatment-Water network+-Expenditure in report year</v>
      </c>
    </row>
    <row r="1242" spans="1:15">
      <c r="A1242" t="s">
        <v>639</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682</v>
      </c>
      <c r="G1242" t="str">
        <f>'4L'!$D$82</f>
        <v>£m</v>
      </c>
      <c r="O1242" t="str">
        <f>_xlfn.CONCAT('4L'!$B$78, "-", '4L'!$B$82, "-", '4L'!$J$7, "-", '4L'!$G$6, "-", '4L'!$F$5)</f>
        <v>Other enhancement-Addressing raw water deterioration (grey solutions)-Treated water distribution-Water network+-Expenditure in report year</v>
      </c>
    </row>
    <row r="1243" spans="1:15">
      <c r="A1243" t="s">
        <v>639</v>
      </c>
      <c r="B1243" t="str">
        <f>'4L'!$BA$82</f>
        <v>B0264ARCT_TOT</v>
      </c>
      <c r="D1243" t="str">
        <f>_xlfn.CONCAT('4L'!$B$78, "-", '4L'!$B$82, "-", '4L'!$K$6, "-", '4L'!$K$6, "-", '4L'!$F$5)</f>
        <v>Other enhancement-Addressing raw water deterioration (grey solutions)-Total-Total-Expenditure in report year</v>
      </c>
      <c r="E1243" t="str">
        <f>'4L'!$C$82</f>
        <v>Capex</v>
      </c>
      <c r="F1243" t="s">
        <v>682</v>
      </c>
      <c r="G1243" t="str">
        <f>'4L'!$D$82</f>
        <v>£m</v>
      </c>
      <c r="O1243" t="str">
        <f>_xlfn.CONCAT('4L'!$B$78, "-", '4L'!$B$82, "-", '4L'!$K$6, "-", '4L'!$K$6, "-", '4L'!$F$5)</f>
        <v>Other enhancement-Addressing raw water deterioration (grey solutions)-Total-Total-Expenditure in report year</v>
      </c>
    </row>
    <row r="1244" spans="1:15">
      <c r="A1244" t="s">
        <v>639</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682</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639</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682</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639</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682</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639</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682</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639</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682</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639</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682</v>
      </c>
      <c r="G1249" t="str">
        <f>'4L'!$D$82</f>
        <v>£m</v>
      </c>
      <c r="O1249" t="str">
        <f>_xlfn.CONCAT('4L'!$B$78, "-", '4L'!$B$82, "-", '4L'!$Q$6, "-", '4L'!$Q$6, "-", '4L'!$L$5)</f>
        <v>Other enhancement-Addressing raw water deterioration (grey solutions)-Total-Total-Cumulative expenditure on schemes completed in the report year</v>
      </c>
    </row>
    <row r="1250" spans="1:15">
      <c r="A1250" t="s">
        <v>639</v>
      </c>
      <c r="B1250" t="str">
        <f>'4L'!$AV$83</f>
        <v>B0265AROT_WR</v>
      </c>
      <c r="D1250" t="str">
        <f>_xlfn.CONCAT('4L'!$B$78, "-", '4L'!$B$83, "-", '4L'!$F$6, "-", '4L'!$F$6, "-", '4L'!$F$5)</f>
        <v>Other enhancement-Addressing raw water deterioration (grey solutions)-Water resources-Water resources-Expenditure in report year</v>
      </c>
      <c r="E1250" t="str">
        <f>'4L'!$C$83</f>
        <v>Opex</v>
      </c>
      <c r="F1250" t="s">
        <v>682</v>
      </c>
      <c r="G1250" t="str">
        <f>'4L'!$D$83</f>
        <v>£m</v>
      </c>
      <c r="O1250" t="str">
        <f>_xlfn.CONCAT('4L'!$B$78, "-", '4L'!$B$83, "-", '4L'!$F$6, "-", '4L'!$F$6, "-", '4L'!$F$5)</f>
        <v>Other enhancement-Addressing raw water deterioration (grey solutions)-Water resources-Water resources-Expenditure in report year</v>
      </c>
    </row>
    <row r="1251" spans="1:15">
      <c r="A1251" t="s">
        <v>639</v>
      </c>
      <c r="B1251" t="str">
        <f>'4L'!$AW$83</f>
        <v>B0265AROT_RWT</v>
      </c>
      <c r="D1251" t="str">
        <f>_xlfn.CONCAT('4L'!$B$78, "-", '4L'!$B$83, "-", '4L'!$G$7, "-", '4L'!$G$6, "-", '4L'!$F$5)</f>
        <v>Other enhancement-Addressing raw water deterioration (grey solutions)-Raw water transport-Water network+-Expenditure in report year</v>
      </c>
      <c r="E1251" t="str">
        <f>'4L'!$C$83</f>
        <v>Opex</v>
      </c>
      <c r="F1251" t="s">
        <v>682</v>
      </c>
      <c r="G1251" t="str">
        <f>'4L'!$D$83</f>
        <v>£m</v>
      </c>
      <c r="O1251" t="str">
        <f>_xlfn.CONCAT('4L'!$B$78, "-", '4L'!$B$83, "-", '4L'!$G$7, "-", '4L'!$G$6, "-", '4L'!$F$5)</f>
        <v>Other enhancement-Addressing raw water deterioration (grey solutions)-Raw water transport-Water network+-Expenditure in report year</v>
      </c>
    </row>
    <row r="1252" spans="1:15">
      <c r="A1252" t="s">
        <v>639</v>
      </c>
      <c r="B1252" t="str">
        <f>'4L'!$AX$83</f>
        <v>B0265AROT_RWS</v>
      </c>
      <c r="D1252" t="str">
        <f>_xlfn.CONCAT('4L'!$B$78, "-", '4L'!$B$83, "-", '4L'!$H$7, "-", '4L'!$G$6, "-", '4L'!$F$5)</f>
        <v>Other enhancement-Addressing raw water deterioration (grey solutions)-Raw water storage-Water network+-Expenditure in report year</v>
      </c>
      <c r="E1252" t="str">
        <f>'4L'!$C$83</f>
        <v>Opex</v>
      </c>
      <c r="F1252" t="s">
        <v>682</v>
      </c>
      <c r="G1252" t="str">
        <f>'4L'!$D$83</f>
        <v>£m</v>
      </c>
      <c r="O1252" t="str">
        <f>_xlfn.CONCAT('4L'!$B$78, "-", '4L'!$B$83, "-", '4L'!$H$7, "-", '4L'!$G$6, "-", '4L'!$F$5)</f>
        <v>Other enhancement-Addressing raw water deterioration (grey solutions)-Raw water storage-Water network+-Expenditure in report year</v>
      </c>
    </row>
    <row r="1253" spans="1:15">
      <c r="A1253" t="s">
        <v>639</v>
      </c>
      <c r="B1253" t="str">
        <f>'4L'!$AY$83</f>
        <v>B0265AROT_WT</v>
      </c>
      <c r="D1253" t="str">
        <f>_xlfn.CONCAT('4L'!$B$78, "-", '4L'!$B$83, "-", '4L'!$I$7, "-", '4L'!$G$6, "-", '4L'!$F$5)</f>
        <v>Other enhancement-Addressing raw water deterioration (grey solutions)-Water treatment-Water network+-Expenditure in report year</v>
      </c>
      <c r="E1253" t="str">
        <f>'4L'!$C$83</f>
        <v>Opex</v>
      </c>
      <c r="F1253" t="s">
        <v>682</v>
      </c>
      <c r="G1253" t="str">
        <f>'4L'!$D$83</f>
        <v>£m</v>
      </c>
      <c r="O1253" t="str">
        <f>_xlfn.CONCAT('4L'!$B$78, "-", '4L'!$B$83, "-", '4L'!$I$7, "-", '4L'!$G$6, "-", '4L'!$F$5)</f>
        <v>Other enhancement-Addressing raw water deterioration (grey solutions)-Water treatment-Water network+-Expenditure in report year</v>
      </c>
    </row>
    <row r="1254" spans="1:15">
      <c r="A1254" t="s">
        <v>639</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682</v>
      </c>
      <c r="G1254" t="str">
        <f>'4L'!$D$83</f>
        <v>£m</v>
      </c>
      <c r="O1254" t="str">
        <f>_xlfn.CONCAT('4L'!$B$78, "-", '4L'!$B$83, "-", '4L'!$J$7, "-", '4L'!$G$6, "-", '4L'!$F$5)</f>
        <v>Other enhancement-Addressing raw water deterioration (grey solutions)-Treated water distribution-Water network+-Expenditure in report year</v>
      </c>
    </row>
    <row r="1255" spans="1:15">
      <c r="A1255" t="s">
        <v>639</v>
      </c>
      <c r="B1255" t="str">
        <f>'4L'!$BA$83</f>
        <v>B0265AROT_TOT</v>
      </c>
      <c r="D1255" t="str">
        <f>_xlfn.CONCAT('4L'!$B$78, "-", '4L'!$B$83, "-", '4L'!$K$6, "-", '4L'!$K$6, "-", '4L'!$F$5)</f>
        <v>Other enhancement-Addressing raw water deterioration (grey solutions)-Total-Total-Expenditure in report year</v>
      </c>
      <c r="E1255" t="str">
        <f>'4L'!$C$83</f>
        <v>Opex</v>
      </c>
      <c r="F1255" t="s">
        <v>682</v>
      </c>
      <c r="G1255" t="str">
        <f>'4L'!$D$83</f>
        <v>£m</v>
      </c>
      <c r="O1255" t="str">
        <f>_xlfn.CONCAT('4L'!$B$78, "-", '4L'!$B$83, "-", '4L'!$K$6, "-", '4L'!$K$6, "-", '4L'!$F$5)</f>
        <v>Other enhancement-Addressing raw water deterioration (grey solutions)-Total-Total-Expenditure in report year</v>
      </c>
    </row>
    <row r="1256" spans="1:15">
      <c r="A1256" t="s">
        <v>639</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682</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639</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682</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639</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682</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639</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682</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639</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682</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639</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682</v>
      </c>
      <c r="G1261" t="str">
        <f>'4L'!$D$83</f>
        <v>£m</v>
      </c>
      <c r="O1261" t="str">
        <f>_xlfn.CONCAT('4L'!$B$78, "-", '4L'!$B$83, "-", '4L'!$Q$6, "-", '4L'!$Q$6, "-", '4L'!$L$5)</f>
        <v>Other enhancement-Addressing raw water deterioration (grey solutions)-Total-Total-Cumulative expenditure on schemes completed in the report year</v>
      </c>
    </row>
    <row r="1262" spans="1:15">
      <c r="A1262" t="s">
        <v>639</v>
      </c>
      <c r="B1262" t="str">
        <f>'4L'!$AV$84</f>
        <v>B0266ARTT_WR</v>
      </c>
      <c r="D1262" t="str">
        <f>_xlfn.CONCAT('4L'!$B$78, "-", '4L'!$B$84, "-", '4L'!$F$6, "-", '4L'!$F$6, "-", '4L'!$F$5)</f>
        <v>Other enhancement-Addressing raw water deterioration (grey solutions)-Water resources-Water resources-Expenditure in report year</v>
      </c>
      <c r="E1262" t="str">
        <f>'4L'!$C$84</f>
        <v>Totex</v>
      </c>
      <c r="F1262" t="s">
        <v>682</v>
      </c>
      <c r="G1262" t="str">
        <f>'4L'!$D$84</f>
        <v>£m</v>
      </c>
      <c r="O1262" t="str">
        <f>_xlfn.CONCAT('4L'!$B$78, "-", '4L'!$B$84, "-", '4L'!$F$6, "-", '4L'!$F$6, "-", '4L'!$F$5)</f>
        <v>Other enhancement-Addressing raw water deterioration (grey solutions)-Water resources-Water resources-Expenditure in report year</v>
      </c>
    </row>
    <row r="1263" spans="1:15">
      <c r="A1263" t="s">
        <v>639</v>
      </c>
      <c r="B1263" t="str">
        <f>'4L'!$AW$84</f>
        <v>B0266ARTT_RWT</v>
      </c>
      <c r="D1263" t="str">
        <f>_xlfn.CONCAT('4L'!$B$78, "-", '4L'!$B$84, "-", '4L'!$G$7, "-", '4L'!$G$6, "-", '4L'!$F$5)</f>
        <v>Other enhancement-Addressing raw water deterioration (grey solutions)-Raw water transport-Water network+-Expenditure in report year</v>
      </c>
      <c r="E1263" t="str">
        <f>'4L'!$C$84</f>
        <v>Totex</v>
      </c>
      <c r="F1263" t="s">
        <v>682</v>
      </c>
      <c r="G1263" t="str">
        <f>'4L'!$D$84</f>
        <v>£m</v>
      </c>
      <c r="O1263" t="str">
        <f>_xlfn.CONCAT('4L'!$B$78, "-", '4L'!$B$84, "-", '4L'!$G$7, "-", '4L'!$G$6, "-", '4L'!$F$5)</f>
        <v>Other enhancement-Addressing raw water deterioration (grey solutions)-Raw water transport-Water network+-Expenditure in report year</v>
      </c>
    </row>
    <row r="1264" spans="1:15">
      <c r="A1264" t="s">
        <v>639</v>
      </c>
      <c r="B1264" t="str">
        <f>'4L'!$AX$84</f>
        <v>B0266ARTT_RWS</v>
      </c>
      <c r="D1264" t="str">
        <f>_xlfn.CONCAT('4L'!$B$78, "-", '4L'!$B$84, "-", '4L'!$H$7, "-", '4L'!$G$6, "-", '4L'!$F$5)</f>
        <v>Other enhancement-Addressing raw water deterioration (grey solutions)-Raw water storage-Water network+-Expenditure in report year</v>
      </c>
      <c r="E1264" t="str">
        <f>'4L'!$C$84</f>
        <v>Totex</v>
      </c>
      <c r="F1264" t="s">
        <v>682</v>
      </c>
      <c r="G1264" t="str">
        <f>'4L'!$D$84</f>
        <v>£m</v>
      </c>
      <c r="O1264" t="str">
        <f>_xlfn.CONCAT('4L'!$B$78, "-", '4L'!$B$84, "-", '4L'!$H$7, "-", '4L'!$G$6, "-", '4L'!$F$5)</f>
        <v>Other enhancement-Addressing raw water deterioration (grey solutions)-Raw water storage-Water network+-Expenditure in report year</v>
      </c>
    </row>
    <row r="1265" spans="1:15">
      <c r="A1265" t="s">
        <v>639</v>
      </c>
      <c r="B1265" t="str">
        <f>'4L'!$AY$84</f>
        <v>B0266ARTT_WT</v>
      </c>
      <c r="D1265" t="str">
        <f>_xlfn.CONCAT('4L'!$B$78, "-", '4L'!$B$84, "-", '4L'!$I$7, "-", '4L'!$G$6, "-", '4L'!$F$5)</f>
        <v>Other enhancement-Addressing raw water deterioration (grey solutions)-Water treatment-Water network+-Expenditure in report year</v>
      </c>
      <c r="E1265" t="str">
        <f>'4L'!$C$84</f>
        <v>Totex</v>
      </c>
      <c r="F1265" t="s">
        <v>682</v>
      </c>
      <c r="G1265" t="str">
        <f>'4L'!$D$84</f>
        <v>£m</v>
      </c>
      <c r="O1265" t="str">
        <f>_xlfn.CONCAT('4L'!$B$78, "-", '4L'!$B$84, "-", '4L'!$I$7, "-", '4L'!$G$6, "-", '4L'!$F$5)</f>
        <v>Other enhancement-Addressing raw water deterioration (grey solutions)-Water treatment-Water network+-Expenditure in report year</v>
      </c>
    </row>
    <row r="1266" spans="1:15">
      <c r="A1266" t="s">
        <v>639</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682</v>
      </c>
      <c r="G1266" t="str">
        <f>'4L'!$D$84</f>
        <v>£m</v>
      </c>
      <c r="O1266" t="str">
        <f>_xlfn.CONCAT('4L'!$B$78, "-", '4L'!$B$84, "-", '4L'!$J$7, "-", '4L'!$G$6, "-", '4L'!$F$5)</f>
        <v>Other enhancement-Addressing raw water deterioration (grey solutions)-Treated water distribution-Water network+-Expenditure in report year</v>
      </c>
    </row>
    <row r="1267" spans="1:15">
      <c r="A1267" t="s">
        <v>639</v>
      </c>
      <c r="B1267" t="str">
        <f>'4L'!$BA$84</f>
        <v>B0266ARTT_TOT</v>
      </c>
      <c r="D1267" t="str">
        <f>_xlfn.CONCAT('4L'!$B$78, "-", '4L'!$B$84, "-", '4L'!$K$6, "-", '4L'!$K$6, "-", '4L'!$F$5)</f>
        <v>Other enhancement-Addressing raw water deterioration (grey solutions)-Total-Total-Expenditure in report year</v>
      </c>
      <c r="E1267" t="str">
        <f>'4L'!$C$84</f>
        <v>Totex</v>
      </c>
      <c r="F1267" t="s">
        <v>682</v>
      </c>
      <c r="G1267" t="str">
        <f>'4L'!$D$84</f>
        <v>£m</v>
      </c>
      <c r="O1267" t="str">
        <f>_xlfn.CONCAT('4L'!$B$78, "-", '4L'!$B$84, "-", '4L'!$K$6, "-", '4L'!$K$6, "-", '4L'!$F$5)</f>
        <v>Other enhancement-Addressing raw water deterioration (grey solutions)-Total-Total-Expenditure in report year</v>
      </c>
    </row>
    <row r="1268" spans="1:15">
      <c r="A1268" t="s">
        <v>639</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682</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639</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682</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639</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682</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639</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682</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639</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682</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639</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682</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639</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682</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639</v>
      </c>
      <c r="B1275" t="str">
        <f>'4L'!$AV$85</f>
        <v>B0264ARCN_WR</v>
      </c>
      <c r="D1275" t="str">
        <f>_xlfn.CONCAT('4L'!$B$78, "-", '4L'!$B$85, "-", '4L'!$F$6, "-", '4L'!$F$6, "-", '4L'!$F$5)</f>
        <v>Other enhancement-Addressing raw water deterioration (green solutions)-Water resources-Water resources-Expenditure in report year</v>
      </c>
      <c r="E1275" t="str">
        <f>'4L'!$C$85</f>
        <v>Capex</v>
      </c>
      <c r="F1275" t="s">
        <v>682</v>
      </c>
      <c r="G1275" t="str">
        <f>'4L'!$D$85</f>
        <v>£m</v>
      </c>
      <c r="O1275" t="str">
        <f>_xlfn.CONCAT('4L'!$B$78, "-", '4L'!$B$85, "-", '4L'!$F$6, "-", '4L'!$F$6, "-", '4L'!$F$5)</f>
        <v>Other enhancement-Addressing raw water deterioration (green solutions)-Water resources-Water resources-Expenditure in report year</v>
      </c>
    </row>
    <row r="1276" spans="1:15">
      <c r="A1276" t="s">
        <v>639</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682</v>
      </c>
      <c r="G1276" t="str">
        <f>'4L'!$D$85</f>
        <v>£m</v>
      </c>
      <c r="O1276" t="str">
        <f>_xlfn.CONCAT('4L'!$B$78, "-", '4L'!$B$85, "-", '4L'!$G$7, "-", '4L'!$G$6, "-", '4L'!$F$5)</f>
        <v>Other enhancement-Addressing raw water deterioration (green solutions)-Raw water transport-Water network+-Expenditure in report year</v>
      </c>
    </row>
    <row r="1277" spans="1:15">
      <c r="A1277" t="s">
        <v>639</v>
      </c>
      <c r="B1277" t="str">
        <f>'4L'!$AX$85</f>
        <v>B0264ARCN_RWS</v>
      </c>
      <c r="D1277" t="str">
        <f>_xlfn.CONCAT('4L'!$B$78, "-", '4L'!$B$85, "-", '4L'!$H$7, "-", '4L'!$G$6, "-", '4L'!$F$5)</f>
        <v>Other enhancement-Addressing raw water deterioration (green solutions)-Raw water storage-Water network+-Expenditure in report year</v>
      </c>
      <c r="E1277" t="str">
        <f>'4L'!$C$85</f>
        <v>Capex</v>
      </c>
      <c r="F1277" t="s">
        <v>682</v>
      </c>
      <c r="G1277" t="str">
        <f>'4L'!$D$85</f>
        <v>£m</v>
      </c>
      <c r="O1277" t="str">
        <f>_xlfn.CONCAT('4L'!$B$78, "-", '4L'!$B$85, "-", '4L'!$H$7, "-", '4L'!$G$6, "-", '4L'!$F$5)</f>
        <v>Other enhancement-Addressing raw water deterioration (green solutions)-Raw water storage-Water network+-Expenditure in report year</v>
      </c>
    </row>
    <row r="1278" spans="1:15">
      <c r="A1278" t="s">
        <v>639</v>
      </c>
      <c r="B1278" t="str">
        <f>'4L'!$AY$85</f>
        <v>B0264ARCN_WT</v>
      </c>
      <c r="D1278" t="str">
        <f>_xlfn.CONCAT('4L'!$B$78, "-", '4L'!$B$85, "-", '4L'!$I$7, "-", '4L'!$G$6, "-", '4L'!$F$5)</f>
        <v>Other enhancement-Addressing raw water deterioration (green solutions)-Water treatment-Water network+-Expenditure in report year</v>
      </c>
      <c r="E1278" t="str">
        <f>'4L'!$C$85</f>
        <v>Capex</v>
      </c>
      <c r="F1278" t="s">
        <v>682</v>
      </c>
      <c r="G1278" t="str">
        <f>'4L'!$D$85</f>
        <v>£m</v>
      </c>
      <c r="O1278" t="str">
        <f>_xlfn.CONCAT('4L'!$B$78, "-", '4L'!$B$85, "-", '4L'!$I$7, "-", '4L'!$G$6, "-", '4L'!$F$5)</f>
        <v>Other enhancement-Addressing raw water deterioration (green solutions)-Water treatment-Water network+-Expenditure in report year</v>
      </c>
    </row>
    <row r="1279" spans="1:15">
      <c r="A1279" t="s">
        <v>639</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682</v>
      </c>
      <c r="G1279" t="str">
        <f>'4L'!$D$85</f>
        <v>£m</v>
      </c>
      <c r="O1279" t="str">
        <f>_xlfn.CONCAT('4L'!$B$78, "-", '4L'!$B$85, "-", '4L'!$J$7, "-", '4L'!$G$6, "-", '4L'!$F$5)</f>
        <v>Other enhancement-Addressing raw water deterioration (green solutions)-Treated water distribution-Water network+-Expenditure in report year</v>
      </c>
    </row>
    <row r="1280" spans="1:15">
      <c r="A1280" t="s">
        <v>639</v>
      </c>
      <c r="B1280" t="str">
        <f>'4L'!$BA$85</f>
        <v>B0264ARCN_TOT</v>
      </c>
      <c r="D1280" t="str">
        <f>_xlfn.CONCAT('4L'!$B$78, "-", '4L'!$B$85, "-", '4L'!$K$6, "-", '4L'!$K$6, "-", '4L'!$F$5)</f>
        <v>Other enhancement-Addressing raw water deterioration (green solutions)-Total-Total-Expenditure in report year</v>
      </c>
      <c r="E1280" t="str">
        <f>'4L'!$C$85</f>
        <v>Capex</v>
      </c>
      <c r="F1280" t="s">
        <v>682</v>
      </c>
      <c r="G1280" t="str">
        <f>'4L'!$D$85</f>
        <v>£m</v>
      </c>
      <c r="O1280" t="str">
        <f>_xlfn.CONCAT('4L'!$B$78, "-", '4L'!$B$85, "-", '4L'!$K$6, "-", '4L'!$K$6, "-", '4L'!$F$5)</f>
        <v>Other enhancement-Addressing raw water deterioration (green solutions)-Total-Total-Expenditure in report year</v>
      </c>
    </row>
    <row r="1281" spans="1:15">
      <c r="A1281" t="s">
        <v>639</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682</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639</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682</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639</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682</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639</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682</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639</v>
      </c>
      <c r="B1285" t="str">
        <f>'4L'!$AV$86</f>
        <v>B0265ARON_WR</v>
      </c>
      <c r="D1285" t="str">
        <f>_xlfn.CONCAT('4L'!$B$78, "-", '4L'!$B$86, "-", '4L'!$F$6, "-", '4L'!$F$6, "-", '4L'!$F$5)</f>
        <v>Other enhancement-Addressing raw water deterioration (green solutions)-Water resources-Water resources-Expenditure in report year</v>
      </c>
      <c r="E1285" t="str">
        <f>'4L'!$C$86</f>
        <v>Opex</v>
      </c>
      <c r="F1285" t="s">
        <v>682</v>
      </c>
      <c r="G1285" t="str">
        <f>'4L'!$D$86</f>
        <v>£m</v>
      </c>
      <c r="O1285" t="str">
        <f>_xlfn.CONCAT('4L'!$B$78, "-", '4L'!$B$86, "-", '4L'!$F$6, "-", '4L'!$F$6, "-", '4L'!$F$5)</f>
        <v>Other enhancement-Addressing raw water deterioration (green solutions)-Water resources-Water resources-Expenditure in report year</v>
      </c>
    </row>
    <row r="1286" spans="1:15">
      <c r="A1286" t="s">
        <v>639</v>
      </c>
      <c r="B1286" t="str">
        <f>'4L'!$AW$86</f>
        <v>B0265ARON_RWT</v>
      </c>
      <c r="D1286" t="str">
        <f>_xlfn.CONCAT('4L'!$B$78, "-", '4L'!$B$86, "-", '4L'!$G$7, "-", '4L'!$G$6, "-", '4L'!$F$5)</f>
        <v>Other enhancement-Addressing raw water deterioration (green solutions)-Raw water transport-Water network+-Expenditure in report year</v>
      </c>
      <c r="E1286" t="str">
        <f>'4L'!$C$86</f>
        <v>Opex</v>
      </c>
      <c r="F1286" t="s">
        <v>682</v>
      </c>
      <c r="G1286" t="str">
        <f>'4L'!$D$86</f>
        <v>£m</v>
      </c>
      <c r="O1286" t="str">
        <f>_xlfn.CONCAT('4L'!$B$78, "-", '4L'!$B$86, "-", '4L'!$G$7, "-", '4L'!$G$6, "-", '4L'!$F$5)</f>
        <v>Other enhancement-Addressing raw water deterioration (green solutions)-Raw water transport-Water network+-Expenditure in report year</v>
      </c>
    </row>
    <row r="1287" spans="1:15">
      <c r="A1287" t="s">
        <v>639</v>
      </c>
      <c r="B1287" t="str">
        <f>'4L'!$AX$86</f>
        <v>B0265ARON_RWS</v>
      </c>
      <c r="D1287" t="str">
        <f>_xlfn.CONCAT('4L'!$B$78, "-", '4L'!$B$86, "-", '4L'!$H$7, "-", '4L'!$G$6, "-", '4L'!$F$5)</f>
        <v>Other enhancement-Addressing raw water deterioration (green solutions)-Raw water storage-Water network+-Expenditure in report year</v>
      </c>
      <c r="E1287" t="str">
        <f>'4L'!$C$86</f>
        <v>Opex</v>
      </c>
      <c r="F1287" t="s">
        <v>682</v>
      </c>
      <c r="G1287" t="str">
        <f>'4L'!$D$86</f>
        <v>£m</v>
      </c>
      <c r="O1287" t="str">
        <f>_xlfn.CONCAT('4L'!$B$78, "-", '4L'!$B$86, "-", '4L'!$H$7, "-", '4L'!$G$6, "-", '4L'!$F$5)</f>
        <v>Other enhancement-Addressing raw water deterioration (green solutions)-Raw water storage-Water network+-Expenditure in report year</v>
      </c>
    </row>
    <row r="1288" spans="1:15">
      <c r="A1288" t="s">
        <v>639</v>
      </c>
      <c r="B1288" t="str">
        <f>'4L'!$AY$86</f>
        <v>B0265ARON_WT</v>
      </c>
      <c r="D1288" t="str">
        <f>_xlfn.CONCAT('4L'!$B$78, "-", '4L'!$B$86, "-", '4L'!$I$7, "-", '4L'!$G$6, "-", '4L'!$F$5)</f>
        <v>Other enhancement-Addressing raw water deterioration (green solutions)-Water treatment-Water network+-Expenditure in report year</v>
      </c>
      <c r="E1288" t="str">
        <f>'4L'!$C$86</f>
        <v>Opex</v>
      </c>
      <c r="F1288" t="s">
        <v>682</v>
      </c>
      <c r="G1288" t="str">
        <f>'4L'!$D$86</f>
        <v>£m</v>
      </c>
      <c r="O1288" t="str">
        <f>_xlfn.CONCAT('4L'!$B$78, "-", '4L'!$B$86, "-", '4L'!$I$7, "-", '4L'!$G$6, "-", '4L'!$F$5)</f>
        <v>Other enhancement-Addressing raw water deterioration (green solutions)-Water treatment-Water network+-Expenditure in report year</v>
      </c>
    </row>
    <row r="1289" spans="1:15">
      <c r="A1289" t="s">
        <v>639</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682</v>
      </c>
      <c r="G1289" t="str">
        <f>'4L'!$D$86</f>
        <v>£m</v>
      </c>
      <c r="O1289" t="str">
        <f>_xlfn.CONCAT('4L'!$B$78, "-", '4L'!$B$86, "-", '4L'!$J$7, "-", '4L'!$G$6, "-", '4L'!$F$5)</f>
        <v>Other enhancement-Addressing raw water deterioration (green solutions)-Treated water distribution-Water network+-Expenditure in report year</v>
      </c>
    </row>
    <row r="1290" spans="1:15">
      <c r="A1290" t="s">
        <v>639</v>
      </c>
      <c r="B1290" t="str">
        <f>'4L'!$BA$86</f>
        <v>B0265ARON_TOT</v>
      </c>
      <c r="D1290" t="str">
        <f>_xlfn.CONCAT('4L'!$B$78, "-", '4L'!$B$86, "-", '4L'!$K$6, "-", '4L'!$K$6, "-", '4L'!$F$5)</f>
        <v>Other enhancement-Addressing raw water deterioration (green solutions)-Total-Total-Expenditure in report year</v>
      </c>
      <c r="E1290" t="str">
        <f>'4L'!$C$86</f>
        <v>Opex</v>
      </c>
      <c r="F1290" t="s">
        <v>682</v>
      </c>
      <c r="G1290" t="str">
        <f>'4L'!$D$86</f>
        <v>£m</v>
      </c>
      <c r="O1290" t="str">
        <f>_xlfn.CONCAT('4L'!$B$78, "-", '4L'!$B$86, "-", '4L'!$K$6, "-", '4L'!$K$6, "-", '4L'!$F$5)</f>
        <v>Other enhancement-Addressing raw water deterioration (green solutions)-Total-Total-Expenditure in report year</v>
      </c>
    </row>
    <row r="1291" spans="1:15">
      <c r="A1291" t="s">
        <v>639</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682</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639</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682</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639</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682</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639</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682</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639</v>
      </c>
      <c r="B1295" t="str">
        <f>'4L'!$AV$87</f>
        <v>B0266ARTN_WR</v>
      </c>
      <c r="D1295" t="str">
        <f>_xlfn.CONCAT('4L'!$B$78, "-", '4L'!$B$87, "-", '4L'!$F$6, "-", '4L'!$F$6, "-", '4L'!$F$5)</f>
        <v>Other enhancement-Addressing raw water deterioration (green solutions)-Water resources-Water resources-Expenditure in report year</v>
      </c>
      <c r="E1295" t="str">
        <f>'4L'!$C$87</f>
        <v>Totex</v>
      </c>
      <c r="F1295" t="s">
        <v>682</v>
      </c>
      <c r="G1295" t="str">
        <f>'4L'!$D$87</f>
        <v>£m</v>
      </c>
      <c r="O1295" t="str">
        <f>_xlfn.CONCAT('4L'!$B$78, "-", '4L'!$B$87, "-", '4L'!$F$6, "-", '4L'!$F$6, "-", '4L'!$F$5)</f>
        <v>Other enhancement-Addressing raw water deterioration (green solutions)-Water resources-Water resources-Expenditure in report year</v>
      </c>
    </row>
    <row r="1296" spans="1:15">
      <c r="A1296" t="s">
        <v>639</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682</v>
      </c>
      <c r="G1296" t="str">
        <f>'4L'!$D$87</f>
        <v>£m</v>
      </c>
      <c r="O1296" t="str">
        <f>_xlfn.CONCAT('4L'!$B$78, "-", '4L'!$B$87, "-", '4L'!$G$7, "-", '4L'!$G$6, "-", '4L'!$F$5)</f>
        <v>Other enhancement-Addressing raw water deterioration (green solutions)-Raw water transport-Water network+-Expenditure in report year</v>
      </c>
    </row>
    <row r="1297" spans="1:15">
      <c r="A1297" t="s">
        <v>639</v>
      </c>
      <c r="B1297" t="str">
        <f>'4L'!$AX$87</f>
        <v>B0266ARTN_RWS</v>
      </c>
      <c r="D1297" t="str">
        <f>_xlfn.CONCAT('4L'!$B$78, "-", '4L'!$B$87, "-", '4L'!$H$7, "-", '4L'!$G$6, "-", '4L'!$F$5)</f>
        <v>Other enhancement-Addressing raw water deterioration (green solutions)-Raw water storage-Water network+-Expenditure in report year</v>
      </c>
      <c r="E1297" t="str">
        <f>'4L'!$C$87</f>
        <v>Totex</v>
      </c>
      <c r="F1297" t="s">
        <v>682</v>
      </c>
      <c r="G1297" t="str">
        <f>'4L'!$D$87</f>
        <v>£m</v>
      </c>
      <c r="O1297" t="str">
        <f>_xlfn.CONCAT('4L'!$B$78, "-", '4L'!$B$87, "-", '4L'!$H$7, "-", '4L'!$G$6, "-", '4L'!$F$5)</f>
        <v>Other enhancement-Addressing raw water deterioration (green solutions)-Raw water storage-Water network+-Expenditure in report year</v>
      </c>
    </row>
    <row r="1298" spans="1:15">
      <c r="A1298" t="s">
        <v>639</v>
      </c>
      <c r="B1298" t="str">
        <f>'4L'!$AY$87</f>
        <v>B0266ARTN_WT</v>
      </c>
      <c r="D1298" t="str">
        <f>_xlfn.CONCAT('4L'!$B$78, "-", '4L'!$B$87, "-", '4L'!$I$7, "-", '4L'!$G$6, "-", '4L'!$F$5)</f>
        <v>Other enhancement-Addressing raw water deterioration (green solutions)-Water treatment-Water network+-Expenditure in report year</v>
      </c>
      <c r="E1298" t="str">
        <f>'4L'!$C$87</f>
        <v>Totex</v>
      </c>
      <c r="F1298" t="s">
        <v>682</v>
      </c>
      <c r="G1298" t="str">
        <f>'4L'!$D$87</f>
        <v>£m</v>
      </c>
      <c r="O1298" t="str">
        <f>_xlfn.CONCAT('4L'!$B$78, "-", '4L'!$B$87, "-", '4L'!$I$7, "-", '4L'!$G$6, "-", '4L'!$F$5)</f>
        <v>Other enhancement-Addressing raw water deterioration (green solutions)-Water treatment-Water network+-Expenditure in report year</v>
      </c>
    </row>
    <row r="1299" spans="1:15">
      <c r="A1299" t="s">
        <v>639</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682</v>
      </c>
      <c r="G1299" t="str">
        <f>'4L'!$D$87</f>
        <v>£m</v>
      </c>
      <c r="O1299" t="str">
        <f>_xlfn.CONCAT('4L'!$B$78, "-", '4L'!$B$87, "-", '4L'!$J$7, "-", '4L'!$G$6, "-", '4L'!$F$5)</f>
        <v>Other enhancement-Addressing raw water deterioration (green solutions)-Treated water distribution-Water network+-Expenditure in report year</v>
      </c>
    </row>
    <row r="1300" spans="1:15">
      <c r="A1300" t="s">
        <v>639</v>
      </c>
      <c r="B1300" t="str">
        <f>'4L'!$BA$87</f>
        <v>B0266ARTN_TOT</v>
      </c>
      <c r="D1300" t="str">
        <f>_xlfn.CONCAT('4L'!$B$78, "-", '4L'!$B$87, "-", '4L'!$K$6, "-", '4L'!$K$6, "-", '4L'!$F$5)</f>
        <v>Other enhancement-Addressing raw water deterioration (green solutions)-Total-Total-Expenditure in report year</v>
      </c>
      <c r="E1300" t="str">
        <f>'4L'!$C$87</f>
        <v>Totex</v>
      </c>
      <c r="F1300" t="s">
        <v>682</v>
      </c>
      <c r="G1300" t="str">
        <f>'4L'!$D$87</f>
        <v>£m</v>
      </c>
      <c r="O1300" t="str">
        <f>_xlfn.CONCAT('4L'!$B$78, "-", '4L'!$B$87, "-", '4L'!$K$6, "-", '4L'!$K$6, "-", '4L'!$F$5)</f>
        <v>Other enhancement-Addressing raw water deterioration (green solutions)-Total-Total-Expenditure in report year</v>
      </c>
    </row>
    <row r="1301" spans="1:15">
      <c r="A1301" t="s">
        <v>639</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682</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639</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682</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639</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682</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639</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682</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639</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682</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639</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682</v>
      </c>
      <c r="G1306" t="str">
        <f>'4L'!$D$87</f>
        <v>£m</v>
      </c>
      <c r="O1306" t="str">
        <f>_xlfn.CONCAT('4L'!$B$78, "-", '4L'!$B$87, "-", '4L'!$Q$6, "-", '4L'!$Q$6, "-", '4L'!$L$5)</f>
        <v>Other enhancement-Addressing raw water deterioration (green solutions)-Total-Total-Cumulative expenditure on schemes completed in the report year</v>
      </c>
    </row>
    <row r="1307" spans="1:15">
      <c r="A1307" t="s">
        <v>639</v>
      </c>
      <c r="B1307" t="str">
        <f>'4L'!$AV$88</f>
        <v>B0264ARC_WR</v>
      </c>
      <c r="D1307" t="str">
        <f>_xlfn.CONCAT('4L'!$B$78, "-", '4L'!$B$88, "-", '4L'!$F$6, "-", '4L'!$F$6, "-", '4L'!$F$5)</f>
        <v>Other enhancement-Addressing raw water deterioration (total)-Water resources-Water resources-Expenditure in report year</v>
      </c>
      <c r="E1307" t="str">
        <f>'4L'!$C$88</f>
        <v>Capex</v>
      </c>
      <c r="F1307" t="s">
        <v>682</v>
      </c>
      <c r="G1307" t="str">
        <f>'4L'!$D$88</f>
        <v>£m</v>
      </c>
      <c r="O1307" t="str">
        <f>_xlfn.CONCAT('4L'!$B$78, "-", '4L'!$B$88, "-", '4L'!$F$6, "-", '4L'!$F$6, "-", '4L'!$F$5)</f>
        <v>Other enhancement-Addressing raw water deterioration (total)-Water resources-Water resources-Expenditure in report year</v>
      </c>
    </row>
    <row r="1308" spans="1:15">
      <c r="A1308" t="s">
        <v>639</v>
      </c>
      <c r="B1308" t="str">
        <f>'4L'!$AW$88</f>
        <v>B0264ARC_RWT</v>
      </c>
      <c r="D1308" t="str">
        <f>_xlfn.CONCAT('4L'!$B$78, "-", '4L'!$B$88, "-", '4L'!$G$7, "-", '4L'!$G$6, "-", '4L'!$F$5)</f>
        <v>Other enhancement-Addressing raw water deterioration (total)-Raw water transport-Water network+-Expenditure in report year</v>
      </c>
      <c r="E1308" t="str">
        <f>'4L'!$C$88</f>
        <v>Capex</v>
      </c>
      <c r="F1308" t="s">
        <v>682</v>
      </c>
      <c r="G1308" t="str">
        <f>'4L'!$D$88</f>
        <v>£m</v>
      </c>
      <c r="O1308" t="str">
        <f>_xlfn.CONCAT('4L'!$B$78, "-", '4L'!$B$88, "-", '4L'!$G$7, "-", '4L'!$G$6, "-", '4L'!$F$5)</f>
        <v>Other enhancement-Addressing raw water deterioration (total)-Raw water transport-Water network+-Expenditure in report year</v>
      </c>
    </row>
    <row r="1309" spans="1:15">
      <c r="A1309" t="s">
        <v>639</v>
      </c>
      <c r="B1309" t="str">
        <f>'4L'!$AX$88</f>
        <v>B0264ARC_RWS</v>
      </c>
      <c r="D1309" t="str">
        <f>_xlfn.CONCAT('4L'!$B$78, "-", '4L'!$B$88, "-", '4L'!$H$7, "-", '4L'!$G$6, "-", '4L'!$F$5)</f>
        <v>Other enhancement-Addressing raw water deterioration (total)-Raw water storage-Water network+-Expenditure in report year</v>
      </c>
      <c r="E1309" t="str">
        <f>'4L'!$C$88</f>
        <v>Capex</v>
      </c>
      <c r="F1309" t="s">
        <v>682</v>
      </c>
      <c r="G1309" t="str">
        <f>'4L'!$D$88</f>
        <v>£m</v>
      </c>
      <c r="O1309" t="str">
        <f>_xlfn.CONCAT('4L'!$B$78, "-", '4L'!$B$88, "-", '4L'!$H$7, "-", '4L'!$G$6, "-", '4L'!$F$5)</f>
        <v>Other enhancement-Addressing raw water deterioration (total)-Raw water storage-Water network+-Expenditure in report year</v>
      </c>
    </row>
    <row r="1310" spans="1:15">
      <c r="A1310" t="s">
        <v>639</v>
      </c>
      <c r="B1310" t="str">
        <f>'4L'!$AY$88</f>
        <v>B0264ARC_WT</v>
      </c>
      <c r="D1310" t="str">
        <f>_xlfn.CONCAT('4L'!$B$78, "-", '4L'!$B$88, "-", '4L'!$I$7, "-", '4L'!$G$6, "-", '4L'!$F$5)</f>
        <v>Other enhancement-Addressing raw water deterioration (total)-Water treatment-Water network+-Expenditure in report year</v>
      </c>
      <c r="E1310" t="str">
        <f>'4L'!$C$88</f>
        <v>Capex</v>
      </c>
      <c r="F1310" t="s">
        <v>682</v>
      </c>
      <c r="G1310" t="str">
        <f>'4L'!$D$88</f>
        <v>£m</v>
      </c>
      <c r="O1310" t="str">
        <f>_xlfn.CONCAT('4L'!$B$78, "-", '4L'!$B$88, "-", '4L'!$I$7, "-", '4L'!$G$6, "-", '4L'!$F$5)</f>
        <v>Other enhancement-Addressing raw water deterioration (total)-Water treatment-Water network+-Expenditure in report year</v>
      </c>
    </row>
    <row r="1311" spans="1:15">
      <c r="A1311" t="s">
        <v>639</v>
      </c>
      <c r="B1311" t="str">
        <f>'4L'!$AZ$88</f>
        <v>B0264ARC_TWD</v>
      </c>
      <c r="D1311" t="str">
        <f>_xlfn.CONCAT('4L'!$B$78, "-", '4L'!$B$88, "-", '4L'!$J$7, "-", '4L'!$G$6, "-", '4L'!$F$5)</f>
        <v>Other enhancement-Addressing raw water deterioration (total)-Treated water distribution-Water network+-Expenditure in report year</v>
      </c>
      <c r="E1311" t="str">
        <f>'4L'!$C$88</f>
        <v>Capex</v>
      </c>
      <c r="F1311" t="s">
        <v>682</v>
      </c>
      <c r="G1311" t="str">
        <f>'4L'!$D$88</f>
        <v>£m</v>
      </c>
      <c r="O1311" t="str">
        <f>_xlfn.CONCAT('4L'!$B$78, "-", '4L'!$B$88, "-", '4L'!$J$7, "-", '4L'!$G$6, "-", '4L'!$F$5)</f>
        <v>Other enhancement-Addressing raw water deterioration (total)-Treated water distribution-Water network+-Expenditure in report year</v>
      </c>
    </row>
    <row r="1312" spans="1:15">
      <c r="A1312" t="s">
        <v>639</v>
      </c>
      <c r="B1312" t="str">
        <f>'4L'!$BA$88</f>
        <v>B0264ARC_TOT</v>
      </c>
      <c r="D1312" t="str">
        <f>_xlfn.CONCAT('4L'!$B$78, "-", '4L'!$B$88, "-", '4L'!$K$6, "-", '4L'!$K$6, "-", '4L'!$F$5)</f>
        <v>Other enhancement-Addressing raw water deterioration (total)-Total-Total-Expenditure in report year</v>
      </c>
      <c r="E1312" t="str">
        <f>'4L'!$C$88</f>
        <v>Capex</v>
      </c>
      <c r="F1312" t="s">
        <v>682</v>
      </c>
      <c r="G1312" t="str">
        <f>'4L'!$D$88</f>
        <v>£m</v>
      </c>
      <c r="O1312" t="str">
        <f>_xlfn.CONCAT('4L'!$B$78, "-", '4L'!$B$88, "-", '4L'!$K$6, "-", '4L'!$K$6, "-", '4L'!$F$5)</f>
        <v>Other enhancement-Addressing raw water deterioration (total)-Total-Total-Expenditure in report year</v>
      </c>
    </row>
    <row r="1313" spans="1:15">
      <c r="A1313" t="s">
        <v>639</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682</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639</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682</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639</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682</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639</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682</v>
      </c>
      <c r="G1316" t="str">
        <f>'4L'!$D$88</f>
        <v>£m</v>
      </c>
      <c r="O1316" t="str">
        <f>_xlfn.CONCAT('4L'!$B$78, "-", '4L'!$B$88, "-", '4L'!$O$7, "-", '4L'!$M$6, "-", '4L'!$L$5)</f>
        <v>Other enhancement-Addressing raw water deterioration (total)-Water treatment-Water network+-Cumulative expenditure on schemes completed in the report year</v>
      </c>
    </row>
    <row r="1317" spans="1:15">
      <c r="A1317" t="s">
        <v>639</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682</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639</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682</v>
      </c>
      <c r="G1318" t="str">
        <f>'4L'!$D$88</f>
        <v>£m</v>
      </c>
      <c r="O1318" t="str">
        <f>_xlfn.CONCAT('4L'!$B$78, "-", '4L'!$B$88, "-", '4L'!$Q$6, "-", '4L'!$Q$6, "-", '4L'!$L$5)</f>
        <v>Other enhancement-Addressing raw water deterioration (total)-Total-Total-Cumulative expenditure on schemes completed in the report year</v>
      </c>
    </row>
    <row r="1319" spans="1:15">
      <c r="A1319" t="s">
        <v>639</v>
      </c>
      <c r="B1319" t="str">
        <f>'4L'!$AV$89</f>
        <v>B0265ARO_WR</v>
      </c>
      <c r="D1319" t="str">
        <f>_xlfn.CONCAT('4L'!$B$78, "-", '4L'!$B$89, "-", '4L'!$F$6, "-", '4L'!$F$6, "-", '4L'!$F$5)</f>
        <v>Other enhancement-Addressing raw water deterioration (total)-Water resources-Water resources-Expenditure in report year</v>
      </c>
      <c r="E1319" t="str">
        <f>'4L'!$C$89</f>
        <v>Opex</v>
      </c>
      <c r="F1319" t="s">
        <v>682</v>
      </c>
      <c r="G1319" t="str">
        <f>'4L'!$D$89</f>
        <v>£m</v>
      </c>
      <c r="O1319" t="str">
        <f>_xlfn.CONCAT('4L'!$B$78, "-", '4L'!$B$89, "-", '4L'!$F$6, "-", '4L'!$F$6, "-", '4L'!$F$5)</f>
        <v>Other enhancement-Addressing raw water deterioration (total)-Water resources-Water resources-Expenditure in report year</v>
      </c>
    </row>
    <row r="1320" spans="1:15">
      <c r="A1320" t="s">
        <v>639</v>
      </c>
      <c r="B1320" t="str">
        <f>'4L'!$AW$89</f>
        <v>B0265ARO_RWT</v>
      </c>
      <c r="D1320" t="str">
        <f>_xlfn.CONCAT('4L'!$B$78, "-", '4L'!$B$89, "-", '4L'!$G$7, "-", '4L'!$G$6, "-", '4L'!$F$5)</f>
        <v>Other enhancement-Addressing raw water deterioration (total)-Raw water transport-Water network+-Expenditure in report year</v>
      </c>
      <c r="E1320" t="str">
        <f>'4L'!$C$89</f>
        <v>Opex</v>
      </c>
      <c r="F1320" t="s">
        <v>682</v>
      </c>
      <c r="G1320" t="str">
        <f>'4L'!$D$89</f>
        <v>£m</v>
      </c>
      <c r="O1320" t="str">
        <f>_xlfn.CONCAT('4L'!$B$78, "-", '4L'!$B$89, "-", '4L'!$G$7, "-", '4L'!$G$6, "-", '4L'!$F$5)</f>
        <v>Other enhancement-Addressing raw water deterioration (total)-Raw water transport-Water network+-Expenditure in report year</v>
      </c>
    </row>
    <row r="1321" spans="1:15">
      <c r="A1321" t="s">
        <v>639</v>
      </c>
      <c r="B1321" t="str">
        <f>'4L'!$AX$89</f>
        <v>B0265ARO_RWS</v>
      </c>
      <c r="D1321" t="str">
        <f>_xlfn.CONCAT('4L'!$B$78, "-", '4L'!$B$89, "-", '4L'!$H$7, "-", '4L'!$G$6, "-", '4L'!$F$5)</f>
        <v>Other enhancement-Addressing raw water deterioration (total)-Raw water storage-Water network+-Expenditure in report year</v>
      </c>
      <c r="E1321" t="str">
        <f>'4L'!$C$89</f>
        <v>Opex</v>
      </c>
      <c r="F1321" t="s">
        <v>682</v>
      </c>
      <c r="G1321" t="str">
        <f>'4L'!$D$89</f>
        <v>£m</v>
      </c>
      <c r="O1321" t="str">
        <f>_xlfn.CONCAT('4L'!$B$78, "-", '4L'!$B$89, "-", '4L'!$H$7, "-", '4L'!$G$6, "-", '4L'!$F$5)</f>
        <v>Other enhancement-Addressing raw water deterioration (total)-Raw water storage-Water network+-Expenditure in report year</v>
      </c>
    </row>
    <row r="1322" spans="1:15">
      <c r="A1322" t="s">
        <v>639</v>
      </c>
      <c r="B1322" t="str">
        <f>'4L'!$AY$89</f>
        <v>B0265ARO_WT</v>
      </c>
      <c r="D1322" t="str">
        <f>_xlfn.CONCAT('4L'!$B$78, "-", '4L'!$B$89, "-", '4L'!$I$7, "-", '4L'!$G$6, "-", '4L'!$F$5)</f>
        <v>Other enhancement-Addressing raw water deterioration (total)-Water treatment-Water network+-Expenditure in report year</v>
      </c>
      <c r="E1322" t="str">
        <f>'4L'!$C$89</f>
        <v>Opex</v>
      </c>
      <c r="F1322" t="s">
        <v>682</v>
      </c>
      <c r="G1322" t="str">
        <f>'4L'!$D$89</f>
        <v>£m</v>
      </c>
      <c r="O1322" t="str">
        <f>_xlfn.CONCAT('4L'!$B$78, "-", '4L'!$B$89, "-", '4L'!$I$7, "-", '4L'!$G$6, "-", '4L'!$F$5)</f>
        <v>Other enhancement-Addressing raw water deterioration (total)-Water treatment-Water network+-Expenditure in report year</v>
      </c>
    </row>
    <row r="1323" spans="1:15">
      <c r="A1323" t="s">
        <v>639</v>
      </c>
      <c r="B1323" t="str">
        <f>'4L'!$AZ$89</f>
        <v>B0265ARO_TWD</v>
      </c>
      <c r="D1323" t="str">
        <f>_xlfn.CONCAT('4L'!$B$78, "-", '4L'!$B$89, "-", '4L'!$J$7, "-", '4L'!$G$6, "-", '4L'!$F$5)</f>
        <v>Other enhancement-Addressing raw water deterioration (total)-Treated water distribution-Water network+-Expenditure in report year</v>
      </c>
      <c r="E1323" t="str">
        <f>'4L'!$C$89</f>
        <v>Opex</v>
      </c>
      <c r="F1323" t="s">
        <v>682</v>
      </c>
      <c r="G1323" t="str">
        <f>'4L'!$D$89</f>
        <v>£m</v>
      </c>
      <c r="O1323" t="str">
        <f>_xlfn.CONCAT('4L'!$B$78, "-", '4L'!$B$89, "-", '4L'!$J$7, "-", '4L'!$G$6, "-", '4L'!$F$5)</f>
        <v>Other enhancement-Addressing raw water deterioration (total)-Treated water distribution-Water network+-Expenditure in report year</v>
      </c>
    </row>
    <row r="1324" spans="1:15">
      <c r="A1324" t="s">
        <v>639</v>
      </c>
      <c r="B1324" t="str">
        <f>'4L'!$BA$89</f>
        <v>B0265ARO_TOT</v>
      </c>
      <c r="D1324" t="str">
        <f>_xlfn.CONCAT('4L'!$B$78, "-", '4L'!$B$89, "-", '4L'!$K$6, "-", '4L'!$K$6, "-", '4L'!$F$5)</f>
        <v>Other enhancement-Addressing raw water deterioration (total)-Total-Total-Expenditure in report year</v>
      </c>
      <c r="E1324" t="str">
        <f>'4L'!$C$89</f>
        <v>Opex</v>
      </c>
      <c r="F1324" t="s">
        <v>682</v>
      </c>
      <c r="G1324" t="str">
        <f>'4L'!$D$89</f>
        <v>£m</v>
      </c>
      <c r="O1324" t="str">
        <f>_xlfn.CONCAT('4L'!$B$78, "-", '4L'!$B$89, "-", '4L'!$K$6, "-", '4L'!$K$6, "-", '4L'!$F$5)</f>
        <v>Other enhancement-Addressing raw water deterioration (total)-Total-Total-Expenditure in report year</v>
      </c>
    </row>
    <row r="1325" spans="1:15">
      <c r="A1325" t="s">
        <v>639</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682</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639</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682</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639</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682</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639</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682</v>
      </c>
      <c r="G1328" t="str">
        <f>'4L'!$D$89</f>
        <v>£m</v>
      </c>
      <c r="O1328" t="str">
        <f>_xlfn.CONCAT('4L'!$B$78, "-", '4L'!$B$89, "-", '4L'!$O$7, "-", '4L'!$M$6, "-", '4L'!$L$5)</f>
        <v>Other enhancement-Addressing raw water deterioration (total)-Water treatment-Water network+-Cumulative expenditure on schemes completed in the report year</v>
      </c>
    </row>
    <row r="1329" spans="1:15">
      <c r="A1329" t="s">
        <v>639</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682</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639</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682</v>
      </c>
      <c r="G1330" t="str">
        <f>'4L'!$D$89</f>
        <v>£m</v>
      </c>
      <c r="O1330" t="str">
        <f>_xlfn.CONCAT('4L'!$B$78, "-", '4L'!$B$89, "-", '4L'!$Q$6, "-", '4L'!$Q$6, "-", '4L'!$L$5)</f>
        <v>Other enhancement-Addressing raw water deterioration (total)-Total-Total-Cumulative expenditure on schemes completed in the report year</v>
      </c>
    </row>
    <row r="1331" spans="1:15">
      <c r="A1331" t="s">
        <v>639</v>
      </c>
      <c r="B1331" t="str">
        <f>'4L'!$AV$90</f>
        <v>B0266ART_WR</v>
      </c>
      <c r="D1331" t="str">
        <f>_xlfn.CONCAT('4L'!$B$78, "-", '4L'!$B$90, "-", '4L'!$F$6, "-", '4L'!$F$6, "-", '4L'!$F$5)</f>
        <v>Other enhancement-Addressing raw water deterioration (total)-Water resources-Water resources-Expenditure in report year</v>
      </c>
      <c r="E1331" t="str">
        <f>'4L'!$C$90</f>
        <v>Totex</v>
      </c>
      <c r="F1331" t="s">
        <v>682</v>
      </c>
      <c r="G1331" t="str">
        <f>'4L'!$D$90</f>
        <v>£m</v>
      </c>
      <c r="O1331" t="str">
        <f>_xlfn.CONCAT('4L'!$B$78, "-", '4L'!$B$90, "-", '4L'!$F$6, "-", '4L'!$F$6, "-", '4L'!$F$5)</f>
        <v>Other enhancement-Addressing raw water deterioration (total)-Water resources-Water resources-Expenditure in report year</v>
      </c>
    </row>
    <row r="1332" spans="1:15">
      <c r="A1332" t="s">
        <v>639</v>
      </c>
      <c r="B1332" t="str">
        <f>'4L'!$AW$90</f>
        <v>B0266ART_RWT</v>
      </c>
      <c r="D1332" t="str">
        <f>_xlfn.CONCAT('4L'!$B$78, "-", '4L'!$B$90, "-", '4L'!$G$7, "-", '4L'!$G$6, "-", '4L'!$F$5)</f>
        <v>Other enhancement-Addressing raw water deterioration (total)-Raw water transport-Water network+-Expenditure in report year</v>
      </c>
      <c r="E1332" t="str">
        <f>'4L'!$C$90</f>
        <v>Totex</v>
      </c>
      <c r="F1332" t="s">
        <v>682</v>
      </c>
      <c r="G1332" t="str">
        <f>'4L'!$D$90</f>
        <v>£m</v>
      </c>
      <c r="O1332" t="str">
        <f>_xlfn.CONCAT('4L'!$B$78, "-", '4L'!$B$90, "-", '4L'!$G$7, "-", '4L'!$G$6, "-", '4L'!$F$5)</f>
        <v>Other enhancement-Addressing raw water deterioration (total)-Raw water transport-Water network+-Expenditure in report year</v>
      </c>
    </row>
    <row r="1333" spans="1:15">
      <c r="A1333" t="s">
        <v>639</v>
      </c>
      <c r="B1333" t="str">
        <f>'4L'!$AX$90</f>
        <v>B0266ART_RWS</v>
      </c>
      <c r="D1333" t="str">
        <f>_xlfn.CONCAT('4L'!$B$78, "-", '4L'!$B$90, "-", '4L'!$H$7, "-", '4L'!$G$6, "-", '4L'!$F$5)</f>
        <v>Other enhancement-Addressing raw water deterioration (total)-Raw water storage-Water network+-Expenditure in report year</v>
      </c>
      <c r="E1333" t="str">
        <f>'4L'!$C$90</f>
        <v>Totex</v>
      </c>
      <c r="F1333" t="s">
        <v>682</v>
      </c>
      <c r="G1333" t="str">
        <f>'4L'!$D$90</f>
        <v>£m</v>
      </c>
      <c r="O1333" t="str">
        <f>_xlfn.CONCAT('4L'!$B$78, "-", '4L'!$B$90, "-", '4L'!$H$7, "-", '4L'!$G$6, "-", '4L'!$F$5)</f>
        <v>Other enhancement-Addressing raw water deterioration (total)-Raw water storage-Water network+-Expenditure in report year</v>
      </c>
    </row>
    <row r="1334" spans="1:15">
      <c r="A1334" t="s">
        <v>639</v>
      </c>
      <c r="B1334" t="str">
        <f>'4L'!$AY$90</f>
        <v>B0266ART_WT</v>
      </c>
      <c r="D1334" t="str">
        <f>_xlfn.CONCAT('4L'!$B$78, "-", '4L'!$B$90, "-", '4L'!$I$7, "-", '4L'!$G$6, "-", '4L'!$F$5)</f>
        <v>Other enhancement-Addressing raw water deterioration (total)-Water treatment-Water network+-Expenditure in report year</v>
      </c>
      <c r="E1334" t="str">
        <f>'4L'!$C$90</f>
        <v>Totex</v>
      </c>
      <c r="F1334" t="s">
        <v>682</v>
      </c>
      <c r="G1334" t="str">
        <f>'4L'!$D$90</f>
        <v>£m</v>
      </c>
      <c r="O1334" t="str">
        <f>_xlfn.CONCAT('4L'!$B$78, "-", '4L'!$B$90, "-", '4L'!$I$7, "-", '4L'!$G$6, "-", '4L'!$F$5)</f>
        <v>Other enhancement-Addressing raw water deterioration (total)-Water treatment-Water network+-Expenditure in report year</v>
      </c>
    </row>
    <row r="1335" spans="1:15">
      <c r="A1335" t="s">
        <v>639</v>
      </c>
      <c r="B1335" t="str">
        <f>'4L'!$AZ$90</f>
        <v>B0266ART_TWD</v>
      </c>
      <c r="D1335" t="str">
        <f>_xlfn.CONCAT('4L'!$B$78, "-", '4L'!$B$90, "-", '4L'!$J$7, "-", '4L'!$G$6, "-", '4L'!$F$5)</f>
        <v>Other enhancement-Addressing raw water deterioration (total)-Treated water distribution-Water network+-Expenditure in report year</v>
      </c>
      <c r="E1335" t="str">
        <f>'4L'!$C$90</f>
        <v>Totex</v>
      </c>
      <c r="F1335" t="s">
        <v>682</v>
      </c>
      <c r="G1335" t="str">
        <f>'4L'!$D$90</f>
        <v>£m</v>
      </c>
      <c r="O1335" t="str">
        <f>_xlfn.CONCAT('4L'!$B$78, "-", '4L'!$B$90, "-", '4L'!$J$7, "-", '4L'!$G$6, "-", '4L'!$F$5)</f>
        <v>Other enhancement-Addressing raw water deterioration (total)-Treated water distribution-Water network+-Expenditure in report year</v>
      </c>
    </row>
    <row r="1336" spans="1:15">
      <c r="A1336" t="s">
        <v>639</v>
      </c>
      <c r="B1336" t="str">
        <f>'4L'!$BA$90</f>
        <v>B0266ART_TOT</v>
      </c>
      <c r="D1336" t="str">
        <f>_xlfn.CONCAT('4L'!$B$78, "-", '4L'!$B$90, "-", '4L'!$K$6, "-", '4L'!$K$6, "-", '4L'!$F$5)</f>
        <v>Other enhancement-Addressing raw water deterioration (total)-Total-Total-Expenditure in report year</v>
      </c>
      <c r="E1336" t="str">
        <f>'4L'!$C$90</f>
        <v>Totex</v>
      </c>
      <c r="F1336" t="s">
        <v>682</v>
      </c>
      <c r="G1336" t="str">
        <f>'4L'!$D$90</f>
        <v>£m</v>
      </c>
      <c r="O1336" t="str">
        <f>_xlfn.CONCAT('4L'!$B$78, "-", '4L'!$B$90, "-", '4L'!$K$6, "-", '4L'!$K$6, "-", '4L'!$F$5)</f>
        <v>Other enhancement-Addressing raw water deterioration (total)-Total-Total-Expenditure in report year</v>
      </c>
    </row>
    <row r="1337" spans="1:15">
      <c r="A1337" t="s">
        <v>639</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682</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639</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682</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639</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682</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639</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682</v>
      </c>
      <c r="G1340" t="str">
        <f>'4L'!$D$90</f>
        <v>£m</v>
      </c>
      <c r="O1340" t="str">
        <f>_xlfn.CONCAT('4L'!$B$78, "-", '4L'!$B$90, "-", '4L'!$O$7, "-", '4L'!$M$6, "-", '4L'!$L$5)</f>
        <v>Other enhancement-Addressing raw water deterioration (total)-Water treatment-Water network+-Cumulative expenditure on schemes completed in the report year</v>
      </c>
    </row>
    <row r="1341" spans="1:15">
      <c r="A1341" t="s">
        <v>639</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682</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639</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682</v>
      </c>
      <c r="G1342" t="str">
        <f>'4L'!$D$90</f>
        <v>£m</v>
      </c>
      <c r="O1342" t="str">
        <f>_xlfn.CONCAT('4L'!$B$78, "-", '4L'!$B$90, "-", '4L'!$Q$6, "-", '4L'!$Q$6, "-", '4L'!$L$5)</f>
        <v>Other enhancement-Addressing raw water deterioration (total)-Total-Total-Cumulative expenditure on schemes completed in the report year</v>
      </c>
    </row>
    <row r="1343" spans="1:15">
      <c r="A1343" t="s">
        <v>639</v>
      </c>
      <c r="B1343" t="str">
        <f>'4L'!$AV$91</f>
        <v>B0267IRC_WR</v>
      </c>
      <c r="D1343" t="str">
        <f>_xlfn.CONCAT('4L'!$B$78, "-", '4L'!$B$91, "-", '4L'!$F$6, "-", '4L'!$F$6, "-", '4L'!$F$5)</f>
        <v>Other enhancement-Improvements to river flow-Water resources-Water resources-Expenditure in report year</v>
      </c>
      <c r="E1343" t="str">
        <f>'4L'!$C$91</f>
        <v>Capex</v>
      </c>
      <c r="F1343" t="s">
        <v>682</v>
      </c>
      <c r="G1343" t="str">
        <f>'4L'!$D$91</f>
        <v>£m</v>
      </c>
      <c r="O1343" t="str">
        <f>_xlfn.CONCAT('4L'!$B$78, "-", '4L'!$B$91, "-", '4L'!$F$6, "-", '4L'!$F$6, "-", '4L'!$F$5)</f>
        <v>Other enhancement-Improvements to river flow-Water resources-Water resources-Expenditure in report year</v>
      </c>
    </row>
    <row r="1344" spans="1:15">
      <c r="A1344" t="s">
        <v>639</v>
      </c>
      <c r="B1344" t="str">
        <f>'4L'!$AW$91</f>
        <v>B0267IRC_RWT</v>
      </c>
      <c r="D1344" t="str">
        <f>_xlfn.CONCAT('4L'!$B$78, "-", '4L'!$B$91, "-", '4L'!$G$7, "-", '4L'!$G$6, "-", '4L'!$F$5)</f>
        <v>Other enhancement-Improvements to river flow-Raw water transport-Water network+-Expenditure in report year</v>
      </c>
      <c r="E1344" t="str">
        <f>'4L'!$C$91</f>
        <v>Capex</v>
      </c>
      <c r="F1344" t="s">
        <v>682</v>
      </c>
      <c r="G1344" t="str">
        <f>'4L'!$D$91</f>
        <v>£m</v>
      </c>
      <c r="O1344" t="str">
        <f>_xlfn.CONCAT('4L'!$B$78, "-", '4L'!$B$91, "-", '4L'!$G$7, "-", '4L'!$G$6, "-", '4L'!$F$5)</f>
        <v>Other enhancement-Improvements to river flow-Raw water transport-Water network+-Expenditure in report year</v>
      </c>
    </row>
    <row r="1345" spans="1:15">
      <c r="A1345" t="s">
        <v>639</v>
      </c>
      <c r="B1345" t="str">
        <f>'4L'!$AX$91</f>
        <v>B0267IRC_RWS</v>
      </c>
      <c r="D1345" t="str">
        <f>_xlfn.CONCAT('4L'!$B$78, "-", '4L'!$B$91, "-", '4L'!$H$7, "-", '4L'!$G$6, "-", '4L'!$F$5)</f>
        <v>Other enhancement-Improvements to river flow-Raw water storage-Water network+-Expenditure in report year</v>
      </c>
      <c r="E1345" t="str">
        <f>'4L'!$C$91</f>
        <v>Capex</v>
      </c>
      <c r="F1345" t="s">
        <v>682</v>
      </c>
      <c r="G1345" t="str">
        <f>'4L'!$D$91</f>
        <v>£m</v>
      </c>
      <c r="O1345" t="str">
        <f>_xlfn.CONCAT('4L'!$B$78, "-", '4L'!$B$91, "-", '4L'!$H$7, "-", '4L'!$G$6, "-", '4L'!$F$5)</f>
        <v>Other enhancement-Improvements to river flow-Raw water storage-Water network+-Expenditure in report year</v>
      </c>
    </row>
    <row r="1346" spans="1:15">
      <c r="A1346" t="s">
        <v>639</v>
      </c>
      <c r="B1346" t="str">
        <f>'4L'!$AY$91</f>
        <v>B0267IRC_WT</v>
      </c>
      <c r="D1346" t="str">
        <f>_xlfn.CONCAT('4L'!$B$78, "-", '4L'!$B$91, "-", '4L'!$I$7, "-", '4L'!$G$6, "-", '4L'!$F$5)</f>
        <v>Other enhancement-Improvements to river flow-Water treatment-Water network+-Expenditure in report year</v>
      </c>
      <c r="E1346" t="str">
        <f>'4L'!$C$91</f>
        <v>Capex</v>
      </c>
      <c r="F1346" t="s">
        <v>682</v>
      </c>
      <c r="G1346" t="str">
        <f>'4L'!$D$91</f>
        <v>£m</v>
      </c>
      <c r="O1346" t="str">
        <f>_xlfn.CONCAT('4L'!$B$78, "-", '4L'!$B$91, "-", '4L'!$I$7, "-", '4L'!$G$6, "-", '4L'!$F$5)</f>
        <v>Other enhancement-Improvements to river flow-Water treatment-Water network+-Expenditure in report year</v>
      </c>
    </row>
    <row r="1347" spans="1:15">
      <c r="A1347" t="s">
        <v>639</v>
      </c>
      <c r="B1347" t="str">
        <f>'4L'!$AZ$91</f>
        <v>B0267IRC_TWD</v>
      </c>
      <c r="D1347" t="str">
        <f>_xlfn.CONCAT('4L'!$B$78, "-", '4L'!$B$91, "-", '4L'!$J$7, "-", '4L'!$G$6, "-", '4L'!$F$5)</f>
        <v>Other enhancement-Improvements to river flow-Treated water distribution-Water network+-Expenditure in report year</v>
      </c>
      <c r="E1347" t="str">
        <f>'4L'!$C$91</f>
        <v>Capex</v>
      </c>
      <c r="F1347" t="s">
        <v>682</v>
      </c>
      <c r="G1347" t="str">
        <f>'4L'!$D$91</f>
        <v>£m</v>
      </c>
      <c r="O1347" t="str">
        <f>_xlfn.CONCAT('4L'!$B$78, "-", '4L'!$B$91, "-", '4L'!$J$7, "-", '4L'!$G$6, "-", '4L'!$F$5)</f>
        <v>Other enhancement-Improvements to river flow-Treated water distribution-Water network+-Expenditure in report year</v>
      </c>
    </row>
    <row r="1348" spans="1:15">
      <c r="A1348" t="s">
        <v>639</v>
      </c>
      <c r="B1348" t="str">
        <f>'4L'!$BA$91</f>
        <v>B0267IRC_TOT</v>
      </c>
      <c r="D1348" t="str">
        <f>_xlfn.CONCAT('4L'!$B$78, "-", '4L'!$B$91, "-", '4L'!$K$6, "-", '4L'!$K$6, "-", '4L'!$F$5)</f>
        <v>Other enhancement-Improvements to river flow-Total-Total-Expenditure in report year</v>
      </c>
      <c r="E1348" t="str">
        <f>'4L'!$C$91</f>
        <v>Capex</v>
      </c>
      <c r="F1348" t="s">
        <v>682</v>
      </c>
      <c r="G1348" t="str">
        <f>'4L'!$D$91</f>
        <v>£m</v>
      </c>
      <c r="O1348" t="str">
        <f>_xlfn.CONCAT('4L'!$B$78, "-", '4L'!$B$91, "-", '4L'!$K$6, "-", '4L'!$K$6, "-", '4L'!$F$5)</f>
        <v>Other enhancement-Improvements to river flow-Total-Total-Expenditure in report year</v>
      </c>
    </row>
    <row r="1349" spans="1:15">
      <c r="A1349" t="s">
        <v>639</v>
      </c>
      <c r="B1349" t="str">
        <f>'4L'!$AV$92</f>
        <v>B0268IRO_WR</v>
      </c>
      <c r="D1349" t="str">
        <f>_xlfn.CONCAT('4L'!$B$78, "-", '4L'!$B$92, "-", '4L'!$F$6, "-", '4L'!$F$6, "-", '4L'!$F$5)</f>
        <v>Other enhancement-Improvements to river flow-Water resources-Water resources-Expenditure in report year</v>
      </c>
      <c r="E1349" t="str">
        <f>'4L'!$C$92</f>
        <v>Opex</v>
      </c>
      <c r="F1349" t="s">
        <v>682</v>
      </c>
      <c r="G1349" t="str">
        <f>'4L'!$D$92</f>
        <v>£m</v>
      </c>
      <c r="O1349" t="str">
        <f>_xlfn.CONCAT('4L'!$B$78, "-", '4L'!$B$92, "-", '4L'!$F$6, "-", '4L'!$F$6, "-", '4L'!$F$5)</f>
        <v>Other enhancement-Improvements to river flow-Water resources-Water resources-Expenditure in report year</v>
      </c>
    </row>
    <row r="1350" spans="1:15">
      <c r="A1350" t="s">
        <v>639</v>
      </c>
      <c r="B1350" t="str">
        <f>'4L'!$AW$92</f>
        <v>B0268IRO_RWT</v>
      </c>
      <c r="D1350" t="str">
        <f>_xlfn.CONCAT('4L'!$B$78, "-", '4L'!$B$92, "-", '4L'!$G$7, "-", '4L'!$G$6, "-", '4L'!$F$5)</f>
        <v>Other enhancement-Improvements to river flow-Raw water transport-Water network+-Expenditure in report year</v>
      </c>
      <c r="E1350" t="str">
        <f>'4L'!$C$92</f>
        <v>Opex</v>
      </c>
      <c r="F1350" t="s">
        <v>682</v>
      </c>
      <c r="G1350" t="str">
        <f>'4L'!$D$92</f>
        <v>£m</v>
      </c>
      <c r="O1350" t="str">
        <f>_xlfn.CONCAT('4L'!$B$78, "-", '4L'!$B$92, "-", '4L'!$G$7, "-", '4L'!$G$6, "-", '4L'!$F$5)</f>
        <v>Other enhancement-Improvements to river flow-Raw water transport-Water network+-Expenditure in report year</v>
      </c>
    </row>
    <row r="1351" spans="1:15">
      <c r="A1351" t="s">
        <v>639</v>
      </c>
      <c r="B1351" t="str">
        <f>'4L'!$AX$92</f>
        <v>B0268IRO_RWS</v>
      </c>
      <c r="D1351" t="str">
        <f>_xlfn.CONCAT('4L'!$B$78, "-", '4L'!$B$92, "-", '4L'!$H$7, "-", '4L'!$G$6, "-", '4L'!$F$5)</f>
        <v>Other enhancement-Improvements to river flow-Raw water storage-Water network+-Expenditure in report year</v>
      </c>
      <c r="E1351" t="str">
        <f>'4L'!$C$92</f>
        <v>Opex</v>
      </c>
      <c r="F1351" t="s">
        <v>682</v>
      </c>
      <c r="G1351" t="str">
        <f>'4L'!$D$92</f>
        <v>£m</v>
      </c>
      <c r="O1351" t="str">
        <f>_xlfn.CONCAT('4L'!$B$78, "-", '4L'!$B$92, "-", '4L'!$H$7, "-", '4L'!$G$6, "-", '4L'!$F$5)</f>
        <v>Other enhancement-Improvements to river flow-Raw water storage-Water network+-Expenditure in report year</v>
      </c>
    </row>
    <row r="1352" spans="1:15">
      <c r="A1352" t="s">
        <v>639</v>
      </c>
      <c r="B1352" t="str">
        <f>'4L'!$AY$92</f>
        <v>B0268IRO_WT</v>
      </c>
      <c r="D1352" t="str">
        <f>_xlfn.CONCAT('4L'!$B$78, "-", '4L'!$B$92, "-", '4L'!$I$7, "-", '4L'!$G$6, "-", '4L'!$F$5)</f>
        <v>Other enhancement-Improvements to river flow-Water treatment-Water network+-Expenditure in report year</v>
      </c>
      <c r="E1352" t="str">
        <f>'4L'!$C$92</f>
        <v>Opex</v>
      </c>
      <c r="F1352" t="s">
        <v>682</v>
      </c>
      <c r="G1352" t="str">
        <f>'4L'!$D$92</f>
        <v>£m</v>
      </c>
      <c r="O1352" t="str">
        <f>_xlfn.CONCAT('4L'!$B$78, "-", '4L'!$B$92, "-", '4L'!$I$7, "-", '4L'!$G$6, "-", '4L'!$F$5)</f>
        <v>Other enhancement-Improvements to river flow-Water treatment-Water network+-Expenditure in report year</v>
      </c>
    </row>
    <row r="1353" spans="1:15">
      <c r="A1353" t="s">
        <v>639</v>
      </c>
      <c r="B1353" t="str">
        <f>'4L'!$AZ$92</f>
        <v>B0268IRO_TWD</v>
      </c>
      <c r="D1353" t="str">
        <f>_xlfn.CONCAT('4L'!$B$78, "-", '4L'!$B$92, "-", '4L'!$J$7, "-", '4L'!$G$6, "-", '4L'!$F$5)</f>
        <v>Other enhancement-Improvements to river flow-Treated water distribution-Water network+-Expenditure in report year</v>
      </c>
      <c r="E1353" t="str">
        <f>'4L'!$C$92</f>
        <v>Opex</v>
      </c>
      <c r="F1353" t="s">
        <v>682</v>
      </c>
      <c r="G1353" t="str">
        <f>'4L'!$D$92</f>
        <v>£m</v>
      </c>
      <c r="O1353" t="str">
        <f>_xlfn.CONCAT('4L'!$B$78, "-", '4L'!$B$92, "-", '4L'!$J$7, "-", '4L'!$G$6, "-", '4L'!$F$5)</f>
        <v>Other enhancement-Improvements to river flow-Treated water distribution-Water network+-Expenditure in report year</v>
      </c>
    </row>
    <row r="1354" spans="1:15">
      <c r="A1354" t="s">
        <v>639</v>
      </c>
      <c r="B1354" t="str">
        <f>'4L'!$BA$92</f>
        <v>B0268IRO_TOT</v>
      </c>
      <c r="D1354" t="str">
        <f>_xlfn.CONCAT('4L'!$B$78, "-", '4L'!$B$92, "-", '4L'!$K$6, "-", '4L'!$K$6, "-", '4L'!$F$5)</f>
        <v>Other enhancement-Improvements to river flow-Total-Total-Expenditure in report year</v>
      </c>
      <c r="E1354" t="str">
        <f>'4L'!$C$92</f>
        <v>Opex</v>
      </c>
      <c r="F1354" t="s">
        <v>682</v>
      </c>
      <c r="G1354" t="str">
        <f>'4L'!$D$92</f>
        <v>£m</v>
      </c>
      <c r="O1354" t="str">
        <f>_xlfn.CONCAT('4L'!$B$78, "-", '4L'!$B$92, "-", '4L'!$K$6, "-", '4L'!$K$6, "-", '4L'!$F$5)</f>
        <v>Other enhancement-Improvements to river flow-Total-Total-Expenditure in report year</v>
      </c>
    </row>
    <row r="1355" spans="1:15">
      <c r="A1355" t="s">
        <v>639</v>
      </c>
      <c r="B1355" t="str">
        <f>'4L'!$AV$93</f>
        <v>B0269IRT_WR</v>
      </c>
      <c r="D1355" t="str">
        <f>_xlfn.CONCAT('4L'!$B$78, "-", '4L'!$B$93, "-", '4L'!$F$6, "-", '4L'!$F$6, "-", '4L'!$F$5)</f>
        <v>Other enhancement-Improvements to river flow-Water resources-Water resources-Expenditure in report year</v>
      </c>
      <c r="E1355" t="str">
        <f>'4L'!$C$93</f>
        <v>Totex</v>
      </c>
      <c r="F1355" t="s">
        <v>682</v>
      </c>
      <c r="G1355" t="str">
        <f>'4L'!$D$93</f>
        <v>£m</v>
      </c>
      <c r="O1355" t="str">
        <f>_xlfn.CONCAT('4L'!$B$78, "-", '4L'!$B$93, "-", '4L'!$F$6, "-", '4L'!$F$6, "-", '4L'!$F$5)</f>
        <v>Other enhancement-Improvements to river flow-Water resources-Water resources-Expenditure in report year</v>
      </c>
    </row>
    <row r="1356" spans="1:15">
      <c r="A1356" t="s">
        <v>639</v>
      </c>
      <c r="B1356" t="str">
        <f>'4L'!$AW$93</f>
        <v>B0269IRT_RWT</v>
      </c>
      <c r="D1356" t="str">
        <f>_xlfn.CONCAT('4L'!$B$78, "-", '4L'!$B$93, "-", '4L'!$G$7, "-", '4L'!$G$6, "-", '4L'!$F$5)</f>
        <v>Other enhancement-Improvements to river flow-Raw water transport-Water network+-Expenditure in report year</v>
      </c>
      <c r="E1356" t="str">
        <f>'4L'!$C$93</f>
        <v>Totex</v>
      </c>
      <c r="F1356" t="s">
        <v>682</v>
      </c>
      <c r="G1356" t="str">
        <f>'4L'!$D$93</f>
        <v>£m</v>
      </c>
      <c r="O1356" t="str">
        <f>_xlfn.CONCAT('4L'!$B$78, "-", '4L'!$B$93, "-", '4L'!$G$7, "-", '4L'!$G$6, "-", '4L'!$F$5)</f>
        <v>Other enhancement-Improvements to river flow-Raw water transport-Water network+-Expenditure in report year</v>
      </c>
    </row>
    <row r="1357" spans="1:15">
      <c r="A1357" t="s">
        <v>639</v>
      </c>
      <c r="B1357" t="str">
        <f>'4L'!$AX$93</f>
        <v>B0269IRT_RWS</v>
      </c>
      <c r="D1357" t="str">
        <f>_xlfn.CONCAT('4L'!$B$78, "-", '4L'!$B$93, "-", '4L'!$H$7, "-", '4L'!$G$6, "-", '4L'!$F$5)</f>
        <v>Other enhancement-Improvements to river flow-Raw water storage-Water network+-Expenditure in report year</v>
      </c>
      <c r="E1357" t="str">
        <f>'4L'!$C$93</f>
        <v>Totex</v>
      </c>
      <c r="F1357" t="s">
        <v>682</v>
      </c>
      <c r="G1357" t="str">
        <f>'4L'!$D$93</f>
        <v>£m</v>
      </c>
      <c r="O1357" t="str">
        <f>_xlfn.CONCAT('4L'!$B$78, "-", '4L'!$B$93, "-", '4L'!$H$7, "-", '4L'!$G$6, "-", '4L'!$F$5)</f>
        <v>Other enhancement-Improvements to river flow-Raw water storage-Water network+-Expenditure in report year</v>
      </c>
    </row>
    <row r="1358" spans="1:15">
      <c r="A1358" t="s">
        <v>639</v>
      </c>
      <c r="B1358" t="str">
        <f>'4L'!$AY$93</f>
        <v>B0269IRT_WT</v>
      </c>
      <c r="D1358" t="str">
        <f>_xlfn.CONCAT('4L'!$B$78, "-", '4L'!$B$93, "-", '4L'!$I$7, "-", '4L'!$G$6, "-", '4L'!$F$5)</f>
        <v>Other enhancement-Improvements to river flow-Water treatment-Water network+-Expenditure in report year</v>
      </c>
      <c r="E1358" t="str">
        <f>'4L'!$C$93</f>
        <v>Totex</v>
      </c>
      <c r="F1358" t="s">
        <v>682</v>
      </c>
      <c r="G1358" t="str">
        <f>'4L'!$D$93</f>
        <v>£m</v>
      </c>
      <c r="O1358" t="str">
        <f>_xlfn.CONCAT('4L'!$B$78, "-", '4L'!$B$93, "-", '4L'!$I$7, "-", '4L'!$G$6, "-", '4L'!$F$5)</f>
        <v>Other enhancement-Improvements to river flow-Water treatment-Water network+-Expenditure in report year</v>
      </c>
    </row>
    <row r="1359" spans="1:15">
      <c r="A1359" t="s">
        <v>639</v>
      </c>
      <c r="B1359" t="str">
        <f>'4L'!$AZ$93</f>
        <v>B0269IRT_TWD</v>
      </c>
      <c r="D1359" t="str">
        <f>_xlfn.CONCAT('4L'!$B$78, "-", '4L'!$B$93, "-", '4L'!$J$7, "-", '4L'!$G$6, "-", '4L'!$F$5)</f>
        <v>Other enhancement-Improvements to river flow-Treated water distribution-Water network+-Expenditure in report year</v>
      </c>
      <c r="E1359" t="str">
        <f>'4L'!$C$93</f>
        <v>Totex</v>
      </c>
      <c r="F1359" t="s">
        <v>682</v>
      </c>
      <c r="G1359" t="str">
        <f>'4L'!$D$93</f>
        <v>£m</v>
      </c>
      <c r="O1359" t="str">
        <f>_xlfn.CONCAT('4L'!$B$78, "-", '4L'!$B$93, "-", '4L'!$J$7, "-", '4L'!$G$6, "-", '4L'!$F$5)</f>
        <v>Other enhancement-Improvements to river flow-Treated water distribution-Water network+-Expenditure in report year</v>
      </c>
    </row>
    <row r="1360" spans="1:15">
      <c r="A1360" t="s">
        <v>639</v>
      </c>
      <c r="B1360" t="str">
        <f>'4L'!$BA$93</f>
        <v>B0269IRT_TOT</v>
      </c>
      <c r="D1360" t="str">
        <f>_xlfn.CONCAT('4L'!$B$78, "-", '4L'!$B$93, "-", '4L'!$K$6, "-", '4L'!$K$6, "-", '4L'!$F$5)</f>
        <v>Other enhancement-Improvements to river flow-Total-Total-Expenditure in report year</v>
      </c>
      <c r="E1360" t="str">
        <f>'4L'!$C$93</f>
        <v>Totex</v>
      </c>
      <c r="F1360" t="s">
        <v>682</v>
      </c>
      <c r="G1360" t="str">
        <f>'4L'!$D$93</f>
        <v>£m</v>
      </c>
      <c r="O1360" t="str">
        <f>_xlfn.CONCAT('4L'!$B$78, "-", '4L'!$B$93, "-", '4L'!$K$6, "-", '4L'!$K$6, "-", '4L'!$F$5)</f>
        <v>Other enhancement-Improvements to river flow-Total-Total-Expenditure in report year</v>
      </c>
    </row>
    <row r="1361" spans="1:15">
      <c r="A1361" t="s">
        <v>639</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682</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639</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682</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639</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682</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639</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682</v>
      </c>
      <c r="G1364" t="str">
        <f>'4L'!$D$94</f>
        <v>£m</v>
      </c>
      <c r="O1364" t="str">
        <f>_xlfn.CONCAT('4L'!$B$78, "-", '4L'!$B$94, "-", '4L'!$F$6, "-", '4L'!$F$6, "-", '4L'!$F$5)</f>
        <v>Other enhancement-Enhancing resilience to low probability high consequence events-Water resources-Water resources-Expenditure in report year</v>
      </c>
    </row>
    <row r="1365" spans="1:15">
      <c r="A1365" t="s">
        <v>639</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682</v>
      </c>
      <c r="G1365" t="str">
        <f>'4L'!$D$94</f>
        <v>£m</v>
      </c>
      <c r="O1365" t="str">
        <f>_xlfn.CONCAT('4L'!$B$78, "-", '4L'!$B$94, "-", '4L'!$G$7, "-", '4L'!$G$6, "-", '4L'!$F$5)</f>
        <v>Other enhancement-Enhancing resilience to low probability high consequence events-Raw water transport-Water network+-Expenditure in report year</v>
      </c>
    </row>
    <row r="1366" spans="1:15">
      <c r="A1366" t="s">
        <v>639</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682</v>
      </c>
      <c r="G1366" t="str">
        <f>'4L'!$D$94</f>
        <v>£m</v>
      </c>
      <c r="O1366" t="str">
        <f>_xlfn.CONCAT('4L'!$B$78, "-", '4L'!$B$94, "-", '4L'!$H$7, "-", '4L'!$G$6, "-", '4L'!$F$5)</f>
        <v>Other enhancement-Enhancing resilience to low probability high consequence events-Raw water storage-Water network+-Expenditure in report year</v>
      </c>
    </row>
    <row r="1367" spans="1:15">
      <c r="A1367" t="s">
        <v>639</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682</v>
      </c>
      <c r="G1367" t="str">
        <f>'4L'!$D$94</f>
        <v>£m</v>
      </c>
      <c r="O1367" t="str">
        <f>_xlfn.CONCAT('4L'!$B$78, "-", '4L'!$B$94, "-", '4L'!$I$7, "-", '4L'!$G$6, "-", '4L'!$F$5)</f>
        <v>Other enhancement-Enhancing resilience to low probability high consequence events-Water treatment-Water network+-Expenditure in report year</v>
      </c>
    </row>
    <row r="1368" spans="1:15">
      <c r="A1368" t="s">
        <v>639</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682</v>
      </c>
      <c r="G1368" t="str">
        <f>'4L'!$D$94</f>
        <v>£m</v>
      </c>
      <c r="O1368" t="str">
        <f>_xlfn.CONCAT('4L'!$B$78, "-", '4L'!$B$94, "-", '4L'!$J$7, "-", '4L'!$G$6, "-", '4L'!$F$5)</f>
        <v>Other enhancement-Enhancing resilience to low probability high consequence events-Treated water distribution-Water network+-Expenditure in report year</v>
      </c>
    </row>
    <row r="1369" spans="1:15">
      <c r="A1369" t="s">
        <v>639</v>
      </c>
      <c r="B1369" t="str">
        <f>'4L'!$BA$94</f>
        <v>B0270ERC_TOT</v>
      </c>
      <c r="D1369" t="str">
        <f>_xlfn.CONCAT('4L'!$B$78, "-", '4L'!$B$94, "-", '4L'!$K$6, "-", '4L'!$K$6, "-", '4L'!$F$5)</f>
        <v>Other enhancement-Enhancing resilience to low probability high consequence events-Total-Total-Expenditure in report year</v>
      </c>
      <c r="E1369" t="str">
        <f>'4L'!$C$94</f>
        <v>Capex</v>
      </c>
      <c r="F1369" t="s">
        <v>682</v>
      </c>
      <c r="G1369" t="str">
        <f>'4L'!$D$94</f>
        <v>£m</v>
      </c>
      <c r="O1369" t="str">
        <f>_xlfn.CONCAT('4L'!$B$78, "-", '4L'!$B$94, "-", '4L'!$K$6, "-", '4L'!$K$6, "-", '4L'!$F$5)</f>
        <v>Other enhancement-Enhancing resilience to low probability high consequence events-Total-Total-Expenditure in report year</v>
      </c>
    </row>
    <row r="1370" spans="1:15">
      <c r="A1370" t="s">
        <v>639</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682</v>
      </c>
      <c r="G1370" t="str">
        <f>'4L'!$D$95</f>
        <v>£m</v>
      </c>
      <c r="O1370" t="str">
        <f>_xlfn.CONCAT('4L'!$B$78, "-", '4L'!$B$95, "-", '4L'!$F$6, "-", '4L'!$F$6, "-", '4L'!$F$5)</f>
        <v>Other enhancement-Enhancing resilience to low probability high consequence events-Water resources-Water resources-Expenditure in report year</v>
      </c>
    </row>
    <row r="1371" spans="1:15">
      <c r="A1371" t="s">
        <v>639</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682</v>
      </c>
      <c r="G1371" t="str">
        <f>'4L'!$D$95</f>
        <v>£m</v>
      </c>
      <c r="O1371" t="str">
        <f>_xlfn.CONCAT('4L'!$B$78, "-", '4L'!$B$95, "-", '4L'!$G$7, "-", '4L'!$G$6, "-", '4L'!$F$5)</f>
        <v>Other enhancement-Enhancing resilience to low probability high consequence events-Raw water transport-Water network+-Expenditure in report year</v>
      </c>
    </row>
    <row r="1372" spans="1:15">
      <c r="A1372" t="s">
        <v>639</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682</v>
      </c>
      <c r="G1372" t="str">
        <f>'4L'!$D$95</f>
        <v>£m</v>
      </c>
      <c r="O1372" t="str">
        <f>_xlfn.CONCAT('4L'!$B$78, "-", '4L'!$B$95, "-", '4L'!$H$7, "-", '4L'!$G$6, "-", '4L'!$F$5)</f>
        <v>Other enhancement-Enhancing resilience to low probability high consequence events-Raw water storage-Water network+-Expenditure in report year</v>
      </c>
    </row>
    <row r="1373" spans="1:15">
      <c r="A1373" t="s">
        <v>639</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682</v>
      </c>
      <c r="G1373" t="str">
        <f>'4L'!$D$95</f>
        <v>£m</v>
      </c>
      <c r="O1373" t="str">
        <f>_xlfn.CONCAT('4L'!$B$78, "-", '4L'!$B$95, "-", '4L'!$I$7, "-", '4L'!$G$6, "-", '4L'!$F$5)</f>
        <v>Other enhancement-Enhancing resilience to low probability high consequence events-Water treatment-Water network+-Expenditure in report year</v>
      </c>
    </row>
    <row r="1374" spans="1:15">
      <c r="A1374" t="s">
        <v>639</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682</v>
      </c>
      <c r="G1374" t="str">
        <f>'4L'!$D$95</f>
        <v>£m</v>
      </c>
      <c r="O1374" t="str">
        <f>_xlfn.CONCAT('4L'!$B$78, "-", '4L'!$B$95, "-", '4L'!$J$7, "-", '4L'!$G$6, "-", '4L'!$F$5)</f>
        <v>Other enhancement-Enhancing resilience to low probability high consequence events-Treated water distribution-Water network+-Expenditure in report year</v>
      </c>
    </row>
    <row r="1375" spans="1:15">
      <c r="A1375" t="s">
        <v>639</v>
      </c>
      <c r="B1375" t="str">
        <f>'4L'!$BA$95</f>
        <v>B0271ERO_TOT</v>
      </c>
      <c r="D1375" t="str">
        <f>_xlfn.CONCAT('4L'!$B$78, "-", '4L'!$B$95, "-", '4L'!$K$6, "-", '4L'!$K$6, "-", '4L'!$F$5)</f>
        <v>Other enhancement-Enhancing resilience to low probability high consequence events-Total-Total-Expenditure in report year</v>
      </c>
      <c r="E1375" t="str">
        <f>'4L'!$C$95</f>
        <v>Opex</v>
      </c>
      <c r="F1375" t="s">
        <v>682</v>
      </c>
      <c r="G1375" t="str">
        <f>'4L'!$D$95</f>
        <v>£m</v>
      </c>
      <c r="O1375" t="str">
        <f>_xlfn.CONCAT('4L'!$B$78, "-", '4L'!$B$95, "-", '4L'!$K$6, "-", '4L'!$K$6, "-", '4L'!$F$5)</f>
        <v>Other enhancement-Enhancing resilience to low probability high consequence events-Total-Total-Expenditure in report year</v>
      </c>
    </row>
    <row r="1376" spans="1:15">
      <c r="A1376" t="s">
        <v>639</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682</v>
      </c>
      <c r="G1376" t="str">
        <f>'4L'!$D$96</f>
        <v>£m</v>
      </c>
      <c r="O1376" t="str">
        <f>_xlfn.CONCAT('4L'!$B$78, "-", '4L'!$B$96, "-", '4L'!$F$6, "-", '4L'!$F$6, "-", '4L'!$F$5)</f>
        <v>Other enhancement-Enhancing resilience to low probability high consequence events-Water resources-Water resources-Expenditure in report year</v>
      </c>
    </row>
    <row r="1377" spans="1:15">
      <c r="A1377" t="s">
        <v>639</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682</v>
      </c>
      <c r="G1377" t="str">
        <f>'4L'!$D$96</f>
        <v>£m</v>
      </c>
      <c r="O1377" t="str">
        <f>_xlfn.CONCAT('4L'!$B$78, "-", '4L'!$B$96, "-", '4L'!$G$7, "-", '4L'!$G$6, "-", '4L'!$F$5)</f>
        <v>Other enhancement-Enhancing resilience to low probability high consequence events-Raw water transport-Water network+-Expenditure in report year</v>
      </c>
    </row>
    <row r="1378" spans="1:15">
      <c r="A1378" t="s">
        <v>639</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682</v>
      </c>
      <c r="G1378" t="str">
        <f>'4L'!$D$96</f>
        <v>£m</v>
      </c>
      <c r="O1378" t="str">
        <f>_xlfn.CONCAT('4L'!$B$78, "-", '4L'!$B$96, "-", '4L'!$H$7, "-", '4L'!$G$6, "-", '4L'!$F$5)</f>
        <v>Other enhancement-Enhancing resilience to low probability high consequence events-Raw water storage-Water network+-Expenditure in report year</v>
      </c>
    </row>
    <row r="1379" spans="1:15">
      <c r="A1379" t="s">
        <v>639</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682</v>
      </c>
      <c r="G1379" t="str">
        <f>'4L'!$D$96</f>
        <v>£m</v>
      </c>
      <c r="O1379" t="str">
        <f>_xlfn.CONCAT('4L'!$B$78, "-", '4L'!$B$96, "-", '4L'!$I$7, "-", '4L'!$G$6, "-", '4L'!$F$5)</f>
        <v>Other enhancement-Enhancing resilience to low probability high consequence events-Water treatment-Water network+-Expenditure in report year</v>
      </c>
    </row>
    <row r="1380" spans="1:15">
      <c r="A1380" t="s">
        <v>639</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682</v>
      </c>
      <c r="G1380" t="str">
        <f>'4L'!$D$96</f>
        <v>£m</v>
      </c>
      <c r="O1380" t="str">
        <f>_xlfn.CONCAT('4L'!$B$78, "-", '4L'!$B$96, "-", '4L'!$J$7, "-", '4L'!$G$6, "-", '4L'!$F$5)</f>
        <v>Other enhancement-Enhancing resilience to low probability high consequence events-Treated water distribution-Water network+-Expenditure in report year</v>
      </c>
    </row>
    <row r="1381" spans="1:15">
      <c r="A1381" t="s">
        <v>639</v>
      </c>
      <c r="B1381" t="str">
        <f>'4L'!$BA$96</f>
        <v>B0272ERT_TOT</v>
      </c>
      <c r="D1381" t="str">
        <f>_xlfn.CONCAT('4L'!$B$78, "-", '4L'!$B$96, "-", '4L'!$K$6, "-", '4L'!$K$6, "-", '4L'!$F$5)</f>
        <v>Other enhancement-Enhancing resilience to low probability high consequence events-Total-Total-Expenditure in report year</v>
      </c>
      <c r="E1381" t="str">
        <f>'4L'!$C$96</f>
        <v>Totex</v>
      </c>
      <c r="F1381" t="s">
        <v>682</v>
      </c>
      <c r="G1381" t="str">
        <f>'4L'!$D$96</f>
        <v>£m</v>
      </c>
      <c r="O1381" t="str">
        <f>_xlfn.CONCAT('4L'!$B$78, "-", '4L'!$B$96, "-", '4L'!$K$6, "-", '4L'!$K$6, "-", '4L'!$F$5)</f>
        <v>Other enhancement-Enhancing resilience to low probability high consequence events-Total-Total-Expenditure in report year</v>
      </c>
    </row>
    <row r="1382" spans="1:15">
      <c r="A1382" t="s">
        <v>639</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682</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639</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682</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639</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682</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639</v>
      </c>
      <c r="B1385" t="str">
        <f>'4L'!$AV$97</f>
        <v>B0261MLCC_WR</v>
      </c>
      <c r="D1385" t="str">
        <f>_xlfn.CONCAT('4L'!$B$78, "-", '4L'!$B$97, "-", '4L'!$F$6, "-", '4L'!$F$6, "-", '4L'!$F$5)</f>
        <v>Other enhancement-Conditioning water to reduce plumbosolvency-Water resources-Water resources-Expenditure in report year</v>
      </c>
      <c r="E1385" t="str">
        <f>'4L'!$C$97</f>
        <v>Capex</v>
      </c>
      <c r="F1385" t="s">
        <v>682</v>
      </c>
      <c r="G1385" t="str">
        <f>'4L'!$D$97</f>
        <v>£m</v>
      </c>
      <c r="O1385" t="str">
        <f>_xlfn.CONCAT('4L'!$B$78, "-", '4L'!$B$97, "-", '4L'!$F$6, "-", '4L'!$F$6, "-", '4L'!$F$5)</f>
        <v>Other enhancement-Conditioning water to reduce plumbosolvency-Water resources-Water resources-Expenditure in report year</v>
      </c>
    </row>
    <row r="1386" spans="1:15">
      <c r="A1386" t="s">
        <v>639</v>
      </c>
      <c r="B1386" t="str">
        <f>'4L'!$AW$97</f>
        <v>B0261MLCC_RWT</v>
      </c>
      <c r="D1386" t="str">
        <f>_xlfn.CONCAT('4L'!$B$78, "-", '4L'!$B$97, "-", '4L'!$G$7, "-", '4L'!$G$6, "-", '4L'!$F$5)</f>
        <v>Other enhancement-Conditioning water to reduce plumbosolvency-Raw water transport-Water network+-Expenditure in report year</v>
      </c>
      <c r="E1386" t="str">
        <f>'4L'!$C$97</f>
        <v>Capex</v>
      </c>
      <c r="F1386" t="s">
        <v>682</v>
      </c>
      <c r="G1386" t="str">
        <f>'4L'!$D$97</f>
        <v>£m</v>
      </c>
      <c r="O1386" t="str">
        <f>_xlfn.CONCAT('4L'!$B$78, "-", '4L'!$B$97, "-", '4L'!$G$7, "-", '4L'!$G$6, "-", '4L'!$F$5)</f>
        <v>Other enhancement-Conditioning water to reduce plumbosolvency-Raw water transport-Water network+-Expenditure in report year</v>
      </c>
    </row>
    <row r="1387" spans="1:15">
      <c r="A1387" t="s">
        <v>639</v>
      </c>
      <c r="B1387" t="str">
        <f>'4L'!$AX$97</f>
        <v>B0261MLCC_RWS</v>
      </c>
      <c r="D1387" t="str">
        <f>_xlfn.CONCAT('4L'!$B$78, "-", '4L'!$B$97, "-", '4L'!$H$7, "-", '4L'!$G$6, "-", '4L'!$F$5)</f>
        <v>Other enhancement-Conditioning water to reduce plumbosolvency-Raw water storage-Water network+-Expenditure in report year</v>
      </c>
      <c r="E1387" t="str">
        <f>'4L'!$C$97</f>
        <v>Capex</v>
      </c>
      <c r="F1387" t="s">
        <v>682</v>
      </c>
      <c r="G1387" t="str">
        <f>'4L'!$D$97</f>
        <v>£m</v>
      </c>
      <c r="O1387" t="str">
        <f>_xlfn.CONCAT('4L'!$B$78, "-", '4L'!$B$97, "-", '4L'!$H$7, "-", '4L'!$G$6, "-", '4L'!$F$5)</f>
        <v>Other enhancement-Conditioning water to reduce plumbosolvency-Raw water storage-Water network+-Expenditure in report year</v>
      </c>
    </row>
    <row r="1388" spans="1:15">
      <c r="A1388" t="s">
        <v>639</v>
      </c>
      <c r="B1388" t="str">
        <f>'4L'!$AY$97</f>
        <v>B0261MLCC_WT</v>
      </c>
      <c r="D1388" t="str">
        <f>_xlfn.CONCAT('4L'!$B$78, "-", '4L'!$B$97, "-", '4L'!$I$7, "-", '4L'!$G$6, "-", '4L'!$F$5)</f>
        <v>Other enhancement-Conditioning water to reduce plumbosolvency-Water treatment-Water network+-Expenditure in report year</v>
      </c>
      <c r="E1388" t="str">
        <f>'4L'!$C$97</f>
        <v>Capex</v>
      </c>
      <c r="F1388" t="s">
        <v>682</v>
      </c>
      <c r="G1388" t="str">
        <f>'4L'!$D$97</f>
        <v>£m</v>
      </c>
      <c r="O1388" t="str">
        <f>_xlfn.CONCAT('4L'!$B$78, "-", '4L'!$B$97, "-", '4L'!$I$7, "-", '4L'!$G$6, "-", '4L'!$F$5)</f>
        <v>Other enhancement-Conditioning water to reduce plumbosolvency-Water treatment-Water network+-Expenditure in report year</v>
      </c>
    </row>
    <row r="1389" spans="1:15">
      <c r="A1389" t="s">
        <v>639</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682</v>
      </c>
      <c r="G1389" t="str">
        <f>'4L'!$D$97</f>
        <v>£m</v>
      </c>
      <c r="O1389" t="str">
        <f>_xlfn.CONCAT('4L'!$B$78, "-", '4L'!$B$97, "-", '4L'!$J$7, "-", '4L'!$G$6, "-", '4L'!$F$5)</f>
        <v>Other enhancement-Conditioning water to reduce plumbosolvency-Treated water distribution-Water network+-Expenditure in report year</v>
      </c>
    </row>
    <row r="1390" spans="1:15">
      <c r="A1390" t="s">
        <v>639</v>
      </c>
      <c r="B1390" t="str">
        <f>'4L'!$BA$97</f>
        <v>B0261MLCC_TOT</v>
      </c>
      <c r="D1390" t="str">
        <f>_xlfn.CONCAT('4L'!$B$78, "-", '4L'!$B$97, "-", '4L'!$K$6, "-", '4L'!$K$6, "-", '4L'!$F$5)</f>
        <v>Other enhancement-Conditioning water to reduce plumbosolvency-Total-Total-Expenditure in report year</v>
      </c>
      <c r="E1390" t="str">
        <f>'4L'!$C$97</f>
        <v>Capex</v>
      </c>
      <c r="F1390" t="s">
        <v>682</v>
      </c>
      <c r="G1390" t="str">
        <f>'4L'!$D$97</f>
        <v>£m</v>
      </c>
      <c r="O1390" t="str">
        <f>_xlfn.CONCAT('4L'!$B$78, "-", '4L'!$B$97, "-", '4L'!$K$6, "-", '4L'!$K$6, "-", '4L'!$F$5)</f>
        <v>Other enhancement-Conditioning water to reduce plumbosolvency-Total-Total-Expenditure in report year</v>
      </c>
    </row>
    <row r="1391" spans="1:15">
      <c r="A1391" t="s">
        <v>639</v>
      </c>
      <c r="B1391" t="str">
        <f>'4L'!$AV$98</f>
        <v>B0262MLOC_WR</v>
      </c>
      <c r="D1391" t="str">
        <f>_xlfn.CONCAT('4L'!$B$78, "-", '4L'!$B$98, "-", '4L'!$F$6, "-", '4L'!$F$6, "-", '4L'!$F$5)</f>
        <v>Other enhancement-Conditioning water to reduce plumbosolvency-Water resources-Water resources-Expenditure in report year</v>
      </c>
      <c r="E1391" t="str">
        <f>'4L'!$C$98</f>
        <v>Opex</v>
      </c>
      <c r="F1391" t="s">
        <v>682</v>
      </c>
      <c r="G1391" t="str">
        <f>'4L'!$D$98</f>
        <v>£m</v>
      </c>
      <c r="O1391" t="str">
        <f>_xlfn.CONCAT('4L'!$B$78, "-", '4L'!$B$98, "-", '4L'!$F$6, "-", '4L'!$F$6, "-", '4L'!$F$5)</f>
        <v>Other enhancement-Conditioning water to reduce plumbosolvency-Water resources-Water resources-Expenditure in report year</v>
      </c>
    </row>
    <row r="1392" spans="1:15">
      <c r="A1392" t="s">
        <v>639</v>
      </c>
      <c r="B1392" t="str">
        <f>'4L'!$AW$98</f>
        <v>B0262MLOC_RWT</v>
      </c>
      <c r="D1392" t="str">
        <f>_xlfn.CONCAT('4L'!$B$78, "-", '4L'!$B$98, "-", '4L'!$G$7, "-", '4L'!$G$6, "-", '4L'!$F$5)</f>
        <v>Other enhancement-Conditioning water to reduce plumbosolvency-Raw water transport-Water network+-Expenditure in report year</v>
      </c>
      <c r="E1392" t="str">
        <f>'4L'!$C$98</f>
        <v>Opex</v>
      </c>
      <c r="F1392" t="s">
        <v>682</v>
      </c>
      <c r="G1392" t="str">
        <f>'4L'!$D$98</f>
        <v>£m</v>
      </c>
      <c r="O1392" t="str">
        <f>_xlfn.CONCAT('4L'!$B$78, "-", '4L'!$B$98, "-", '4L'!$G$7, "-", '4L'!$G$6, "-", '4L'!$F$5)</f>
        <v>Other enhancement-Conditioning water to reduce plumbosolvency-Raw water transport-Water network+-Expenditure in report year</v>
      </c>
    </row>
    <row r="1393" spans="1:15">
      <c r="A1393" t="s">
        <v>639</v>
      </c>
      <c r="B1393" t="str">
        <f>'4L'!$AX$98</f>
        <v>B0262MLOC_RWS</v>
      </c>
      <c r="D1393" t="str">
        <f>_xlfn.CONCAT('4L'!$B$78, "-", '4L'!$B$98, "-", '4L'!$H$7, "-", '4L'!$G$6, "-", '4L'!$F$5)</f>
        <v>Other enhancement-Conditioning water to reduce plumbosolvency-Raw water storage-Water network+-Expenditure in report year</v>
      </c>
      <c r="E1393" t="str">
        <f>'4L'!$C$98</f>
        <v>Opex</v>
      </c>
      <c r="F1393" t="s">
        <v>682</v>
      </c>
      <c r="G1393" t="str">
        <f>'4L'!$D$98</f>
        <v>£m</v>
      </c>
      <c r="O1393" t="str">
        <f>_xlfn.CONCAT('4L'!$B$78, "-", '4L'!$B$98, "-", '4L'!$H$7, "-", '4L'!$G$6, "-", '4L'!$F$5)</f>
        <v>Other enhancement-Conditioning water to reduce plumbosolvency-Raw water storage-Water network+-Expenditure in report year</v>
      </c>
    </row>
    <row r="1394" spans="1:15">
      <c r="A1394" t="s">
        <v>639</v>
      </c>
      <c r="B1394" t="str">
        <f>'4L'!$AY$98</f>
        <v>B0262MLOC_WT</v>
      </c>
      <c r="D1394" t="str">
        <f>_xlfn.CONCAT('4L'!$B$78, "-", '4L'!$B$98, "-", '4L'!$I$7, "-", '4L'!$G$6, "-", '4L'!$F$5)</f>
        <v>Other enhancement-Conditioning water to reduce plumbosolvency-Water treatment-Water network+-Expenditure in report year</v>
      </c>
      <c r="E1394" t="str">
        <f>'4L'!$C$98</f>
        <v>Opex</v>
      </c>
      <c r="F1394" t="s">
        <v>682</v>
      </c>
      <c r="G1394" t="str">
        <f>'4L'!$D$98</f>
        <v>£m</v>
      </c>
      <c r="O1394" t="str">
        <f>_xlfn.CONCAT('4L'!$B$78, "-", '4L'!$B$98, "-", '4L'!$I$7, "-", '4L'!$G$6, "-", '4L'!$F$5)</f>
        <v>Other enhancement-Conditioning water to reduce plumbosolvency-Water treatment-Water network+-Expenditure in report year</v>
      </c>
    </row>
    <row r="1395" spans="1:15">
      <c r="A1395" t="s">
        <v>639</v>
      </c>
      <c r="B1395" t="str">
        <f>'4L'!$AZ$98</f>
        <v>B0262MLOC_TWD</v>
      </c>
      <c r="D1395" t="str">
        <f>_xlfn.CONCAT('4L'!$B$78, "-", '4L'!$B$98, "-", '4L'!$J$7, "-", '4L'!$G$6, "-", '4L'!$F$5)</f>
        <v>Other enhancement-Conditioning water to reduce plumbosolvency-Treated water distribution-Water network+-Expenditure in report year</v>
      </c>
      <c r="E1395" t="str">
        <f>'4L'!$C$98</f>
        <v>Opex</v>
      </c>
      <c r="F1395" t="s">
        <v>682</v>
      </c>
      <c r="G1395" t="str">
        <f>'4L'!$D$98</f>
        <v>£m</v>
      </c>
      <c r="O1395" t="str">
        <f>_xlfn.CONCAT('4L'!$B$78, "-", '4L'!$B$98, "-", '4L'!$J$7, "-", '4L'!$G$6, "-", '4L'!$F$5)</f>
        <v>Other enhancement-Conditioning water to reduce plumbosolvency-Treated water distribution-Water network+-Expenditure in report year</v>
      </c>
    </row>
    <row r="1396" spans="1:15">
      <c r="A1396" t="s">
        <v>639</v>
      </c>
      <c r="B1396" t="str">
        <f>'4L'!$BA$98</f>
        <v>B0262MLOC_TOT</v>
      </c>
      <c r="D1396" t="str">
        <f>_xlfn.CONCAT('4L'!$B$78, "-", '4L'!$B$98, "-", '4L'!$K$6, "-", '4L'!$K$6, "-", '4L'!$F$5)</f>
        <v>Other enhancement-Conditioning water to reduce plumbosolvency-Total-Total-Expenditure in report year</v>
      </c>
      <c r="E1396" t="str">
        <f>'4L'!$C$98</f>
        <v>Opex</v>
      </c>
      <c r="F1396" t="s">
        <v>682</v>
      </c>
      <c r="G1396" t="str">
        <f>'4L'!$D$98</f>
        <v>£m</v>
      </c>
      <c r="O1396" t="str">
        <f>_xlfn.CONCAT('4L'!$B$78, "-", '4L'!$B$98, "-", '4L'!$K$6, "-", '4L'!$K$6, "-", '4L'!$F$5)</f>
        <v>Other enhancement-Conditioning water to reduce plumbosolvency-Total-Total-Expenditure in report year</v>
      </c>
    </row>
    <row r="1397" spans="1:15">
      <c r="A1397" t="s">
        <v>639</v>
      </c>
      <c r="B1397" t="str">
        <f>'4L'!$AV$99</f>
        <v>B0263MLTC_WR</v>
      </c>
      <c r="D1397" t="str">
        <f>_xlfn.CONCAT('4L'!$B$78, "-", '4L'!$B$99, "-", '4L'!$F$6, "-", '4L'!$F$6, "-", '4L'!$F$5)</f>
        <v>Other enhancement-Conditioning water to reduce plumbosolvency-Water resources-Water resources-Expenditure in report year</v>
      </c>
      <c r="E1397" t="str">
        <f>'4L'!$C$99</f>
        <v>Totex</v>
      </c>
      <c r="F1397" t="s">
        <v>682</v>
      </c>
      <c r="G1397" t="str">
        <f>'4L'!$D$99</f>
        <v>£m</v>
      </c>
      <c r="O1397" t="str">
        <f>_xlfn.CONCAT('4L'!$B$78, "-", '4L'!$B$99, "-", '4L'!$F$6, "-", '4L'!$F$6, "-", '4L'!$F$5)</f>
        <v>Other enhancement-Conditioning water to reduce plumbosolvency-Water resources-Water resources-Expenditure in report year</v>
      </c>
    </row>
    <row r="1398" spans="1:15">
      <c r="A1398" t="s">
        <v>639</v>
      </c>
      <c r="B1398" t="str">
        <f>'4L'!$AW$99</f>
        <v>B0263MLTC_RWT</v>
      </c>
      <c r="D1398" t="str">
        <f>_xlfn.CONCAT('4L'!$B$78, "-", '4L'!$B$99, "-", '4L'!$G$7, "-", '4L'!$G$6, "-", '4L'!$F$5)</f>
        <v>Other enhancement-Conditioning water to reduce plumbosolvency-Raw water transport-Water network+-Expenditure in report year</v>
      </c>
      <c r="E1398" t="str">
        <f>'4L'!$C$99</f>
        <v>Totex</v>
      </c>
      <c r="F1398" t="s">
        <v>682</v>
      </c>
      <c r="G1398" t="str">
        <f>'4L'!$D$99</f>
        <v>£m</v>
      </c>
      <c r="O1398" t="str">
        <f>_xlfn.CONCAT('4L'!$B$78, "-", '4L'!$B$99, "-", '4L'!$G$7, "-", '4L'!$G$6, "-", '4L'!$F$5)</f>
        <v>Other enhancement-Conditioning water to reduce plumbosolvency-Raw water transport-Water network+-Expenditure in report year</v>
      </c>
    </row>
    <row r="1399" spans="1:15">
      <c r="A1399" t="s">
        <v>639</v>
      </c>
      <c r="B1399" t="str">
        <f>'4L'!$AX$99</f>
        <v>B0263MLTC_RWS</v>
      </c>
      <c r="D1399" t="str">
        <f>_xlfn.CONCAT('4L'!$B$78, "-", '4L'!$B$99, "-", '4L'!$H$7, "-", '4L'!$G$6, "-", '4L'!$F$5)</f>
        <v>Other enhancement-Conditioning water to reduce plumbosolvency-Raw water storage-Water network+-Expenditure in report year</v>
      </c>
      <c r="E1399" t="str">
        <f>'4L'!$C$99</f>
        <v>Totex</v>
      </c>
      <c r="F1399" t="s">
        <v>682</v>
      </c>
      <c r="G1399" t="str">
        <f>'4L'!$D$99</f>
        <v>£m</v>
      </c>
      <c r="O1399" t="str">
        <f>_xlfn.CONCAT('4L'!$B$78, "-", '4L'!$B$99, "-", '4L'!$H$7, "-", '4L'!$G$6, "-", '4L'!$F$5)</f>
        <v>Other enhancement-Conditioning water to reduce plumbosolvency-Raw water storage-Water network+-Expenditure in report year</v>
      </c>
    </row>
    <row r="1400" spans="1:15">
      <c r="A1400" t="s">
        <v>639</v>
      </c>
      <c r="B1400" t="str">
        <f>'4L'!$AY$99</f>
        <v>B0263MLTC_WT</v>
      </c>
      <c r="D1400" t="str">
        <f>_xlfn.CONCAT('4L'!$B$78, "-", '4L'!$B$99, "-", '4L'!$I$7, "-", '4L'!$G$6, "-", '4L'!$F$5)</f>
        <v>Other enhancement-Conditioning water to reduce plumbosolvency-Water treatment-Water network+-Expenditure in report year</v>
      </c>
      <c r="E1400" t="str">
        <f>'4L'!$C$99</f>
        <v>Totex</v>
      </c>
      <c r="F1400" t="s">
        <v>682</v>
      </c>
      <c r="G1400" t="str">
        <f>'4L'!$D$99</f>
        <v>£m</v>
      </c>
      <c r="O1400" t="str">
        <f>_xlfn.CONCAT('4L'!$B$78, "-", '4L'!$B$99, "-", '4L'!$I$7, "-", '4L'!$G$6, "-", '4L'!$F$5)</f>
        <v>Other enhancement-Conditioning water to reduce plumbosolvency-Water treatment-Water network+-Expenditure in report year</v>
      </c>
    </row>
    <row r="1401" spans="1:15">
      <c r="A1401" t="s">
        <v>639</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682</v>
      </c>
      <c r="G1401" t="str">
        <f>'4L'!$D$99</f>
        <v>£m</v>
      </c>
      <c r="O1401" t="str">
        <f>_xlfn.CONCAT('4L'!$B$78, "-", '4L'!$B$99, "-", '4L'!$J$7, "-", '4L'!$G$6, "-", '4L'!$F$5)</f>
        <v>Other enhancement-Conditioning water to reduce plumbosolvency-Treated water distribution-Water network+-Expenditure in report year</v>
      </c>
    </row>
    <row r="1402" spans="1:15">
      <c r="A1402" t="s">
        <v>639</v>
      </c>
      <c r="B1402" t="str">
        <f>'4L'!$BA$99</f>
        <v>B0263MLTC_TOT</v>
      </c>
      <c r="D1402" t="str">
        <f>_xlfn.CONCAT('4L'!$B$78, "-", '4L'!$B$99, "-", '4L'!$K$6, "-", '4L'!$K$6, "-", '4L'!$F$5)</f>
        <v>Other enhancement-Conditioning water to reduce plumbosolvency-Total-Total-Expenditure in report year</v>
      </c>
      <c r="E1402" t="str">
        <f>'4L'!$C$99</f>
        <v>Totex</v>
      </c>
      <c r="F1402" t="s">
        <v>682</v>
      </c>
      <c r="G1402" t="str">
        <f>'4L'!$D$99</f>
        <v>£m</v>
      </c>
      <c r="O1402" t="str">
        <f>_xlfn.CONCAT('4L'!$B$78, "-", '4L'!$B$99, "-", '4L'!$K$6, "-", '4L'!$K$6, "-", '4L'!$F$5)</f>
        <v>Other enhancement-Conditioning water to reduce plumbosolvency-Total-Total-Expenditure in report year</v>
      </c>
    </row>
    <row r="1403" spans="1:15">
      <c r="A1403" t="s">
        <v>639</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682</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639</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682</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639</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682</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639</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682</v>
      </c>
      <c r="G1406" t="str">
        <f>'4L'!$D$100</f>
        <v>£m</v>
      </c>
      <c r="O1406" t="str">
        <f>_xlfn.CONCAT('4L'!$B$78, "-", '4L'!$B$100, "-", '4L'!$F$6, "-", '4L'!$F$6, "-", '4L'!$F$5)</f>
        <v>Other enhancement-Lead communication pipes replaced or relined for water quality-Water resources-Water resources-Expenditure in report year</v>
      </c>
    </row>
    <row r="1407" spans="1:15">
      <c r="A1407" t="s">
        <v>639</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682</v>
      </c>
      <c r="G1407" t="str">
        <f>'4L'!$D$100</f>
        <v>£m</v>
      </c>
      <c r="O1407" t="str">
        <f>_xlfn.CONCAT('4L'!$B$78, "-", '4L'!$B$100, "-", '4L'!$G$7, "-", '4L'!$G$6, "-", '4L'!$F$5)</f>
        <v>Other enhancement-Lead communication pipes replaced or relined for water quality-Raw water transport-Water network+-Expenditure in report year</v>
      </c>
    </row>
    <row r="1408" spans="1:15">
      <c r="A1408" t="s">
        <v>639</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682</v>
      </c>
      <c r="G1408" t="str">
        <f>'4L'!$D$100</f>
        <v>£m</v>
      </c>
      <c r="O1408" t="str">
        <f>_xlfn.CONCAT('4L'!$B$78, "-", '4L'!$B$100, "-", '4L'!$H$7, "-", '4L'!$G$6, "-", '4L'!$F$5)</f>
        <v>Other enhancement-Lead communication pipes replaced or relined for water quality-Raw water storage-Water network+-Expenditure in report year</v>
      </c>
    </row>
    <row r="1409" spans="1:15">
      <c r="A1409" t="s">
        <v>639</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682</v>
      </c>
      <c r="G1409" t="str">
        <f>'4L'!$D$100</f>
        <v>£m</v>
      </c>
      <c r="O1409" t="str">
        <f>_xlfn.CONCAT('4L'!$B$78, "-", '4L'!$B$100, "-", '4L'!$I$7, "-", '4L'!$G$6, "-", '4L'!$F$5)</f>
        <v>Other enhancement-Lead communication pipes replaced or relined for water quality-Water treatment-Water network+-Expenditure in report year</v>
      </c>
    </row>
    <row r="1410" spans="1:15">
      <c r="A1410" t="s">
        <v>639</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682</v>
      </c>
      <c r="G1410" t="str">
        <f>'4L'!$D$100</f>
        <v>£m</v>
      </c>
      <c r="O1410" t="str">
        <f>_xlfn.CONCAT('4L'!$B$78, "-", '4L'!$B$100, "-", '4L'!$J$7, "-", '4L'!$G$6, "-", '4L'!$F$5)</f>
        <v>Other enhancement-Lead communication pipes replaced or relined for water quality-Treated water distribution-Water network+-Expenditure in report year</v>
      </c>
    </row>
    <row r="1411" spans="1:15">
      <c r="A1411" t="s">
        <v>639</v>
      </c>
      <c r="B1411" t="str">
        <f>'4L'!$BA$100</f>
        <v>B0261MLCCP_TOT</v>
      </c>
      <c r="D1411" t="str">
        <f>_xlfn.CONCAT('4L'!$B$78, "-", '4L'!$B$100, "-", '4L'!$K$6, "-", '4L'!$K$6, "-", '4L'!$F$5)</f>
        <v>Other enhancement-Lead communication pipes replaced or relined for water quality-Total-Total-Expenditure in report year</v>
      </c>
      <c r="E1411" t="str">
        <f>'4L'!$C$100</f>
        <v>Capex</v>
      </c>
      <c r="F1411" t="s">
        <v>682</v>
      </c>
      <c r="G1411" t="str">
        <f>'4L'!$D$100</f>
        <v>£m</v>
      </c>
      <c r="O1411" t="str">
        <f>_xlfn.CONCAT('4L'!$B$78, "-", '4L'!$B$100, "-", '4L'!$K$6, "-", '4L'!$K$6, "-", '4L'!$F$5)</f>
        <v>Other enhancement-Lead communication pipes replaced or relined for water quality-Total-Total-Expenditure in report year</v>
      </c>
    </row>
    <row r="1412" spans="1:15">
      <c r="A1412" t="s">
        <v>639</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682</v>
      </c>
      <c r="G1412" t="str">
        <f>'4L'!$D$101</f>
        <v>£m</v>
      </c>
      <c r="O1412" t="str">
        <f>_xlfn.CONCAT('4L'!$B$78, "-", '4L'!$B$101, "-", '4L'!$F$6, "-", '4L'!$F$6, "-", '4L'!$F$5)</f>
        <v>Other enhancement-Lead communication pipes replaced or relined for water quality-Water resources-Water resources-Expenditure in report year</v>
      </c>
    </row>
    <row r="1413" spans="1:15">
      <c r="A1413" t="s">
        <v>639</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682</v>
      </c>
      <c r="G1413" t="str">
        <f>'4L'!$D$101</f>
        <v>£m</v>
      </c>
      <c r="O1413" t="str">
        <f>_xlfn.CONCAT('4L'!$B$78, "-", '4L'!$B$101, "-", '4L'!$G$7, "-", '4L'!$G$6, "-", '4L'!$F$5)</f>
        <v>Other enhancement-Lead communication pipes replaced or relined for water quality-Raw water transport-Water network+-Expenditure in report year</v>
      </c>
    </row>
    <row r="1414" spans="1:15">
      <c r="A1414" t="s">
        <v>639</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682</v>
      </c>
      <c r="G1414" t="str">
        <f>'4L'!$D$101</f>
        <v>£m</v>
      </c>
      <c r="O1414" t="str">
        <f>_xlfn.CONCAT('4L'!$B$78, "-", '4L'!$B$101, "-", '4L'!$H$7, "-", '4L'!$G$6, "-", '4L'!$F$5)</f>
        <v>Other enhancement-Lead communication pipes replaced or relined for water quality-Raw water storage-Water network+-Expenditure in report year</v>
      </c>
    </row>
    <row r="1415" spans="1:15">
      <c r="A1415" t="s">
        <v>639</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682</v>
      </c>
      <c r="G1415" t="str">
        <f>'4L'!$D$101</f>
        <v>£m</v>
      </c>
      <c r="O1415" t="str">
        <f>_xlfn.CONCAT('4L'!$B$78, "-", '4L'!$B$101, "-", '4L'!$I$7, "-", '4L'!$G$6, "-", '4L'!$F$5)</f>
        <v>Other enhancement-Lead communication pipes replaced or relined for water quality-Water treatment-Water network+-Expenditure in report year</v>
      </c>
    </row>
    <row r="1416" spans="1:15">
      <c r="A1416" t="s">
        <v>639</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682</v>
      </c>
      <c r="G1416" t="str">
        <f>'4L'!$D$101</f>
        <v>£m</v>
      </c>
      <c r="O1416" t="str">
        <f>_xlfn.CONCAT('4L'!$B$78, "-", '4L'!$B$101, "-", '4L'!$J$7, "-", '4L'!$G$6, "-", '4L'!$F$5)</f>
        <v>Other enhancement-Lead communication pipes replaced or relined for water quality-Treated water distribution-Water network+-Expenditure in report year</v>
      </c>
    </row>
    <row r="1417" spans="1:15">
      <c r="A1417" t="s">
        <v>639</v>
      </c>
      <c r="B1417" t="str">
        <f>'4L'!$BA$101</f>
        <v>B0262MLOCP_TOT</v>
      </c>
      <c r="D1417" t="str">
        <f>_xlfn.CONCAT('4L'!$B$78, "-", '4L'!$B$101, "-", '4L'!$K$6, "-", '4L'!$K$6, "-", '4L'!$F$5)</f>
        <v>Other enhancement-Lead communication pipes replaced or relined for water quality-Total-Total-Expenditure in report year</v>
      </c>
      <c r="E1417" t="str">
        <f>'4L'!$C$101</f>
        <v>Opex</v>
      </c>
      <c r="F1417" t="s">
        <v>682</v>
      </c>
      <c r="G1417" t="str">
        <f>'4L'!$D$101</f>
        <v>£m</v>
      </c>
      <c r="O1417" t="str">
        <f>_xlfn.CONCAT('4L'!$B$78, "-", '4L'!$B$101, "-", '4L'!$K$6, "-", '4L'!$K$6, "-", '4L'!$F$5)</f>
        <v>Other enhancement-Lead communication pipes replaced or relined for water quality-Total-Total-Expenditure in report year</v>
      </c>
    </row>
    <row r="1418" spans="1:15">
      <c r="A1418" t="s">
        <v>639</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682</v>
      </c>
      <c r="G1418" t="str">
        <f>'4L'!$D$102</f>
        <v>£m</v>
      </c>
      <c r="O1418" t="str">
        <f>_xlfn.CONCAT('4L'!$B$78, "-", '4L'!$B$102, "-", '4L'!$F$6, "-", '4L'!$F$6, "-", '4L'!$F$5)</f>
        <v>Other enhancement-Lead communication pipes replaced or relined for water quality-Water resources-Water resources-Expenditure in report year</v>
      </c>
    </row>
    <row r="1419" spans="1:15">
      <c r="A1419" t="s">
        <v>639</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682</v>
      </c>
      <c r="G1419" t="str">
        <f>'4L'!$D$102</f>
        <v>£m</v>
      </c>
      <c r="O1419" t="str">
        <f>_xlfn.CONCAT('4L'!$B$78, "-", '4L'!$B$102, "-", '4L'!$G$7, "-", '4L'!$G$6, "-", '4L'!$F$5)</f>
        <v>Other enhancement-Lead communication pipes replaced or relined for water quality-Raw water transport-Water network+-Expenditure in report year</v>
      </c>
    </row>
    <row r="1420" spans="1:15">
      <c r="A1420" t="s">
        <v>639</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682</v>
      </c>
      <c r="G1420" t="str">
        <f>'4L'!$D$102</f>
        <v>£m</v>
      </c>
      <c r="O1420" t="str">
        <f>_xlfn.CONCAT('4L'!$B$78, "-", '4L'!$B$102, "-", '4L'!$H$7, "-", '4L'!$G$6, "-", '4L'!$F$5)</f>
        <v>Other enhancement-Lead communication pipes replaced or relined for water quality-Raw water storage-Water network+-Expenditure in report year</v>
      </c>
    </row>
    <row r="1421" spans="1:15">
      <c r="A1421" t="s">
        <v>639</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682</v>
      </c>
      <c r="G1421" t="str">
        <f>'4L'!$D$102</f>
        <v>£m</v>
      </c>
      <c r="O1421" t="str">
        <f>_xlfn.CONCAT('4L'!$B$78, "-", '4L'!$B$102, "-", '4L'!$I$7, "-", '4L'!$G$6, "-", '4L'!$F$5)</f>
        <v>Other enhancement-Lead communication pipes replaced or relined for water quality-Water treatment-Water network+-Expenditure in report year</v>
      </c>
    </row>
    <row r="1422" spans="1:15">
      <c r="A1422" t="s">
        <v>639</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682</v>
      </c>
      <c r="G1422" t="str">
        <f>'4L'!$D$102</f>
        <v>£m</v>
      </c>
      <c r="O1422" t="str">
        <f>_xlfn.CONCAT('4L'!$B$78, "-", '4L'!$B$102, "-", '4L'!$J$7, "-", '4L'!$G$6, "-", '4L'!$F$5)</f>
        <v>Other enhancement-Lead communication pipes replaced or relined for water quality-Treated water distribution-Water network+-Expenditure in report year</v>
      </c>
    </row>
    <row r="1423" spans="1:15">
      <c r="A1423" t="s">
        <v>639</v>
      </c>
      <c r="B1423" t="str">
        <f>'4L'!$BA$102</f>
        <v>B0263MLTCP_TOT</v>
      </c>
      <c r="D1423" t="str">
        <f>_xlfn.CONCAT('4L'!$B$78, "-", '4L'!$B$102, "-", '4L'!$K$6, "-", '4L'!$K$6, "-", '4L'!$F$5)</f>
        <v>Other enhancement-Lead communication pipes replaced or relined for water quality-Total-Total-Expenditure in report year</v>
      </c>
      <c r="E1423" t="str">
        <f>'4L'!$C$102</f>
        <v>Totex</v>
      </c>
      <c r="F1423" t="s">
        <v>682</v>
      </c>
      <c r="G1423" t="str">
        <f>'4L'!$D$102</f>
        <v>£m</v>
      </c>
      <c r="O1423" t="str">
        <f>_xlfn.CONCAT('4L'!$B$78, "-", '4L'!$B$102, "-", '4L'!$K$6, "-", '4L'!$K$6, "-", '4L'!$F$5)</f>
        <v>Other enhancement-Lead communication pipes replaced or relined for water quality-Total-Total-Expenditure in report year</v>
      </c>
    </row>
    <row r="1424" spans="1:15">
      <c r="A1424" t="s">
        <v>639</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682</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639</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682</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639</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682</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639</v>
      </c>
      <c r="B1427" t="str">
        <f>'4L'!$AV$103</f>
        <v>B0261MLCI_WR</v>
      </c>
      <c r="D1427" t="str">
        <f>_xlfn.CONCAT('4L'!$B$78, "-", '4L'!$B$103, "-", '4L'!$F$6, "-", '4L'!$F$6, "-", '4L'!$F$5)</f>
        <v>Other enhancement-Other lead reduction related activity-Water resources-Water resources-Expenditure in report year</v>
      </c>
      <c r="E1427" t="str">
        <f>'4L'!$C$103</f>
        <v>Capex</v>
      </c>
      <c r="F1427" t="s">
        <v>682</v>
      </c>
      <c r="G1427" t="str">
        <f>'4L'!$D$103</f>
        <v>£m</v>
      </c>
      <c r="O1427" t="str">
        <f>_xlfn.CONCAT('4L'!$B$78, "-", '4L'!$B$103, "-", '4L'!$F$6, "-", '4L'!$F$6, "-", '4L'!$F$5)</f>
        <v>Other enhancement-Other lead reduction related activity-Water resources-Water resources-Expenditure in report year</v>
      </c>
    </row>
    <row r="1428" spans="1:15">
      <c r="A1428" t="s">
        <v>639</v>
      </c>
      <c r="B1428" t="str">
        <f>'4L'!$AW$103</f>
        <v>B0261MLCI_RWT</v>
      </c>
      <c r="D1428" t="str">
        <f>_xlfn.CONCAT('4L'!$B$78, "-", '4L'!$B$103, "-", '4L'!$G$7, "-", '4L'!$G$6, "-", '4L'!$F$5)</f>
        <v>Other enhancement-Other lead reduction related activity-Raw water transport-Water network+-Expenditure in report year</v>
      </c>
      <c r="E1428" t="str">
        <f>'4L'!$C$103</f>
        <v>Capex</v>
      </c>
      <c r="F1428" t="s">
        <v>682</v>
      </c>
      <c r="G1428" t="str">
        <f>'4L'!$D$103</f>
        <v>£m</v>
      </c>
      <c r="O1428" t="str">
        <f>_xlfn.CONCAT('4L'!$B$78, "-", '4L'!$B$103, "-", '4L'!$G$7, "-", '4L'!$G$6, "-", '4L'!$F$5)</f>
        <v>Other enhancement-Other lead reduction related activity-Raw water transport-Water network+-Expenditure in report year</v>
      </c>
    </row>
    <row r="1429" spans="1:15">
      <c r="A1429" t="s">
        <v>639</v>
      </c>
      <c r="B1429" t="str">
        <f>'4L'!$AX$103</f>
        <v>B0261MLCI_RWS</v>
      </c>
      <c r="D1429" t="str">
        <f>_xlfn.CONCAT('4L'!$B$78, "-", '4L'!$B$103, "-", '4L'!$H$7, "-", '4L'!$G$6, "-", '4L'!$F$5)</f>
        <v>Other enhancement-Other lead reduction related activity-Raw water storage-Water network+-Expenditure in report year</v>
      </c>
      <c r="E1429" t="str">
        <f>'4L'!$C$103</f>
        <v>Capex</v>
      </c>
      <c r="F1429" t="s">
        <v>682</v>
      </c>
      <c r="G1429" t="str">
        <f>'4L'!$D$103</f>
        <v>£m</v>
      </c>
      <c r="O1429" t="str">
        <f>_xlfn.CONCAT('4L'!$B$78, "-", '4L'!$B$103, "-", '4L'!$H$7, "-", '4L'!$G$6, "-", '4L'!$F$5)</f>
        <v>Other enhancement-Other lead reduction related activity-Raw water storage-Water network+-Expenditure in report year</v>
      </c>
    </row>
    <row r="1430" spans="1:15">
      <c r="A1430" t="s">
        <v>639</v>
      </c>
      <c r="B1430" t="str">
        <f>'4L'!$AY$103</f>
        <v>B0261MLCI_WT</v>
      </c>
      <c r="D1430" t="str">
        <f>_xlfn.CONCAT('4L'!$B$78, "-", '4L'!$B$103, "-", '4L'!$I$7, "-", '4L'!$G$6, "-", '4L'!$F$5)</f>
        <v>Other enhancement-Other lead reduction related activity-Water treatment-Water network+-Expenditure in report year</v>
      </c>
      <c r="E1430" t="str">
        <f>'4L'!$C$103</f>
        <v>Capex</v>
      </c>
      <c r="F1430" t="s">
        <v>682</v>
      </c>
      <c r="G1430" t="str">
        <f>'4L'!$D$103</f>
        <v>£m</v>
      </c>
      <c r="O1430" t="str">
        <f>_xlfn.CONCAT('4L'!$B$78, "-", '4L'!$B$103, "-", '4L'!$I$7, "-", '4L'!$G$6, "-", '4L'!$F$5)</f>
        <v>Other enhancement-Other lead reduction related activity-Water treatment-Water network+-Expenditure in report year</v>
      </c>
    </row>
    <row r="1431" spans="1:15">
      <c r="A1431" t="s">
        <v>639</v>
      </c>
      <c r="B1431" t="str">
        <f>'4L'!$AZ$103</f>
        <v>B0261MLCI_TWD</v>
      </c>
      <c r="D1431" t="str">
        <f>_xlfn.CONCAT('4L'!$B$78, "-", '4L'!$B$103, "-", '4L'!$J$7, "-", '4L'!$G$6, "-", '4L'!$F$5)</f>
        <v>Other enhancement-Other lead reduction related activity-Treated water distribution-Water network+-Expenditure in report year</v>
      </c>
      <c r="E1431" t="str">
        <f>'4L'!$C$103</f>
        <v>Capex</v>
      </c>
      <c r="F1431" t="s">
        <v>682</v>
      </c>
      <c r="G1431" t="str">
        <f>'4L'!$D$103</f>
        <v>£m</v>
      </c>
      <c r="O1431" t="str">
        <f>_xlfn.CONCAT('4L'!$B$78, "-", '4L'!$B$103, "-", '4L'!$J$7, "-", '4L'!$G$6, "-", '4L'!$F$5)</f>
        <v>Other enhancement-Other lead reduction related activity-Treated water distribution-Water network+-Expenditure in report year</v>
      </c>
    </row>
    <row r="1432" spans="1:15">
      <c r="A1432" t="s">
        <v>639</v>
      </c>
      <c r="B1432" t="str">
        <f>'4L'!$BA$103</f>
        <v>B0261MLCI_TOT</v>
      </c>
      <c r="D1432" t="str">
        <f>_xlfn.CONCAT('4L'!$B$78, "-", '4L'!$B$103, "-", '4L'!$K$6, "-", '4L'!$K$6, "-", '4L'!$F$5)</f>
        <v>Other enhancement-Other lead reduction related activity-Total-Total-Expenditure in report year</v>
      </c>
      <c r="E1432" t="str">
        <f>'4L'!$C$103</f>
        <v>Capex</v>
      </c>
      <c r="F1432" t="s">
        <v>682</v>
      </c>
      <c r="G1432" t="str">
        <f>'4L'!$D$103</f>
        <v>£m</v>
      </c>
      <c r="O1432" t="str">
        <f>_xlfn.CONCAT('4L'!$B$78, "-", '4L'!$B$103, "-", '4L'!$K$6, "-", '4L'!$K$6, "-", '4L'!$F$5)</f>
        <v>Other enhancement-Other lead reduction related activity-Total-Total-Expenditure in report year</v>
      </c>
    </row>
    <row r="1433" spans="1:15">
      <c r="A1433" t="s">
        <v>639</v>
      </c>
      <c r="B1433" t="str">
        <f>'4L'!$AV$104</f>
        <v>B0262MLOI_WR</v>
      </c>
      <c r="D1433" t="str">
        <f>_xlfn.CONCAT('4L'!$B$78, "-", '4L'!$B$104, "-", '4L'!$F$6, "-", '4L'!$F$6, "-", '4L'!$F$5)</f>
        <v>Other enhancement-Other lead reduction related activity-Water resources-Water resources-Expenditure in report year</v>
      </c>
      <c r="E1433" t="str">
        <f>'4L'!$C$104</f>
        <v>Opex</v>
      </c>
      <c r="F1433" t="s">
        <v>682</v>
      </c>
      <c r="G1433" t="str">
        <f>'4L'!$D$104</f>
        <v>£m</v>
      </c>
      <c r="O1433" t="str">
        <f>_xlfn.CONCAT('4L'!$B$78, "-", '4L'!$B$104, "-", '4L'!$F$6, "-", '4L'!$F$6, "-", '4L'!$F$5)</f>
        <v>Other enhancement-Other lead reduction related activity-Water resources-Water resources-Expenditure in report year</v>
      </c>
    </row>
    <row r="1434" spans="1:15">
      <c r="A1434" t="s">
        <v>639</v>
      </c>
      <c r="B1434" t="str">
        <f>'4L'!$AW$104</f>
        <v>B0262MLOI_RWT</v>
      </c>
      <c r="D1434" t="str">
        <f>_xlfn.CONCAT('4L'!$B$78, "-", '4L'!$B$104, "-", '4L'!$G$7, "-", '4L'!$G$6, "-", '4L'!$F$5)</f>
        <v>Other enhancement-Other lead reduction related activity-Raw water transport-Water network+-Expenditure in report year</v>
      </c>
      <c r="E1434" t="str">
        <f>'4L'!$C$104</f>
        <v>Opex</v>
      </c>
      <c r="F1434" t="s">
        <v>682</v>
      </c>
      <c r="G1434" t="str">
        <f>'4L'!$D$104</f>
        <v>£m</v>
      </c>
      <c r="O1434" t="str">
        <f>_xlfn.CONCAT('4L'!$B$78, "-", '4L'!$B$104, "-", '4L'!$G$7, "-", '4L'!$G$6, "-", '4L'!$F$5)</f>
        <v>Other enhancement-Other lead reduction related activity-Raw water transport-Water network+-Expenditure in report year</v>
      </c>
    </row>
    <row r="1435" spans="1:15">
      <c r="A1435" t="s">
        <v>639</v>
      </c>
      <c r="B1435" t="str">
        <f>'4L'!$AX$104</f>
        <v>B0262MLOI_RWS</v>
      </c>
      <c r="D1435" t="str">
        <f>_xlfn.CONCAT('4L'!$B$78, "-", '4L'!$B$104, "-", '4L'!$H$7, "-", '4L'!$G$6, "-", '4L'!$F$5)</f>
        <v>Other enhancement-Other lead reduction related activity-Raw water storage-Water network+-Expenditure in report year</v>
      </c>
      <c r="E1435" t="str">
        <f>'4L'!$C$104</f>
        <v>Opex</v>
      </c>
      <c r="F1435" t="s">
        <v>682</v>
      </c>
      <c r="G1435" t="str">
        <f>'4L'!$D$104</f>
        <v>£m</v>
      </c>
      <c r="O1435" t="str">
        <f>_xlfn.CONCAT('4L'!$B$78, "-", '4L'!$B$104, "-", '4L'!$H$7, "-", '4L'!$G$6, "-", '4L'!$F$5)</f>
        <v>Other enhancement-Other lead reduction related activity-Raw water storage-Water network+-Expenditure in report year</v>
      </c>
    </row>
    <row r="1436" spans="1:15">
      <c r="A1436" t="s">
        <v>639</v>
      </c>
      <c r="B1436" t="str">
        <f>'4L'!$AY$104</f>
        <v>B0262MLOI_WT</v>
      </c>
      <c r="D1436" t="str">
        <f>_xlfn.CONCAT('4L'!$B$78, "-", '4L'!$B$104, "-", '4L'!$I$7, "-", '4L'!$G$6, "-", '4L'!$F$5)</f>
        <v>Other enhancement-Other lead reduction related activity-Water treatment-Water network+-Expenditure in report year</v>
      </c>
      <c r="E1436" t="str">
        <f>'4L'!$C$104</f>
        <v>Opex</v>
      </c>
      <c r="F1436" t="s">
        <v>682</v>
      </c>
      <c r="G1436" t="str">
        <f>'4L'!$D$104</f>
        <v>£m</v>
      </c>
      <c r="O1436" t="str">
        <f>_xlfn.CONCAT('4L'!$B$78, "-", '4L'!$B$104, "-", '4L'!$I$7, "-", '4L'!$G$6, "-", '4L'!$F$5)</f>
        <v>Other enhancement-Other lead reduction related activity-Water treatment-Water network+-Expenditure in report year</v>
      </c>
    </row>
    <row r="1437" spans="1:15">
      <c r="A1437" t="s">
        <v>639</v>
      </c>
      <c r="B1437" t="str">
        <f>'4L'!$AZ$104</f>
        <v>B0262MLOI_TWD</v>
      </c>
      <c r="D1437" t="str">
        <f>_xlfn.CONCAT('4L'!$B$78, "-", '4L'!$B$104, "-", '4L'!$J$7, "-", '4L'!$G$6, "-", '4L'!$F$5)</f>
        <v>Other enhancement-Other lead reduction related activity-Treated water distribution-Water network+-Expenditure in report year</v>
      </c>
      <c r="E1437" t="str">
        <f>'4L'!$C$104</f>
        <v>Opex</v>
      </c>
      <c r="F1437" t="s">
        <v>682</v>
      </c>
      <c r="G1437" t="str">
        <f>'4L'!$D$104</f>
        <v>£m</v>
      </c>
      <c r="O1437" t="str">
        <f>_xlfn.CONCAT('4L'!$B$78, "-", '4L'!$B$104, "-", '4L'!$J$7, "-", '4L'!$G$6, "-", '4L'!$F$5)</f>
        <v>Other enhancement-Other lead reduction related activity-Treated water distribution-Water network+-Expenditure in report year</v>
      </c>
    </row>
    <row r="1438" spans="1:15">
      <c r="A1438" t="s">
        <v>639</v>
      </c>
      <c r="B1438" t="str">
        <f>'4L'!$BA$104</f>
        <v>B0262MLOI_TOT</v>
      </c>
      <c r="D1438" t="str">
        <f>_xlfn.CONCAT('4L'!$B$78, "-", '4L'!$B$104, "-", '4L'!$K$6, "-", '4L'!$K$6, "-", '4L'!$F$5)</f>
        <v>Other enhancement-Other lead reduction related activity-Total-Total-Expenditure in report year</v>
      </c>
      <c r="E1438" t="str">
        <f>'4L'!$C$104</f>
        <v>Opex</v>
      </c>
      <c r="F1438" t="s">
        <v>682</v>
      </c>
      <c r="G1438" t="str">
        <f>'4L'!$D$104</f>
        <v>£m</v>
      </c>
      <c r="O1438" t="str">
        <f>_xlfn.CONCAT('4L'!$B$78, "-", '4L'!$B$104, "-", '4L'!$K$6, "-", '4L'!$K$6, "-", '4L'!$F$5)</f>
        <v>Other enhancement-Other lead reduction related activity-Total-Total-Expenditure in report year</v>
      </c>
    </row>
    <row r="1439" spans="1:15">
      <c r="A1439" t="s">
        <v>639</v>
      </c>
      <c r="B1439" t="str">
        <f>'4L'!$AV$105</f>
        <v>B0263MLTI_WR</v>
      </c>
      <c r="D1439" t="str">
        <f>_xlfn.CONCAT('4L'!$B$78, "-", '4L'!$B$105, "-", '4L'!$F$6, "-", '4L'!$F$6, "-", '4L'!$F$5)</f>
        <v>Other enhancement-Other lead reduction related activity-Water resources-Water resources-Expenditure in report year</v>
      </c>
      <c r="E1439" t="str">
        <f>'4L'!$C$105</f>
        <v>Totex</v>
      </c>
      <c r="F1439" t="s">
        <v>682</v>
      </c>
      <c r="G1439" t="str">
        <f>'4L'!$D$105</f>
        <v>£m</v>
      </c>
      <c r="O1439" t="str">
        <f>_xlfn.CONCAT('4L'!$B$78, "-", '4L'!$B$105, "-", '4L'!$F$6, "-", '4L'!$F$6, "-", '4L'!$F$5)</f>
        <v>Other enhancement-Other lead reduction related activity-Water resources-Water resources-Expenditure in report year</v>
      </c>
    </row>
    <row r="1440" spans="1:15">
      <c r="A1440" t="s">
        <v>639</v>
      </c>
      <c r="B1440" t="str">
        <f>'4L'!$AW$105</f>
        <v>B0263MLTI_RWT</v>
      </c>
      <c r="D1440" t="str">
        <f>_xlfn.CONCAT('4L'!$B$78, "-", '4L'!$B$105, "-", '4L'!$G$7, "-", '4L'!$G$6, "-", '4L'!$F$5)</f>
        <v>Other enhancement-Other lead reduction related activity-Raw water transport-Water network+-Expenditure in report year</v>
      </c>
      <c r="E1440" t="str">
        <f>'4L'!$C$105</f>
        <v>Totex</v>
      </c>
      <c r="F1440" t="s">
        <v>682</v>
      </c>
      <c r="G1440" t="str">
        <f>'4L'!$D$105</f>
        <v>£m</v>
      </c>
      <c r="O1440" t="str">
        <f>_xlfn.CONCAT('4L'!$B$78, "-", '4L'!$B$105, "-", '4L'!$G$7, "-", '4L'!$G$6, "-", '4L'!$F$5)</f>
        <v>Other enhancement-Other lead reduction related activity-Raw water transport-Water network+-Expenditure in report year</v>
      </c>
    </row>
    <row r="1441" spans="1:15">
      <c r="A1441" t="s">
        <v>639</v>
      </c>
      <c r="B1441" t="str">
        <f>'4L'!$AX$105</f>
        <v>B0263MLTI_RWS</v>
      </c>
      <c r="D1441" t="str">
        <f>_xlfn.CONCAT('4L'!$B$78, "-", '4L'!$B$105, "-", '4L'!$H$7, "-", '4L'!$G$6, "-", '4L'!$F$5)</f>
        <v>Other enhancement-Other lead reduction related activity-Raw water storage-Water network+-Expenditure in report year</v>
      </c>
      <c r="E1441" t="str">
        <f>'4L'!$C$105</f>
        <v>Totex</v>
      </c>
      <c r="F1441" t="s">
        <v>682</v>
      </c>
      <c r="G1441" t="str">
        <f>'4L'!$D$105</f>
        <v>£m</v>
      </c>
      <c r="O1441" t="str">
        <f>_xlfn.CONCAT('4L'!$B$78, "-", '4L'!$B$105, "-", '4L'!$H$7, "-", '4L'!$G$6, "-", '4L'!$F$5)</f>
        <v>Other enhancement-Other lead reduction related activity-Raw water storage-Water network+-Expenditure in report year</v>
      </c>
    </row>
    <row r="1442" spans="1:15">
      <c r="A1442" t="s">
        <v>639</v>
      </c>
      <c r="B1442" t="str">
        <f>'4L'!$AY$105</f>
        <v>B0263MLTI_WT</v>
      </c>
      <c r="D1442" t="str">
        <f>_xlfn.CONCAT('4L'!$B$78, "-", '4L'!$B$105, "-", '4L'!$I$7, "-", '4L'!$G$6, "-", '4L'!$F$5)</f>
        <v>Other enhancement-Other lead reduction related activity-Water treatment-Water network+-Expenditure in report year</v>
      </c>
      <c r="E1442" t="str">
        <f>'4L'!$C$105</f>
        <v>Totex</v>
      </c>
      <c r="F1442" t="s">
        <v>682</v>
      </c>
      <c r="G1442" t="str">
        <f>'4L'!$D$105</f>
        <v>£m</v>
      </c>
      <c r="O1442" t="str">
        <f>_xlfn.CONCAT('4L'!$B$78, "-", '4L'!$B$105, "-", '4L'!$I$7, "-", '4L'!$G$6, "-", '4L'!$F$5)</f>
        <v>Other enhancement-Other lead reduction related activity-Water treatment-Water network+-Expenditure in report year</v>
      </c>
    </row>
    <row r="1443" spans="1:15">
      <c r="A1443" t="s">
        <v>639</v>
      </c>
      <c r="B1443" t="str">
        <f>'4L'!$AZ$105</f>
        <v>B0263MLTI_TWD</v>
      </c>
      <c r="D1443" t="str">
        <f>_xlfn.CONCAT('4L'!$B$78, "-", '4L'!$B$105, "-", '4L'!$J$7, "-", '4L'!$G$6, "-", '4L'!$F$5)</f>
        <v>Other enhancement-Other lead reduction related activity-Treated water distribution-Water network+-Expenditure in report year</v>
      </c>
      <c r="E1443" t="str">
        <f>'4L'!$C$105</f>
        <v>Totex</v>
      </c>
      <c r="F1443" t="s">
        <v>682</v>
      </c>
      <c r="G1443" t="str">
        <f>'4L'!$D$105</f>
        <v>£m</v>
      </c>
      <c r="O1443" t="str">
        <f>_xlfn.CONCAT('4L'!$B$78, "-", '4L'!$B$105, "-", '4L'!$J$7, "-", '4L'!$G$6, "-", '4L'!$F$5)</f>
        <v>Other enhancement-Other lead reduction related activity-Treated water distribution-Water network+-Expenditure in report year</v>
      </c>
    </row>
    <row r="1444" spans="1:15">
      <c r="A1444" t="s">
        <v>639</v>
      </c>
      <c r="B1444" t="str">
        <f>'4L'!$BA$105</f>
        <v>B0263MLTI_TOT</v>
      </c>
      <c r="D1444" t="str">
        <f>_xlfn.CONCAT('4L'!$B$78, "-", '4L'!$B$105, "-", '4L'!$K$6, "-", '4L'!$K$6, "-", '4L'!$F$5)</f>
        <v>Other enhancement-Other lead reduction related activity-Total-Total-Expenditure in report year</v>
      </c>
      <c r="E1444" t="str">
        <f>'4L'!$C$105</f>
        <v>Totex</v>
      </c>
      <c r="F1444" t="s">
        <v>682</v>
      </c>
      <c r="G1444" t="str">
        <f>'4L'!$D$105</f>
        <v>£m</v>
      </c>
      <c r="O1444" t="str">
        <f>_xlfn.CONCAT('4L'!$B$78, "-", '4L'!$B$105, "-", '4L'!$K$6, "-", '4L'!$K$6, "-", '4L'!$F$5)</f>
        <v>Other enhancement-Other lead reduction related activity-Total-Total-Expenditure in report year</v>
      </c>
    </row>
    <row r="1445" spans="1:15">
      <c r="A1445" t="s">
        <v>639</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682</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639</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682</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639</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682</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639</v>
      </c>
      <c r="B1448" t="str">
        <f>'4L'!$AV$106</f>
        <v>B0261MLC_WR</v>
      </c>
      <c r="D1448" t="str">
        <f>_xlfn.CONCAT('4L'!$B$78, "-", '4L'!$B$106, "-", '4L'!$F$6, "-", '4L'!$F$6, "-", '4L'!$F$5)</f>
        <v>Other enhancement-Meeting lead standards (total)-Water resources-Water resources-Expenditure in report year</v>
      </c>
      <c r="E1448" t="str">
        <f>'4L'!$C$106</f>
        <v>Capex</v>
      </c>
      <c r="F1448" t="s">
        <v>682</v>
      </c>
      <c r="G1448" t="str">
        <f>'4L'!$D$106</f>
        <v>£m</v>
      </c>
      <c r="O1448" t="str">
        <f>_xlfn.CONCAT('4L'!$B$78, "-", '4L'!$B$106, "-", '4L'!$F$6, "-", '4L'!$F$6, "-", '4L'!$F$5)</f>
        <v>Other enhancement-Meeting lead standards (total)-Water resources-Water resources-Expenditure in report year</v>
      </c>
    </row>
    <row r="1449" spans="1:15">
      <c r="A1449" t="s">
        <v>639</v>
      </c>
      <c r="B1449" t="str">
        <f>'4L'!$AW$106</f>
        <v>B0261MLC_RWT</v>
      </c>
      <c r="D1449" t="str">
        <f>_xlfn.CONCAT('4L'!$B$78, "-", '4L'!$B$106, "-", '4L'!$G$7, "-", '4L'!$G$6, "-", '4L'!$F$5)</f>
        <v>Other enhancement-Meeting lead standards (total)-Raw water transport-Water network+-Expenditure in report year</v>
      </c>
      <c r="E1449" t="str">
        <f>'4L'!$C$106</f>
        <v>Capex</v>
      </c>
      <c r="F1449" t="s">
        <v>682</v>
      </c>
      <c r="G1449" t="str">
        <f>'4L'!$D$106</f>
        <v>£m</v>
      </c>
      <c r="O1449" t="str">
        <f>_xlfn.CONCAT('4L'!$B$78, "-", '4L'!$B$106, "-", '4L'!$G$7, "-", '4L'!$G$6, "-", '4L'!$F$5)</f>
        <v>Other enhancement-Meeting lead standards (total)-Raw water transport-Water network+-Expenditure in report year</v>
      </c>
    </row>
    <row r="1450" spans="1:15">
      <c r="A1450" t="s">
        <v>639</v>
      </c>
      <c r="B1450" t="str">
        <f>'4L'!$AX$106</f>
        <v>B0261MLC_RWS</v>
      </c>
      <c r="D1450" t="str">
        <f>_xlfn.CONCAT('4L'!$B$78, "-", '4L'!$B$106, "-", '4L'!$H$7, "-", '4L'!$G$6, "-", '4L'!$F$5)</f>
        <v>Other enhancement-Meeting lead standards (total)-Raw water storage-Water network+-Expenditure in report year</v>
      </c>
      <c r="E1450" t="str">
        <f>'4L'!$C$106</f>
        <v>Capex</v>
      </c>
      <c r="F1450" t="s">
        <v>682</v>
      </c>
      <c r="G1450" t="str">
        <f>'4L'!$D$106</f>
        <v>£m</v>
      </c>
      <c r="O1450" t="str">
        <f>_xlfn.CONCAT('4L'!$B$78, "-", '4L'!$B$106, "-", '4L'!$H$7, "-", '4L'!$G$6, "-", '4L'!$F$5)</f>
        <v>Other enhancement-Meeting lead standards (total)-Raw water storage-Water network+-Expenditure in report year</v>
      </c>
    </row>
    <row r="1451" spans="1:15">
      <c r="A1451" t="s">
        <v>639</v>
      </c>
      <c r="B1451" t="str">
        <f>'4L'!$AY$106</f>
        <v>B0261MLC_WT</v>
      </c>
      <c r="D1451" t="str">
        <f>_xlfn.CONCAT('4L'!$B$78, "-", '4L'!$B$106, "-", '4L'!$I$7, "-", '4L'!$G$6, "-", '4L'!$F$5)</f>
        <v>Other enhancement-Meeting lead standards (total)-Water treatment-Water network+-Expenditure in report year</v>
      </c>
      <c r="E1451" t="str">
        <f>'4L'!$C$106</f>
        <v>Capex</v>
      </c>
      <c r="F1451" t="s">
        <v>682</v>
      </c>
      <c r="G1451" t="str">
        <f>'4L'!$D$106</f>
        <v>£m</v>
      </c>
      <c r="O1451" t="str">
        <f>_xlfn.CONCAT('4L'!$B$78, "-", '4L'!$B$106, "-", '4L'!$I$7, "-", '4L'!$G$6, "-", '4L'!$F$5)</f>
        <v>Other enhancement-Meeting lead standards (total)-Water treatment-Water network+-Expenditure in report year</v>
      </c>
    </row>
    <row r="1452" spans="1:15">
      <c r="A1452" t="s">
        <v>639</v>
      </c>
      <c r="B1452" t="str">
        <f>'4L'!$AZ$106</f>
        <v>B0261MLC_TWD</v>
      </c>
      <c r="D1452" t="str">
        <f>_xlfn.CONCAT('4L'!$B$78, "-", '4L'!$B$106, "-", '4L'!$J$7, "-", '4L'!$G$6, "-", '4L'!$F$5)</f>
        <v>Other enhancement-Meeting lead standards (total)-Treated water distribution-Water network+-Expenditure in report year</v>
      </c>
      <c r="E1452" t="str">
        <f>'4L'!$C$106</f>
        <v>Capex</v>
      </c>
      <c r="F1452" t="s">
        <v>682</v>
      </c>
      <c r="G1452" t="str">
        <f>'4L'!$D$106</f>
        <v>£m</v>
      </c>
      <c r="O1452" t="str">
        <f>_xlfn.CONCAT('4L'!$B$78, "-", '4L'!$B$106, "-", '4L'!$J$7, "-", '4L'!$G$6, "-", '4L'!$F$5)</f>
        <v>Other enhancement-Meeting lead standards (total)-Treated water distribution-Water network+-Expenditure in report year</v>
      </c>
    </row>
    <row r="1453" spans="1:15">
      <c r="A1453" t="s">
        <v>639</v>
      </c>
      <c r="B1453" t="str">
        <f>'4L'!$BA$106</f>
        <v>B0261MLC_TOT</v>
      </c>
      <c r="D1453" t="str">
        <f>_xlfn.CONCAT('4L'!$B$78, "-", '4L'!$B$106, "-", '4L'!$K$6, "-", '4L'!$K$6, "-", '4L'!$F$5)</f>
        <v>Other enhancement-Meeting lead standards (total)-Total-Total-Expenditure in report year</v>
      </c>
      <c r="E1453" t="str">
        <f>'4L'!$C$106</f>
        <v>Capex</v>
      </c>
      <c r="F1453" t="s">
        <v>682</v>
      </c>
      <c r="G1453" t="str">
        <f>'4L'!$D$106</f>
        <v>£m</v>
      </c>
      <c r="O1453" t="str">
        <f>_xlfn.CONCAT('4L'!$B$78, "-", '4L'!$B$106, "-", '4L'!$K$6, "-", '4L'!$K$6, "-", '4L'!$F$5)</f>
        <v>Other enhancement-Meeting lead standards (total)-Total-Total-Expenditure in report year</v>
      </c>
    </row>
    <row r="1454" spans="1:15">
      <c r="A1454" t="s">
        <v>639</v>
      </c>
      <c r="B1454" t="str">
        <f>'4L'!$AV$107</f>
        <v>B0262MLO_WR</v>
      </c>
      <c r="D1454" t="str">
        <f>_xlfn.CONCAT('4L'!$B$78, "-", '4L'!$B$107, "-", '4L'!$F$6, "-", '4L'!$F$6, "-", '4L'!$F$5)</f>
        <v>Other enhancement-Meeting lead standards (total)-Water resources-Water resources-Expenditure in report year</v>
      </c>
      <c r="E1454" t="str">
        <f>'4L'!$C$107</f>
        <v>Opex</v>
      </c>
      <c r="F1454" t="s">
        <v>682</v>
      </c>
      <c r="G1454" t="str">
        <f>'4L'!$D$107</f>
        <v>£m</v>
      </c>
      <c r="O1454" t="str">
        <f>_xlfn.CONCAT('4L'!$B$78, "-", '4L'!$B$107, "-", '4L'!$F$6, "-", '4L'!$F$6, "-", '4L'!$F$5)</f>
        <v>Other enhancement-Meeting lead standards (total)-Water resources-Water resources-Expenditure in report year</v>
      </c>
    </row>
    <row r="1455" spans="1:15">
      <c r="A1455" t="s">
        <v>639</v>
      </c>
      <c r="B1455" t="str">
        <f>'4L'!$AW$107</f>
        <v>B0262MLO_RWT</v>
      </c>
      <c r="D1455" t="str">
        <f>_xlfn.CONCAT('4L'!$B$78, "-", '4L'!$B$107, "-", '4L'!$G$7, "-", '4L'!$G$6, "-", '4L'!$F$5)</f>
        <v>Other enhancement-Meeting lead standards (total)-Raw water transport-Water network+-Expenditure in report year</v>
      </c>
      <c r="E1455" t="str">
        <f>'4L'!$C$107</f>
        <v>Opex</v>
      </c>
      <c r="F1455" t="s">
        <v>682</v>
      </c>
      <c r="G1455" t="str">
        <f>'4L'!$D$107</f>
        <v>£m</v>
      </c>
      <c r="O1455" t="str">
        <f>_xlfn.CONCAT('4L'!$B$78, "-", '4L'!$B$107, "-", '4L'!$G$7, "-", '4L'!$G$6, "-", '4L'!$F$5)</f>
        <v>Other enhancement-Meeting lead standards (total)-Raw water transport-Water network+-Expenditure in report year</v>
      </c>
    </row>
    <row r="1456" spans="1:15">
      <c r="A1456" t="s">
        <v>639</v>
      </c>
      <c r="B1456" t="str">
        <f>'4L'!$AX$107</f>
        <v>B0262MLO_RWS</v>
      </c>
      <c r="D1456" t="str">
        <f>_xlfn.CONCAT('4L'!$B$78, "-", '4L'!$B$107, "-", '4L'!$H$7, "-", '4L'!$G$6, "-", '4L'!$F$5)</f>
        <v>Other enhancement-Meeting lead standards (total)-Raw water storage-Water network+-Expenditure in report year</v>
      </c>
      <c r="E1456" t="str">
        <f>'4L'!$C$107</f>
        <v>Opex</v>
      </c>
      <c r="F1456" t="s">
        <v>682</v>
      </c>
      <c r="G1456" t="str">
        <f>'4L'!$D$107</f>
        <v>£m</v>
      </c>
      <c r="O1456" t="str">
        <f>_xlfn.CONCAT('4L'!$B$78, "-", '4L'!$B$107, "-", '4L'!$H$7, "-", '4L'!$G$6, "-", '4L'!$F$5)</f>
        <v>Other enhancement-Meeting lead standards (total)-Raw water storage-Water network+-Expenditure in report year</v>
      </c>
    </row>
    <row r="1457" spans="1:15">
      <c r="A1457" t="s">
        <v>639</v>
      </c>
      <c r="B1457" t="str">
        <f>'4L'!$AY$107</f>
        <v>B0262MLO_WT</v>
      </c>
      <c r="D1457" t="str">
        <f>_xlfn.CONCAT('4L'!$B$78, "-", '4L'!$B$107, "-", '4L'!$I$7, "-", '4L'!$G$6, "-", '4L'!$F$5)</f>
        <v>Other enhancement-Meeting lead standards (total)-Water treatment-Water network+-Expenditure in report year</v>
      </c>
      <c r="E1457" t="str">
        <f>'4L'!$C$107</f>
        <v>Opex</v>
      </c>
      <c r="F1457" t="s">
        <v>682</v>
      </c>
      <c r="G1457" t="str">
        <f>'4L'!$D$107</f>
        <v>£m</v>
      </c>
      <c r="O1457" t="str">
        <f>_xlfn.CONCAT('4L'!$B$78, "-", '4L'!$B$107, "-", '4L'!$I$7, "-", '4L'!$G$6, "-", '4L'!$F$5)</f>
        <v>Other enhancement-Meeting lead standards (total)-Water treatment-Water network+-Expenditure in report year</v>
      </c>
    </row>
    <row r="1458" spans="1:15">
      <c r="A1458" t="s">
        <v>639</v>
      </c>
      <c r="B1458" t="str">
        <f>'4L'!$AZ$107</f>
        <v>B0262MLO_TWD</v>
      </c>
      <c r="D1458" t="str">
        <f>_xlfn.CONCAT('4L'!$B$78, "-", '4L'!$B$107, "-", '4L'!$J$7, "-", '4L'!$G$6, "-", '4L'!$F$5)</f>
        <v>Other enhancement-Meeting lead standards (total)-Treated water distribution-Water network+-Expenditure in report year</v>
      </c>
      <c r="E1458" t="str">
        <f>'4L'!$C$107</f>
        <v>Opex</v>
      </c>
      <c r="F1458" t="s">
        <v>682</v>
      </c>
      <c r="G1458" t="str">
        <f>'4L'!$D$107</f>
        <v>£m</v>
      </c>
      <c r="O1458" t="str">
        <f>_xlfn.CONCAT('4L'!$B$78, "-", '4L'!$B$107, "-", '4L'!$J$7, "-", '4L'!$G$6, "-", '4L'!$F$5)</f>
        <v>Other enhancement-Meeting lead standards (total)-Treated water distribution-Water network+-Expenditure in report year</v>
      </c>
    </row>
    <row r="1459" spans="1:15">
      <c r="A1459" t="s">
        <v>639</v>
      </c>
      <c r="B1459" t="str">
        <f>'4L'!$BA$107</f>
        <v>B0262MLO_TOT</v>
      </c>
      <c r="D1459" t="str">
        <f>_xlfn.CONCAT('4L'!$B$78, "-", '4L'!$B$107, "-", '4L'!$K$6, "-", '4L'!$K$6, "-", '4L'!$F$5)</f>
        <v>Other enhancement-Meeting lead standards (total)-Total-Total-Expenditure in report year</v>
      </c>
      <c r="E1459" t="str">
        <f>'4L'!$C$107</f>
        <v>Opex</v>
      </c>
      <c r="F1459" t="s">
        <v>682</v>
      </c>
      <c r="G1459" t="str">
        <f>'4L'!$D$107</f>
        <v>£m</v>
      </c>
      <c r="O1459" t="str">
        <f>_xlfn.CONCAT('4L'!$B$78, "-", '4L'!$B$107, "-", '4L'!$K$6, "-", '4L'!$K$6, "-", '4L'!$F$5)</f>
        <v>Other enhancement-Meeting lead standards (total)-Total-Total-Expenditure in report year</v>
      </c>
    </row>
    <row r="1460" spans="1:15">
      <c r="A1460" t="s">
        <v>639</v>
      </c>
      <c r="B1460" t="str">
        <f>'4L'!$AV$108</f>
        <v>B0263MLT_WR</v>
      </c>
      <c r="D1460" t="str">
        <f>_xlfn.CONCAT('4L'!$B$78, "-", '4L'!$B$108, "-", '4L'!$F$6, "-", '4L'!$F$6, "-", '4L'!$F$5)</f>
        <v>Other enhancement-Meeting lead standards (total)-Water resources-Water resources-Expenditure in report year</v>
      </c>
      <c r="E1460" t="str">
        <f>'4L'!$C$108</f>
        <v>Totex</v>
      </c>
      <c r="F1460" t="s">
        <v>682</v>
      </c>
      <c r="G1460" t="str">
        <f>'4L'!$D$108</f>
        <v>£m</v>
      </c>
      <c r="O1460" t="str">
        <f>_xlfn.CONCAT('4L'!$B$78, "-", '4L'!$B$108, "-", '4L'!$F$6, "-", '4L'!$F$6, "-", '4L'!$F$5)</f>
        <v>Other enhancement-Meeting lead standards (total)-Water resources-Water resources-Expenditure in report year</v>
      </c>
    </row>
    <row r="1461" spans="1:15">
      <c r="A1461" t="s">
        <v>639</v>
      </c>
      <c r="B1461" t="str">
        <f>'4L'!$AW$108</f>
        <v>B0263MLT_RWT</v>
      </c>
      <c r="D1461" t="str">
        <f>_xlfn.CONCAT('4L'!$B$78, "-", '4L'!$B$108, "-", '4L'!$G$7, "-", '4L'!$G$6, "-", '4L'!$F$5)</f>
        <v>Other enhancement-Meeting lead standards (total)-Raw water transport-Water network+-Expenditure in report year</v>
      </c>
      <c r="E1461" t="str">
        <f>'4L'!$C$108</f>
        <v>Totex</v>
      </c>
      <c r="F1461" t="s">
        <v>682</v>
      </c>
      <c r="G1461" t="str">
        <f>'4L'!$D$108</f>
        <v>£m</v>
      </c>
      <c r="O1461" t="str">
        <f>_xlfn.CONCAT('4L'!$B$78, "-", '4L'!$B$108, "-", '4L'!$G$7, "-", '4L'!$G$6, "-", '4L'!$F$5)</f>
        <v>Other enhancement-Meeting lead standards (total)-Raw water transport-Water network+-Expenditure in report year</v>
      </c>
    </row>
    <row r="1462" spans="1:15">
      <c r="A1462" t="s">
        <v>639</v>
      </c>
      <c r="B1462" t="str">
        <f>'4L'!$AX$108</f>
        <v>B0263MLT_RWS</v>
      </c>
      <c r="D1462" t="str">
        <f>_xlfn.CONCAT('4L'!$B$78, "-", '4L'!$B$108, "-", '4L'!$H$7, "-", '4L'!$G$6, "-", '4L'!$F$5)</f>
        <v>Other enhancement-Meeting lead standards (total)-Raw water storage-Water network+-Expenditure in report year</v>
      </c>
      <c r="E1462" t="str">
        <f>'4L'!$C$108</f>
        <v>Totex</v>
      </c>
      <c r="F1462" t="s">
        <v>682</v>
      </c>
      <c r="G1462" t="str">
        <f>'4L'!$D$108</f>
        <v>£m</v>
      </c>
      <c r="O1462" t="str">
        <f>_xlfn.CONCAT('4L'!$B$78, "-", '4L'!$B$108, "-", '4L'!$H$7, "-", '4L'!$G$6, "-", '4L'!$F$5)</f>
        <v>Other enhancement-Meeting lead standards (total)-Raw water storage-Water network+-Expenditure in report year</v>
      </c>
    </row>
    <row r="1463" spans="1:15">
      <c r="A1463" t="s">
        <v>639</v>
      </c>
      <c r="B1463" t="str">
        <f>'4L'!$AY$108</f>
        <v>B0263MLT_WT</v>
      </c>
      <c r="D1463" t="str">
        <f>_xlfn.CONCAT('4L'!$B$78, "-", '4L'!$B$108, "-", '4L'!$I$7, "-", '4L'!$G$6, "-", '4L'!$F$5)</f>
        <v>Other enhancement-Meeting lead standards (total)-Water treatment-Water network+-Expenditure in report year</v>
      </c>
      <c r="E1463" t="str">
        <f>'4L'!$C$108</f>
        <v>Totex</v>
      </c>
      <c r="F1463" t="s">
        <v>682</v>
      </c>
      <c r="G1463" t="str">
        <f>'4L'!$D$108</f>
        <v>£m</v>
      </c>
      <c r="O1463" t="str">
        <f>_xlfn.CONCAT('4L'!$B$78, "-", '4L'!$B$108, "-", '4L'!$I$7, "-", '4L'!$G$6, "-", '4L'!$F$5)</f>
        <v>Other enhancement-Meeting lead standards (total)-Water treatment-Water network+-Expenditure in report year</v>
      </c>
    </row>
    <row r="1464" spans="1:15">
      <c r="A1464" t="s">
        <v>639</v>
      </c>
      <c r="B1464" t="str">
        <f>'4L'!$AZ$108</f>
        <v>B0263MLT_TWD</v>
      </c>
      <c r="D1464" t="str">
        <f>_xlfn.CONCAT('4L'!$B$78, "-", '4L'!$B$108, "-", '4L'!$J$7, "-", '4L'!$G$6, "-", '4L'!$F$5)</f>
        <v>Other enhancement-Meeting lead standards (total)-Treated water distribution-Water network+-Expenditure in report year</v>
      </c>
      <c r="E1464" t="str">
        <f>'4L'!$C$108</f>
        <v>Totex</v>
      </c>
      <c r="F1464" t="s">
        <v>682</v>
      </c>
      <c r="G1464" t="str">
        <f>'4L'!$D$108</f>
        <v>£m</v>
      </c>
      <c r="O1464" t="str">
        <f>_xlfn.CONCAT('4L'!$B$78, "-", '4L'!$B$108, "-", '4L'!$J$7, "-", '4L'!$G$6, "-", '4L'!$F$5)</f>
        <v>Other enhancement-Meeting lead standards (total)-Treated water distribution-Water network+-Expenditure in report year</v>
      </c>
    </row>
    <row r="1465" spans="1:15">
      <c r="A1465" t="s">
        <v>639</v>
      </c>
      <c r="B1465" t="str">
        <f>'4L'!$BA$108</f>
        <v>B0263MLT_TOT</v>
      </c>
      <c r="D1465" t="str">
        <f>_xlfn.CONCAT('4L'!$B$78, "-", '4L'!$B$108, "-", '4L'!$K$6, "-", '4L'!$K$6, "-", '4L'!$F$5)</f>
        <v>Other enhancement-Meeting lead standards (total)-Total-Total-Expenditure in report year</v>
      </c>
      <c r="E1465" t="str">
        <f>'4L'!$C$108</f>
        <v>Totex</v>
      </c>
      <c r="F1465" t="s">
        <v>682</v>
      </c>
      <c r="G1465" t="str">
        <f>'4L'!$D$108</f>
        <v>£m</v>
      </c>
      <c r="O1465" t="str">
        <f>_xlfn.CONCAT('4L'!$B$78, "-", '4L'!$B$108, "-", '4L'!$K$6, "-", '4L'!$K$6, "-", '4L'!$F$5)</f>
        <v>Other enhancement-Meeting lead standards (total)-Total-Total-Expenditure in report year</v>
      </c>
    </row>
    <row r="1466" spans="1:15">
      <c r="A1466" t="s">
        <v>639</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682</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639</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682</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639</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682</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639</v>
      </c>
      <c r="B1469" t="str">
        <f>'4L'!$AV$109</f>
        <v>B0273SSC_WR</v>
      </c>
      <c r="D1469" t="str">
        <f>_xlfn.CONCAT('4L'!$B$78, "-", '4L'!$B$109, "-", '4L'!$F$6, "-", '4L'!$F$6, "-", '4L'!$F$5)</f>
        <v>Other enhancement-Security - SEMD-Water resources-Water resources-Expenditure in report year</v>
      </c>
      <c r="E1469" t="str">
        <f>'4L'!$C$109</f>
        <v>Capex</v>
      </c>
      <c r="F1469" t="s">
        <v>682</v>
      </c>
      <c r="G1469" t="str">
        <f>'4L'!$D$109</f>
        <v>£m</v>
      </c>
      <c r="O1469" t="str">
        <f>_xlfn.CONCAT('4L'!$B$78, "-", '4L'!$B$109, "-", '4L'!$F$6, "-", '4L'!$F$6, "-", '4L'!$F$5)</f>
        <v>Other enhancement-Security - SEMD-Water resources-Water resources-Expenditure in report year</v>
      </c>
    </row>
    <row r="1470" spans="1:15">
      <c r="A1470" t="s">
        <v>639</v>
      </c>
      <c r="B1470" t="str">
        <f>'4L'!$AW$109</f>
        <v>B0273SSC_RWT</v>
      </c>
      <c r="D1470" t="str">
        <f>_xlfn.CONCAT('4L'!$B$78, "-", '4L'!$B$109, "-", '4L'!$G$7, "-", '4L'!$G$6, "-", '4L'!$F$5)</f>
        <v>Other enhancement-Security - SEMD-Raw water transport-Water network+-Expenditure in report year</v>
      </c>
      <c r="E1470" t="str">
        <f>'4L'!$C$109</f>
        <v>Capex</v>
      </c>
      <c r="F1470" t="s">
        <v>682</v>
      </c>
      <c r="G1470" t="str">
        <f>'4L'!$D$109</f>
        <v>£m</v>
      </c>
      <c r="O1470" t="str">
        <f>_xlfn.CONCAT('4L'!$B$78, "-", '4L'!$B$109, "-", '4L'!$G$7, "-", '4L'!$G$6, "-", '4L'!$F$5)</f>
        <v>Other enhancement-Security - SEMD-Raw water transport-Water network+-Expenditure in report year</v>
      </c>
    </row>
    <row r="1471" spans="1:15">
      <c r="A1471" t="s">
        <v>639</v>
      </c>
      <c r="B1471" t="str">
        <f>'4L'!$AX$109</f>
        <v>B0273SSC_RWS</v>
      </c>
      <c r="D1471" t="str">
        <f>_xlfn.CONCAT('4L'!$B$78, "-", '4L'!$B$109, "-", '4L'!$H$7, "-", '4L'!$G$6, "-", '4L'!$F$5)</f>
        <v>Other enhancement-Security - SEMD-Raw water storage-Water network+-Expenditure in report year</v>
      </c>
      <c r="E1471" t="str">
        <f>'4L'!$C$109</f>
        <v>Capex</v>
      </c>
      <c r="F1471" t="s">
        <v>682</v>
      </c>
      <c r="G1471" t="str">
        <f>'4L'!$D$109</f>
        <v>£m</v>
      </c>
      <c r="O1471" t="str">
        <f>_xlfn.CONCAT('4L'!$B$78, "-", '4L'!$B$109, "-", '4L'!$H$7, "-", '4L'!$G$6, "-", '4L'!$F$5)</f>
        <v>Other enhancement-Security - SEMD-Raw water storage-Water network+-Expenditure in report year</v>
      </c>
    </row>
    <row r="1472" spans="1:15">
      <c r="A1472" t="s">
        <v>639</v>
      </c>
      <c r="B1472" t="str">
        <f>'4L'!$AY$109</f>
        <v>B0273SSC_WT</v>
      </c>
      <c r="D1472" t="str">
        <f>_xlfn.CONCAT('4L'!$B$78, "-", '4L'!$B$109, "-", '4L'!$I$7, "-", '4L'!$G$6, "-", '4L'!$F$5)</f>
        <v>Other enhancement-Security - SEMD-Water treatment-Water network+-Expenditure in report year</v>
      </c>
      <c r="E1472" t="str">
        <f>'4L'!$C$109</f>
        <v>Capex</v>
      </c>
      <c r="F1472" t="s">
        <v>682</v>
      </c>
      <c r="G1472" t="str">
        <f>'4L'!$D$109</f>
        <v>£m</v>
      </c>
      <c r="O1472" t="str">
        <f>_xlfn.CONCAT('4L'!$B$78, "-", '4L'!$B$109, "-", '4L'!$I$7, "-", '4L'!$G$6, "-", '4L'!$F$5)</f>
        <v>Other enhancement-Security - SEMD-Water treatment-Water network+-Expenditure in report year</v>
      </c>
    </row>
    <row r="1473" spans="1:15">
      <c r="A1473" t="s">
        <v>639</v>
      </c>
      <c r="B1473" t="str">
        <f>'4L'!$AZ$109</f>
        <v>B0273SSC_TWD</v>
      </c>
      <c r="D1473" t="str">
        <f>_xlfn.CONCAT('4L'!$B$78, "-", '4L'!$B$109, "-", '4L'!$J$7, "-", '4L'!$G$6, "-", '4L'!$F$5)</f>
        <v>Other enhancement-Security - SEMD-Treated water distribution-Water network+-Expenditure in report year</v>
      </c>
      <c r="E1473" t="str">
        <f>'4L'!$C$109</f>
        <v>Capex</v>
      </c>
      <c r="F1473" t="s">
        <v>682</v>
      </c>
      <c r="G1473" t="str">
        <f>'4L'!$D$109</f>
        <v>£m</v>
      </c>
      <c r="O1473" t="str">
        <f>_xlfn.CONCAT('4L'!$B$78, "-", '4L'!$B$109, "-", '4L'!$J$7, "-", '4L'!$G$6, "-", '4L'!$F$5)</f>
        <v>Other enhancement-Security - SEMD-Treated water distribution-Water network+-Expenditure in report year</v>
      </c>
    </row>
    <row r="1474" spans="1:15">
      <c r="A1474" t="s">
        <v>639</v>
      </c>
      <c r="B1474" t="str">
        <f>'4L'!$BA$109</f>
        <v>B0273SSC_TOT</v>
      </c>
      <c r="D1474" t="str">
        <f>_xlfn.CONCAT('4L'!$B$78, "-", '4L'!$B$109, "-", '4L'!$K$6, "-", '4L'!$K$6, "-", '4L'!$F$5)</f>
        <v>Other enhancement-Security - SEMD-Total-Total-Expenditure in report year</v>
      </c>
      <c r="E1474" t="str">
        <f>'4L'!$C$109</f>
        <v>Capex</v>
      </c>
      <c r="F1474" t="s">
        <v>682</v>
      </c>
      <c r="G1474" t="str">
        <f>'4L'!$D$109</f>
        <v>£m</v>
      </c>
      <c r="O1474" t="str">
        <f>_xlfn.CONCAT('4L'!$B$78, "-", '4L'!$B$109, "-", '4L'!$K$6, "-", '4L'!$K$6, "-", '4L'!$F$5)</f>
        <v>Other enhancement-Security - SEMD-Total-Total-Expenditure in report year</v>
      </c>
    </row>
    <row r="1475" spans="1:15">
      <c r="A1475" t="s">
        <v>639</v>
      </c>
      <c r="B1475" t="str">
        <f>'4L'!$AV$110</f>
        <v>B0274SSO_WR</v>
      </c>
      <c r="D1475" t="str">
        <f>_xlfn.CONCAT('4L'!$B$78, "-", '4L'!$B$110, "-", '4L'!$F$6, "-", '4L'!$F$6, "-", '4L'!$F$5)</f>
        <v>Other enhancement-Security - SEMD-Water resources-Water resources-Expenditure in report year</v>
      </c>
      <c r="E1475" t="str">
        <f>'4L'!$C$110</f>
        <v>Opex</v>
      </c>
      <c r="F1475" t="s">
        <v>682</v>
      </c>
      <c r="G1475" t="str">
        <f>'4L'!$D$110</f>
        <v>£m</v>
      </c>
      <c r="O1475" t="str">
        <f>_xlfn.CONCAT('4L'!$B$78, "-", '4L'!$B$110, "-", '4L'!$F$6, "-", '4L'!$F$6, "-", '4L'!$F$5)</f>
        <v>Other enhancement-Security - SEMD-Water resources-Water resources-Expenditure in report year</v>
      </c>
    </row>
    <row r="1476" spans="1:15">
      <c r="A1476" t="s">
        <v>639</v>
      </c>
      <c r="B1476" t="str">
        <f>'4L'!$AW$110</f>
        <v>B0274SSO_RWT</v>
      </c>
      <c r="D1476" t="str">
        <f>_xlfn.CONCAT('4L'!$B$78, "-", '4L'!$B$110, "-", '4L'!$G$7, "-", '4L'!$G$6, "-", '4L'!$F$5)</f>
        <v>Other enhancement-Security - SEMD-Raw water transport-Water network+-Expenditure in report year</v>
      </c>
      <c r="E1476" t="str">
        <f>'4L'!$C$110</f>
        <v>Opex</v>
      </c>
      <c r="F1476" t="s">
        <v>682</v>
      </c>
      <c r="G1476" t="str">
        <f>'4L'!$D$110</f>
        <v>£m</v>
      </c>
      <c r="O1476" t="str">
        <f>_xlfn.CONCAT('4L'!$B$78, "-", '4L'!$B$110, "-", '4L'!$G$7, "-", '4L'!$G$6, "-", '4L'!$F$5)</f>
        <v>Other enhancement-Security - SEMD-Raw water transport-Water network+-Expenditure in report year</v>
      </c>
    </row>
    <row r="1477" spans="1:15">
      <c r="A1477" t="s">
        <v>639</v>
      </c>
      <c r="B1477" t="str">
        <f>'4L'!$AX$110</f>
        <v>B0274SSO_RWS</v>
      </c>
      <c r="D1477" t="str">
        <f>_xlfn.CONCAT('4L'!$B$78, "-", '4L'!$B$110, "-", '4L'!$H$7, "-", '4L'!$G$6, "-", '4L'!$F$5)</f>
        <v>Other enhancement-Security - SEMD-Raw water storage-Water network+-Expenditure in report year</v>
      </c>
      <c r="E1477" t="str">
        <f>'4L'!$C$110</f>
        <v>Opex</v>
      </c>
      <c r="F1477" t="s">
        <v>682</v>
      </c>
      <c r="G1477" t="str">
        <f>'4L'!$D$110</f>
        <v>£m</v>
      </c>
      <c r="O1477" t="str">
        <f>_xlfn.CONCAT('4L'!$B$78, "-", '4L'!$B$110, "-", '4L'!$H$7, "-", '4L'!$G$6, "-", '4L'!$F$5)</f>
        <v>Other enhancement-Security - SEMD-Raw water storage-Water network+-Expenditure in report year</v>
      </c>
    </row>
    <row r="1478" spans="1:15">
      <c r="A1478" t="s">
        <v>639</v>
      </c>
      <c r="B1478" t="str">
        <f>'4L'!$AY$110</f>
        <v>B0274SSO_WT</v>
      </c>
      <c r="D1478" t="str">
        <f>_xlfn.CONCAT('4L'!$B$78, "-", '4L'!$B$110, "-", '4L'!$I$7, "-", '4L'!$G$6, "-", '4L'!$F$5)</f>
        <v>Other enhancement-Security - SEMD-Water treatment-Water network+-Expenditure in report year</v>
      </c>
      <c r="E1478" t="str">
        <f>'4L'!$C$110</f>
        <v>Opex</v>
      </c>
      <c r="F1478" t="s">
        <v>682</v>
      </c>
      <c r="G1478" t="str">
        <f>'4L'!$D$110</f>
        <v>£m</v>
      </c>
      <c r="O1478" t="str">
        <f>_xlfn.CONCAT('4L'!$B$78, "-", '4L'!$B$110, "-", '4L'!$I$7, "-", '4L'!$G$6, "-", '4L'!$F$5)</f>
        <v>Other enhancement-Security - SEMD-Water treatment-Water network+-Expenditure in report year</v>
      </c>
    </row>
    <row r="1479" spans="1:15">
      <c r="A1479" t="s">
        <v>639</v>
      </c>
      <c r="B1479" t="str">
        <f>'4L'!$AZ$110</f>
        <v>B0274SSO_TWD</v>
      </c>
      <c r="D1479" t="str">
        <f>_xlfn.CONCAT('4L'!$B$78, "-", '4L'!$B$110, "-", '4L'!$J$7, "-", '4L'!$G$6, "-", '4L'!$F$5)</f>
        <v>Other enhancement-Security - SEMD-Treated water distribution-Water network+-Expenditure in report year</v>
      </c>
      <c r="E1479" t="str">
        <f>'4L'!$C$110</f>
        <v>Opex</v>
      </c>
      <c r="F1479" t="s">
        <v>682</v>
      </c>
      <c r="G1479" t="str">
        <f>'4L'!$D$110</f>
        <v>£m</v>
      </c>
      <c r="O1479" t="str">
        <f>_xlfn.CONCAT('4L'!$B$78, "-", '4L'!$B$110, "-", '4L'!$J$7, "-", '4L'!$G$6, "-", '4L'!$F$5)</f>
        <v>Other enhancement-Security - SEMD-Treated water distribution-Water network+-Expenditure in report year</v>
      </c>
    </row>
    <row r="1480" spans="1:15">
      <c r="A1480" t="s">
        <v>639</v>
      </c>
      <c r="B1480" t="str">
        <f>'4L'!$BA$110</f>
        <v>B0274SSO_TOT</v>
      </c>
      <c r="D1480" t="str">
        <f>_xlfn.CONCAT('4L'!$B$78, "-", '4L'!$B$110, "-", '4L'!$K$6, "-", '4L'!$K$6, "-", '4L'!$F$5)</f>
        <v>Other enhancement-Security - SEMD-Total-Total-Expenditure in report year</v>
      </c>
      <c r="E1480" t="str">
        <f>'4L'!$C$110</f>
        <v>Opex</v>
      </c>
      <c r="F1480" t="s">
        <v>682</v>
      </c>
      <c r="G1480" t="str">
        <f>'4L'!$D$110</f>
        <v>£m</v>
      </c>
      <c r="O1480" t="str">
        <f>_xlfn.CONCAT('4L'!$B$78, "-", '4L'!$B$110, "-", '4L'!$K$6, "-", '4L'!$K$6, "-", '4L'!$F$5)</f>
        <v>Other enhancement-Security - SEMD-Total-Total-Expenditure in report year</v>
      </c>
    </row>
    <row r="1481" spans="1:15">
      <c r="A1481" t="s">
        <v>639</v>
      </c>
      <c r="B1481" t="str">
        <f>'4L'!$AV$111</f>
        <v>B0275SST_WR</v>
      </c>
      <c r="D1481" t="str">
        <f>_xlfn.CONCAT('4L'!$B$78, "-", '4L'!$B$111, "-", '4L'!$F$6, "-", '4L'!$F$6, "-", '4L'!$F$5)</f>
        <v>Other enhancement-Security - SEMD-Water resources-Water resources-Expenditure in report year</v>
      </c>
      <c r="E1481" t="str">
        <f>'4L'!$C$111</f>
        <v>Totex</v>
      </c>
      <c r="F1481" t="s">
        <v>682</v>
      </c>
      <c r="G1481" t="str">
        <f>'4L'!$D$111</f>
        <v>£m</v>
      </c>
      <c r="O1481" t="str">
        <f>_xlfn.CONCAT('4L'!$B$78, "-", '4L'!$B$111, "-", '4L'!$F$6, "-", '4L'!$F$6, "-", '4L'!$F$5)</f>
        <v>Other enhancement-Security - SEMD-Water resources-Water resources-Expenditure in report year</v>
      </c>
    </row>
    <row r="1482" spans="1:15">
      <c r="A1482" t="s">
        <v>639</v>
      </c>
      <c r="B1482" t="str">
        <f>'4L'!$AW$111</f>
        <v>B0275SST_RWT</v>
      </c>
      <c r="D1482" t="str">
        <f>_xlfn.CONCAT('4L'!$B$78, "-", '4L'!$B$111, "-", '4L'!$G$7, "-", '4L'!$G$6, "-", '4L'!$F$5)</f>
        <v>Other enhancement-Security - SEMD-Raw water transport-Water network+-Expenditure in report year</v>
      </c>
      <c r="E1482" t="str">
        <f>'4L'!$C$111</f>
        <v>Totex</v>
      </c>
      <c r="F1482" t="s">
        <v>682</v>
      </c>
      <c r="G1482" t="str">
        <f>'4L'!$D$111</f>
        <v>£m</v>
      </c>
      <c r="O1482" t="str">
        <f>_xlfn.CONCAT('4L'!$B$78, "-", '4L'!$B$111, "-", '4L'!$G$7, "-", '4L'!$G$6, "-", '4L'!$F$5)</f>
        <v>Other enhancement-Security - SEMD-Raw water transport-Water network+-Expenditure in report year</v>
      </c>
    </row>
    <row r="1483" spans="1:15">
      <c r="A1483" t="s">
        <v>639</v>
      </c>
      <c r="B1483" t="str">
        <f>'4L'!$AX$111</f>
        <v>B0275SST_RWS</v>
      </c>
      <c r="D1483" t="str">
        <f>_xlfn.CONCAT('4L'!$B$78, "-", '4L'!$B$111, "-", '4L'!$H$7, "-", '4L'!$G$6, "-", '4L'!$F$5)</f>
        <v>Other enhancement-Security - SEMD-Raw water storage-Water network+-Expenditure in report year</v>
      </c>
      <c r="E1483" t="str">
        <f>'4L'!$C$111</f>
        <v>Totex</v>
      </c>
      <c r="F1483" t="s">
        <v>682</v>
      </c>
      <c r="G1483" t="str">
        <f>'4L'!$D$111</f>
        <v>£m</v>
      </c>
      <c r="O1483" t="str">
        <f>_xlfn.CONCAT('4L'!$B$78, "-", '4L'!$B$111, "-", '4L'!$H$7, "-", '4L'!$G$6, "-", '4L'!$F$5)</f>
        <v>Other enhancement-Security - SEMD-Raw water storage-Water network+-Expenditure in report year</v>
      </c>
    </row>
    <row r="1484" spans="1:15">
      <c r="A1484" t="s">
        <v>639</v>
      </c>
      <c r="B1484" t="str">
        <f>'4L'!$AY$111</f>
        <v>B0275SST_WT</v>
      </c>
      <c r="D1484" t="str">
        <f>_xlfn.CONCAT('4L'!$B$78, "-", '4L'!$B$111, "-", '4L'!$I$7, "-", '4L'!$G$6, "-", '4L'!$F$5)</f>
        <v>Other enhancement-Security - SEMD-Water treatment-Water network+-Expenditure in report year</v>
      </c>
      <c r="E1484" t="str">
        <f>'4L'!$C$111</f>
        <v>Totex</v>
      </c>
      <c r="F1484" t="s">
        <v>682</v>
      </c>
      <c r="G1484" t="str">
        <f>'4L'!$D$111</f>
        <v>£m</v>
      </c>
      <c r="O1484" t="str">
        <f>_xlfn.CONCAT('4L'!$B$78, "-", '4L'!$B$111, "-", '4L'!$I$7, "-", '4L'!$G$6, "-", '4L'!$F$5)</f>
        <v>Other enhancement-Security - SEMD-Water treatment-Water network+-Expenditure in report year</v>
      </c>
    </row>
    <row r="1485" spans="1:15">
      <c r="A1485" t="s">
        <v>639</v>
      </c>
      <c r="B1485" t="str">
        <f>'4L'!$AZ$111</f>
        <v>B0275SST_TWD</v>
      </c>
      <c r="D1485" t="str">
        <f>_xlfn.CONCAT('4L'!$B$78, "-", '4L'!$B$111, "-", '4L'!$J$7, "-", '4L'!$G$6, "-", '4L'!$F$5)</f>
        <v>Other enhancement-Security - SEMD-Treated water distribution-Water network+-Expenditure in report year</v>
      </c>
      <c r="E1485" t="str">
        <f>'4L'!$C$111</f>
        <v>Totex</v>
      </c>
      <c r="F1485" t="s">
        <v>682</v>
      </c>
      <c r="G1485" t="str">
        <f>'4L'!$D$111</f>
        <v>£m</v>
      </c>
      <c r="O1485" t="str">
        <f>_xlfn.CONCAT('4L'!$B$78, "-", '4L'!$B$111, "-", '4L'!$J$7, "-", '4L'!$G$6, "-", '4L'!$F$5)</f>
        <v>Other enhancement-Security - SEMD-Treated water distribution-Water network+-Expenditure in report year</v>
      </c>
    </row>
    <row r="1486" spans="1:15">
      <c r="A1486" t="s">
        <v>639</v>
      </c>
      <c r="B1486" t="str">
        <f>'4L'!$BA$111</f>
        <v>B0275SST_TOT</v>
      </c>
      <c r="D1486" t="str">
        <f>_xlfn.CONCAT('4L'!$B$78, "-", '4L'!$B$111, "-", '4L'!$K$6, "-", '4L'!$K$6, "-", '4L'!$F$5)</f>
        <v>Other enhancement-Security - SEMD-Total-Total-Expenditure in report year</v>
      </c>
      <c r="E1486" t="str">
        <f>'4L'!$C$111</f>
        <v>Totex</v>
      </c>
      <c r="F1486" t="s">
        <v>682</v>
      </c>
      <c r="G1486" t="str">
        <f>'4L'!$D$111</f>
        <v>£m</v>
      </c>
      <c r="O1486" t="str">
        <f>_xlfn.CONCAT('4L'!$B$78, "-", '4L'!$B$111, "-", '4L'!$K$6, "-", '4L'!$K$6, "-", '4L'!$F$5)</f>
        <v>Other enhancement-Security - SEMD-Total-Total-Expenditure in report year</v>
      </c>
    </row>
    <row r="1487" spans="1:15">
      <c r="A1487" t="s">
        <v>639</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682</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639</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682</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639</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682</v>
      </c>
      <c r="G1489" t="str">
        <f>'4L'!$D$111</f>
        <v>£m</v>
      </c>
      <c r="O1489" t="str">
        <f>_xlfn.CONCAT('4L'!$B$78, "-", '4L'!$B$111, "-", '4L'!$T$7, "-", '4L'!$T$5, "-", '4L'!$T$5)</f>
        <v>Other enhancement-Security - SEMD-Total-Cumulative allowed expenditure on all schemes 2020-25-Cumulative allowed expenditure on all schemes 2020-25</v>
      </c>
    </row>
    <row r="1490" spans="1:15">
      <c r="A1490" t="s">
        <v>639</v>
      </c>
      <c r="B1490" t="str">
        <f>'4L'!$AV$112</f>
        <v>B0276SNC_WR</v>
      </c>
      <c r="D1490" t="str">
        <f>_xlfn.CONCAT('4L'!$B$78, "-", '4L'!$B$112, "-", '4L'!$F$6, "-", '4L'!$F$6, "-", '4L'!$F$5)</f>
        <v>Other enhancement-Security - Non-SEMD-Water resources-Water resources-Expenditure in report year</v>
      </c>
      <c r="E1490" t="str">
        <f>'4L'!$C$112</f>
        <v>Capex</v>
      </c>
      <c r="F1490" t="s">
        <v>682</v>
      </c>
      <c r="G1490" t="str">
        <f>'4L'!$D$112</f>
        <v>£m</v>
      </c>
      <c r="O1490" t="str">
        <f>_xlfn.CONCAT('4L'!$B$78, "-", '4L'!$B$112, "-", '4L'!$F$6, "-", '4L'!$F$6, "-", '4L'!$F$5)</f>
        <v>Other enhancement-Security - Non-SEMD-Water resources-Water resources-Expenditure in report year</v>
      </c>
    </row>
    <row r="1491" spans="1:15">
      <c r="A1491" t="s">
        <v>639</v>
      </c>
      <c r="B1491" t="str">
        <f>'4L'!$AW$112</f>
        <v>B0276SNC_RWT</v>
      </c>
      <c r="D1491" t="str">
        <f>_xlfn.CONCAT('4L'!$B$78, "-", '4L'!$B$112, "-", '4L'!$G$7, "-", '4L'!$G$6, "-", '4L'!$F$5)</f>
        <v>Other enhancement-Security - Non-SEMD-Raw water transport-Water network+-Expenditure in report year</v>
      </c>
      <c r="E1491" t="str">
        <f>'4L'!$C$112</f>
        <v>Capex</v>
      </c>
      <c r="F1491" t="s">
        <v>682</v>
      </c>
      <c r="G1491" t="str">
        <f>'4L'!$D$112</f>
        <v>£m</v>
      </c>
      <c r="O1491" t="str">
        <f>_xlfn.CONCAT('4L'!$B$78, "-", '4L'!$B$112, "-", '4L'!$G$7, "-", '4L'!$G$6, "-", '4L'!$F$5)</f>
        <v>Other enhancement-Security - Non-SEMD-Raw water transport-Water network+-Expenditure in report year</v>
      </c>
    </row>
    <row r="1492" spans="1:15">
      <c r="A1492" t="s">
        <v>639</v>
      </c>
      <c r="B1492" t="str">
        <f>'4L'!$AX$112</f>
        <v>B0276SNC_RWS</v>
      </c>
      <c r="D1492" t="str">
        <f>_xlfn.CONCAT('4L'!$B$78, "-", '4L'!$B$112, "-", '4L'!$H$7, "-", '4L'!$G$6, "-", '4L'!$F$5)</f>
        <v>Other enhancement-Security - Non-SEMD-Raw water storage-Water network+-Expenditure in report year</v>
      </c>
      <c r="E1492" t="str">
        <f>'4L'!$C$112</f>
        <v>Capex</v>
      </c>
      <c r="F1492" t="s">
        <v>682</v>
      </c>
      <c r="G1492" t="str">
        <f>'4L'!$D$112</f>
        <v>£m</v>
      </c>
      <c r="O1492" t="str">
        <f>_xlfn.CONCAT('4L'!$B$78, "-", '4L'!$B$112, "-", '4L'!$H$7, "-", '4L'!$G$6, "-", '4L'!$F$5)</f>
        <v>Other enhancement-Security - Non-SEMD-Raw water storage-Water network+-Expenditure in report year</v>
      </c>
    </row>
    <row r="1493" spans="1:15">
      <c r="A1493" t="s">
        <v>639</v>
      </c>
      <c r="B1493" t="str">
        <f>'4L'!$AY$112</f>
        <v>B0276SNC_WT</v>
      </c>
      <c r="D1493" t="str">
        <f>_xlfn.CONCAT('4L'!$B$78, "-", '4L'!$B$112, "-", '4L'!$I$7, "-", '4L'!$G$6, "-", '4L'!$F$5)</f>
        <v>Other enhancement-Security - Non-SEMD-Water treatment-Water network+-Expenditure in report year</v>
      </c>
      <c r="E1493" t="str">
        <f>'4L'!$C$112</f>
        <v>Capex</v>
      </c>
      <c r="F1493" t="s">
        <v>682</v>
      </c>
      <c r="G1493" t="str">
        <f>'4L'!$D$112</f>
        <v>£m</v>
      </c>
      <c r="O1493" t="str">
        <f>_xlfn.CONCAT('4L'!$B$78, "-", '4L'!$B$112, "-", '4L'!$I$7, "-", '4L'!$G$6, "-", '4L'!$F$5)</f>
        <v>Other enhancement-Security - Non-SEMD-Water treatment-Water network+-Expenditure in report year</v>
      </c>
    </row>
    <row r="1494" spans="1:15">
      <c r="A1494" t="s">
        <v>639</v>
      </c>
      <c r="B1494" t="str">
        <f>'4L'!$AZ$112</f>
        <v>B0276SNC_TWD</v>
      </c>
      <c r="D1494" t="str">
        <f>_xlfn.CONCAT('4L'!$B$78, "-", '4L'!$B$112, "-", '4L'!$J$7, "-", '4L'!$G$6, "-", '4L'!$F$5)</f>
        <v>Other enhancement-Security - Non-SEMD-Treated water distribution-Water network+-Expenditure in report year</v>
      </c>
      <c r="E1494" t="str">
        <f>'4L'!$C$112</f>
        <v>Capex</v>
      </c>
      <c r="F1494" t="s">
        <v>682</v>
      </c>
      <c r="G1494" t="str">
        <f>'4L'!$D$112</f>
        <v>£m</v>
      </c>
      <c r="O1494" t="str">
        <f>_xlfn.CONCAT('4L'!$B$78, "-", '4L'!$B$112, "-", '4L'!$J$7, "-", '4L'!$G$6, "-", '4L'!$F$5)</f>
        <v>Other enhancement-Security - Non-SEMD-Treated water distribution-Water network+-Expenditure in report year</v>
      </c>
    </row>
    <row r="1495" spans="1:15">
      <c r="A1495" t="s">
        <v>639</v>
      </c>
      <c r="B1495" t="str">
        <f>'4L'!$BA$112</f>
        <v>B0276SNC_TOT</v>
      </c>
      <c r="D1495" t="str">
        <f>_xlfn.CONCAT('4L'!$B$78, "-", '4L'!$B$112, "-", '4L'!$K$6, "-", '4L'!$K$6, "-", '4L'!$F$5)</f>
        <v>Other enhancement-Security - Non-SEMD-Total-Total-Expenditure in report year</v>
      </c>
      <c r="E1495" t="str">
        <f>'4L'!$C$112</f>
        <v>Capex</v>
      </c>
      <c r="F1495" t="s">
        <v>682</v>
      </c>
      <c r="G1495" t="str">
        <f>'4L'!$D$112</f>
        <v>£m</v>
      </c>
      <c r="O1495" t="str">
        <f>_xlfn.CONCAT('4L'!$B$78, "-", '4L'!$B$112, "-", '4L'!$K$6, "-", '4L'!$K$6, "-", '4L'!$F$5)</f>
        <v>Other enhancement-Security - Non-SEMD-Total-Total-Expenditure in report year</v>
      </c>
    </row>
    <row r="1496" spans="1:15">
      <c r="A1496" t="s">
        <v>639</v>
      </c>
      <c r="B1496" t="str">
        <f>'4L'!$AV$113</f>
        <v>B0277SNO_WR</v>
      </c>
      <c r="D1496" t="str">
        <f>_xlfn.CONCAT('4L'!$B$78, "-", '4L'!$B$113, "-", '4L'!$F$6, "-", '4L'!$F$6, "-", '4L'!$F$5)</f>
        <v>Other enhancement-Security - Non-SEMD-Water resources-Water resources-Expenditure in report year</v>
      </c>
      <c r="E1496" t="str">
        <f>'4L'!$C$113</f>
        <v>Opex</v>
      </c>
      <c r="F1496" t="s">
        <v>682</v>
      </c>
      <c r="G1496" t="str">
        <f>'4L'!$D$113</f>
        <v>£m</v>
      </c>
      <c r="O1496" t="str">
        <f>_xlfn.CONCAT('4L'!$B$78, "-", '4L'!$B$113, "-", '4L'!$F$6, "-", '4L'!$F$6, "-", '4L'!$F$5)</f>
        <v>Other enhancement-Security - Non-SEMD-Water resources-Water resources-Expenditure in report year</v>
      </c>
    </row>
    <row r="1497" spans="1:15">
      <c r="A1497" t="s">
        <v>639</v>
      </c>
      <c r="B1497" t="str">
        <f>'4L'!$AW$113</f>
        <v>B0277SNO_RWT</v>
      </c>
      <c r="D1497" t="str">
        <f>_xlfn.CONCAT('4L'!$B$78, "-", '4L'!$B$113, "-", '4L'!$G$7, "-", '4L'!$G$6, "-", '4L'!$F$5)</f>
        <v>Other enhancement-Security - Non-SEMD-Raw water transport-Water network+-Expenditure in report year</v>
      </c>
      <c r="E1497" t="str">
        <f>'4L'!$C$113</f>
        <v>Opex</v>
      </c>
      <c r="F1497" t="s">
        <v>682</v>
      </c>
      <c r="G1497" t="str">
        <f>'4L'!$D$113</f>
        <v>£m</v>
      </c>
      <c r="O1497" t="str">
        <f>_xlfn.CONCAT('4L'!$B$78, "-", '4L'!$B$113, "-", '4L'!$G$7, "-", '4L'!$G$6, "-", '4L'!$F$5)</f>
        <v>Other enhancement-Security - Non-SEMD-Raw water transport-Water network+-Expenditure in report year</v>
      </c>
    </row>
    <row r="1498" spans="1:15">
      <c r="A1498" t="s">
        <v>639</v>
      </c>
      <c r="B1498" t="str">
        <f>'4L'!$AX$113</f>
        <v>B0277SNO_RWS</v>
      </c>
      <c r="D1498" t="str">
        <f>_xlfn.CONCAT('4L'!$B$78, "-", '4L'!$B$113, "-", '4L'!$H$7, "-", '4L'!$G$6, "-", '4L'!$F$5)</f>
        <v>Other enhancement-Security - Non-SEMD-Raw water storage-Water network+-Expenditure in report year</v>
      </c>
      <c r="E1498" t="str">
        <f>'4L'!$C$113</f>
        <v>Opex</v>
      </c>
      <c r="F1498" t="s">
        <v>682</v>
      </c>
      <c r="G1498" t="str">
        <f>'4L'!$D$113</f>
        <v>£m</v>
      </c>
      <c r="O1498" t="str">
        <f>_xlfn.CONCAT('4L'!$B$78, "-", '4L'!$B$113, "-", '4L'!$H$7, "-", '4L'!$G$6, "-", '4L'!$F$5)</f>
        <v>Other enhancement-Security - Non-SEMD-Raw water storage-Water network+-Expenditure in report year</v>
      </c>
    </row>
    <row r="1499" spans="1:15">
      <c r="A1499" t="s">
        <v>639</v>
      </c>
      <c r="B1499" t="str">
        <f>'4L'!$AY$113</f>
        <v>B0277SNO_WT</v>
      </c>
      <c r="D1499" t="str">
        <f>_xlfn.CONCAT('4L'!$B$78, "-", '4L'!$B$113, "-", '4L'!$I$7, "-", '4L'!$G$6, "-", '4L'!$F$5)</f>
        <v>Other enhancement-Security - Non-SEMD-Water treatment-Water network+-Expenditure in report year</v>
      </c>
      <c r="E1499" t="str">
        <f>'4L'!$C$113</f>
        <v>Opex</v>
      </c>
      <c r="F1499" t="s">
        <v>682</v>
      </c>
      <c r="G1499" t="str">
        <f>'4L'!$D$113</f>
        <v>£m</v>
      </c>
      <c r="O1499" t="str">
        <f>_xlfn.CONCAT('4L'!$B$78, "-", '4L'!$B$113, "-", '4L'!$I$7, "-", '4L'!$G$6, "-", '4L'!$F$5)</f>
        <v>Other enhancement-Security - Non-SEMD-Water treatment-Water network+-Expenditure in report year</v>
      </c>
    </row>
    <row r="1500" spans="1:15">
      <c r="A1500" t="s">
        <v>639</v>
      </c>
      <c r="B1500" t="str">
        <f>'4L'!$AZ$113</f>
        <v>B0277SNO_TWD</v>
      </c>
      <c r="D1500" t="str">
        <f>_xlfn.CONCAT('4L'!$B$78, "-", '4L'!$B$113, "-", '4L'!$J$7, "-", '4L'!$G$6, "-", '4L'!$F$5)</f>
        <v>Other enhancement-Security - Non-SEMD-Treated water distribution-Water network+-Expenditure in report year</v>
      </c>
      <c r="E1500" t="str">
        <f>'4L'!$C$113</f>
        <v>Opex</v>
      </c>
      <c r="F1500" t="s">
        <v>682</v>
      </c>
      <c r="G1500" t="str">
        <f>'4L'!$D$113</f>
        <v>£m</v>
      </c>
      <c r="O1500" t="str">
        <f>_xlfn.CONCAT('4L'!$B$78, "-", '4L'!$B$113, "-", '4L'!$J$7, "-", '4L'!$G$6, "-", '4L'!$F$5)</f>
        <v>Other enhancement-Security - Non-SEMD-Treated water distribution-Water network+-Expenditure in report year</v>
      </c>
    </row>
    <row r="1501" spans="1:15">
      <c r="A1501" t="s">
        <v>639</v>
      </c>
      <c r="B1501" t="str">
        <f>'4L'!$BA$113</f>
        <v>B0277SNO_TOT</v>
      </c>
      <c r="D1501" t="str">
        <f>_xlfn.CONCAT('4L'!$B$78, "-", '4L'!$B$113, "-", '4L'!$K$6, "-", '4L'!$K$6, "-", '4L'!$F$5)</f>
        <v>Other enhancement-Security - Non-SEMD-Total-Total-Expenditure in report year</v>
      </c>
      <c r="E1501" t="str">
        <f>'4L'!$C$113</f>
        <v>Opex</v>
      </c>
      <c r="F1501" t="s">
        <v>682</v>
      </c>
      <c r="G1501" t="str">
        <f>'4L'!$D$113</f>
        <v>£m</v>
      </c>
      <c r="O1501" t="str">
        <f>_xlfn.CONCAT('4L'!$B$78, "-", '4L'!$B$113, "-", '4L'!$K$6, "-", '4L'!$K$6, "-", '4L'!$F$5)</f>
        <v>Other enhancement-Security - Non-SEMD-Total-Total-Expenditure in report year</v>
      </c>
    </row>
    <row r="1502" spans="1:15">
      <c r="A1502" t="s">
        <v>639</v>
      </c>
      <c r="B1502" t="str">
        <f>'4L'!$AV$114</f>
        <v>B0278SNT_WR</v>
      </c>
      <c r="D1502" t="str">
        <f>_xlfn.CONCAT('4L'!$B$78, "-", '4L'!$B$114, "-", '4L'!$F$6, "-", '4L'!$F$6, "-", '4L'!$F$5)</f>
        <v>Other enhancement-Security - Non-SEMD-Water resources-Water resources-Expenditure in report year</v>
      </c>
      <c r="E1502" t="str">
        <f>'4L'!$C$114</f>
        <v>Totex</v>
      </c>
      <c r="F1502" t="s">
        <v>682</v>
      </c>
      <c r="G1502" t="str">
        <f>'4L'!$D$114</f>
        <v>£m</v>
      </c>
      <c r="O1502" t="str">
        <f>_xlfn.CONCAT('4L'!$B$78, "-", '4L'!$B$114, "-", '4L'!$F$6, "-", '4L'!$F$6, "-", '4L'!$F$5)</f>
        <v>Other enhancement-Security - Non-SEMD-Water resources-Water resources-Expenditure in report year</v>
      </c>
    </row>
    <row r="1503" spans="1:15">
      <c r="A1503" t="s">
        <v>639</v>
      </c>
      <c r="B1503" t="str">
        <f>'4L'!$AW$114</f>
        <v>B0278SNT_RWT</v>
      </c>
      <c r="D1503" t="str">
        <f>_xlfn.CONCAT('4L'!$B$78, "-", '4L'!$B$114, "-", '4L'!$G$7, "-", '4L'!$G$6, "-", '4L'!$F$5)</f>
        <v>Other enhancement-Security - Non-SEMD-Raw water transport-Water network+-Expenditure in report year</v>
      </c>
      <c r="E1503" t="str">
        <f>'4L'!$C$114</f>
        <v>Totex</v>
      </c>
      <c r="F1503" t="s">
        <v>682</v>
      </c>
      <c r="G1503" t="str">
        <f>'4L'!$D$114</f>
        <v>£m</v>
      </c>
      <c r="O1503" t="str">
        <f>_xlfn.CONCAT('4L'!$B$78, "-", '4L'!$B$114, "-", '4L'!$G$7, "-", '4L'!$G$6, "-", '4L'!$F$5)</f>
        <v>Other enhancement-Security - Non-SEMD-Raw water transport-Water network+-Expenditure in report year</v>
      </c>
    </row>
    <row r="1504" spans="1:15">
      <c r="A1504" t="s">
        <v>639</v>
      </c>
      <c r="B1504" t="str">
        <f>'4L'!$AX$114</f>
        <v>B0278SNT_RWS</v>
      </c>
      <c r="D1504" t="str">
        <f>_xlfn.CONCAT('4L'!$B$78, "-", '4L'!$B$114, "-", '4L'!$H$7, "-", '4L'!$G$6, "-", '4L'!$F$5)</f>
        <v>Other enhancement-Security - Non-SEMD-Raw water storage-Water network+-Expenditure in report year</v>
      </c>
      <c r="E1504" t="str">
        <f>'4L'!$C$114</f>
        <v>Totex</v>
      </c>
      <c r="F1504" t="s">
        <v>682</v>
      </c>
      <c r="G1504" t="str">
        <f>'4L'!$D$114</f>
        <v>£m</v>
      </c>
      <c r="O1504" t="str">
        <f>_xlfn.CONCAT('4L'!$B$78, "-", '4L'!$B$114, "-", '4L'!$H$7, "-", '4L'!$G$6, "-", '4L'!$F$5)</f>
        <v>Other enhancement-Security - Non-SEMD-Raw water storage-Water network+-Expenditure in report year</v>
      </c>
    </row>
    <row r="1505" spans="1:15">
      <c r="A1505" t="s">
        <v>639</v>
      </c>
      <c r="B1505" t="str">
        <f>'4L'!$AY$114</f>
        <v>B0278SNT_WT</v>
      </c>
      <c r="D1505" t="str">
        <f>_xlfn.CONCAT('4L'!$B$78, "-", '4L'!$B$114, "-", '4L'!$I$7, "-", '4L'!$G$6, "-", '4L'!$F$5)</f>
        <v>Other enhancement-Security - Non-SEMD-Water treatment-Water network+-Expenditure in report year</v>
      </c>
      <c r="E1505" t="str">
        <f>'4L'!$C$114</f>
        <v>Totex</v>
      </c>
      <c r="F1505" t="s">
        <v>682</v>
      </c>
      <c r="G1505" t="str">
        <f>'4L'!$D$114</f>
        <v>£m</v>
      </c>
      <c r="O1505" t="str">
        <f>_xlfn.CONCAT('4L'!$B$78, "-", '4L'!$B$114, "-", '4L'!$I$7, "-", '4L'!$G$6, "-", '4L'!$F$5)</f>
        <v>Other enhancement-Security - Non-SEMD-Water treatment-Water network+-Expenditure in report year</v>
      </c>
    </row>
    <row r="1506" spans="1:15">
      <c r="A1506" t="s">
        <v>639</v>
      </c>
      <c r="B1506" t="str">
        <f>'4L'!$AZ$114</f>
        <v>B0278SNT_TWD</v>
      </c>
      <c r="D1506" t="str">
        <f>_xlfn.CONCAT('4L'!$B$78, "-", '4L'!$B$114, "-", '4L'!$J$7, "-", '4L'!$G$6, "-", '4L'!$F$5)</f>
        <v>Other enhancement-Security - Non-SEMD-Treated water distribution-Water network+-Expenditure in report year</v>
      </c>
      <c r="E1506" t="str">
        <f>'4L'!$C$114</f>
        <v>Totex</v>
      </c>
      <c r="F1506" t="s">
        <v>682</v>
      </c>
      <c r="G1506" t="str">
        <f>'4L'!$D$114</f>
        <v>£m</v>
      </c>
      <c r="O1506" t="str">
        <f>_xlfn.CONCAT('4L'!$B$78, "-", '4L'!$B$114, "-", '4L'!$J$7, "-", '4L'!$G$6, "-", '4L'!$F$5)</f>
        <v>Other enhancement-Security - Non-SEMD-Treated water distribution-Water network+-Expenditure in report year</v>
      </c>
    </row>
    <row r="1507" spans="1:15">
      <c r="A1507" t="s">
        <v>639</v>
      </c>
      <c r="B1507" t="str">
        <f>'4L'!$BA$114</f>
        <v>B0278SNT_TOT</v>
      </c>
      <c r="D1507" t="str">
        <f>_xlfn.CONCAT('4L'!$B$78, "-", '4L'!$B$114, "-", '4L'!$K$6, "-", '4L'!$K$6, "-", '4L'!$F$5)</f>
        <v>Other enhancement-Security - Non-SEMD-Total-Total-Expenditure in report year</v>
      </c>
      <c r="E1507" t="str">
        <f>'4L'!$C$114</f>
        <v>Totex</v>
      </c>
      <c r="F1507" t="s">
        <v>682</v>
      </c>
      <c r="G1507" t="str">
        <f>'4L'!$D$114</f>
        <v>£m</v>
      </c>
      <c r="O1507" t="str">
        <f>_xlfn.CONCAT('4L'!$B$78, "-", '4L'!$B$114, "-", '4L'!$K$6, "-", '4L'!$K$6, "-", '4L'!$F$5)</f>
        <v>Other enhancement-Security - Non-SEMD-Total-Total-Expenditure in report year</v>
      </c>
    </row>
    <row r="1508" spans="1:15">
      <c r="A1508" t="s">
        <v>639</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682</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639</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682</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639</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682</v>
      </c>
      <c r="G1510" t="str">
        <f>'4L'!$D$114</f>
        <v>£m</v>
      </c>
      <c r="O1510" t="str">
        <f>_xlfn.CONCAT('4L'!$B$78, "-", '4L'!$B$114, "-", '4L'!$T$7, "-", '4L'!$T$5, "-", '4L'!$T$5)</f>
        <v>Other enhancement-Security - Non-SEMD-Total-Cumulative allowed expenditure on all schemes 2020-25-Cumulative allowed expenditure on all schemes 2020-25</v>
      </c>
    </row>
    <row r="1511" spans="1:15">
      <c r="A1511" t="s">
        <v>639</v>
      </c>
      <c r="B1511" t="str">
        <f>'4L'!$AV$115</f>
        <v>B0279ALC_WR</v>
      </c>
      <c r="D1511" t="str">
        <f>_xlfn.CONCAT('4L'!$B$78, "-", '4L'!$B$115, "-", '4L'!$F$6, "-", '4L'!$F$6, "-", '4L'!$F$5)</f>
        <v>Other enhancement-Additional line 1-Water resources-Water resources-Expenditure in report year</v>
      </c>
      <c r="E1511" t="str">
        <f>'4L'!$C$115</f>
        <v>Capex</v>
      </c>
      <c r="F1511" t="s">
        <v>682</v>
      </c>
      <c r="G1511" t="str">
        <f>'4L'!$D$115</f>
        <v>£m</v>
      </c>
      <c r="O1511" t="str">
        <f>_xlfn.CONCAT('4L'!$B$78, "-", '4L'!$B$115, "-", '4L'!$F$6, "-", '4L'!$F$6, "-", '4L'!$F$5)</f>
        <v>Other enhancement-Additional line 1-Water resources-Water resources-Expenditure in report year</v>
      </c>
    </row>
    <row r="1512" spans="1:15">
      <c r="A1512" t="s">
        <v>639</v>
      </c>
      <c r="B1512" t="str">
        <f>'4L'!$AW$115</f>
        <v>B0279ALC_RWT</v>
      </c>
      <c r="D1512" t="str">
        <f>_xlfn.CONCAT('4L'!$B$78, "-", '4L'!$B$115, "-", '4L'!$G$7, "-", '4L'!$G$6, "-", '4L'!$F$5)</f>
        <v>Other enhancement-Additional line 1-Raw water transport-Water network+-Expenditure in report year</v>
      </c>
      <c r="E1512" t="str">
        <f>'4L'!$C$115</f>
        <v>Capex</v>
      </c>
      <c r="F1512" t="s">
        <v>682</v>
      </c>
      <c r="G1512" t="str">
        <f>'4L'!$D$115</f>
        <v>£m</v>
      </c>
      <c r="O1512" t="str">
        <f>_xlfn.CONCAT('4L'!$B$78, "-", '4L'!$B$115, "-", '4L'!$G$7, "-", '4L'!$G$6, "-", '4L'!$F$5)</f>
        <v>Other enhancement-Additional line 1-Raw water transport-Water network+-Expenditure in report year</v>
      </c>
    </row>
    <row r="1513" spans="1:15">
      <c r="A1513" t="s">
        <v>639</v>
      </c>
      <c r="B1513" t="str">
        <f>'4L'!$AX$115</f>
        <v>B0279ALC_RWS</v>
      </c>
      <c r="D1513" t="str">
        <f>_xlfn.CONCAT('4L'!$B$78, "-", '4L'!$B$115, "-", '4L'!$H$7, "-", '4L'!$G$6, "-", '4L'!$F$5)</f>
        <v>Other enhancement-Additional line 1-Raw water storage-Water network+-Expenditure in report year</v>
      </c>
      <c r="E1513" t="str">
        <f>'4L'!$C$115</f>
        <v>Capex</v>
      </c>
      <c r="F1513" t="s">
        <v>682</v>
      </c>
      <c r="G1513" t="str">
        <f>'4L'!$D$115</f>
        <v>£m</v>
      </c>
      <c r="O1513" t="str">
        <f>_xlfn.CONCAT('4L'!$B$78, "-", '4L'!$B$115, "-", '4L'!$H$7, "-", '4L'!$G$6, "-", '4L'!$F$5)</f>
        <v>Other enhancement-Additional line 1-Raw water storage-Water network+-Expenditure in report year</v>
      </c>
    </row>
    <row r="1514" spans="1:15">
      <c r="A1514" t="s">
        <v>639</v>
      </c>
      <c r="B1514" t="str">
        <f>'4L'!$AY$115</f>
        <v>B0279ALC_WT</v>
      </c>
      <c r="D1514" t="str">
        <f>_xlfn.CONCAT('4L'!$B$78, "-", '4L'!$B$115, "-", '4L'!$I$7, "-", '4L'!$G$6, "-", '4L'!$F$5)</f>
        <v>Other enhancement-Additional line 1-Water treatment-Water network+-Expenditure in report year</v>
      </c>
      <c r="E1514" t="str">
        <f>'4L'!$C$115</f>
        <v>Capex</v>
      </c>
      <c r="F1514" t="s">
        <v>682</v>
      </c>
      <c r="G1514" t="str">
        <f>'4L'!$D$115</f>
        <v>£m</v>
      </c>
      <c r="O1514" t="str">
        <f>_xlfn.CONCAT('4L'!$B$78, "-", '4L'!$B$115, "-", '4L'!$I$7, "-", '4L'!$G$6, "-", '4L'!$F$5)</f>
        <v>Other enhancement-Additional line 1-Water treatment-Water network+-Expenditure in report year</v>
      </c>
    </row>
    <row r="1515" spans="1:15">
      <c r="A1515" t="s">
        <v>639</v>
      </c>
      <c r="B1515" t="str">
        <f>'4L'!$AZ$115</f>
        <v>B0279ALC_TWD</v>
      </c>
      <c r="D1515" t="str">
        <f>_xlfn.CONCAT('4L'!$B$78, "-", '4L'!$B$115, "-", '4L'!$J$7, "-", '4L'!$G$6, "-", '4L'!$F$5)</f>
        <v>Other enhancement-Additional line 1-Treated water distribution-Water network+-Expenditure in report year</v>
      </c>
      <c r="E1515" t="str">
        <f>'4L'!$C$115</f>
        <v>Capex</v>
      </c>
      <c r="F1515" t="s">
        <v>682</v>
      </c>
      <c r="G1515" t="str">
        <f>'4L'!$D$115</f>
        <v>£m</v>
      </c>
      <c r="O1515" t="str">
        <f>_xlfn.CONCAT('4L'!$B$78, "-", '4L'!$B$115, "-", '4L'!$J$7, "-", '4L'!$G$6, "-", '4L'!$F$5)</f>
        <v>Other enhancement-Additional line 1-Treated water distribution-Water network+-Expenditure in report year</v>
      </c>
    </row>
    <row r="1516" spans="1:15">
      <c r="A1516" t="s">
        <v>639</v>
      </c>
      <c r="B1516" t="str">
        <f>'4L'!$BA$115</f>
        <v>B0279ALC_TOT</v>
      </c>
      <c r="D1516" t="str">
        <f>_xlfn.CONCAT('4L'!$B$78, "-", '4L'!$B$115, "-", '4L'!$K$6, "-", '4L'!$K$6, "-", '4L'!$F$5)</f>
        <v>Other enhancement-Additional line 1-Total-Total-Expenditure in report year</v>
      </c>
      <c r="E1516" t="str">
        <f>'4L'!$C$115</f>
        <v>Capex</v>
      </c>
      <c r="F1516" t="s">
        <v>682</v>
      </c>
      <c r="G1516" t="str">
        <f>'4L'!$D$115</f>
        <v>£m</v>
      </c>
      <c r="O1516" t="str">
        <f>_xlfn.CONCAT('4L'!$B$78, "-", '4L'!$B$115, "-", '4L'!$K$6, "-", '4L'!$K$6, "-", '4L'!$F$5)</f>
        <v>Other enhancement-Additional line 1-Total-Total-Expenditure in report year</v>
      </c>
    </row>
    <row r="1517" spans="1:15">
      <c r="A1517" t="s">
        <v>639</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682</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639</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682</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639</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682</v>
      </c>
      <c r="G1519" t="str">
        <f>'4L'!$D$115</f>
        <v>£m</v>
      </c>
      <c r="O1519" t="str">
        <f>_xlfn.CONCAT('4L'!$B$78, "-", '4L'!$B$115, "-", '4L'!$T$7, "-", '4L'!$T$5, "-", '4L'!$T$5)</f>
        <v>Other enhancement-Additional line 1-Total-Cumulative allowed expenditure on all schemes 2020-25-Cumulative allowed expenditure on all schemes 2020-25</v>
      </c>
    </row>
    <row r="1520" spans="1:15">
      <c r="A1520" t="s">
        <v>639</v>
      </c>
      <c r="B1520" t="str">
        <f>'4L'!$AV$116</f>
        <v>B0280ALO_WR</v>
      </c>
      <c r="D1520" t="str">
        <f>_xlfn.CONCAT('4L'!$B$78, "-", '4L'!$B$116, "-", '4L'!$F$6, "-", '4L'!$F$6, "-", '4L'!$F$5)</f>
        <v>Other enhancement-Additional line 1-Water resources-Water resources-Expenditure in report year</v>
      </c>
      <c r="E1520" t="str">
        <f>'4L'!$C$116</f>
        <v>Opex</v>
      </c>
      <c r="F1520" t="s">
        <v>682</v>
      </c>
      <c r="G1520" t="str">
        <f>'4L'!$D$116</f>
        <v>£m</v>
      </c>
      <c r="O1520" t="str">
        <f>_xlfn.CONCAT('4L'!$B$78, "-", '4L'!$B$116, "-", '4L'!$F$6, "-", '4L'!$F$6, "-", '4L'!$F$5)</f>
        <v>Other enhancement-Additional line 1-Water resources-Water resources-Expenditure in report year</v>
      </c>
    </row>
    <row r="1521" spans="1:15">
      <c r="A1521" t="s">
        <v>639</v>
      </c>
      <c r="B1521" t="str">
        <f>'4L'!$AW$116</f>
        <v>B0280ALO_RWT</v>
      </c>
      <c r="D1521" t="str">
        <f>_xlfn.CONCAT('4L'!$B$78, "-", '4L'!$B$116, "-", '4L'!$G$7, "-", '4L'!$G$6, "-", '4L'!$F$5)</f>
        <v>Other enhancement-Additional line 1-Raw water transport-Water network+-Expenditure in report year</v>
      </c>
      <c r="E1521" t="str">
        <f>'4L'!$C$116</f>
        <v>Opex</v>
      </c>
      <c r="F1521" t="s">
        <v>682</v>
      </c>
      <c r="G1521" t="str">
        <f>'4L'!$D$116</f>
        <v>£m</v>
      </c>
      <c r="O1521" t="str">
        <f>_xlfn.CONCAT('4L'!$B$78, "-", '4L'!$B$116, "-", '4L'!$G$7, "-", '4L'!$G$6, "-", '4L'!$F$5)</f>
        <v>Other enhancement-Additional line 1-Raw water transport-Water network+-Expenditure in report year</v>
      </c>
    </row>
    <row r="1522" spans="1:15">
      <c r="A1522" t="s">
        <v>639</v>
      </c>
      <c r="B1522" t="str">
        <f>'4L'!$AX$116</f>
        <v>B0280ALO_RWS</v>
      </c>
      <c r="D1522" t="str">
        <f>_xlfn.CONCAT('4L'!$B$78, "-", '4L'!$B$116, "-", '4L'!$H$7, "-", '4L'!$G$6, "-", '4L'!$F$5)</f>
        <v>Other enhancement-Additional line 1-Raw water storage-Water network+-Expenditure in report year</v>
      </c>
      <c r="E1522" t="str">
        <f>'4L'!$C$116</f>
        <v>Opex</v>
      </c>
      <c r="F1522" t="s">
        <v>682</v>
      </c>
      <c r="G1522" t="str">
        <f>'4L'!$D$116</f>
        <v>£m</v>
      </c>
      <c r="O1522" t="str">
        <f>_xlfn.CONCAT('4L'!$B$78, "-", '4L'!$B$116, "-", '4L'!$H$7, "-", '4L'!$G$6, "-", '4L'!$F$5)</f>
        <v>Other enhancement-Additional line 1-Raw water storage-Water network+-Expenditure in report year</v>
      </c>
    </row>
    <row r="1523" spans="1:15">
      <c r="A1523" t="s">
        <v>639</v>
      </c>
      <c r="B1523" t="str">
        <f>'4L'!$AY$116</f>
        <v>B0280ALO_WT</v>
      </c>
      <c r="D1523" t="str">
        <f>_xlfn.CONCAT('4L'!$B$78, "-", '4L'!$B$116, "-", '4L'!$I$7, "-", '4L'!$G$6, "-", '4L'!$F$5)</f>
        <v>Other enhancement-Additional line 1-Water treatment-Water network+-Expenditure in report year</v>
      </c>
      <c r="E1523" t="str">
        <f>'4L'!$C$116</f>
        <v>Opex</v>
      </c>
      <c r="F1523" t="s">
        <v>682</v>
      </c>
      <c r="G1523" t="str">
        <f>'4L'!$D$116</f>
        <v>£m</v>
      </c>
      <c r="O1523" t="str">
        <f>_xlfn.CONCAT('4L'!$B$78, "-", '4L'!$B$116, "-", '4L'!$I$7, "-", '4L'!$G$6, "-", '4L'!$F$5)</f>
        <v>Other enhancement-Additional line 1-Water treatment-Water network+-Expenditure in report year</v>
      </c>
    </row>
    <row r="1524" spans="1:15">
      <c r="A1524" t="s">
        <v>639</v>
      </c>
      <c r="B1524" t="str">
        <f>'4L'!$AZ$116</f>
        <v>B0280ALO_TWD</v>
      </c>
      <c r="D1524" t="str">
        <f>_xlfn.CONCAT('4L'!$B$78, "-", '4L'!$B$116, "-", '4L'!$J$7, "-", '4L'!$G$6, "-", '4L'!$F$5)</f>
        <v>Other enhancement-Additional line 1-Treated water distribution-Water network+-Expenditure in report year</v>
      </c>
      <c r="E1524" t="str">
        <f>'4L'!$C$116</f>
        <v>Opex</v>
      </c>
      <c r="F1524" t="s">
        <v>682</v>
      </c>
      <c r="G1524" t="str">
        <f>'4L'!$D$116</f>
        <v>£m</v>
      </c>
      <c r="O1524" t="str">
        <f>_xlfn.CONCAT('4L'!$B$78, "-", '4L'!$B$116, "-", '4L'!$J$7, "-", '4L'!$G$6, "-", '4L'!$F$5)</f>
        <v>Other enhancement-Additional line 1-Treated water distribution-Water network+-Expenditure in report year</v>
      </c>
    </row>
    <row r="1525" spans="1:15">
      <c r="A1525" t="s">
        <v>639</v>
      </c>
      <c r="B1525" t="str">
        <f>'4L'!$BA$116</f>
        <v>B0280ALO_TOT</v>
      </c>
      <c r="D1525" t="str">
        <f>_xlfn.CONCAT('4L'!$B$78, "-", '4L'!$B$116, "-", '4L'!$K$6, "-", '4L'!$K$6, "-", '4L'!$F$5)</f>
        <v>Other enhancement-Additional line 1-Total-Total-Expenditure in report year</v>
      </c>
      <c r="E1525" t="str">
        <f>'4L'!$C$116</f>
        <v>Opex</v>
      </c>
      <c r="F1525" t="s">
        <v>682</v>
      </c>
      <c r="G1525" t="str">
        <f>'4L'!$D$116</f>
        <v>£m</v>
      </c>
      <c r="O1525" t="str">
        <f>_xlfn.CONCAT('4L'!$B$78, "-", '4L'!$B$116, "-", '4L'!$K$6, "-", '4L'!$K$6, "-", '4L'!$F$5)</f>
        <v>Other enhancement-Additional line 1-Total-Total-Expenditure in report year</v>
      </c>
    </row>
    <row r="1526" spans="1:15">
      <c r="A1526" t="s">
        <v>639</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682</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639</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682</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639</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682</v>
      </c>
      <c r="G1528" t="str">
        <f>'4L'!$D$116</f>
        <v>£m</v>
      </c>
      <c r="O1528" t="str">
        <f>_xlfn.CONCAT('4L'!$B$78, "-", '4L'!$B$116, "-", '4L'!$T$7, "-", '4L'!$T$5, "-", '4L'!$T$5)</f>
        <v>Other enhancement-Additional line 1-Total-Cumulative allowed expenditure on all schemes 2020-25-Cumulative allowed expenditure on all schemes 2020-25</v>
      </c>
    </row>
    <row r="1529" spans="1:15">
      <c r="A1529" t="s">
        <v>639</v>
      </c>
      <c r="B1529" t="str">
        <f>'4L'!$AV$117</f>
        <v>B0281ALC_WR</v>
      </c>
      <c r="D1529" t="str">
        <f>_xlfn.CONCAT('4L'!$B$78, "-", '4L'!$B$117, "-", '4L'!$F$6, "-", '4L'!$F$6, "-", '4L'!$F$5)</f>
        <v>Other enhancement-Additional line 2-Water resources-Water resources-Expenditure in report year</v>
      </c>
      <c r="E1529" t="str">
        <f>'4L'!$C$117</f>
        <v>Capex</v>
      </c>
      <c r="F1529" t="s">
        <v>682</v>
      </c>
      <c r="G1529" t="str">
        <f>'4L'!$D$117</f>
        <v>£m</v>
      </c>
      <c r="O1529" t="str">
        <f>_xlfn.CONCAT('4L'!$B$78, "-", '4L'!$B$117, "-", '4L'!$F$6, "-", '4L'!$F$6, "-", '4L'!$F$5)</f>
        <v>Other enhancement-Additional line 2-Water resources-Water resources-Expenditure in report year</v>
      </c>
    </row>
    <row r="1530" spans="1:15">
      <c r="A1530" t="s">
        <v>639</v>
      </c>
      <c r="B1530" t="str">
        <f>'4L'!$AW$117</f>
        <v>B0281ALC_RWT</v>
      </c>
      <c r="D1530" t="str">
        <f>_xlfn.CONCAT('4L'!$B$78, "-", '4L'!$B$117, "-", '4L'!$G$7, "-", '4L'!$G$6, "-", '4L'!$F$5)</f>
        <v>Other enhancement-Additional line 2-Raw water transport-Water network+-Expenditure in report year</v>
      </c>
      <c r="E1530" t="str">
        <f>'4L'!$C$117</f>
        <v>Capex</v>
      </c>
      <c r="F1530" t="s">
        <v>682</v>
      </c>
      <c r="G1530" t="str">
        <f>'4L'!$D$117</f>
        <v>£m</v>
      </c>
      <c r="O1530" t="str">
        <f>_xlfn.CONCAT('4L'!$B$78, "-", '4L'!$B$117, "-", '4L'!$G$7, "-", '4L'!$G$6, "-", '4L'!$F$5)</f>
        <v>Other enhancement-Additional line 2-Raw water transport-Water network+-Expenditure in report year</v>
      </c>
    </row>
    <row r="1531" spans="1:15">
      <c r="A1531" t="s">
        <v>639</v>
      </c>
      <c r="B1531" t="str">
        <f>'4L'!$AX$117</f>
        <v>B0281ALC_RWS</v>
      </c>
      <c r="D1531" t="str">
        <f>_xlfn.CONCAT('4L'!$B$78, "-", '4L'!$B$117, "-", '4L'!$H$7, "-", '4L'!$G$6, "-", '4L'!$F$5)</f>
        <v>Other enhancement-Additional line 2-Raw water storage-Water network+-Expenditure in report year</v>
      </c>
      <c r="E1531" t="str">
        <f>'4L'!$C$117</f>
        <v>Capex</v>
      </c>
      <c r="F1531" t="s">
        <v>682</v>
      </c>
      <c r="G1531" t="str">
        <f>'4L'!$D$117</f>
        <v>£m</v>
      </c>
      <c r="O1531" t="str">
        <f>_xlfn.CONCAT('4L'!$B$78, "-", '4L'!$B$117, "-", '4L'!$H$7, "-", '4L'!$G$6, "-", '4L'!$F$5)</f>
        <v>Other enhancement-Additional line 2-Raw water storage-Water network+-Expenditure in report year</v>
      </c>
    </row>
    <row r="1532" spans="1:15">
      <c r="A1532" t="s">
        <v>639</v>
      </c>
      <c r="B1532" t="str">
        <f>'4L'!$AY$117</f>
        <v>B0281ALC_WT</v>
      </c>
      <c r="D1532" t="str">
        <f>_xlfn.CONCAT('4L'!$B$78, "-", '4L'!$B$117, "-", '4L'!$I$7, "-", '4L'!$G$6, "-", '4L'!$F$5)</f>
        <v>Other enhancement-Additional line 2-Water treatment-Water network+-Expenditure in report year</v>
      </c>
      <c r="E1532" t="str">
        <f>'4L'!$C$117</f>
        <v>Capex</v>
      </c>
      <c r="F1532" t="s">
        <v>682</v>
      </c>
      <c r="G1532" t="str">
        <f>'4L'!$D$117</f>
        <v>£m</v>
      </c>
      <c r="O1532" t="str">
        <f>_xlfn.CONCAT('4L'!$B$78, "-", '4L'!$B$117, "-", '4L'!$I$7, "-", '4L'!$G$6, "-", '4L'!$F$5)</f>
        <v>Other enhancement-Additional line 2-Water treatment-Water network+-Expenditure in report year</v>
      </c>
    </row>
    <row r="1533" spans="1:15">
      <c r="A1533" t="s">
        <v>639</v>
      </c>
      <c r="B1533" t="str">
        <f>'4L'!$AZ$117</f>
        <v>B0281ALC_TWD</v>
      </c>
      <c r="D1533" t="str">
        <f>_xlfn.CONCAT('4L'!$B$78, "-", '4L'!$B$117, "-", '4L'!$J$7, "-", '4L'!$G$6, "-", '4L'!$F$5)</f>
        <v>Other enhancement-Additional line 2-Treated water distribution-Water network+-Expenditure in report year</v>
      </c>
      <c r="E1533" t="str">
        <f>'4L'!$C$117</f>
        <v>Capex</v>
      </c>
      <c r="F1533" t="s">
        <v>682</v>
      </c>
      <c r="G1533" t="str">
        <f>'4L'!$D$117</f>
        <v>£m</v>
      </c>
      <c r="O1533" t="str">
        <f>_xlfn.CONCAT('4L'!$B$78, "-", '4L'!$B$117, "-", '4L'!$J$7, "-", '4L'!$G$6, "-", '4L'!$F$5)</f>
        <v>Other enhancement-Additional line 2-Treated water distribution-Water network+-Expenditure in report year</v>
      </c>
    </row>
    <row r="1534" spans="1:15">
      <c r="A1534" t="s">
        <v>639</v>
      </c>
      <c r="B1534" t="str">
        <f>'4L'!$BA$117</f>
        <v>B0281ALC_TOT</v>
      </c>
      <c r="D1534" t="str">
        <f>_xlfn.CONCAT('4L'!$B$78, "-", '4L'!$B$117, "-", '4L'!$K$6, "-", '4L'!$K$6, "-", '4L'!$F$5)</f>
        <v>Other enhancement-Additional line 2-Total-Total-Expenditure in report year</v>
      </c>
      <c r="E1534" t="str">
        <f>'4L'!$C$117</f>
        <v>Capex</v>
      </c>
      <c r="F1534" t="s">
        <v>682</v>
      </c>
      <c r="G1534" t="str">
        <f>'4L'!$D$117</f>
        <v>£m</v>
      </c>
      <c r="O1534" t="str">
        <f>_xlfn.CONCAT('4L'!$B$78, "-", '4L'!$B$117, "-", '4L'!$K$6, "-", '4L'!$K$6, "-", '4L'!$F$5)</f>
        <v>Other enhancement-Additional line 2-Total-Total-Expenditure in report year</v>
      </c>
    </row>
    <row r="1535" spans="1:15">
      <c r="A1535" t="s">
        <v>639</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682</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639</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682</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639</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682</v>
      </c>
      <c r="G1537" t="str">
        <f>'4L'!$D$117</f>
        <v>£m</v>
      </c>
      <c r="O1537" t="str">
        <f>_xlfn.CONCAT('4L'!$B$78, "-", '4L'!$B$117, "-", '4L'!$T$7, "-", '4L'!$T$5, "-", '4L'!$T$5)</f>
        <v>Other enhancement-Additional line 2-Total-Cumulative allowed expenditure on all schemes 2020-25-Cumulative allowed expenditure on all schemes 2020-25</v>
      </c>
    </row>
    <row r="1538" spans="1:15">
      <c r="A1538" t="s">
        <v>639</v>
      </c>
      <c r="B1538" t="str">
        <f>'4L'!$AV$118</f>
        <v>B0282ALO_WR</v>
      </c>
      <c r="D1538" t="str">
        <f>_xlfn.CONCAT('4L'!$B$78, "-", '4L'!$B$118, "-", '4L'!$F$6, "-", '4L'!$F$6, "-", '4L'!$F$5)</f>
        <v>Other enhancement-Additional line 2-Water resources-Water resources-Expenditure in report year</v>
      </c>
      <c r="E1538" t="str">
        <f>'4L'!$C$118</f>
        <v>Opex</v>
      </c>
      <c r="F1538" t="s">
        <v>682</v>
      </c>
      <c r="G1538" t="str">
        <f>'4L'!$D$118</f>
        <v>£m</v>
      </c>
      <c r="O1538" t="str">
        <f>_xlfn.CONCAT('4L'!$B$78, "-", '4L'!$B$118, "-", '4L'!$F$6, "-", '4L'!$F$6, "-", '4L'!$F$5)</f>
        <v>Other enhancement-Additional line 2-Water resources-Water resources-Expenditure in report year</v>
      </c>
    </row>
    <row r="1539" spans="1:15">
      <c r="A1539" t="s">
        <v>639</v>
      </c>
      <c r="B1539" t="str">
        <f>'4L'!$AW$118</f>
        <v>B0282ALO_RWT</v>
      </c>
      <c r="D1539" t="str">
        <f>_xlfn.CONCAT('4L'!$B$78, "-", '4L'!$B$118, "-", '4L'!$G$7, "-", '4L'!$G$6, "-", '4L'!$F$5)</f>
        <v>Other enhancement-Additional line 2-Raw water transport-Water network+-Expenditure in report year</v>
      </c>
      <c r="E1539" t="str">
        <f>'4L'!$C$118</f>
        <v>Opex</v>
      </c>
      <c r="F1539" t="s">
        <v>682</v>
      </c>
      <c r="G1539" t="str">
        <f>'4L'!$D$118</f>
        <v>£m</v>
      </c>
      <c r="O1539" t="str">
        <f>_xlfn.CONCAT('4L'!$B$78, "-", '4L'!$B$118, "-", '4L'!$G$7, "-", '4L'!$G$6, "-", '4L'!$F$5)</f>
        <v>Other enhancement-Additional line 2-Raw water transport-Water network+-Expenditure in report year</v>
      </c>
    </row>
    <row r="1540" spans="1:15">
      <c r="A1540" t="s">
        <v>639</v>
      </c>
      <c r="B1540" t="str">
        <f>'4L'!$AX$118</f>
        <v>B0282ALO_RWS</v>
      </c>
      <c r="D1540" t="str">
        <f>_xlfn.CONCAT('4L'!$B$78, "-", '4L'!$B$118, "-", '4L'!$H$7, "-", '4L'!$G$6, "-", '4L'!$F$5)</f>
        <v>Other enhancement-Additional line 2-Raw water storage-Water network+-Expenditure in report year</v>
      </c>
      <c r="E1540" t="str">
        <f>'4L'!$C$118</f>
        <v>Opex</v>
      </c>
      <c r="F1540" t="s">
        <v>682</v>
      </c>
      <c r="G1540" t="str">
        <f>'4L'!$D$118</f>
        <v>£m</v>
      </c>
      <c r="O1540" t="str">
        <f>_xlfn.CONCAT('4L'!$B$78, "-", '4L'!$B$118, "-", '4L'!$H$7, "-", '4L'!$G$6, "-", '4L'!$F$5)</f>
        <v>Other enhancement-Additional line 2-Raw water storage-Water network+-Expenditure in report year</v>
      </c>
    </row>
    <row r="1541" spans="1:15">
      <c r="A1541" t="s">
        <v>639</v>
      </c>
      <c r="B1541" t="str">
        <f>'4L'!$AY$118</f>
        <v>B0282ALO_WT</v>
      </c>
      <c r="D1541" t="str">
        <f>_xlfn.CONCAT('4L'!$B$78, "-", '4L'!$B$118, "-", '4L'!$I$7, "-", '4L'!$G$6, "-", '4L'!$F$5)</f>
        <v>Other enhancement-Additional line 2-Water treatment-Water network+-Expenditure in report year</v>
      </c>
      <c r="E1541" t="str">
        <f>'4L'!$C$118</f>
        <v>Opex</v>
      </c>
      <c r="F1541" t="s">
        <v>682</v>
      </c>
      <c r="G1541" t="str">
        <f>'4L'!$D$118</f>
        <v>£m</v>
      </c>
      <c r="O1541" t="str">
        <f>_xlfn.CONCAT('4L'!$B$78, "-", '4L'!$B$118, "-", '4L'!$I$7, "-", '4L'!$G$6, "-", '4L'!$F$5)</f>
        <v>Other enhancement-Additional line 2-Water treatment-Water network+-Expenditure in report year</v>
      </c>
    </row>
    <row r="1542" spans="1:15">
      <c r="A1542" t="s">
        <v>639</v>
      </c>
      <c r="B1542" t="str">
        <f>'4L'!$AZ$118</f>
        <v>B0282ALO_TWD</v>
      </c>
      <c r="D1542" t="str">
        <f>_xlfn.CONCAT('4L'!$B$78, "-", '4L'!$B$118, "-", '4L'!$J$7, "-", '4L'!$G$6, "-", '4L'!$F$5)</f>
        <v>Other enhancement-Additional line 2-Treated water distribution-Water network+-Expenditure in report year</v>
      </c>
      <c r="E1542" t="str">
        <f>'4L'!$C$118</f>
        <v>Opex</v>
      </c>
      <c r="F1542" t="s">
        <v>682</v>
      </c>
      <c r="G1542" t="str">
        <f>'4L'!$D$118</f>
        <v>£m</v>
      </c>
      <c r="O1542" t="str">
        <f>_xlfn.CONCAT('4L'!$B$78, "-", '4L'!$B$118, "-", '4L'!$J$7, "-", '4L'!$G$6, "-", '4L'!$F$5)</f>
        <v>Other enhancement-Additional line 2-Treated water distribution-Water network+-Expenditure in report year</v>
      </c>
    </row>
    <row r="1543" spans="1:15">
      <c r="A1543" t="s">
        <v>639</v>
      </c>
      <c r="B1543" t="str">
        <f>'4L'!$BA$118</f>
        <v>B0282ALO_TOT</v>
      </c>
      <c r="D1543" t="str">
        <f>_xlfn.CONCAT('4L'!$B$78, "-", '4L'!$B$118, "-", '4L'!$K$6, "-", '4L'!$K$6, "-", '4L'!$F$5)</f>
        <v>Other enhancement-Additional line 2-Total-Total-Expenditure in report year</v>
      </c>
      <c r="E1543" t="str">
        <f>'4L'!$C$118</f>
        <v>Opex</v>
      </c>
      <c r="F1543" t="s">
        <v>682</v>
      </c>
      <c r="G1543" t="str">
        <f>'4L'!$D$118</f>
        <v>£m</v>
      </c>
      <c r="O1543" t="str">
        <f>_xlfn.CONCAT('4L'!$B$78, "-", '4L'!$B$118, "-", '4L'!$K$6, "-", '4L'!$K$6, "-", '4L'!$F$5)</f>
        <v>Other enhancement-Additional line 2-Total-Total-Expenditure in report year</v>
      </c>
    </row>
    <row r="1544" spans="1:15">
      <c r="A1544" t="s">
        <v>639</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682</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639</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682</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639</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682</v>
      </c>
      <c r="G1546" t="str">
        <f>'4L'!$D$118</f>
        <v>£m</v>
      </c>
      <c r="O1546" t="str">
        <f>_xlfn.CONCAT('4L'!$B$78, "-", '4L'!$B$118, "-", '4L'!$T$7, "-", '4L'!$T$5, "-", '4L'!$T$5)</f>
        <v>Other enhancement-Additional line 2-Total-Cumulative allowed expenditure on all schemes 2020-25-Cumulative allowed expenditure on all schemes 2020-25</v>
      </c>
    </row>
    <row r="1547" spans="1:15">
      <c r="A1547" t="s">
        <v>639</v>
      </c>
      <c r="B1547" t="str">
        <f>'4L'!$AV$119</f>
        <v>B0283ALC_WR</v>
      </c>
      <c r="D1547" t="str">
        <f>_xlfn.CONCAT('4L'!$B$78, "-", '4L'!$B$119, "-", '4L'!$F$6, "-", '4L'!$F$6, "-", '4L'!$F$5)</f>
        <v>Other enhancement-Additional line 3-Water resources-Water resources-Expenditure in report year</v>
      </c>
      <c r="E1547" t="str">
        <f>'4L'!$C$119</f>
        <v>Capex</v>
      </c>
      <c r="F1547" t="s">
        <v>682</v>
      </c>
      <c r="G1547" t="str">
        <f>'4L'!$D$119</f>
        <v>£m</v>
      </c>
      <c r="O1547" t="str">
        <f>_xlfn.CONCAT('4L'!$B$78, "-", '4L'!$B$119, "-", '4L'!$F$6, "-", '4L'!$F$6, "-", '4L'!$F$5)</f>
        <v>Other enhancement-Additional line 3-Water resources-Water resources-Expenditure in report year</v>
      </c>
    </row>
    <row r="1548" spans="1:15">
      <c r="A1548" t="s">
        <v>639</v>
      </c>
      <c r="B1548" t="str">
        <f>'4L'!$AW$119</f>
        <v>B0283ALC_RWT</v>
      </c>
      <c r="D1548" t="str">
        <f>_xlfn.CONCAT('4L'!$B$78, "-", '4L'!$B$119, "-", '4L'!$G$7, "-", '4L'!$G$6, "-", '4L'!$F$5)</f>
        <v>Other enhancement-Additional line 3-Raw water transport-Water network+-Expenditure in report year</v>
      </c>
      <c r="E1548" t="str">
        <f>'4L'!$C$119</f>
        <v>Capex</v>
      </c>
      <c r="F1548" t="s">
        <v>682</v>
      </c>
      <c r="G1548" t="str">
        <f>'4L'!$D$119</f>
        <v>£m</v>
      </c>
      <c r="O1548" t="str">
        <f>_xlfn.CONCAT('4L'!$B$78, "-", '4L'!$B$119, "-", '4L'!$G$7, "-", '4L'!$G$6, "-", '4L'!$F$5)</f>
        <v>Other enhancement-Additional line 3-Raw water transport-Water network+-Expenditure in report year</v>
      </c>
    </row>
    <row r="1549" spans="1:15">
      <c r="A1549" t="s">
        <v>639</v>
      </c>
      <c r="B1549" t="str">
        <f>'4L'!$AX$119</f>
        <v>B0283ALC_RWS</v>
      </c>
      <c r="D1549" t="str">
        <f>_xlfn.CONCAT('4L'!$B$78, "-", '4L'!$B$119, "-", '4L'!$H$7, "-", '4L'!$G$6, "-", '4L'!$F$5)</f>
        <v>Other enhancement-Additional line 3-Raw water storage-Water network+-Expenditure in report year</v>
      </c>
      <c r="E1549" t="str">
        <f>'4L'!$C$119</f>
        <v>Capex</v>
      </c>
      <c r="F1549" t="s">
        <v>682</v>
      </c>
      <c r="G1549" t="str">
        <f>'4L'!$D$119</f>
        <v>£m</v>
      </c>
      <c r="O1549" t="str">
        <f>_xlfn.CONCAT('4L'!$B$78, "-", '4L'!$B$119, "-", '4L'!$H$7, "-", '4L'!$G$6, "-", '4L'!$F$5)</f>
        <v>Other enhancement-Additional line 3-Raw water storage-Water network+-Expenditure in report year</v>
      </c>
    </row>
    <row r="1550" spans="1:15">
      <c r="A1550" t="s">
        <v>639</v>
      </c>
      <c r="B1550" t="str">
        <f>'4L'!$AY$119</f>
        <v>B0283ALC_WT</v>
      </c>
      <c r="D1550" t="str">
        <f>_xlfn.CONCAT('4L'!$B$78, "-", '4L'!$B$119, "-", '4L'!$I$7, "-", '4L'!$G$6, "-", '4L'!$F$5)</f>
        <v>Other enhancement-Additional line 3-Water treatment-Water network+-Expenditure in report year</v>
      </c>
      <c r="E1550" t="str">
        <f>'4L'!$C$119</f>
        <v>Capex</v>
      </c>
      <c r="F1550" t="s">
        <v>682</v>
      </c>
      <c r="G1550" t="str">
        <f>'4L'!$D$119</f>
        <v>£m</v>
      </c>
      <c r="O1550" t="str">
        <f>_xlfn.CONCAT('4L'!$B$78, "-", '4L'!$B$119, "-", '4L'!$I$7, "-", '4L'!$G$6, "-", '4L'!$F$5)</f>
        <v>Other enhancement-Additional line 3-Water treatment-Water network+-Expenditure in report year</v>
      </c>
    </row>
    <row r="1551" spans="1:15">
      <c r="A1551" t="s">
        <v>639</v>
      </c>
      <c r="B1551" t="str">
        <f>'4L'!$AZ$119</f>
        <v>B0283ALC_TWD</v>
      </c>
      <c r="D1551" t="str">
        <f>_xlfn.CONCAT('4L'!$B$78, "-", '4L'!$B$119, "-", '4L'!$J$7, "-", '4L'!$G$6, "-", '4L'!$F$5)</f>
        <v>Other enhancement-Additional line 3-Treated water distribution-Water network+-Expenditure in report year</v>
      </c>
      <c r="E1551" t="str">
        <f>'4L'!$C$119</f>
        <v>Capex</v>
      </c>
      <c r="F1551" t="s">
        <v>682</v>
      </c>
      <c r="G1551" t="str">
        <f>'4L'!$D$119</f>
        <v>£m</v>
      </c>
      <c r="O1551" t="str">
        <f>_xlfn.CONCAT('4L'!$B$78, "-", '4L'!$B$119, "-", '4L'!$J$7, "-", '4L'!$G$6, "-", '4L'!$F$5)</f>
        <v>Other enhancement-Additional line 3-Treated water distribution-Water network+-Expenditure in report year</v>
      </c>
    </row>
    <row r="1552" spans="1:15">
      <c r="A1552" t="s">
        <v>639</v>
      </c>
      <c r="B1552" t="str">
        <f>'4L'!$BA$119</f>
        <v>B0283ALC_TOT</v>
      </c>
      <c r="D1552" t="str">
        <f>_xlfn.CONCAT('4L'!$B$78, "-", '4L'!$B$119, "-", '4L'!$K$6, "-", '4L'!$K$6, "-", '4L'!$F$5)</f>
        <v>Other enhancement-Additional line 3-Total-Total-Expenditure in report year</v>
      </c>
      <c r="E1552" t="str">
        <f>'4L'!$C$119</f>
        <v>Capex</v>
      </c>
      <c r="F1552" t="s">
        <v>682</v>
      </c>
      <c r="G1552" t="str">
        <f>'4L'!$D$119</f>
        <v>£m</v>
      </c>
      <c r="O1552" t="str">
        <f>_xlfn.CONCAT('4L'!$B$78, "-", '4L'!$B$119, "-", '4L'!$K$6, "-", '4L'!$K$6, "-", '4L'!$F$5)</f>
        <v>Other enhancement-Additional line 3-Total-Total-Expenditure in report year</v>
      </c>
    </row>
    <row r="1553" spans="1:15">
      <c r="A1553" t="s">
        <v>639</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682</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639</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682</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639</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682</v>
      </c>
      <c r="G1555" t="str">
        <f>'4L'!$D$119</f>
        <v>£m</v>
      </c>
      <c r="O1555" t="str">
        <f>_xlfn.CONCAT('4L'!$B$78, "-", '4L'!$B$119, "-", '4L'!$T$7, "-", '4L'!$T$5, "-", '4L'!$T$5)</f>
        <v>Other enhancement-Additional line 3-Total-Cumulative allowed expenditure on all schemes 2020-25-Cumulative allowed expenditure on all schemes 2020-25</v>
      </c>
    </row>
    <row r="1556" spans="1:15">
      <c r="A1556" t="s">
        <v>639</v>
      </c>
      <c r="B1556" t="str">
        <f>'4L'!$AV$120</f>
        <v>B0284ALO_WR</v>
      </c>
      <c r="D1556" t="str">
        <f>_xlfn.CONCAT('4L'!$B$78, "-", '4L'!$B$120, "-", '4L'!$F$6, "-", '4L'!$F$6, "-", '4L'!$F$5)</f>
        <v>Other enhancement-Additional line 3-Water resources-Water resources-Expenditure in report year</v>
      </c>
      <c r="E1556" t="str">
        <f>'4L'!$C$120</f>
        <v>Opex</v>
      </c>
      <c r="F1556" t="s">
        <v>682</v>
      </c>
      <c r="G1556" t="str">
        <f>'4L'!$D$120</f>
        <v>£m</v>
      </c>
      <c r="O1556" t="str">
        <f>_xlfn.CONCAT('4L'!$B$78, "-", '4L'!$B$120, "-", '4L'!$F$6, "-", '4L'!$F$6, "-", '4L'!$F$5)</f>
        <v>Other enhancement-Additional line 3-Water resources-Water resources-Expenditure in report year</v>
      </c>
    </row>
    <row r="1557" spans="1:15">
      <c r="A1557" t="s">
        <v>639</v>
      </c>
      <c r="B1557" t="str">
        <f>'4L'!$AW$120</f>
        <v>B0284ALO_RWT</v>
      </c>
      <c r="D1557" t="str">
        <f>_xlfn.CONCAT('4L'!$B$78, "-", '4L'!$B$120, "-", '4L'!$G$7, "-", '4L'!$G$6, "-", '4L'!$F$5)</f>
        <v>Other enhancement-Additional line 3-Raw water transport-Water network+-Expenditure in report year</v>
      </c>
      <c r="E1557" t="str">
        <f>'4L'!$C$120</f>
        <v>Opex</v>
      </c>
      <c r="F1557" t="s">
        <v>682</v>
      </c>
      <c r="G1557" t="str">
        <f>'4L'!$D$120</f>
        <v>£m</v>
      </c>
      <c r="O1557" t="str">
        <f>_xlfn.CONCAT('4L'!$B$78, "-", '4L'!$B$120, "-", '4L'!$G$7, "-", '4L'!$G$6, "-", '4L'!$F$5)</f>
        <v>Other enhancement-Additional line 3-Raw water transport-Water network+-Expenditure in report year</v>
      </c>
    </row>
    <row r="1558" spans="1:15">
      <c r="A1558" t="s">
        <v>639</v>
      </c>
      <c r="B1558" t="str">
        <f>'4L'!$AX$120</f>
        <v>B0284ALO_RWS</v>
      </c>
      <c r="D1558" t="str">
        <f>_xlfn.CONCAT('4L'!$B$78, "-", '4L'!$B$120, "-", '4L'!$H$7, "-", '4L'!$G$6, "-", '4L'!$F$5)</f>
        <v>Other enhancement-Additional line 3-Raw water storage-Water network+-Expenditure in report year</v>
      </c>
      <c r="E1558" t="str">
        <f>'4L'!$C$120</f>
        <v>Opex</v>
      </c>
      <c r="F1558" t="s">
        <v>682</v>
      </c>
      <c r="G1558" t="str">
        <f>'4L'!$D$120</f>
        <v>£m</v>
      </c>
      <c r="O1558" t="str">
        <f>_xlfn.CONCAT('4L'!$B$78, "-", '4L'!$B$120, "-", '4L'!$H$7, "-", '4L'!$G$6, "-", '4L'!$F$5)</f>
        <v>Other enhancement-Additional line 3-Raw water storage-Water network+-Expenditure in report year</v>
      </c>
    </row>
    <row r="1559" spans="1:15">
      <c r="A1559" t="s">
        <v>639</v>
      </c>
      <c r="B1559" t="str">
        <f>'4L'!$AY$120</f>
        <v>B0284ALO_WT</v>
      </c>
      <c r="D1559" t="str">
        <f>_xlfn.CONCAT('4L'!$B$78, "-", '4L'!$B$120, "-", '4L'!$I$7, "-", '4L'!$G$6, "-", '4L'!$F$5)</f>
        <v>Other enhancement-Additional line 3-Water treatment-Water network+-Expenditure in report year</v>
      </c>
      <c r="E1559" t="str">
        <f>'4L'!$C$120</f>
        <v>Opex</v>
      </c>
      <c r="F1559" t="s">
        <v>682</v>
      </c>
      <c r="G1559" t="str">
        <f>'4L'!$D$120</f>
        <v>£m</v>
      </c>
      <c r="O1559" t="str">
        <f>_xlfn.CONCAT('4L'!$B$78, "-", '4L'!$B$120, "-", '4L'!$I$7, "-", '4L'!$G$6, "-", '4L'!$F$5)</f>
        <v>Other enhancement-Additional line 3-Water treatment-Water network+-Expenditure in report year</v>
      </c>
    </row>
    <row r="1560" spans="1:15">
      <c r="A1560" t="s">
        <v>639</v>
      </c>
      <c r="B1560" t="str">
        <f>'4L'!$AZ$120</f>
        <v>B0284ALO_TWD</v>
      </c>
      <c r="D1560" t="str">
        <f>_xlfn.CONCAT('4L'!$B$78, "-", '4L'!$B$120, "-", '4L'!$J$7, "-", '4L'!$G$6, "-", '4L'!$F$5)</f>
        <v>Other enhancement-Additional line 3-Treated water distribution-Water network+-Expenditure in report year</v>
      </c>
      <c r="E1560" t="str">
        <f>'4L'!$C$120</f>
        <v>Opex</v>
      </c>
      <c r="F1560" t="s">
        <v>682</v>
      </c>
      <c r="G1560" t="str">
        <f>'4L'!$D$120</f>
        <v>£m</v>
      </c>
      <c r="O1560" t="str">
        <f>_xlfn.CONCAT('4L'!$B$78, "-", '4L'!$B$120, "-", '4L'!$J$7, "-", '4L'!$G$6, "-", '4L'!$F$5)</f>
        <v>Other enhancement-Additional line 3-Treated water distribution-Water network+-Expenditure in report year</v>
      </c>
    </row>
    <row r="1561" spans="1:15">
      <c r="A1561" t="s">
        <v>639</v>
      </c>
      <c r="B1561" t="str">
        <f>'4L'!$BA$120</f>
        <v>B0284ALO_TOT</v>
      </c>
      <c r="D1561" t="str">
        <f>_xlfn.CONCAT('4L'!$B$78, "-", '4L'!$B$120, "-", '4L'!$K$6, "-", '4L'!$K$6, "-", '4L'!$F$5)</f>
        <v>Other enhancement-Additional line 3-Total-Total-Expenditure in report year</v>
      </c>
      <c r="E1561" t="str">
        <f>'4L'!$C$120</f>
        <v>Opex</v>
      </c>
      <c r="F1561" t="s">
        <v>682</v>
      </c>
      <c r="G1561" t="str">
        <f>'4L'!$D$120</f>
        <v>£m</v>
      </c>
      <c r="O1561" t="str">
        <f>_xlfn.CONCAT('4L'!$B$78, "-", '4L'!$B$120, "-", '4L'!$K$6, "-", '4L'!$K$6, "-", '4L'!$F$5)</f>
        <v>Other enhancement-Additional line 3-Total-Total-Expenditure in report year</v>
      </c>
    </row>
    <row r="1562" spans="1:15">
      <c r="A1562" t="s">
        <v>639</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682</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682</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639</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682</v>
      </c>
      <c r="G1564" t="str">
        <f>'4L'!$D$120</f>
        <v>£m</v>
      </c>
      <c r="O1564" t="str">
        <f>_xlfn.CONCAT('4L'!$B$78, "-", '4L'!$B$120, "-", '4L'!$T$7, "-", '4L'!$T$5, "-", '4L'!$T$5)</f>
        <v>Other enhancement-Additional line 3-Total-Cumulative allowed expenditure on all schemes 2020-25-Cumulative allowed expenditure on all schemes 2020-25</v>
      </c>
    </row>
    <row r="1565" spans="1:15">
      <c r="A1565" t="s">
        <v>639</v>
      </c>
      <c r="B1565" t="str">
        <f>'4L'!$AV$121</f>
        <v>B0285ALC_WR</v>
      </c>
      <c r="D1565" t="str">
        <f>_xlfn.CONCAT('4L'!$B$78, "-", '4L'!$B$121, "-", '4L'!$F$6, "-", '4L'!$F$6, "-", '4L'!$F$5)</f>
        <v>Other enhancement-Additional line 4-Water resources-Water resources-Expenditure in report year</v>
      </c>
      <c r="E1565" t="str">
        <f>'4L'!$C$121</f>
        <v>Capex</v>
      </c>
      <c r="F1565" t="s">
        <v>682</v>
      </c>
      <c r="G1565" t="str">
        <f>'4L'!$D$121</f>
        <v>£m</v>
      </c>
      <c r="O1565" t="str">
        <f>_xlfn.CONCAT('4L'!$B$78, "-", '4L'!$B$121, "-", '4L'!$F$6, "-", '4L'!$F$6, "-", '4L'!$F$5)</f>
        <v>Other enhancement-Additional line 4-Water resources-Water resources-Expenditure in report year</v>
      </c>
    </row>
    <row r="1566" spans="1:15">
      <c r="A1566" t="s">
        <v>639</v>
      </c>
      <c r="B1566" t="str">
        <f>'4L'!$AW$121</f>
        <v>B0285ALC_RWT</v>
      </c>
      <c r="D1566" t="str">
        <f>_xlfn.CONCAT('4L'!$B$78, "-", '4L'!$B$121, "-", '4L'!$G$7, "-", '4L'!$G$6, "-", '4L'!$F$5)</f>
        <v>Other enhancement-Additional line 4-Raw water transport-Water network+-Expenditure in report year</v>
      </c>
      <c r="E1566" t="str">
        <f>'4L'!$C$121</f>
        <v>Capex</v>
      </c>
      <c r="F1566" t="s">
        <v>682</v>
      </c>
      <c r="G1566" t="str">
        <f>'4L'!$D$121</f>
        <v>£m</v>
      </c>
      <c r="O1566" t="str">
        <f>_xlfn.CONCAT('4L'!$B$78, "-", '4L'!$B$121, "-", '4L'!$G$7, "-", '4L'!$G$6, "-", '4L'!$F$5)</f>
        <v>Other enhancement-Additional line 4-Raw water transport-Water network+-Expenditure in report year</v>
      </c>
    </row>
    <row r="1567" spans="1:15">
      <c r="A1567" t="s">
        <v>639</v>
      </c>
      <c r="B1567" t="str">
        <f>'4L'!$AX$121</f>
        <v>B0285ALC_RWS</v>
      </c>
      <c r="D1567" t="str">
        <f>_xlfn.CONCAT('4L'!$B$78, "-", '4L'!$B$121, "-", '4L'!$H$7, "-", '4L'!$G$6, "-", '4L'!$F$5)</f>
        <v>Other enhancement-Additional line 4-Raw water storage-Water network+-Expenditure in report year</v>
      </c>
      <c r="E1567" t="str">
        <f>'4L'!$C$121</f>
        <v>Capex</v>
      </c>
      <c r="F1567" t="s">
        <v>682</v>
      </c>
      <c r="G1567" t="str">
        <f>'4L'!$D$121</f>
        <v>£m</v>
      </c>
      <c r="O1567" t="str">
        <f>_xlfn.CONCAT('4L'!$B$78, "-", '4L'!$B$121, "-", '4L'!$H$7, "-", '4L'!$G$6, "-", '4L'!$F$5)</f>
        <v>Other enhancement-Additional line 4-Raw water storage-Water network+-Expenditure in report year</v>
      </c>
    </row>
    <row r="1568" spans="1:15">
      <c r="A1568" t="s">
        <v>639</v>
      </c>
      <c r="B1568" t="str">
        <f>'4L'!$AY$121</f>
        <v>B0285ALC_WT</v>
      </c>
      <c r="D1568" t="str">
        <f>_xlfn.CONCAT('4L'!$B$78, "-", '4L'!$B$121, "-", '4L'!$I$7, "-", '4L'!$G$6, "-", '4L'!$F$5)</f>
        <v>Other enhancement-Additional line 4-Water treatment-Water network+-Expenditure in report year</v>
      </c>
      <c r="E1568" t="str">
        <f>'4L'!$C$121</f>
        <v>Capex</v>
      </c>
      <c r="F1568" t="s">
        <v>682</v>
      </c>
      <c r="G1568" t="str">
        <f>'4L'!$D$121</f>
        <v>£m</v>
      </c>
      <c r="O1568" t="str">
        <f>_xlfn.CONCAT('4L'!$B$78, "-", '4L'!$B$121, "-", '4L'!$I$7, "-", '4L'!$G$6, "-", '4L'!$F$5)</f>
        <v>Other enhancement-Additional line 4-Water treatment-Water network+-Expenditure in report year</v>
      </c>
    </row>
    <row r="1569" spans="1:15">
      <c r="A1569" t="s">
        <v>639</v>
      </c>
      <c r="B1569" t="str">
        <f>'4L'!$AZ$121</f>
        <v>B0285ALC_TWD</v>
      </c>
      <c r="D1569" t="str">
        <f>_xlfn.CONCAT('4L'!$B$78, "-", '4L'!$B$121, "-", '4L'!$J$7, "-", '4L'!$G$6, "-", '4L'!$F$5)</f>
        <v>Other enhancement-Additional line 4-Treated water distribution-Water network+-Expenditure in report year</v>
      </c>
      <c r="E1569" t="str">
        <f>'4L'!$C$121</f>
        <v>Capex</v>
      </c>
      <c r="F1569" t="s">
        <v>682</v>
      </c>
      <c r="G1569" t="str">
        <f>'4L'!$D$121</f>
        <v>£m</v>
      </c>
      <c r="O1569" t="str">
        <f>_xlfn.CONCAT('4L'!$B$78, "-", '4L'!$B$121, "-", '4L'!$J$7, "-", '4L'!$G$6, "-", '4L'!$F$5)</f>
        <v>Other enhancement-Additional line 4-Treated water distribution-Water network+-Expenditure in report year</v>
      </c>
    </row>
    <row r="1570" spans="1:15">
      <c r="A1570" t="s">
        <v>639</v>
      </c>
      <c r="B1570" t="str">
        <f>'4L'!$BA$121</f>
        <v>B0285ALC_TOT</v>
      </c>
      <c r="D1570" t="str">
        <f>_xlfn.CONCAT('4L'!$B$78, "-", '4L'!$B$121, "-", '4L'!$K$6, "-", '4L'!$K$6, "-", '4L'!$F$5)</f>
        <v>Other enhancement-Additional line 4-Total-Total-Expenditure in report year</v>
      </c>
      <c r="E1570" t="str">
        <f>'4L'!$C$121</f>
        <v>Capex</v>
      </c>
      <c r="F1570" t="s">
        <v>682</v>
      </c>
      <c r="G1570" t="str">
        <f>'4L'!$D$121</f>
        <v>£m</v>
      </c>
      <c r="O1570" t="str">
        <f>_xlfn.CONCAT('4L'!$B$78, "-", '4L'!$B$121, "-", '4L'!$K$6, "-", '4L'!$K$6, "-", '4L'!$F$5)</f>
        <v>Other enhancement-Additional line 4-Total-Total-Expenditure in report year</v>
      </c>
    </row>
    <row r="1571" spans="1:15">
      <c r="A1571" t="s">
        <v>639</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682</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639</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682</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639</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682</v>
      </c>
      <c r="G1573" t="str">
        <f>'4L'!$D$121</f>
        <v>£m</v>
      </c>
      <c r="O1573" t="str">
        <f>_xlfn.CONCAT('4L'!$B$78, "-", '4L'!$B$121, "-", '4L'!$T$7, "-", '4L'!$T$5, "-", '4L'!$T$5)</f>
        <v>Other enhancement-Additional line 4-Total-Cumulative allowed expenditure on all schemes 2020-25-Cumulative allowed expenditure on all schemes 2020-25</v>
      </c>
    </row>
    <row r="1574" spans="1:15">
      <c r="A1574" t="s">
        <v>639</v>
      </c>
      <c r="B1574" t="str">
        <f>'4L'!$AV$122</f>
        <v>B0286ALO_WR</v>
      </c>
      <c r="D1574" t="str">
        <f>_xlfn.CONCAT('4L'!$B$78, "-", '4L'!$B$122, "-", '4L'!$F$6, "-", '4L'!$F$6, "-", '4L'!$F$5)</f>
        <v>Other enhancement-Additional line 4-Water resources-Water resources-Expenditure in report year</v>
      </c>
      <c r="E1574" t="str">
        <f>'4L'!$C$122</f>
        <v>Opex</v>
      </c>
      <c r="F1574" t="s">
        <v>682</v>
      </c>
      <c r="G1574" t="str">
        <f>'4L'!$D$122</f>
        <v>£m</v>
      </c>
      <c r="O1574" t="str">
        <f>_xlfn.CONCAT('4L'!$B$78, "-", '4L'!$B$122, "-", '4L'!$F$6, "-", '4L'!$F$6, "-", '4L'!$F$5)</f>
        <v>Other enhancement-Additional line 4-Water resources-Water resources-Expenditure in report year</v>
      </c>
    </row>
    <row r="1575" spans="1:15">
      <c r="A1575" t="s">
        <v>639</v>
      </c>
      <c r="B1575" t="str">
        <f>'4L'!$AW$122</f>
        <v>B0286ALO_RWT</v>
      </c>
      <c r="D1575" t="str">
        <f>_xlfn.CONCAT('4L'!$B$78, "-", '4L'!$B$122, "-", '4L'!$G$7, "-", '4L'!$G$6, "-", '4L'!$F$5)</f>
        <v>Other enhancement-Additional line 4-Raw water transport-Water network+-Expenditure in report year</v>
      </c>
      <c r="E1575" t="str">
        <f>'4L'!$C$122</f>
        <v>Opex</v>
      </c>
      <c r="F1575" t="s">
        <v>682</v>
      </c>
      <c r="G1575" t="str">
        <f>'4L'!$D$122</f>
        <v>£m</v>
      </c>
      <c r="O1575" t="str">
        <f>_xlfn.CONCAT('4L'!$B$78, "-", '4L'!$B$122, "-", '4L'!$G$7, "-", '4L'!$G$6, "-", '4L'!$F$5)</f>
        <v>Other enhancement-Additional line 4-Raw water transport-Water network+-Expenditure in report year</v>
      </c>
    </row>
    <row r="1576" spans="1:15">
      <c r="A1576" t="s">
        <v>639</v>
      </c>
      <c r="B1576" t="str">
        <f>'4L'!$AX$122</f>
        <v>B0286ALO_RWS</v>
      </c>
      <c r="D1576" t="str">
        <f>_xlfn.CONCAT('4L'!$B$78, "-", '4L'!$B$122, "-", '4L'!$H$7, "-", '4L'!$G$6, "-", '4L'!$F$5)</f>
        <v>Other enhancement-Additional line 4-Raw water storage-Water network+-Expenditure in report year</v>
      </c>
      <c r="E1576" t="str">
        <f>'4L'!$C$122</f>
        <v>Opex</v>
      </c>
      <c r="F1576" t="s">
        <v>682</v>
      </c>
      <c r="G1576" t="str">
        <f>'4L'!$D$122</f>
        <v>£m</v>
      </c>
      <c r="O1576" t="str">
        <f>_xlfn.CONCAT('4L'!$B$78, "-", '4L'!$B$122, "-", '4L'!$H$7, "-", '4L'!$G$6, "-", '4L'!$F$5)</f>
        <v>Other enhancement-Additional line 4-Raw water storage-Water network+-Expenditure in report year</v>
      </c>
    </row>
    <row r="1577" spans="1:15">
      <c r="A1577" t="s">
        <v>639</v>
      </c>
      <c r="B1577" t="str">
        <f>'4L'!$AY$122</f>
        <v>B0286ALO_WT</v>
      </c>
      <c r="D1577" t="str">
        <f>_xlfn.CONCAT('4L'!$B$78, "-", '4L'!$B$122, "-", '4L'!$I$7, "-", '4L'!$G$6, "-", '4L'!$F$5)</f>
        <v>Other enhancement-Additional line 4-Water treatment-Water network+-Expenditure in report year</v>
      </c>
      <c r="E1577" t="str">
        <f>'4L'!$C$122</f>
        <v>Opex</v>
      </c>
      <c r="F1577" t="s">
        <v>682</v>
      </c>
      <c r="G1577" t="str">
        <f>'4L'!$D$122</f>
        <v>£m</v>
      </c>
      <c r="O1577" t="str">
        <f>_xlfn.CONCAT('4L'!$B$78, "-", '4L'!$B$122, "-", '4L'!$I$7, "-", '4L'!$G$6, "-", '4L'!$F$5)</f>
        <v>Other enhancement-Additional line 4-Water treatment-Water network+-Expenditure in report year</v>
      </c>
    </row>
    <row r="1578" spans="1:15">
      <c r="A1578" t="s">
        <v>639</v>
      </c>
      <c r="B1578" t="str">
        <f>'4L'!$AZ$122</f>
        <v>B0286ALO_TWD</v>
      </c>
      <c r="D1578" t="str">
        <f>_xlfn.CONCAT('4L'!$B$78, "-", '4L'!$B$122, "-", '4L'!$J$7, "-", '4L'!$G$6, "-", '4L'!$F$5)</f>
        <v>Other enhancement-Additional line 4-Treated water distribution-Water network+-Expenditure in report year</v>
      </c>
      <c r="E1578" t="str">
        <f>'4L'!$C$122</f>
        <v>Opex</v>
      </c>
      <c r="F1578" t="s">
        <v>682</v>
      </c>
      <c r="G1578" t="str">
        <f>'4L'!$D$122</f>
        <v>£m</v>
      </c>
      <c r="O1578" t="str">
        <f>_xlfn.CONCAT('4L'!$B$78, "-", '4L'!$B$122, "-", '4L'!$J$7, "-", '4L'!$G$6, "-", '4L'!$F$5)</f>
        <v>Other enhancement-Additional line 4-Treated water distribution-Water network+-Expenditure in report year</v>
      </c>
    </row>
    <row r="1579" spans="1:15">
      <c r="A1579" t="s">
        <v>639</v>
      </c>
      <c r="B1579" t="str">
        <f>'4L'!$BA$122</f>
        <v>B0286ALO_TOT</v>
      </c>
      <c r="D1579" t="str">
        <f>_xlfn.CONCAT('4L'!$B$78, "-", '4L'!$B$122, "-", '4L'!$K$6, "-", '4L'!$K$6, "-", '4L'!$F$5)</f>
        <v>Other enhancement-Additional line 4-Total-Total-Expenditure in report year</v>
      </c>
      <c r="E1579" t="str">
        <f>'4L'!$C$122</f>
        <v>Opex</v>
      </c>
      <c r="F1579" t="s">
        <v>682</v>
      </c>
      <c r="G1579" t="str">
        <f>'4L'!$D$122</f>
        <v>£m</v>
      </c>
      <c r="O1579" t="str">
        <f>_xlfn.CONCAT('4L'!$B$78, "-", '4L'!$B$122, "-", '4L'!$K$6, "-", '4L'!$K$6, "-", '4L'!$F$5)</f>
        <v>Other enhancement-Additional line 4-Total-Total-Expenditure in report year</v>
      </c>
    </row>
    <row r="1580" spans="1:15">
      <c r="A1580" t="s">
        <v>639</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682</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639</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682</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639</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682</v>
      </c>
      <c r="G1582" t="str">
        <f>'4L'!$D$122</f>
        <v>£m</v>
      </c>
      <c r="O1582" t="str">
        <f>_xlfn.CONCAT('4L'!$B$78, "-", '4L'!$B$122, "-", '4L'!$T$7, "-", '4L'!$T$5, "-", '4L'!$T$5)</f>
        <v>Other enhancement-Additional line 4-Total-Cumulative allowed expenditure on all schemes 2020-25-Cumulative allowed expenditure on all schemes 2020-25</v>
      </c>
    </row>
    <row r="1583" spans="1:15">
      <c r="A1583" t="s">
        <v>639</v>
      </c>
      <c r="B1583" t="str">
        <f>'4L'!$AV$123</f>
        <v>B0287ALC_WR</v>
      </c>
      <c r="D1583" t="str">
        <f>_xlfn.CONCAT('4L'!$B$78, "-", '4L'!$B$123, "-", '4L'!$F$6, "-", '4L'!$F$6, "-", '4L'!$F$5)</f>
        <v>Other enhancement-Additional line 5-Water resources-Water resources-Expenditure in report year</v>
      </c>
      <c r="E1583" t="str">
        <f>'4L'!$C$123</f>
        <v>Capex</v>
      </c>
      <c r="F1583" t="s">
        <v>682</v>
      </c>
      <c r="G1583" t="str">
        <f>'4L'!$D$123</f>
        <v>£m</v>
      </c>
      <c r="O1583" t="str">
        <f>_xlfn.CONCAT('4L'!$B$78, "-", '4L'!$B$123, "-", '4L'!$F$6, "-", '4L'!$F$6, "-", '4L'!$F$5)</f>
        <v>Other enhancement-Additional line 5-Water resources-Water resources-Expenditure in report year</v>
      </c>
    </row>
    <row r="1584" spans="1:15">
      <c r="A1584" t="s">
        <v>639</v>
      </c>
      <c r="B1584" t="str">
        <f>'4L'!$AW$123</f>
        <v>B0287ALC_RWT</v>
      </c>
      <c r="D1584" t="str">
        <f>_xlfn.CONCAT('4L'!$B$78, "-", '4L'!$B$123, "-", '4L'!$G$7, "-", '4L'!$G$6, "-", '4L'!$F$5)</f>
        <v>Other enhancement-Additional line 5-Raw water transport-Water network+-Expenditure in report year</v>
      </c>
      <c r="E1584" t="str">
        <f>'4L'!$C$123</f>
        <v>Capex</v>
      </c>
      <c r="F1584" t="s">
        <v>682</v>
      </c>
      <c r="G1584" t="str">
        <f>'4L'!$D$123</f>
        <v>£m</v>
      </c>
      <c r="O1584" t="str">
        <f>_xlfn.CONCAT('4L'!$B$78, "-", '4L'!$B$123, "-", '4L'!$G$7, "-", '4L'!$G$6, "-", '4L'!$F$5)</f>
        <v>Other enhancement-Additional line 5-Raw water transport-Water network+-Expenditure in report year</v>
      </c>
    </row>
    <row r="1585" spans="1:15">
      <c r="A1585" t="s">
        <v>639</v>
      </c>
      <c r="B1585" t="str">
        <f>'4L'!$AX$123</f>
        <v>B0287ALC_RWS</v>
      </c>
      <c r="D1585" t="str">
        <f>_xlfn.CONCAT('4L'!$B$78, "-", '4L'!$B$123, "-", '4L'!$H$7, "-", '4L'!$G$6, "-", '4L'!$F$5)</f>
        <v>Other enhancement-Additional line 5-Raw water storage-Water network+-Expenditure in report year</v>
      </c>
      <c r="E1585" t="str">
        <f>'4L'!$C$123</f>
        <v>Capex</v>
      </c>
      <c r="F1585" t="s">
        <v>682</v>
      </c>
      <c r="G1585" t="str">
        <f>'4L'!$D$123</f>
        <v>£m</v>
      </c>
      <c r="O1585" t="str">
        <f>_xlfn.CONCAT('4L'!$B$78, "-", '4L'!$B$123, "-", '4L'!$H$7, "-", '4L'!$G$6, "-", '4L'!$F$5)</f>
        <v>Other enhancement-Additional line 5-Raw water storage-Water network+-Expenditure in report year</v>
      </c>
    </row>
    <row r="1586" spans="1:15">
      <c r="A1586" t="s">
        <v>639</v>
      </c>
      <c r="B1586" t="str">
        <f>'4L'!$AY$123</f>
        <v>B0287ALC_WT</v>
      </c>
      <c r="D1586" t="str">
        <f>_xlfn.CONCAT('4L'!$B$78, "-", '4L'!$B$123, "-", '4L'!$I$7, "-", '4L'!$G$6, "-", '4L'!$F$5)</f>
        <v>Other enhancement-Additional line 5-Water treatment-Water network+-Expenditure in report year</v>
      </c>
      <c r="E1586" t="str">
        <f>'4L'!$C$123</f>
        <v>Capex</v>
      </c>
      <c r="F1586" t="s">
        <v>682</v>
      </c>
      <c r="G1586" t="str">
        <f>'4L'!$D$123</f>
        <v>£m</v>
      </c>
      <c r="O1586" t="str">
        <f>_xlfn.CONCAT('4L'!$B$78, "-", '4L'!$B$123, "-", '4L'!$I$7, "-", '4L'!$G$6, "-", '4L'!$F$5)</f>
        <v>Other enhancement-Additional line 5-Water treatment-Water network+-Expenditure in report year</v>
      </c>
    </row>
    <row r="1587" spans="1:15">
      <c r="A1587" t="s">
        <v>639</v>
      </c>
      <c r="B1587" t="str">
        <f>'4L'!$AZ$123</f>
        <v>B0287ALC_TWD</v>
      </c>
      <c r="D1587" t="str">
        <f>_xlfn.CONCAT('4L'!$B$78, "-", '4L'!$B$123, "-", '4L'!$J$7, "-", '4L'!$G$6, "-", '4L'!$F$5)</f>
        <v>Other enhancement-Additional line 5-Treated water distribution-Water network+-Expenditure in report year</v>
      </c>
      <c r="E1587" t="str">
        <f>'4L'!$C$123</f>
        <v>Capex</v>
      </c>
      <c r="F1587" t="s">
        <v>682</v>
      </c>
      <c r="G1587" t="str">
        <f>'4L'!$D$123</f>
        <v>£m</v>
      </c>
      <c r="O1587" t="str">
        <f>_xlfn.CONCAT('4L'!$B$78, "-", '4L'!$B$123, "-", '4L'!$J$7, "-", '4L'!$G$6, "-", '4L'!$F$5)</f>
        <v>Other enhancement-Additional line 5-Treated water distribution-Water network+-Expenditure in report year</v>
      </c>
    </row>
    <row r="1588" spans="1:15">
      <c r="A1588" t="s">
        <v>639</v>
      </c>
      <c r="B1588" t="str">
        <f>'4L'!$BA$123</f>
        <v>B0287ALC_TOT</v>
      </c>
      <c r="D1588" t="str">
        <f>_xlfn.CONCAT('4L'!$B$78, "-", '4L'!$B$123, "-", '4L'!$K$6, "-", '4L'!$K$6, "-", '4L'!$F$5)</f>
        <v>Other enhancement-Additional line 5-Total-Total-Expenditure in report year</v>
      </c>
      <c r="E1588" t="str">
        <f>'4L'!$C$123</f>
        <v>Capex</v>
      </c>
      <c r="F1588" t="s">
        <v>682</v>
      </c>
      <c r="G1588" t="str">
        <f>'4L'!$D$123</f>
        <v>£m</v>
      </c>
      <c r="O1588" t="str">
        <f>_xlfn.CONCAT('4L'!$B$78, "-", '4L'!$B$123, "-", '4L'!$K$6, "-", '4L'!$K$6, "-", '4L'!$F$5)</f>
        <v>Other enhancement-Additional line 5-Total-Total-Expenditure in report year</v>
      </c>
    </row>
    <row r="1589" spans="1:15">
      <c r="A1589" t="s">
        <v>639</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682</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639</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682</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639</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682</v>
      </c>
      <c r="G1591" t="str">
        <f>'4L'!$D$123</f>
        <v>£m</v>
      </c>
      <c r="O1591" t="str">
        <f>_xlfn.CONCAT('4L'!$B$78, "-", '4L'!$B$123, "-", '4L'!$T$7, "-", '4L'!$T$5, "-", '4L'!$T$5)</f>
        <v>Other enhancement-Additional line 5-Total-Cumulative allowed expenditure on all schemes 2020-25-Cumulative allowed expenditure on all schemes 2020-25</v>
      </c>
    </row>
    <row r="1592" spans="1:15">
      <c r="A1592" t="s">
        <v>639</v>
      </c>
      <c r="B1592" t="str">
        <f>'4L'!$AV$124</f>
        <v>B0288ALO_WR</v>
      </c>
      <c r="D1592" t="str">
        <f>_xlfn.CONCAT('4L'!$B$78, "-", '4L'!$B$124, "-", '4L'!$F$6, "-", '4L'!$F$6, "-", '4L'!$F$5)</f>
        <v>Other enhancement-Additional line 5-Water resources-Water resources-Expenditure in report year</v>
      </c>
      <c r="E1592" t="str">
        <f>'4L'!$C$124</f>
        <v>Opex</v>
      </c>
      <c r="F1592" t="s">
        <v>682</v>
      </c>
      <c r="G1592" t="str">
        <f>'4L'!$D$124</f>
        <v>£m</v>
      </c>
      <c r="O1592" t="str">
        <f>_xlfn.CONCAT('4L'!$B$78, "-", '4L'!$B$124, "-", '4L'!$F$6, "-", '4L'!$F$6, "-", '4L'!$F$5)</f>
        <v>Other enhancement-Additional line 5-Water resources-Water resources-Expenditure in report year</v>
      </c>
    </row>
    <row r="1593" spans="1:15">
      <c r="A1593" t="s">
        <v>639</v>
      </c>
      <c r="B1593" t="str">
        <f>'4L'!$AW$124</f>
        <v>B0288ALO_RWT</v>
      </c>
      <c r="D1593" t="str">
        <f>_xlfn.CONCAT('4L'!$B$78, "-", '4L'!$B$124, "-", '4L'!$G$7, "-", '4L'!$G$6, "-", '4L'!$F$5)</f>
        <v>Other enhancement-Additional line 5-Raw water transport-Water network+-Expenditure in report year</v>
      </c>
      <c r="E1593" t="str">
        <f>'4L'!$C$124</f>
        <v>Opex</v>
      </c>
      <c r="F1593" t="s">
        <v>682</v>
      </c>
      <c r="G1593" t="str">
        <f>'4L'!$D$124</f>
        <v>£m</v>
      </c>
      <c r="O1593" t="str">
        <f>_xlfn.CONCAT('4L'!$B$78, "-", '4L'!$B$124, "-", '4L'!$G$7, "-", '4L'!$G$6, "-", '4L'!$F$5)</f>
        <v>Other enhancement-Additional line 5-Raw water transport-Water network+-Expenditure in report year</v>
      </c>
    </row>
    <row r="1594" spans="1:15">
      <c r="A1594" t="s">
        <v>639</v>
      </c>
      <c r="B1594" t="str">
        <f>'4L'!$AX$124</f>
        <v>B0288ALO_RWS</v>
      </c>
      <c r="D1594" t="str">
        <f>_xlfn.CONCAT('4L'!$B$78, "-", '4L'!$B$124, "-", '4L'!$H$7, "-", '4L'!$G$6, "-", '4L'!$F$5)</f>
        <v>Other enhancement-Additional line 5-Raw water storage-Water network+-Expenditure in report year</v>
      </c>
      <c r="E1594" t="str">
        <f>'4L'!$C$124</f>
        <v>Opex</v>
      </c>
      <c r="F1594" t="s">
        <v>682</v>
      </c>
      <c r="G1594" t="str">
        <f>'4L'!$D$124</f>
        <v>£m</v>
      </c>
      <c r="O1594" t="str">
        <f>_xlfn.CONCAT('4L'!$B$78, "-", '4L'!$B$124, "-", '4L'!$H$7, "-", '4L'!$G$6, "-", '4L'!$F$5)</f>
        <v>Other enhancement-Additional line 5-Raw water storage-Water network+-Expenditure in report year</v>
      </c>
    </row>
    <row r="1595" spans="1:15">
      <c r="A1595" t="s">
        <v>639</v>
      </c>
      <c r="B1595" t="str">
        <f>'4L'!$AY$124</f>
        <v>B0288ALO_WT</v>
      </c>
      <c r="D1595" t="str">
        <f>_xlfn.CONCAT('4L'!$B$78, "-", '4L'!$B$124, "-", '4L'!$I$7, "-", '4L'!$G$6, "-", '4L'!$F$5)</f>
        <v>Other enhancement-Additional line 5-Water treatment-Water network+-Expenditure in report year</v>
      </c>
      <c r="E1595" t="str">
        <f>'4L'!$C$124</f>
        <v>Opex</v>
      </c>
      <c r="F1595" t="s">
        <v>682</v>
      </c>
      <c r="G1595" t="str">
        <f>'4L'!$D$124</f>
        <v>£m</v>
      </c>
      <c r="O1595" t="str">
        <f>_xlfn.CONCAT('4L'!$B$78, "-", '4L'!$B$124, "-", '4L'!$I$7, "-", '4L'!$G$6, "-", '4L'!$F$5)</f>
        <v>Other enhancement-Additional line 5-Water treatment-Water network+-Expenditure in report year</v>
      </c>
    </row>
    <row r="1596" spans="1:15">
      <c r="A1596" t="s">
        <v>639</v>
      </c>
      <c r="B1596" t="str">
        <f>'4L'!$AZ$124</f>
        <v>B0288ALO_TWD</v>
      </c>
      <c r="D1596" t="str">
        <f>_xlfn.CONCAT('4L'!$B$78, "-", '4L'!$B$124, "-", '4L'!$J$7, "-", '4L'!$G$6, "-", '4L'!$F$5)</f>
        <v>Other enhancement-Additional line 5-Treated water distribution-Water network+-Expenditure in report year</v>
      </c>
      <c r="E1596" t="str">
        <f>'4L'!$C$124</f>
        <v>Opex</v>
      </c>
      <c r="F1596" t="s">
        <v>682</v>
      </c>
      <c r="G1596" t="str">
        <f>'4L'!$D$124</f>
        <v>£m</v>
      </c>
      <c r="O1596" t="str">
        <f>_xlfn.CONCAT('4L'!$B$78, "-", '4L'!$B$124, "-", '4L'!$J$7, "-", '4L'!$G$6, "-", '4L'!$F$5)</f>
        <v>Other enhancement-Additional line 5-Treated water distribution-Water network+-Expenditure in report year</v>
      </c>
    </row>
    <row r="1597" spans="1:15">
      <c r="A1597" t="s">
        <v>639</v>
      </c>
      <c r="B1597" t="str">
        <f>'4L'!$BA$124</f>
        <v>B0288ALO_TOT</v>
      </c>
      <c r="D1597" t="str">
        <f>_xlfn.CONCAT('4L'!$B$78, "-", '4L'!$B$124, "-", '4L'!$K$6, "-", '4L'!$K$6, "-", '4L'!$F$5)</f>
        <v>Other enhancement-Additional line 5-Total-Total-Expenditure in report year</v>
      </c>
      <c r="E1597" t="str">
        <f>'4L'!$C$124</f>
        <v>Opex</v>
      </c>
      <c r="F1597" t="s">
        <v>682</v>
      </c>
      <c r="G1597" t="str">
        <f>'4L'!$D$124</f>
        <v>£m</v>
      </c>
      <c r="O1597" t="str">
        <f>_xlfn.CONCAT('4L'!$B$78, "-", '4L'!$B$124, "-", '4L'!$K$6, "-", '4L'!$K$6, "-", '4L'!$F$5)</f>
        <v>Other enhancement-Additional line 5-Total-Total-Expenditure in report year</v>
      </c>
    </row>
    <row r="1598" spans="1:15">
      <c r="A1598" t="s">
        <v>639</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682</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639</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682</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639</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682</v>
      </c>
      <c r="G1600" t="str">
        <f>'4L'!$D$124</f>
        <v>£m</v>
      </c>
      <c r="O1600" t="str">
        <f>_xlfn.CONCAT('4L'!$B$78, "-", '4L'!$B$124, "-", '4L'!$T$7, "-", '4L'!$T$5, "-", '4L'!$T$5)</f>
        <v>Other enhancement-Additional line 5-Total-Cumulative allowed expenditure on all schemes 2020-25-Cumulative allowed expenditure on all schemes 2020-25</v>
      </c>
    </row>
    <row r="1601" spans="1:15">
      <c r="A1601" t="s">
        <v>639</v>
      </c>
      <c r="B1601" t="str">
        <f>'4L'!$AV$125</f>
        <v>B0289TET_WR</v>
      </c>
      <c r="D1601" t="str">
        <f>_xlfn.CONCAT('4L'!$B$78, "-", '4L'!$B$125, "-", '4L'!$F$6, "-", '4L'!$F$6, "-", '4L'!$F$5)</f>
        <v>Other enhancement-Total other enhancement expenditure-Water resources-Water resources-Expenditure in report year</v>
      </c>
      <c r="E1601" t="str">
        <f>'4L'!$C$125</f>
        <v>Totex</v>
      </c>
      <c r="F1601" t="s">
        <v>682</v>
      </c>
      <c r="G1601" t="str">
        <f>'4L'!$D$125</f>
        <v>£m</v>
      </c>
      <c r="O1601" t="str">
        <f>_xlfn.CONCAT('4L'!$B$78, "-", '4L'!$B$125, "-", '4L'!$F$6, "-", '4L'!$F$6, "-", '4L'!$F$5)</f>
        <v>Other enhancement-Total other enhancement expenditure-Water resources-Water resources-Expenditure in report year</v>
      </c>
    </row>
    <row r="1602" spans="1:15">
      <c r="A1602" t="s">
        <v>639</v>
      </c>
      <c r="B1602" t="str">
        <f>'4L'!$AW$125</f>
        <v>B0289TET_RWT</v>
      </c>
      <c r="D1602" t="str">
        <f>_xlfn.CONCAT('4L'!$B$78, "-", '4L'!$B$125, "-", '4L'!$G$7, "-", '4L'!$G$6, "-", '4L'!$F$5)</f>
        <v>Other enhancement-Total other enhancement expenditure-Raw water transport-Water network+-Expenditure in report year</v>
      </c>
      <c r="E1602" t="str">
        <f>'4L'!$C$125</f>
        <v>Totex</v>
      </c>
      <c r="F1602" t="s">
        <v>682</v>
      </c>
      <c r="G1602" t="str">
        <f>'4L'!$D$125</f>
        <v>£m</v>
      </c>
      <c r="O1602" t="str">
        <f>_xlfn.CONCAT('4L'!$B$78, "-", '4L'!$B$125, "-", '4L'!$G$7, "-", '4L'!$G$6, "-", '4L'!$F$5)</f>
        <v>Other enhancement-Total other enhancement expenditure-Raw water transport-Water network+-Expenditure in report year</v>
      </c>
    </row>
    <row r="1603" spans="1:15">
      <c r="A1603" t="s">
        <v>639</v>
      </c>
      <c r="B1603" t="str">
        <f>'4L'!$AX$125</f>
        <v>B0289TET_RWS</v>
      </c>
      <c r="D1603" t="str">
        <f>_xlfn.CONCAT('4L'!$B$78, "-", '4L'!$B$125, "-", '4L'!$H$7, "-", '4L'!$G$6, "-", '4L'!$F$5)</f>
        <v>Other enhancement-Total other enhancement expenditure-Raw water storage-Water network+-Expenditure in report year</v>
      </c>
      <c r="E1603" t="str">
        <f>'4L'!$C$125</f>
        <v>Totex</v>
      </c>
      <c r="F1603" t="s">
        <v>682</v>
      </c>
      <c r="G1603" t="str">
        <f>'4L'!$D$125</f>
        <v>£m</v>
      </c>
      <c r="O1603" t="str">
        <f>_xlfn.CONCAT('4L'!$B$78, "-", '4L'!$B$125, "-", '4L'!$H$7, "-", '4L'!$G$6, "-", '4L'!$F$5)</f>
        <v>Other enhancement-Total other enhancement expenditure-Raw water storage-Water network+-Expenditure in report year</v>
      </c>
    </row>
    <row r="1604" spans="1:15">
      <c r="A1604" t="s">
        <v>639</v>
      </c>
      <c r="B1604" t="str">
        <f>'4L'!$AY$125</f>
        <v>B0289TET_WT</v>
      </c>
      <c r="D1604" t="str">
        <f>_xlfn.CONCAT('4L'!$B$78, "-", '4L'!$B$125, "-", '4L'!$I$7, "-", '4L'!$G$6, "-", '4L'!$F$5)</f>
        <v>Other enhancement-Total other enhancement expenditure-Water treatment-Water network+-Expenditure in report year</v>
      </c>
      <c r="E1604" t="str">
        <f>'4L'!$C$125</f>
        <v>Totex</v>
      </c>
      <c r="F1604" t="s">
        <v>682</v>
      </c>
      <c r="G1604" t="str">
        <f>'4L'!$D$125</f>
        <v>£m</v>
      </c>
      <c r="O1604" t="str">
        <f>_xlfn.CONCAT('4L'!$B$78, "-", '4L'!$B$125, "-", '4L'!$I$7, "-", '4L'!$G$6, "-", '4L'!$F$5)</f>
        <v>Other enhancement-Total other enhancement expenditure-Water treatment-Water network+-Expenditure in report year</v>
      </c>
    </row>
    <row r="1605" spans="1:15">
      <c r="A1605" t="s">
        <v>639</v>
      </c>
      <c r="B1605" t="str">
        <f>'4L'!$AZ$125</f>
        <v>B0289TET_TWD</v>
      </c>
      <c r="D1605" t="str">
        <f>_xlfn.CONCAT('4L'!$B$78, "-", '4L'!$B$125, "-", '4L'!$J$7, "-", '4L'!$G$6, "-", '4L'!$F$5)</f>
        <v>Other enhancement-Total other enhancement expenditure-Treated water distribution-Water network+-Expenditure in report year</v>
      </c>
      <c r="E1605" t="str">
        <f>'4L'!$C$125</f>
        <v>Totex</v>
      </c>
      <c r="F1605" t="s">
        <v>682</v>
      </c>
      <c r="G1605" t="str">
        <f>'4L'!$D$125</f>
        <v>£m</v>
      </c>
      <c r="O1605" t="str">
        <f>_xlfn.CONCAT('4L'!$B$78, "-", '4L'!$B$125, "-", '4L'!$J$7, "-", '4L'!$G$6, "-", '4L'!$F$5)</f>
        <v>Other enhancement-Total other enhancement expenditure-Treated water distribution-Water network+-Expenditure in report year</v>
      </c>
    </row>
    <row r="1606" spans="1:15">
      <c r="A1606" t="s">
        <v>639</v>
      </c>
      <c r="B1606" t="str">
        <f>'4L'!$BA$125</f>
        <v>B0289TET_TOT</v>
      </c>
      <c r="D1606" t="str">
        <f>_xlfn.CONCAT('4L'!$B$78, "-", '4L'!$B$125, "-", '4L'!$K$6, "-", '4L'!$K$6, "-", '4L'!$F$5)</f>
        <v>Other enhancement-Total other enhancement expenditure-Total-Total-Expenditure in report year</v>
      </c>
      <c r="E1606" t="str">
        <f>'4L'!$C$125</f>
        <v>Totex</v>
      </c>
      <c r="F1606" t="s">
        <v>682</v>
      </c>
      <c r="G1606" t="str">
        <f>'4L'!$D$125</f>
        <v>£m</v>
      </c>
      <c r="O1606" t="str">
        <f>_xlfn.CONCAT('4L'!$B$78, "-", '4L'!$B$125, "-", '4L'!$K$6, "-", '4L'!$K$6, "-", '4L'!$F$5)</f>
        <v>Other enhancement-Total other enhancement expenditure-Total-Total-Expenditure in report year</v>
      </c>
    </row>
    <row r="1607" spans="1:15">
      <c r="A1607" t="s">
        <v>639</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682</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639</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682</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639</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682</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639</v>
      </c>
      <c r="B1610" t="str">
        <f>'4L'!$AV$128</f>
        <v>B0290TEC_WR</v>
      </c>
      <c r="D1610" t="str">
        <f>_xlfn.CONCAT('4L'!$B$127, "-", '4L'!$B$128, "-", '4L'!$F$6, "-", '4L'!$F$6, "-", '4L'!$F$5)</f>
        <v>Total enhancement-Total enhancement expenditure -Water resources-Water resources-Expenditure in report year</v>
      </c>
      <c r="E1610" t="str">
        <f>'4L'!$C$128</f>
        <v>Capex</v>
      </c>
      <c r="F1610" t="s">
        <v>682</v>
      </c>
      <c r="G1610" t="str">
        <f>'4L'!$D$128</f>
        <v>£m</v>
      </c>
      <c r="O1610" t="str">
        <f>_xlfn.CONCAT('4L'!$B$127, "-", '4L'!$B$128, "-", '4L'!$F$6, "-", '4L'!$F$6, "-", '4L'!$F$5)</f>
        <v>Total enhancement-Total enhancement expenditure -Water resources-Water resources-Expenditure in report year</v>
      </c>
    </row>
    <row r="1611" spans="1:15">
      <c r="A1611" t="s">
        <v>639</v>
      </c>
      <c r="B1611" t="str">
        <f>'4L'!$AW$128</f>
        <v>B0290TEC_RWT</v>
      </c>
      <c r="D1611" t="str">
        <f>_xlfn.CONCAT('4L'!$B$127, "-", '4L'!$B$128, "-", '4L'!$G$7, "-", '4L'!$G$6, "-", '4L'!$F$5)</f>
        <v>Total enhancement-Total enhancement expenditure -Raw water transport-Water network+-Expenditure in report year</v>
      </c>
      <c r="E1611" t="str">
        <f>'4L'!$C$128</f>
        <v>Capex</v>
      </c>
      <c r="F1611" t="s">
        <v>682</v>
      </c>
      <c r="G1611" t="str">
        <f>'4L'!$D$128</f>
        <v>£m</v>
      </c>
      <c r="O1611" t="str">
        <f>_xlfn.CONCAT('4L'!$B$127, "-", '4L'!$B$128, "-", '4L'!$G$7, "-", '4L'!$G$6, "-", '4L'!$F$5)</f>
        <v>Total enhancement-Total enhancement expenditure -Raw water transport-Water network+-Expenditure in report year</v>
      </c>
    </row>
    <row r="1612" spans="1:15">
      <c r="A1612" t="s">
        <v>639</v>
      </c>
      <c r="B1612" t="str">
        <f>'4L'!$AX$128</f>
        <v>B0290TEC_RWS</v>
      </c>
      <c r="D1612" t="str">
        <f>_xlfn.CONCAT('4L'!$B$127, "-", '4L'!$B$128, "-", '4L'!$H$7, "-", '4L'!$G$6, "-", '4L'!$F$5)</f>
        <v>Total enhancement-Total enhancement expenditure -Raw water storage-Water network+-Expenditure in report year</v>
      </c>
      <c r="E1612" t="str">
        <f>'4L'!$C$128</f>
        <v>Capex</v>
      </c>
      <c r="F1612" t="s">
        <v>682</v>
      </c>
      <c r="G1612" t="str">
        <f>'4L'!$D$128</f>
        <v>£m</v>
      </c>
      <c r="O1612" t="str">
        <f>_xlfn.CONCAT('4L'!$B$127, "-", '4L'!$B$128, "-", '4L'!$H$7, "-", '4L'!$G$6, "-", '4L'!$F$5)</f>
        <v>Total enhancement-Total enhancement expenditure -Raw water storage-Water network+-Expenditure in report year</v>
      </c>
    </row>
    <row r="1613" spans="1:15">
      <c r="A1613" t="s">
        <v>639</v>
      </c>
      <c r="B1613" t="str">
        <f>'4L'!$AY$128</f>
        <v>B0290TEC_WT</v>
      </c>
      <c r="D1613" t="str">
        <f>_xlfn.CONCAT('4L'!$B$127, "-", '4L'!$B$128, "-", '4L'!$I$7, "-", '4L'!$G$6, "-", '4L'!$F$5)</f>
        <v>Total enhancement-Total enhancement expenditure -Water treatment-Water network+-Expenditure in report year</v>
      </c>
      <c r="E1613" t="str">
        <f>'4L'!$C$128</f>
        <v>Capex</v>
      </c>
      <c r="F1613" t="s">
        <v>682</v>
      </c>
      <c r="G1613" t="str">
        <f>'4L'!$D$128</f>
        <v>£m</v>
      </c>
      <c r="O1613" t="str">
        <f>_xlfn.CONCAT('4L'!$B$127, "-", '4L'!$B$128, "-", '4L'!$I$7, "-", '4L'!$G$6, "-", '4L'!$F$5)</f>
        <v>Total enhancement-Total enhancement expenditure -Water treatment-Water network+-Expenditure in report year</v>
      </c>
    </row>
    <row r="1614" spans="1:15">
      <c r="A1614" t="s">
        <v>639</v>
      </c>
      <c r="B1614" t="str">
        <f>'4L'!$AZ$128</f>
        <v>B0290TEC_TWD</v>
      </c>
      <c r="D1614" t="str">
        <f>_xlfn.CONCAT('4L'!$B$127, "-", '4L'!$B$128, "-", '4L'!$J$7, "-", '4L'!$G$6, "-", '4L'!$F$5)</f>
        <v>Total enhancement-Total enhancement expenditure -Treated water distribution-Water network+-Expenditure in report year</v>
      </c>
      <c r="E1614" t="str">
        <f>'4L'!$C$128</f>
        <v>Capex</v>
      </c>
      <c r="F1614" t="s">
        <v>682</v>
      </c>
      <c r="G1614" t="str">
        <f>'4L'!$D$128</f>
        <v>£m</v>
      </c>
      <c r="O1614" t="str">
        <f>_xlfn.CONCAT('4L'!$B$127, "-", '4L'!$B$128, "-", '4L'!$J$7, "-", '4L'!$G$6, "-", '4L'!$F$5)</f>
        <v>Total enhancement-Total enhancement expenditure -Treated water distribution-Water network+-Expenditure in report year</v>
      </c>
    </row>
    <row r="1615" spans="1:15">
      <c r="A1615" t="s">
        <v>639</v>
      </c>
      <c r="B1615" t="str">
        <f>'4L'!$BA$128</f>
        <v>B0290TEC_TOT</v>
      </c>
      <c r="D1615" t="str">
        <f>_xlfn.CONCAT('4L'!$B$127, "-", '4L'!$B$128, "-", '4L'!$K$6, "-", '4L'!$K$6, "-", '4L'!$F$5)</f>
        <v>Total enhancement-Total enhancement expenditure -Total-Total-Expenditure in report year</v>
      </c>
      <c r="E1615" t="str">
        <f>'4L'!$C$128</f>
        <v>Capex</v>
      </c>
      <c r="F1615" t="s">
        <v>682</v>
      </c>
      <c r="G1615" t="str">
        <f>'4L'!$D$128</f>
        <v>£m</v>
      </c>
      <c r="O1615" t="str">
        <f>_xlfn.CONCAT('4L'!$B$127, "-", '4L'!$B$128, "-", '4L'!$K$6, "-", '4L'!$K$6, "-", '4L'!$F$5)</f>
        <v>Total enhancement-Total enhancement expenditure -Total-Total-Expenditure in report year</v>
      </c>
    </row>
    <row r="1616" spans="1:15">
      <c r="A1616" t="s">
        <v>639</v>
      </c>
      <c r="B1616" t="str">
        <f>'4L'!$AV$129</f>
        <v>B0291TEO_WR</v>
      </c>
      <c r="D1616" t="str">
        <f>_xlfn.CONCAT('4L'!$B$127, "-", '4L'!$B$129, "-", '4L'!$F$6, "-", '4L'!$F$6, "-", '4L'!$F$5)</f>
        <v>Total enhancement-Total enhancement expenditure -Water resources-Water resources-Expenditure in report year</v>
      </c>
      <c r="E1616" t="str">
        <f>'4L'!$C$129</f>
        <v>Opex</v>
      </c>
      <c r="F1616" t="s">
        <v>682</v>
      </c>
      <c r="G1616" t="str">
        <f>'4L'!$D$129</f>
        <v>£m</v>
      </c>
      <c r="O1616" t="str">
        <f>_xlfn.CONCAT('4L'!$B$127, "-", '4L'!$B$129, "-", '4L'!$F$6, "-", '4L'!$F$6, "-", '4L'!$F$5)</f>
        <v>Total enhancement-Total enhancement expenditure -Water resources-Water resources-Expenditure in report year</v>
      </c>
    </row>
    <row r="1617" spans="1:15">
      <c r="A1617" t="s">
        <v>639</v>
      </c>
      <c r="B1617" t="str">
        <f>'4L'!$AW$129</f>
        <v>B0291TEO_RWT</v>
      </c>
      <c r="D1617" t="str">
        <f>_xlfn.CONCAT('4L'!$B$127, "-", '4L'!$B$129, "-", '4L'!$G$7, "-", '4L'!$G$6, "-", '4L'!$F$5)</f>
        <v>Total enhancement-Total enhancement expenditure -Raw water transport-Water network+-Expenditure in report year</v>
      </c>
      <c r="E1617" t="str">
        <f>'4L'!$C$129</f>
        <v>Opex</v>
      </c>
      <c r="F1617" t="s">
        <v>682</v>
      </c>
      <c r="G1617" t="str">
        <f>'4L'!$D$129</f>
        <v>£m</v>
      </c>
      <c r="O1617" t="str">
        <f>_xlfn.CONCAT('4L'!$B$127, "-", '4L'!$B$129, "-", '4L'!$G$7, "-", '4L'!$G$6, "-", '4L'!$F$5)</f>
        <v>Total enhancement-Total enhancement expenditure -Raw water transport-Water network+-Expenditure in report year</v>
      </c>
    </row>
    <row r="1618" spans="1:15">
      <c r="A1618" t="s">
        <v>639</v>
      </c>
      <c r="B1618" t="str">
        <f>'4L'!$AX$129</f>
        <v>B0291TEO_RWS</v>
      </c>
      <c r="D1618" t="str">
        <f>_xlfn.CONCAT('4L'!$B$127, "-", '4L'!$B$129, "-", '4L'!$H$7, "-", '4L'!$G$6, "-", '4L'!$F$5)</f>
        <v>Total enhancement-Total enhancement expenditure -Raw water storage-Water network+-Expenditure in report year</v>
      </c>
      <c r="E1618" t="str">
        <f>'4L'!$C$129</f>
        <v>Opex</v>
      </c>
      <c r="F1618" t="s">
        <v>682</v>
      </c>
      <c r="G1618" t="str">
        <f>'4L'!$D$129</f>
        <v>£m</v>
      </c>
      <c r="O1618" t="str">
        <f>_xlfn.CONCAT('4L'!$B$127, "-", '4L'!$B$129, "-", '4L'!$H$7, "-", '4L'!$G$6, "-", '4L'!$F$5)</f>
        <v>Total enhancement-Total enhancement expenditure -Raw water storage-Water network+-Expenditure in report year</v>
      </c>
    </row>
    <row r="1619" spans="1:15">
      <c r="A1619" t="s">
        <v>639</v>
      </c>
      <c r="B1619" t="str">
        <f>'4L'!$AY$129</f>
        <v>B0291TEO_WT</v>
      </c>
      <c r="D1619" t="str">
        <f>_xlfn.CONCAT('4L'!$B$127, "-", '4L'!$B$129, "-", '4L'!$I$7, "-", '4L'!$G$6, "-", '4L'!$F$5)</f>
        <v>Total enhancement-Total enhancement expenditure -Water treatment-Water network+-Expenditure in report year</v>
      </c>
      <c r="E1619" t="str">
        <f>'4L'!$C$129</f>
        <v>Opex</v>
      </c>
      <c r="F1619" t="s">
        <v>682</v>
      </c>
      <c r="G1619" t="str">
        <f>'4L'!$D$129</f>
        <v>£m</v>
      </c>
      <c r="O1619" t="str">
        <f>_xlfn.CONCAT('4L'!$B$127, "-", '4L'!$B$129, "-", '4L'!$I$7, "-", '4L'!$G$6, "-", '4L'!$F$5)</f>
        <v>Total enhancement-Total enhancement expenditure -Water treatment-Water network+-Expenditure in report year</v>
      </c>
    </row>
    <row r="1620" spans="1:15">
      <c r="A1620" t="s">
        <v>639</v>
      </c>
      <c r="B1620" t="str">
        <f>'4L'!$AZ$129</f>
        <v>B0291TEO_TWD</v>
      </c>
      <c r="D1620" t="str">
        <f>_xlfn.CONCAT('4L'!$B$127, "-", '4L'!$B$129, "-", '4L'!$J$7, "-", '4L'!$G$6, "-", '4L'!$F$5)</f>
        <v>Total enhancement-Total enhancement expenditure -Treated water distribution-Water network+-Expenditure in report year</v>
      </c>
      <c r="E1620" t="str">
        <f>'4L'!$C$129</f>
        <v>Opex</v>
      </c>
      <c r="F1620" t="s">
        <v>682</v>
      </c>
      <c r="G1620" t="str">
        <f>'4L'!$D$129</f>
        <v>£m</v>
      </c>
      <c r="O1620" t="str">
        <f>_xlfn.CONCAT('4L'!$B$127, "-", '4L'!$B$129, "-", '4L'!$J$7, "-", '4L'!$G$6, "-", '4L'!$F$5)</f>
        <v>Total enhancement-Total enhancement expenditure -Treated water distribution-Water network+-Expenditure in report year</v>
      </c>
    </row>
    <row r="1621" spans="1:15">
      <c r="A1621" t="s">
        <v>639</v>
      </c>
      <c r="B1621" t="str">
        <f>'4L'!$BA$129</f>
        <v>B0291TEO_TOT</v>
      </c>
      <c r="D1621" t="str">
        <f>_xlfn.CONCAT('4L'!$B$127, "-", '4L'!$B$129, "-", '4L'!$K$6, "-", '4L'!$K$6, "-", '4L'!$F$5)</f>
        <v>Total enhancement-Total enhancement expenditure -Total-Total-Expenditure in report year</v>
      </c>
      <c r="E1621" t="str">
        <f>'4L'!$C$129</f>
        <v>Opex</v>
      </c>
      <c r="F1621" t="s">
        <v>682</v>
      </c>
      <c r="G1621" t="str">
        <f>'4L'!$D$129</f>
        <v>£m</v>
      </c>
      <c r="O1621" t="str">
        <f>_xlfn.CONCAT('4L'!$B$127, "-", '4L'!$B$129, "-", '4L'!$K$6, "-", '4L'!$K$6, "-", '4L'!$F$5)</f>
        <v>Total enhancement-Total enhancement expenditure -Total-Total-Expenditure in report year</v>
      </c>
    </row>
    <row r="1622" spans="1:15">
      <c r="A1622" t="s">
        <v>639</v>
      </c>
      <c r="B1622" t="str">
        <f>'4L'!$AV$130</f>
        <v>B0292TET_WR</v>
      </c>
      <c r="D1622" t="str">
        <f>_xlfn.CONCAT('4L'!$B$127, "-", '4L'!$B$130, "-", '4L'!$F$6, "-", '4L'!$F$6, "-", '4L'!$F$5)</f>
        <v>Total enhancement-Total enhancement expenditure -Water resources-Water resources-Expenditure in report year</v>
      </c>
      <c r="E1622" t="str">
        <f>'4L'!$C$130</f>
        <v>Totex</v>
      </c>
      <c r="F1622" t="s">
        <v>682</v>
      </c>
      <c r="G1622" t="str">
        <f>'4L'!$D$130</f>
        <v>£m</v>
      </c>
      <c r="O1622" t="str">
        <f>_xlfn.CONCAT('4L'!$B$127, "-", '4L'!$B$130, "-", '4L'!$F$6, "-", '4L'!$F$6, "-", '4L'!$F$5)</f>
        <v>Total enhancement-Total enhancement expenditure -Water resources-Water resources-Expenditure in report year</v>
      </c>
    </row>
    <row r="1623" spans="1:15">
      <c r="A1623" t="s">
        <v>639</v>
      </c>
      <c r="B1623" t="str">
        <f>'4L'!$AW$130</f>
        <v>B0292TET_RWT</v>
      </c>
      <c r="D1623" t="str">
        <f>_xlfn.CONCAT('4L'!$B$127, "-", '4L'!$B$130, "-", '4L'!$G$7, "-", '4L'!$G$6, "-", '4L'!$F$5)</f>
        <v>Total enhancement-Total enhancement expenditure -Raw water transport-Water network+-Expenditure in report year</v>
      </c>
      <c r="E1623" t="str">
        <f>'4L'!$C$130</f>
        <v>Totex</v>
      </c>
      <c r="F1623" t="s">
        <v>682</v>
      </c>
      <c r="G1623" t="str">
        <f>'4L'!$D$130</f>
        <v>£m</v>
      </c>
      <c r="O1623" t="str">
        <f>_xlfn.CONCAT('4L'!$B$127, "-", '4L'!$B$130, "-", '4L'!$G$7, "-", '4L'!$G$6, "-", '4L'!$F$5)</f>
        <v>Total enhancement-Total enhancement expenditure -Raw water transport-Water network+-Expenditure in report year</v>
      </c>
    </row>
    <row r="1624" spans="1:15">
      <c r="A1624" t="s">
        <v>639</v>
      </c>
      <c r="B1624" t="str">
        <f>'4L'!$AX$130</f>
        <v>B0292TET_RWS</v>
      </c>
      <c r="D1624" t="str">
        <f>_xlfn.CONCAT('4L'!$B$127, "-", '4L'!$B$130, "-", '4L'!$H$7, "-", '4L'!$G$6, "-", '4L'!$F$5)</f>
        <v>Total enhancement-Total enhancement expenditure -Raw water storage-Water network+-Expenditure in report year</v>
      </c>
      <c r="E1624" t="str">
        <f>'4L'!$C$130</f>
        <v>Totex</v>
      </c>
      <c r="F1624" t="s">
        <v>682</v>
      </c>
      <c r="G1624" t="str">
        <f>'4L'!$D$130</f>
        <v>£m</v>
      </c>
      <c r="O1624" t="str">
        <f>_xlfn.CONCAT('4L'!$B$127, "-", '4L'!$B$130, "-", '4L'!$H$7, "-", '4L'!$G$6, "-", '4L'!$F$5)</f>
        <v>Total enhancement-Total enhancement expenditure -Raw water storage-Water network+-Expenditure in report year</v>
      </c>
    </row>
    <row r="1625" spans="1:15">
      <c r="A1625" t="s">
        <v>639</v>
      </c>
      <c r="B1625" t="str">
        <f>'4L'!$AY$130</f>
        <v>B0292TET_WT</v>
      </c>
      <c r="D1625" t="str">
        <f>_xlfn.CONCAT('4L'!$B$127, "-", '4L'!$B$130, "-", '4L'!$I$7, "-", '4L'!$G$6, "-", '4L'!$F$5)</f>
        <v>Total enhancement-Total enhancement expenditure -Water treatment-Water network+-Expenditure in report year</v>
      </c>
      <c r="E1625" t="str">
        <f>'4L'!$C$130</f>
        <v>Totex</v>
      </c>
      <c r="F1625" t="s">
        <v>682</v>
      </c>
      <c r="G1625" t="str">
        <f>'4L'!$D$130</f>
        <v>£m</v>
      </c>
      <c r="O1625" t="str">
        <f>_xlfn.CONCAT('4L'!$B$127, "-", '4L'!$B$130, "-", '4L'!$I$7, "-", '4L'!$G$6, "-", '4L'!$F$5)</f>
        <v>Total enhancement-Total enhancement expenditure -Water treatment-Water network+-Expenditure in report year</v>
      </c>
    </row>
    <row r="1626" spans="1:15">
      <c r="A1626" t="s">
        <v>639</v>
      </c>
      <c r="B1626" t="str">
        <f>'4L'!$AZ$130</f>
        <v>B0292TET_TWD</v>
      </c>
      <c r="D1626" t="str">
        <f>_xlfn.CONCAT('4L'!$B$127, "-", '4L'!$B$130, "-", '4L'!$J$7, "-", '4L'!$G$6, "-", '4L'!$F$5)</f>
        <v>Total enhancement-Total enhancement expenditure -Treated water distribution-Water network+-Expenditure in report year</v>
      </c>
      <c r="E1626" t="str">
        <f>'4L'!$C$130</f>
        <v>Totex</v>
      </c>
      <c r="F1626" t="s">
        <v>682</v>
      </c>
      <c r="G1626" t="str">
        <f>'4L'!$D$130</f>
        <v>£m</v>
      </c>
      <c r="O1626" t="str">
        <f>_xlfn.CONCAT('4L'!$B$127, "-", '4L'!$B$130, "-", '4L'!$J$7, "-", '4L'!$G$6, "-", '4L'!$F$5)</f>
        <v>Total enhancement-Total enhancement expenditure -Treated water distribution-Water network+-Expenditure in report year</v>
      </c>
    </row>
    <row r="1627" spans="1:15">
      <c r="A1627" t="s">
        <v>639</v>
      </c>
      <c r="B1627" t="str">
        <f>'4L'!$BA$130</f>
        <v>B0292TET_TOT</v>
      </c>
      <c r="D1627" t="str">
        <f>_xlfn.CONCAT('4L'!$B$127, "-", '4L'!$B$130, "-", '4L'!$K$6, "-", '4L'!$K$6, "-", '4L'!$F$5)</f>
        <v>Total enhancement-Total enhancement expenditure -Total-Total-Expenditure in report year</v>
      </c>
      <c r="E1627" t="str">
        <f>'4L'!$C$130</f>
        <v>Totex</v>
      </c>
      <c r="F1627" t="s">
        <v>682</v>
      </c>
      <c r="G1627" t="str">
        <f>'4L'!$D$130</f>
        <v>£m</v>
      </c>
      <c r="O1627" t="str">
        <f>_xlfn.CONCAT('4L'!$B$127, "-", '4L'!$B$130, "-", '4L'!$K$6, "-", '4L'!$K$6, "-", '4L'!$F$5)</f>
        <v>Total enhancement-Total enhancement expenditure -Total-Total-Expenditure in report year</v>
      </c>
    </row>
    <row r="1628" spans="1:15">
      <c r="A1628" t="s">
        <v>639</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682</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639</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682</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639</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682</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643</v>
      </c>
      <c r="B1631" t="str">
        <f>'4M'!$BH$10</f>
        <v>B0293CDC_F</v>
      </c>
      <c r="D1631" t="str">
        <f>_xlfn.CONCAT('4M'!$B$9, "-", '4M'!$B$10, "-", '4M'!$F$7, "-", '4M'!$F$6, "-", '4M'!$F$5)</f>
        <v>EA/NRW environmental programme (WINEP/NEP)-Conservation drivers-Foul-Wastewater network+ -Expenditure in report year</v>
      </c>
      <c r="E1631" t="str">
        <f>'4M'!$C$10</f>
        <v>Capex</v>
      </c>
      <c r="F1631" t="s">
        <v>682</v>
      </c>
      <c r="G1631" t="str">
        <f>'4M'!$D$10</f>
        <v>£m</v>
      </c>
      <c r="O1631" t="str">
        <f>_xlfn.CONCAT('4M'!$B$9, "-", '4M'!$B$10, "-", '4M'!$F$7, "-", '4M'!$F$6, "-", '4M'!$F$5)</f>
        <v>EA/NRW environmental programme (WINEP/NEP)-Conservation drivers-Foul-Wastewater network+ -Expenditure in report year</v>
      </c>
    </row>
    <row r="1632" spans="1:15">
      <c r="A1632" t="s">
        <v>643</v>
      </c>
      <c r="B1632" t="str">
        <f>'4M'!$BI$10</f>
        <v>B0293CDC_SWD</v>
      </c>
      <c r="D1632" t="str">
        <f>_xlfn.CONCAT('4M'!$B$9, "-", '4M'!$B$10, "-", '4M'!$G$7, "-", '4M'!$F$6, "-", '4M'!$F$5)</f>
        <v>EA/NRW environmental programme (WINEP/NEP)-Conservation drivers-Surface water drainage-Wastewater network+ -Expenditure in report year</v>
      </c>
      <c r="E1632" t="str">
        <f>'4M'!$C$10</f>
        <v>Capex</v>
      </c>
      <c r="F1632" t="s">
        <v>682</v>
      </c>
      <c r="G1632" t="str">
        <f>'4M'!$D$10</f>
        <v>£m</v>
      </c>
      <c r="O1632" t="str">
        <f>_xlfn.CONCAT('4M'!$B$9, "-", '4M'!$B$10, "-", '4M'!$G$7, "-", '4M'!$F$6, "-", '4M'!$F$5)</f>
        <v>EA/NRW environmental programme (WINEP/NEP)-Conservation drivers-Surface water drainage-Wastewater network+ -Expenditure in report year</v>
      </c>
    </row>
    <row r="1633" spans="1:15">
      <c r="A1633" t="s">
        <v>643</v>
      </c>
      <c r="B1633" t="str">
        <f>'4M'!$BJ$10</f>
        <v>B0293CDC_HD</v>
      </c>
      <c r="D1633" t="str">
        <f>_xlfn.CONCAT('4M'!$B$9, "-", '4M'!$B$10, "-", '4M'!$H$7, "-", '4M'!$F$6, "-", '4M'!$F$5)</f>
        <v>EA/NRW environmental programme (WINEP/NEP)-Conservation drivers-Highway drainage-Wastewater network+ -Expenditure in report year</v>
      </c>
      <c r="E1633" t="str">
        <f>'4M'!$C$10</f>
        <v>Capex</v>
      </c>
      <c r="F1633" t="s">
        <v>682</v>
      </c>
      <c r="G1633" t="str">
        <f>'4M'!$D$10</f>
        <v>£m</v>
      </c>
      <c r="O1633" t="str">
        <f>_xlfn.CONCAT('4M'!$B$9, "-", '4M'!$B$10, "-", '4M'!$H$7, "-", '4M'!$F$6, "-", '4M'!$F$5)</f>
        <v>EA/NRW environmental programme (WINEP/NEP)-Conservation drivers-Highway drainage-Wastewater network+ -Expenditure in report year</v>
      </c>
    </row>
    <row r="1634" spans="1:15">
      <c r="A1634" t="s">
        <v>643</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682</v>
      </c>
      <c r="G1634" t="str">
        <f>'4M'!$D$10</f>
        <v>£m</v>
      </c>
      <c r="O1634" t="str">
        <f>_xlfn.CONCAT('4M'!$B$9, "-", '4M'!$B$10, "-", '4M'!$I$7, "-", '4M'!$F$6, "-", '4M'!$F$5)</f>
        <v>EA/NRW environmental programme (WINEP/NEP)-Conservation drivers-Sewage treatment and disposal-Wastewater network+ -Expenditure in report year</v>
      </c>
    </row>
    <row r="1635" spans="1:15">
      <c r="A1635" t="s">
        <v>643</v>
      </c>
      <c r="B1635" t="str">
        <f>'4M'!$BL$10</f>
        <v>B0293CDC_SLT</v>
      </c>
      <c r="D1635" t="str">
        <f>_xlfn.CONCAT('4M'!$B$9, "-", '4M'!$B$10, "-", '4M'!$J$7, "-", '4M'!$F$6, "-", '4M'!$F$5)</f>
        <v>EA/NRW environmental programme (WINEP/NEP)-Conservation drivers-Sludge liquor treatment-Wastewater network+ -Expenditure in report year</v>
      </c>
      <c r="E1635" t="str">
        <f>'4M'!$C$10</f>
        <v>Capex</v>
      </c>
      <c r="F1635" t="s">
        <v>682</v>
      </c>
      <c r="G1635" t="str">
        <f>'4M'!$D$10</f>
        <v>£m</v>
      </c>
      <c r="O1635" t="str">
        <f>_xlfn.CONCAT('4M'!$B$9, "-", '4M'!$B$10, "-", '4M'!$J$7, "-", '4M'!$F$6, "-", '4M'!$F$5)</f>
        <v>EA/NRW environmental programme (WINEP/NEP)-Conservation drivers-Sludge liquor treatment-Wastewater network+ -Expenditure in report year</v>
      </c>
    </row>
    <row r="1636" spans="1:15">
      <c r="A1636" t="s">
        <v>643</v>
      </c>
      <c r="B1636" t="str">
        <f>'4M'!$BM$10</f>
        <v>B0293CDC_STP</v>
      </c>
      <c r="D1636" t="str">
        <f>_xlfn.CONCAT('4M'!$B$9, "-", '4M'!$B$10, "-", '4M'!$K$7, "-", '4M'!$K$6, "-", '4M'!$F$5)</f>
        <v>EA/NRW environmental programme (WINEP/NEP)-Conservation drivers-Sludge transport-Bioresources-Expenditure in report year</v>
      </c>
      <c r="E1636" t="str">
        <f>'4M'!$C$10</f>
        <v>Capex</v>
      </c>
      <c r="F1636" t="s">
        <v>682</v>
      </c>
      <c r="G1636" t="str">
        <f>'4M'!$D$10</f>
        <v>£m</v>
      </c>
      <c r="O1636" t="str">
        <f>_xlfn.CONCAT('4M'!$B$9, "-", '4M'!$B$10, "-", '4M'!$K$7, "-", '4M'!$K$6, "-", '4M'!$F$5)</f>
        <v>EA/NRW environmental programme (WINEP/NEP)-Conservation drivers-Sludge transport-Bioresources-Expenditure in report year</v>
      </c>
    </row>
    <row r="1637" spans="1:15">
      <c r="A1637" t="s">
        <v>643</v>
      </c>
      <c r="B1637" t="str">
        <f>'4M'!$BN$10</f>
        <v>B0293CDC_SDT</v>
      </c>
      <c r="D1637" t="str">
        <f>_xlfn.CONCAT('4M'!$B$9, "-", '4M'!$B$10, "-", '4M'!$L$7, "-", '4M'!$K$6, "-", '4M'!$F$5)</f>
        <v>EA/NRW environmental programme (WINEP/NEP)-Conservation drivers-Sludge treatment-Bioresources-Expenditure in report year</v>
      </c>
      <c r="E1637" t="str">
        <f>'4M'!$C$10</f>
        <v>Capex</v>
      </c>
      <c r="F1637" t="s">
        <v>682</v>
      </c>
      <c r="G1637" t="str">
        <f>'4M'!$D$10</f>
        <v>£m</v>
      </c>
      <c r="O1637" t="str">
        <f>_xlfn.CONCAT('4M'!$B$9, "-", '4M'!$B$10, "-", '4M'!$L$7, "-", '4M'!$K$6, "-", '4M'!$F$5)</f>
        <v>EA/NRW environmental programme (WINEP/NEP)-Conservation drivers-Sludge treatment-Bioresources-Expenditure in report year</v>
      </c>
    </row>
    <row r="1638" spans="1:15">
      <c r="A1638" t="s">
        <v>643</v>
      </c>
      <c r="B1638" t="str">
        <f>'4M'!$BO$10</f>
        <v>B0293CDC_SD</v>
      </c>
      <c r="D1638" t="str">
        <f>_xlfn.CONCAT('4M'!$B$9, "-", '4M'!$B$10, "-", '4M'!$M$7, "-", '4M'!$K$6, "-", '4M'!$F$5)</f>
        <v>EA/NRW environmental programme (WINEP/NEP)-Conservation drivers-Sludge disposal-Bioresources-Expenditure in report year</v>
      </c>
      <c r="E1638" t="str">
        <f>'4M'!$C$10</f>
        <v>Capex</v>
      </c>
      <c r="F1638" t="s">
        <v>682</v>
      </c>
      <c r="G1638" t="str">
        <f>'4M'!$D$10</f>
        <v>£m</v>
      </c>
      <c r="O1638" t="str">
        <f>_xlfn.CONCAT('4M'!$B$9, "-", '4M'!$B$10, "-", '4M'!$M$7, "-", '4M'!$K$6, "-", '4M'!$F$5)</f>
        <v>EA/NRW environmental programme (WINEP/NEP)-Conservation drivers-Sludge disposal-Bioresources-Expenditure in report year</v>
      </c>
    </row>
    <row r="1639" spans="1:15">
      <c r="A1639" t="s">
        <v>643</v>
      </c>
      <c r="B1639" t="str">
        <f>'4M'!$BP$10</f>
        <v>B0293CDC_TOT</v>
      </c>
      <c r="D1639" t="str">
        <f>_xlfn.CONCAT('4M'!$B$9, "-", '4M'!$B$10, "-", '4M'!$N$6, "-", '4M'!$N$6, "-", '4M'!$F$5)</f>
        <v>EA/NRW environmental programme (WINEP/NEP)-Conservation drivers-Total-Total-Expenditure in report year</v>
      </c>
      <c r="E1639" t="str">
        <f>'4M'!$C$10</f>
        <v>Capex</v>
      </c>
      <c r="F1639" t="s">
        <v>682</v>
      </c>
      <c r="G1639" t="str">
        <f>'4M'!$D$10</f>
        <v>£m</v>
      </c>
      <c r="O1639" t="str">
        <f>_xlfn.CONCAT('4M'!$B$9, "-", '4M'!$B$10, "-", '4M'!$N$6, "-", '4M'!$N$6, "-", '4M'!$F$5)</f>
        <v>EA/NRW environmental programme (WINEP/NEP)-Conservation drivers-Total-Total-Expenditure in report year</v>
      </c>
    </row>
    <row r="1640" spans="1:15">
      <c r="A1640" t="s">
        <v>643</v>
      </c>
      <c r="B1640" t="str">
        <f>'4M'!$BH$11</f>
        <v>B0294CDO_F</v>
      </c>
      <c r="D1640" t="str">
        <f>_xlfn.CONCAT('4M'!$B$9, "-", '4M'!$B$11, "-", '4M'!$F$7, "-", '4M'!$F$6, "-", '4M'!$F$5)</f>
        <v>EA/NRW environmental programme (WINEP/NEP)-Conservation drivers-Foul-Wastewater network+ -Expenditure in report year</v>
      </c>
      <c r="E1640" t="str">
        <f>'4M'!$C$11</f>
        <v>Opex</v>
      </c>
      <c r="F1640" t="s">
        <v>682</v>
      </c>
      <c r="G1640" t="str">
        <f>'4M'!$D$11</f>
        <v>£m</v>
      </c>
      <c r="O1640" t="str">
        <f>_xlfn.CONCAT('4M'!$B$9, "-", '4M'!$B$11, "-", '4M'!$F$7, "-", '4M'!$F$6, "-", '4M'!$F$5)</f>
        <v>EA/NRW environmental programme (WINEP/NEP)-Conservation drivers-Foul-Wastewater network+ -Expenditure in report year</v>
      </c>
    </row>
    <row r="1641" spans="1:15">
      <c r="A1641" t="s">
        <v>643</v>
      </c>
      <c r="B1641" t="str">
        <f>'4M'!$BI$11</f>
        <v>B0294CDO_SWD</v>
      </c>
      <c r="D1641" t="str">
        <f>_xlfn.CONCAT('4M'!$B$9, "-", '4M'!$B$11, "-", '4M'!$G$7, "-", '4M'!$F$6, "-", '4M'!$F$5)</f>
        <v>EA/NRW environmental programme (WINEP/NEP)-Conservation drivers-Surface water drainage-Wastewater network+ -Expenditure in report year</v>
      </c>
      <c r="E1641" t="str">
        <f>'4M'!$C$11</f>
        <v>Opex</v>
      </c>
      <c r="F1641" t="s">
        <v>682</v>
      </c>
      <c r="G1641" t="str">
        <f>'4M'!$D$11</f>
        <v>£m</v>
      </c>
      <c r="O1641" t="str">
        <f>_xlfn.CONCAT('4M'!$B$9, "-", '4M'!$B$11, "-", '4M'!$G$7, "-", '4M'!$F$6, "-", '4M'!$F$5)</f>
        <v>EA/NRW environmental programme (WINEP/NEP)-Conservation drivers-Surface water drainage-Wastewater network+ -Expenditure in report year</v>
      </c>
    </row>
    <row r="1642" spans="1:15">
      <c r="A1642" t="s">
        <v>643</v>
      </c>
      <c r="B1642" t="str">
        <f>'4M'!$BJ$11</f>
        <v>B0294CDO_HD</v>
      </c>
      <c r="D1642" t="str">
        <f>_xlfn.CONCAT('4M'!$B$9, "-", '4M'!$B$11, "-", '4M'!$H$7, "-", '4M'!$F$6, "-", '4M'!$F$5)</f>
        <v>EA/NRW environmental programme (WINEP/NEP)-Conservation drivers-Highway drainage-Wastewater network+ -Expenditure in report year</v>
      </c>
      <c r="E1642" t="str">
        <f>'4M'!$C$11</f>
        <v>Opex</v>
      </c>
      <c r="F1642" t="s">
        <v>682</v>
      </c>
      <c r="G1642" t="str">
        <f>'4M'!$D$11</f>
        <v>£m</v>
      </c>
      <c r="O1642" t="str">
        <f>_xlfn.CONCAT('4M'!$B$9, "-", '4M'!$B$11, "-", '4M'!$H$7, "-", '4M'!$F$6, "-", '4M'!$F$5)</f>
        <v>EA/NRW environmental programme (WINEP/NEP)-Conservation drivers-Highway drainage-Wastewater network+ -Expenditure in report year</v>
      </c>
    </row>
    <row r="1643" spans="1:15">
      <c r="A1643" t="s">
        <v>643</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682</v>
      </c>
      <c r="G1643" t="str">
        <f>'4M'!$D$11</f>
        <v>£m</v>
      </c>
      <c r="O1643" t="str">
        <f>_xlfn.CONCAT('4M'!$B$9, "-", '4M'!$B$11, "-", '4M'!$I$7, "-", '4M'!$F$6, "-", '4M'!$F$5)</f>
        <v>EA/NRW environmental programme (WINEP/NEP)-Conservation drivers-Sewage treatment and disposal-Wastewater network+ -Expenditure in report year</v>
      </c>
    </row>
    <row r="1644" spans="1:15">
      <c r="A1644" t="s">
        <v>643</v>
      </c>
      <c r="B1644" t="str">
        <f>'4M'!$BL$11</f>
        <v>B0294CDO_SLT</v>
      </c>
      <c r="D1644" t="str">
        <f>_xlfn.CONCAT('4M'!$B$9, "-", '4M'!$B$11, "-", '4M'!$J$7, "-", '4M'!$F$6, "-", '4M'!$F$5)</f>
        <v>EA/NRW environmental programme (WINEP/NEP)-Conservation drivers-Sludge liquor treatment-Wastewater network+ -Expenditure in report year</v>
      </c>
      <c r="E1644" t="str">
        <f>'4M'!$C$11</f>
        <v>Opex</v>
      </c>
      <c r="F1644" t="s">
        <v>682</v>
      </c>
      <c r="G1644" t="str">
        <f>'4M'!$D$11</f>
        <v>£m</v>
      </c>
      <c r="O1644" t="str">
        <f>_xlfn.CONCAT('4M'!$B$9, "-", '4M'!$B$11, "-", '4M'!$J$7, "-", '4M'!$F$6, "-", '4M'!$F$5)</f>
        <v>EA/NRW environmental programme (WINEP/NEP)-Conservation drivers-Sludge liquor treatment-Wastewater network+ -Expenditure in report year</v>
      </c>
    </row>
    <row r="1645" spans="1:15">
      <c r="A1645" t="s">
        <v>643</v>
      </c>
      <c r="B1645" t="str">
        <f>'4M'!$BM$11</f>
        <v>B0294CDO_STP</v>
      </c>
      <c r="D1645" t="str">
        <f>_xlfn.CONCAT('4M'!$B$9, "-", '4M'!$B$11, "-", '4M'!$K$7, "-", '4M'!$K$6, "-", '4M'!$F$5)</f>
        <v>EA/NRW environmental programme (WINEP/NEP)-Conservation drivers-Sludge transport-Bioresources-Expenditure in report year</v>
      </c>
      <c r="E1645" t="str">
        <f>'4M'!$C$11</f>
        <v>Opex</v>
      </c>
      <c r="F1645" t="s">
        <v>682</v>
      </c>
      <c r="G1645" t="str">
        <f>'4M'!$D$11</f>
        <v>£m</v>
      </c>
      <c r="O1645" t="str">
        <f>_xlfn.CONCAT('4M'!$B$9, "-", '4M'!$B$11, "-", '4M'!$K$7, "-", '4M'!$K$6, "-", '4M'!$F$5)</f>
        <v>EA/NRW environmental programme (WINEP/NEP)-Conservation drivers-Sludge transport-Bioresources-Expenditure in report year</v>
      </c>
    </row>
    <row r="1646" spans="1:15">
      <c r="A1646" t="s">
        <v>643</v>
      </c>
      <c r="B1646" t="str">
        <f>'4M'!$BN$11</f>
        <v>B0294CDO_SDT</v>
      </c>
      <c r="D1646" t="str">
        <f>_xlfn.CONCAT('4M'!$B$9, "-", '4M'!$B$11, "-", '4M'!$L$7, "-", '4M'!$K$6, "-", '4M'!$F$5)</f>
        <v>EA/NRW environmental programme (WINEP/NEP)-Conservation drivers-Sludge treatment-Bioresources-Expenditure in report year</v>
      </c>
      <c r="E1646" t="str">
        <f>'4M'!$C$11</f>
        <v>Opex</v>
      </c>
      <c r="F1646" t="s">
        <v>682</v>
      </c>
      <c r="G1646" t="str">
        <f>'4M'!$D$11</f>
        <v>£m</v>
      </c>
      <c r="O1646" t="str">
        <f>_xlfn.CONCAT('4M'!$B$9, "-", '4M'!$B$11, "-", '4M'!$L$7, "-", '4M'!$K$6, "-", '4M'!$F$5)</f>
        <v>EA/NRW environmental programme (WINEP/NEP)-Conservation drivers-Sludge treatment-Bioresources-Expenditure in report year</v>
      </c>
    </row>
    <row r="1647" spans="1:15">
      <c r="A1647" t="s">
        <v>643</v>
      </c>
      <c r="B1647" t="str">
        <f>'4M'!$BO$11</f>
        <v>B0294CDO_SD</v>
      </c>
      <c r="D1647" t="str">
        <f>_xlfn.CONCAT('4M'!$B$9, "-", '4M'!$B$11, "-", '4M'!$M$7, "-", '4M'!$K$6, "-", '4M'!$F$5)</f>
        <v>EA/NRW environmental programme (WINEP/NEP)-Conservation drivers-Sludge disposal-Bioresources-Expenditure in report year</v>
      </c>
      <c r="E1647" t="str">
        <f>'4M'!$C$11</f>
        <v>Opex</v>
      </c>
      <c r="F1647" t="s">
        <v>682</v>
      </c>
      <c r="G1647" t="str">
        <f>'4M'!$D$11</f>
        <v>£m</v>
      </c>
      <c r="O1647" t="str">
        <f>_xlfn.CONCAT('4M'!$B$9, "-", '4M'!$B$11, "-", '4M'!$M$7, "-", '4M'!$K$6, "-", '4M'!$F$5)</f>
        <v>EA/NRW environmental programme (WINEP/NEP)-Conservation drivers-Sludge disposal-Bioresources-Expenditure in report year</v>
      </c>
    </row>
    <row r="1648" spans="1:15">
      <c r="A1648" t="s">
        <v>643</v>
      </c>
      <c r="B1648" t="str">
        <f>'4M'!$BP$11</f>
        <v>B0294CDO_TOT</v>
      </c>
      <c r="D1648" t="str">
        <f>_xlfn.CONCAT('4M'!$B$9, "-", '4M'!$B$11, "-", '4M'!$N$6, "-", '4M'!$N$6, "-", '4M'!$F$5)</f>
        <v>EA/NRW environmental programme (WINEP/NEP)-Conservation drivers-Total-Total-Expenditure in report year</v>
      </c>
      <c r="E1648" t="str">
        <f>'4M'!$C$11</f>
        <v>Opex</v>
      </c>
      <c r="F1648" t="s">
        <v>682</v>
      </c>
      <c r="G1648" t="str">
        <f>'4M'!$D$11</f>
        <v>£m</v>
      </c>
      <c r="O1648" t="str">
        <f>_xlfn.CONCAT('4M'!$B$9, "-", '4M'!$B$11, "-", '4M'!$N$6, "-", '4M'!$N$6, "-", '4M'!$F$5)</f>
        <v>EA/NRW environmental programme (WINEP/NEP)-Conservation drivers-Total-Total-Expenditure in report year</v>
      </c>
    </row>
    <row r="1649" spans="1:15">
      <c r="A1649" t="s">
        <v>643</v>
      </c>
      <c r="B1649" t="str">
        <f>'4M'!$BH$12</f>
        <v>B0295CDT_F</v>
      </c>
      <c r="D1649" t="str">
        <f>_xlfn.CONCAT('4M'!$B$9, "-", '4M'!$B$12, "-", '4M'!$F$7, "-", '4M'!$F$6, "-", '4M'!$F$5)</f>
        <v>EA/NRW environmental programme (WINEP/NEP)-Conservation drivers-Foul-Wastewater network+ -Expenditure in report year</v>
      </c>
      <c r="E1649" t="str">
        <f>'4M'!$C$12</f>
        <v>Totex</v>
      </c>
      <c r="F1649" t="s">
        <v>682</v>
      </c>
      <c r="G1649" t="str">
        <f>'4M'!$D$12</f>
        <v>£m</v>
      </c>
      <c r="O1649" t="str">
        <f>_xlfn.CONCAT('4M'!$B$9, "-", '4M'!$B$12, "-", '4M'!$F$7, "-", '4M'!$F$6, "-", '4M'!$F$5)</f>
        <v>EA/NRW environmental programme (WINEP/NEP)-Conservation drivers-Foul-Wastewater network+ -Expenditure in report year</v>
      </c>
    </row>
    <row r="1650" spans="1:15">
      <c r="A1650" t="s">
        <v>643</v>
      </c>
      <c r="B1650" t="str">
        <f>'4M'!$BI$12</f>
        <v>B0295CDT_SWD</v>
      </c>
      <c r="D1650" t="str">
        <f>_xlfn.CONCAT('4M'!$B$9, "-", '4M'!$B$12, "-", '4M'!$G$7, "-", '4M'!$F$6, "-", '4M'!$F$5)</f>
        <v>EA/NRW environmental programme (WINEP/NEP)-Conservation drivers-Surface water drainage-Wastewater network+ -Expenditure in report year</v>
      </c>
      <c r="E1650" t="str">
        <f>'4M'!$C$12</f>
        <v>Totex</v>
      </c>
      <c r="F1650" t="s">
        <v>682</v>
      </c>
      <c r="G1650" t="str">
        <f>'4M'!$D$12</f>
        <v>£m</v>
      </c>
      <c r="O1650" t="str">
        <f>_xlfn.CONCAT('4M'!$B$9, "-", '4M'!$B$12, "-", '4M'!$G$7, "-", '4M'!$F$6, "-", '4M'!$F$5)</f>
        <v>EA/NRW environmental programme (WINEP/NEP)-Conservation drivers-Surface water drainage-Wastewater network+ -Expenditure in report year</v>
      </c>
    </row>
    <row r="1651" spans="1:15">
      <c r="A1651" t="s">
        <v>643</v>
      </c>
      <c r="B1651" t="str">
        <f>'4M'!$BJ$12</f>
        <v>B0295CDT_HD</v>
      </c>
      <c r="D1651" t="str">
        <f>_xlfn.CONCAT('4M'!$B$9, "-", '4M'!$B$12, "-", '4M'!$H$7, "-", '4M'!$F$6, "-", '4M'!$F$5)</f>
        <v>EA/NRW environmental programme (WINEP/NEP)-Conservation drivers-Highway drainage-Wastewater network+ -Expenditure in report year</v>
      </c>
      <c r="E1651" t="str">
        <f>'4M'!$C$12</f>
        <v>Totex</v>
      </c>
      <c r="F1651" t="s">
        <v>682</v>
      </c>
      <c r="G1651" t="str">
        <f>'4M'!$D$12</f>
        <v>£m</v>
      </c>
      <c r="O1651" t="str">
        <f>_xlfn.CONCAT('4M'!$B$9, "-", '4M'!$B$12, "-", '4M'!$H$7, "-", '4M'!$F$6, "-", '4M'!$F$5)</f>
        <v>EA/NRW environmental programme (WINEP/NEP)-Conservation drivers-Highway drainage-Wastewater network+ -Expenditure in report year</v>
      </c>
    </row>
    <row r="1652" spans="1:15">
      <c r="A1652" t="s">
        <v>643</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682</v>
      </c>
      <c r="G1652" t="str">
        <f>'4M'!$D$12</f>
        <v>£m</v>
      </c>
      <c r="O1652" t="str">
        <f>_xlfn.CONCAT('4M'!$B$9, "-", '4M'!$B$12, "-", '4M'!$I$7, "-", '4M'!$F$6, "-", '4M'!$F$5)</f>
        <v>EA/NRW environmental programme (WINEP/NEP)-Conservation drivers-Sewage treatment and disposal-Wastewater network+ -Expenditure in report year</v>
      </c>
    </row>
    <row r="1653" spans="1:15">
      <c r="A1653" t="s">
        <v>643</v>
      </c>
      <c r="B1653" t="str">
        <f>'4M'!$BL$12</f>
        <v>B0295CDT_SLT</v>
      </c>
      <c r="D1653" t="str">
        <f>_xlfn.CONCAT('4M'!$B$9, "-", '4M'!$B$12, "-", '4M'!$J$7, "-", '4M'!$F$6, "-", '4M'!$F$5)</f>
        <v>EA/NRW environmental programme (WINEP/NEP)-Conservation drivers-Sludge liquor treatment-Wastewater network+ -Expenditure in report year</v>
      </c>
      <c r="E1653" t="str">
        <f>'4M'!$C$12</f>
        <v>Totex</v>
      </c>
      <c r="F1653" t="s">
        <v>682</v>
      </c>
      <c r="G1653" t="str">
        <f>'4M'!$D$12</f>
        <v>£m</v>
      </c>
      <c r="O1653" t="str">
        <f>_xlfn.CONCAT('4M'!$B$9, "-", '4M'!$B$12, "-", '4M'!$J$7, "-", '4M'!$F$6, "-", '4M'!$F$5)</f>
        <v>EA/NRW environmental programme (WINEP/NEP)-Conservation drivers-Sludge liquor treatment-Wastewater network+ -Expenditure in report year</v>
      </c>
    </row>
    <row r="1654" spans="1:15">
      <c r="A1654" t="s">
        <v>643</v>
      </c>
      <c r="B1654" t="str">
        <f>'4M'!$BM$12</f>
        <v>B0295CDT_STP</v>
      </c>
      <c r="D1654" t="str">
        <f>_xlfn.CONCAT('4M'!$B$9, "-", '4M'!$B$12, "-", '4M'!$K$7, "-", '4M'!$K$6, "-", '4M'!$F$5)</f>
        <v>EA/NRW environmental programme (WINEP/NEP)-Conservation drivers-Sludge transport-Bioresources-Expenditure in report year</v>
      </c>
      <c r="E1654" t="str">
        <f>'4M'!$C$12</f>
        <v>Totex</v>
      </c>
      <c r="F1654" t="s">
        <v>682</v>
      </c>
      <c r="G1654" t="str">
        <f>'4M'!$D$12</f>
        <v>£m</v>
      </c>
      <c r="O1654" t="str">
        <f>_xlfn.CONCAT('4M'!$B$9, "-", '4M'!$B$12, "-", '4M'!$K$7, "-", '4M'!$K$6, "-", '4M'!$F$5)</f>
        <v>EA/NRW environmental programme (WINEP/NEP)-Conservation drivers-Sludge transport-Bioresources-Expenditure in report year</v>
      </c>
    </row>
    <row r="1655" spans="1:15">
      <c r="A1655" t="s">
        <v>643</v>
      </c>
      <c r="B1655" t="str">
        <f>'4M'!$BN$12</f>
        <v>B0295CDT_SDT</v>
      </c>
      <c r="D1655" t="str">
        <f>_xlfn.CONCAT('4M'!$B$9, "-", '4M'!$B$12, "-", '4M'!$L$7, "-", '4M'!$K$6, "-", '4M'!$F$5)</f>
        <v>EA/NRW environmental programme (WINEP/NEP)-Conservation drivers-Sludge treatment-Bioresources-Expenditure in report year</v>
      </c>
      <c r="E1655" t="str">
        <f>'4M'!$C$12</f>
        <v>Totex</v>
      </c>
      <c r="F1655" t="s">
        <v>682</v>
      </c>
      <c r="G1655" t="str">
        <f>'4M'!$D$12</f>
        <v>£m</v>
      </c>
      <c r="O1655" t="str">
        <f>_xlfn.CONCAT('4M'!$B$9, "-", '4M'!$B$12, "-", '4M'!$L$7, "-", '4M'!$K$6, "-", '4M'!$F$5)</f>
        <v>EA/NRW environmental programme (WINEP/NEP)-Conservation drivers-Sludge treatment-Bioresources-Expenditure in report year</v>
      </c>
    </row>
    <row r="1656" spans="1:15">
      <c r="A1656" t="s">
        <v>643</v>
      </c>
      <c r="B1656" t="str">
        <f>'4M'!$BO$12</f>
        <v>B0295CDT_SD</v>
      </c>
      <c r="D1656" t="str">
        <f>_xlfn.CONCAT('4M'!$B$9, "-", '4M'!$B$12, "-", '4M'!$M$7, "-", '4M'!$K$6, "-", '4M'!$F$5)</f>
        <v>EA/NRW environmental programme (WINEP/NEP)-Conservation drivers-Sludge disposal-Bioresources-Expenditure in report year</v>
      </c>
      <c r="E1656" t="str">
        <f>'4M'!$C$12</f>
        <v>Totex</v>
      </c>
      <c r="F1656" t="s">
        <v>682</v>
      </c>
      <c r="G1656" t="str">
        <f>'4M'!$D$12</f>
        <v>£m</v>
      </c>
      <c r="O1656" t="str">
        <f>_xlfn.CONCAT('4M'!$B$9, "-", '4M'!$B$12, "-", '4M'!$M$7, "-", '4M'!$K$6, "-", '4M'!$F$5)</f>
        <v>EA/NRW environmental programme (WINEP/NEP)-Conservation drivers-Sludge disposal-Bioresources-Expenditure in report year</v>
      </c>
    </row>
    <row r="1657" spans="1:15">
      <c r="A1657" t="s">
        <v>643</v>
      </c>
      <c r="B1657" t="str">
        <f>'4M'!$BP$12</f>
        <v>B0295CDT_TOT</v>
      </c>
      <c r="D1657" t="str">
        <f>_xlfn.CONCAT('4M'!$B$9, "-", '4M'!$B$12, "-", '4M'!$N$6, "-", '4M'!$N$6, "-", '4M'!$F$5)</f>
        <v>EA/NRW environmental programme (WINEP/NEP)-Conservation drivers-Total-Total-Expenditure in report year</v>
      </c>
      <c r="E1657" t="str">
        <f>'4M'!$C$12</f>
        <v>Totex</v>
      </c>
      <c r="F1657" t="s">
        <v>682</v>
      </c>
      <c r="G1657" t="str">
        <f>'4M'!$D$12</f>
        <v>£m</v>
      </c>
      <c r="O1657" t="str">
        <f>_xlfn.CONCAT('4M'!$B$9, "-", '4M'!$B$12, "-", '4M'!$N$6, "-", '4M'!$N$6, "-", '4M'!$F$5)</f>
        <v>EA/NRW environmental programme (WINEP/NEP)-Conservation drivers-Total-Total-Expenditure in report year</v>
      </c>
    </row>
    <row r="1658" spans="1:15">
      <c r="A1658" t="s">
        <v>643</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682</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643</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682</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643</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682</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643</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682</v>
      </c>
      <c r="G1661" t="str">
        <f>'4M'!$D$13</f>
        <v>£m</v>
      </c>
      <c r="O1661" t="str">
        <f>_xlfn.CONCAT('4M'!$B$9, "-", '4M'!$B$13, "-", '4M'!$F$7, "-", '4M'!$F$6, "-", '4M'!$F$5)</f>
        <v>EA/NRW environmental programme (WINEP/NEP)-Event Duration Monitoring at intermittent discharges-Foul-Wastewater network+ -Expenditure in report year</v>
      </c>
    </row>
    <row r="1662" spans="1:15">
      <c r="A1662" t="s">
        <v>643</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682</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643</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682</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643</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682</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643</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682</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643</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682</v>
      </c>
      <c r="G1666" t="str">
        <f>'4M'!$D$13</f>
        <v>£m</v>
      </c>
      <c r="O1666" t="str">
        <f>_xlfn.CONCAT('4M'!$B$9, "-", '4M'!$B$13, "-", '4M'!$K$7, "-", '4M'!$K$6, "-", '4M'!$F$5)</f>
        <v>EA/NRW environmental programme (WINEP/NEP)-Event Duration Monitoring at intermittent discharges-Sludge transport-Bioresources-Expenditure in report year</v>
      </c>
    </row>
    <row r="1667" spans="1:15">
      <c r="A1667" t="s">
        <v>643</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682</v>
      </c>
      <c r="G1667" t="str">
        <f>'4M'!$D$13</f>
        <v>£m</v>
      </c>
      <c r="O1667" t="str">
        <f>_xlfn.CONCAT('4M'!$B$9, "-", '4M'!$B$13, "-", '4M'!$L$7, "-", '4M'!$K$6, "-", '4M'!$F$5)</f>
        <v>EA/NRW environmental programme (WINEP/NEP)-Event Duration Monitoring at intermittent discharges-Sludge treatment-Bioresources-Expenditure in report year</v>
      </c>
    </row>
    <row r="1668" spans="1:15">
      <c r="A1668" t="s">
        <v>643</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682</v>
      </c>
      <c r="G1668" t="str">
        <f>'4M'!$D$13</f>
        <v>£m</v>
      </c>
      <c r="O1668" t="str">
        <f>_xlfn.CONCAT('4M'!$B$9, "-", '4M'!$B$13, "-", '4M'!$M$7, "-", '4M'!$K$6, "-", '4M'!$F$5)</f>
        <v>EA/NRW environmental programme (WINEP/NEP)-Event Duration Monitoring at intermittent discharges-Sludge disposal-Bioresources-Expenditure in report year</v>
      </c>
    </row>
    <row r="1669" spans="1:15">
      <c r="A1669" t="s">
        <v>643</v>
      </c>
      <c r="B1669" t="str">
        <f>'4M'!$BP$13</f>
        <v>B0296EDC_TOT</v>
      </c>
      <c r="D1669" t="str">
        <f>_xlfn.CONCAT('4M'!$B$9, "-", '4M'!$B$13, "-", '4M'!$N$6, "-", '4M'!$N$6, "-", '4M'!$F$5)</f>
        <v>EA/NRW environmental programme (WINEP/NEP)-Event Duration Monitoring at intermittent discharges-Total-Total-Expenditure in report year</v>
      </c>
      <c r="E1669" t="str">
        <f>'4M'!$C$13</f>
        <v>Capex</v>
      </c>
      <c r="F1669" t="s">
        <v>682</v>
      </c>
      <c r="G1669" t="str">
        <f>'4M'!$D$13</f>
        <v>£m</v>
      </c>
      <c r="O1669" t="str">
        <f>_xlfn.CONCAT('4M'!$B$9, "-", '4M'!$B$13, "-", '4M'!$N$6, "-", '4M'!$N$6, "-", '4M'!$F$5)</f>
        <v>EA/NRW environmental programme (WINEP/NEP)-Event Duration Monitoring at intermittent discharges-Total-Total-Expenditure in report year</v>
      </c>
    </row>
    <row r="1670" spans="1:15">
      <c r="A1670" t="s">
        <v>643</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682</v>
      </c>
      <c r="G1670" t="str">
        <f>'4M'!$D$14</f>
        <v>£m</v>
      </c>
      <c r="O1670" t="str">
        <f>_xlfn.CONCAT('4M'!$B$9, "-", '4M'!$B$14, "-", '4M'!$F$7, "-", '4M'!$F$6, "-", '4M'!$F$5)</f>
        <v>EA/NRW environmental programme (WINEP/NEP)-Event Duration Monitoring at intermittent discharges-Foul-Wastewater network+ -Expenditure in report year</v>
      </c>
    </row>
    <row r="1671" spans="1:15">
      <c r="A1671" t="s">
        <v>643</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682</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643</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682</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643</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682</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643</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682</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643</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682</v>
      </c>
      <c r="G1675" t="str">
        <f>'4M'!$D$14</f>
        <v>£m</v>
      </c>
      <c r="O1675" t="str">
        <f>_xlfn.CONCAT('4M'!$B$9, "-", '4M'!$B$14, "-", '4M'!$K$7, "-", '4M'!$K$6, "-", '4M'!$F$5)</f>
        <v>EA/NRW environmental programme (WINEP/NEP)-Event Duration Monitoring at intermittent discharges-Sludge transport-Bioresources-Expenditure in report year</v>
      </c>
    </row>
    <row r="1676" spans="1:15">
      <c r="A1676" t="s">
        <v>643</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682</v>
      </c>
      <c r="G1676" t="str">
        <f>'4M'!$D$14</f>
        <v>£m</v>
      </c>
      <c r="O1676" t="str">
        <f>_xlfn.CONCAT('4M'!$B$9, "-", '4M'!$B$14, "-", '4M'!$L$7, "-", '4M'!$K$6, "-", '4M'!$F$5)</f>
        <v>EA/NRW environmental programme (WINEP/NEP)-Event Duration Monitoring at intermittent discharges-Sludge treatment-Bioresources-Expenditure in report year</v>
      </c>
    </row>
    <row r="1677" spans="1:15">
      <c r="A1677" t="s">
        <v>643</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682</v>
      </c>
      <c r="G1677" t="str">
        <f>'4M'!$D$14</f>
        <v>£m</v>
      </c>
      <c r="O1677" t="str">
        <f>_xlfn.CONCAT('4M'!$B$9, "-", '4M'!$B$14, "-", '4M'!$M$7, "-", '4M'!$K$6, "-", '4M'!$F$5)</f>
        <v>EA/NRW environmental programme (WINEP/NEP)-Event Duration Monitoring at intermittent discharges-Sludge disposal-Bioresources-Expenditure in report year</v>
      </c>
    </row>
    <row r="1678" spans="1:15">
      <c r="A1678" t="s">
        <v>643</v>
      </c>
      <c r="B1678" t="str">
        <f>'4M'!$BP$14</f>
        <v>B0297EDO_TOT</v>
      </c>
      <c r="D1678" t="str">
        <f>_xlfn.CONCAT('4M'!$B$9, "-", '4M'!$B$14, "-", '4M'!$N$6, "-", '4M'!$N$6, "-", '4M'!$F$5)</f>
        <v>EA/NRW environmental programme (WINEP/NEP)-Event Duration Monitoring at intermittent discharges-Total-Total-Expenditure in report year</v>
      </c>
      <c r="E1678" t="str">
        <f>'4M'!$C$14</f>
        <v>Opex</v>
      </c>
      <c r="F1678" t="s">
        <v>682</v>
      </c>
      <c r="G1678" t="str">
        <f>'4M'!$D$14</f>
        <v>£m</v>
      </c>
      <c r="O1678" t="str">
        <f>_xlfn.CONCAT('4M'!$B$9, "-", '4M'!$B$14, "-", '4M'!$N$6, "-", '4M'!$N$6, "-", '4M'!$F$5)</f>
        <v>EA/NRW environmental programme (WINEP/NEP)-Event Duration Monitoring at intermittent discharges-Total-Total-Expenditure in report year</v>
      </c>
    </row>
    <row r="1679" spans="1:15">
      <c r="A1679" t="s">
        <v>643</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682</v>
      </c>
      <c r="G1679" t="str">
        <f>'4M'!$D$15</f>
        <v>£m</v>
      </c>
      <c r="O1679" t="str">
        <f>_xlfn.CONCAT('4M'!$B$9, "-", '4M'!$B$15, "-", '4M'!$F$7, "-", '4M'!$F$6, "-", '4M'!$F$5)</f>
        <v>EA/NRW environmental programme (WINEP/NEP)-Event Duration Monitoring at intermittent discharges-Foul-Wastewater network+ -Expenditure in report year</v>
      </c>
    </row>
    <row r="1680" spans="1:15">
      <c r="A1680" t="s">
        <v>643</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682</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643</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682</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643</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682</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643</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682</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643</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682</v>
      </c>
      <c r="G1684" t="str">
        <f>'4M'!$D$15</f>
        <v>£m</v>
      </c>
      <c r="O1684" t="str">
        <f>_xlfn.CONCAT('4M'!$B$9, "-", '4M'!$B$15, "-", '4M'!$K$7, "-", '4M'!$K$6, "-", '4M'!$F$5)</f>
        <v>EA/NRW environmental programme (WINEP/NEP)-Event Duration Monitoring at intermittent discharges-Sludge transport-Bioresources-Expenditure in report year</v>
      </c>
    </row>
    <row r="1685" spans="1:15">
      <c r="A1685" t="s">
        <v>643</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682</v>
      </c>
      <c r="G1685" t="str">
        <f>'4M'!$D$15</f>
        <v>£m</v>
      </c>
      <c r="O1685" t="str">
        <f>_xlfn.CONCAT('4M'!$B$9, "-", '4M'!$B$15, "-", '4M'!$L$7, "-", '4M'!$K$6, "-", '4M'!$F$5)</f>
        <v>EA/NRW environmental programme (WINEP/NEP)-Event Duration Monitoring at intermittent discharges-Sludge treatment-Bioresources-Expenditure in report year</v>
      </c>
    </row>
    <row r="1686" spans="1:15">
      <c r="A1686" t="s">
        <v>643</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682</v>
      </c>
      <c r="G1686" t="str">
        <f>'4M'!$D$15</f>
        <v>£m</v>
      </c>
      <c r="O1686" t="str">
        <f>_xlfn.CONCAT('4M'!$B$9, "-", '4M'!$B$15, "-", '4M'!$M$7, "-", '4M'!$K$6, "-", '4M'!$F$5)</f>
        <v>EA/NRW environmental programme (WINEP/NEP)-Event Duration Monitoring at intermittent discharges-Sludge disposal-Bioresources-Expenditure in report year</v>
      </c>
    </row>
    <row r="1687" spans="1:15">
      <c r="A1687" t="s">
        <v>643</v>
      </c>
      <c r="B1687" t="str">
        <f>'4M'!$BP$15</f>
        <v>B0298EDT_TOT</v>
      </c>
      <c r="D1687" t="str">
        <f>_xlfn.CONCAT('4M'!$B$9, "-", '4M'!$B$15, "-", '4M'!$N$6, "-", '4M'!$N$6, "-", '4M'!$F$5)</f>
        <v>EA/NRW environmental programme (WINEP/NEP)-Event Duration Monitoring at intermittent discharges-Total-Total-Expenditure in report year</v>
      </c>
      <c r="E1687" t="str">
        <f>'4M'!$C$15</f>
        <v>Totex</v>
      </c>
      <c r="F1687" t="s">
        <v>682</v>
      </c>
      <c r="G1687" t="str">
        <f>'4M'!$D$15</f>
        <v>£m</v>
      </c>
      <c r="O1687" t="str">
        <f>_xlfn.CONCAT('4M'!$B$9, "-", '4M'!$B$15, "-", '4M'!$N$6, "-", '4M'!$N$6, "-", '4M'!$F$5)</f>
        <v>EA/NRW environmental programme (WINEP/NEP)-Event Duration Monitoring at intermittent discharges-Total-Total-Expenditure in report year</v>
      </c>
    </row>
    <row r="1688" spans="1:15">
      <c r="A1688" t="s">
        <v>643</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682</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643</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682</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643</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682</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643</v>
      </c>
      <c r="B1691" t="str">
        <f>'4M'!$BH$16</f>
        <v>B0299FMC_F</v>
      </c>
      <c r="D1691" t="str">
        <f>_xlfn.CONCAT('4M'!$B$9, "-", '4M'!$B$16, "-", '4M'!$F$7, "-", '4M'!$F$6, "-", '4M'!$F$5)</f>
        <v>EA/NRW environmental programme (WINEP/NEP)-Flow monitoring at sewage treatment works-Foul-Wastewater network+ -Expenditure in report year</v>
      </c>
      <c r="E1691" t="str">
        <f>'4M'!$C$16</f>
        <v>Capex</v>
      </c>
      <c r="F1691" t="s">
        <v>682</v>
      </c>
      <c r="G1691" t="str">
        <f>'4M'!$D$16</f>
        <v>£m</v>
      </c>
      <c r="O1691" t="str">
        <f>_xlfn.CONCAT('4M'!$B$9, "-", '4M'!$B$16, "-", '4M'!$F$7, "-", '4M'!$F$6, "-", '4M'!$F$5)</f>
        <v>EA/NRW environmental programme (WINEP/NEP)-Flow monitoring at sewage treatment works-Foul-Wastewater network+ -Expenditure in report year</v>
      </c>
    </row>
    <row r="1692" spans="1:15">
      <c r="A1692" t="s">
        <v>643</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682</v>
      </c>
      <c r="G1692" t="str">
        <f>'4M'!$D$16</f>
        <v>£m</v>
      </c>
      <c r="O1692" t="str">
        <f>_xlfn.CONCAT('4M'!$B$9, "-", '4M'!$B$16, "-", '4M'!$G$7, "-", '4M'!$F$6, "-", '4M'!$F$5)</f>
        <v>EA/NRW environmental programme (WINEP/NEP)-Flow monitoring at sewage treatment works-Surface water drainage-Wastewater network+ -Expenditure in report year</v>
      </c>
    </row>
    <row r="1693" spans="1:15">
      <c r="A1693" t="s">
        <v>643</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682</v>
      </c>
      <c r="G1693" t="str">
        <f>'4M'!$D$16</f>
        <v>£m</v>
      </c>
      <c r="O1693" t="str">
        <f>_xlfn.CONCAT('4M'!$B$9, "-", '4M'!$B$16, "-", '4M'!$H$7, "-", '4M'!$F$6, "-", '4M'!$F$5)</f>
        <v>EA/NRW environmental programme (WINEP/NEP)-Flow monitoring at sewage treatment works-Highway drainage-Wastewater network+ -Expenditure in report year</v>
      </c>
    </row>
    <row r="1694" spans="1:15">
      <c r="A1694" t="s">
        <v>643</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682</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643</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682</v>
      </c>
      <c r="G1695" t="str">
        <f>'4M'!$D$16</f>
        <v>£m</v>
      </c>
      <c r="O1695" t="str">
        <f>_xlfn.CONCAT('4M'!$B$9, "-", '4M'!$B$16, "-", '4M'!$J$7, "-", '4M'!$F$6, "-", '4M'!$F$5)</f>
        <v>EA/NRW environmental programme (WINEP/NEP)-Flow monitoring at sewage treatment works-Sludge liquor treatment-Wastewater network+ -Expenditure in report year</v>
      </c>
    </row>
    <row r="1696" spans="1:15">
      <c r="A1696" t="s">
        <v>643</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682</v>
      </c>
      <c r="G1696" t="str">
        <f>'4M'!$D$16</f>
        <v>£m</v>
      </c>
      <c r="O1696" t="str">
        <f>_xlfn.CONCAT('4M'!$B$9, "-", '4M'!$B$16, "-", '4M'!$K$7, "-", '4M'!$K$6, "-", '4M'!$F$5)</f>
        <v>EA/NRW environmental programme (WINEP/NEP)-Flow monitoring at sewage treatment works-Sludge transport-Bioresources-Expenditure in report year</v>
      </c>
    </row>
    <row r="1697" spans="1:15">
      <c r="A1697" t="s">
        <v>643</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682</v>
      </c>
      <c r="G1697" t="str">
        <f>'4M'!$D$16</f>
        <v>£m</v>
      </c>
      <c r="O1697" t="str">
        <f>_xlfn.CONCAT('4M'!$B$9, "-", '4M'!$B$16, "-", '4M'!$L$7, "-", '4M'!$K$6, "-", '4M'!$F$5)</f>
        <v>EA/NRW environmental programme (WINEP/NEP)-Flow monitoring at sewage treatment works-Sludge treatment-Bioresources-Expenditure in report year</v>
      </c>
    </row>
    <row r="1698" spans="1:15">
      <c r="A1698" t="s">
        <v>643</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682</v>
      </c>
      <c r="G1698" t="str">
        <f>'4M'!$D$16</f>
        <v>£m</v>
      </c>
      <c r="O1698" t="str">
        <f>_xlfn.CONCAT('4M'!$B$9, "-", '4M'!$B$16, "-", '4M'!$M$7, "-", '4M'!$K$6, "-", '4M'!$F$5)</f>
        <v>EA/NRW environmental programme (WINEP/NEP)-Flow monitoring at sewage treatment works-Sludge disposal-Bioresources-Expenditure in report year</v>
      </c>
    </row>
    <row r="1699" spans="1:15">
      <c r="A1699" t="s">
        <v>643</v>
      </c>
      <c r="B1699" t="str">
        <f>'4M'!$BP$16</f>
        <v>B0299FMC_TOT</v>
      </c>
      <c r="D1699" t="str">
        <f>_xlfn.CONCAT('4M'!$B$9, "-", '4M'!$B$16, "-", '4M'!$N$6, "-", '4M'!$N$6, "-", '4M'!$F$5)</f>
        <v>EA/NRW environmental programme (WINEP/NEP)-Flow monitoring at sewage treatment works-Total-Total-Expenditure in report year</v>
      </c>
      <c r="E1699" t="str">
        <f>'4M'!$C$16</f>
        <v>Capex</v>
      </c>
      <c r="F1699" t="s">
        <v>682</v>
      </c>
      <c r="G1699" t="str">
        <f>'4M'!$D$16</f>
        <v>£m</v>
      </c>
      <c r="O1699" t="str">
        <f>_xlfn.CONCAT('4M'!$B$9, "-", '4M'!$B$16, "-", '4M'!$N$6, "-", '4M'!$N$6, "-", '4M'!$F$5)</f>
        <v>EA/NRW environmental programme (WINEP/NEP)-Flow monitoring at sewage treatment works-Total-Total-Expenditure in report year</v>
      </c>
    </row>
    <row r="1700" spans="1:15">
      <c r="A1700" t="s">
        <v>643</v>
      </c>
      <c r="B1700" t="str">
        <f>'4M'!$BH$17</f>
        <v>B0300FMO_F</v>
      </c>
      <c r="D1700" t="str">
        <f>_xlfn.CONCAT('4M'!$B$9, "-", '4M'!$B$17, "-", '4M'!$F$7, "-", '4M'!$F$6, "-", '4M'!$F$5)</f>
        <v>EA/NRW environmental programme (WINEP/NEP)-Flow monitoring at sewage treatment works-Foul-Wastewater network+ -Expenditure in report year</v>
      </c>
      <c r="E1700" t="str">
        <f>'4M'!$C$17</f>
        <v>Opex</v>
      </c>
      <c r="F1700" t="s">
        <v>682</v>
      </c>
      <c r="G1700" t="str">
        <f>'4M'!$D$17</f>
        <v>£m</v>
      </c>
      <c r="O1700" t="str">
        <f>_xlfn.CONCAT('4M'!$B$9, "-", '4M'!$B$17, "-", '4M'!$F$7, "-", '4M'!$F$6, "-", '4M'!$F$5)</f>
        <v>EA/NRW environmental programme (WINEP/NEP)-Flow monitoring at sewage treatment works-Foul-Wastewater network+ -Expenditure in report year</v>
      </c>
    </row>
    <row r="1701" spans="1:15">
      <c r="A1701" t="s">
        <v>643</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682</v>
      </c>
      <c r="G1701" t="str">
        <f>'4M'!$D$17</f>
        <v>£m</v>
      </c>
      <c r="O1701" t="str">
        <f>_xlfn.CONCAT('4M'!$B$9, "-", '4M'!$B$17, "-", '4M'!$G$7, "-", '4M'!$F$6, "-", '4M'!$F$5)</f>
        <v>EA/NRW environmental programme (WINEP/NEP)-Flow monitoring at sewage treatment works-Surface water drainage-Wastewater network+ -Expenditure in report year</v>
      </c>
    </row>
    <row r="1702" spans="1:15">
      <c r="A1702" t="s">
        <v>643</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682</v>
      </c>
      <c r="G1702" t="str">
        <f>'4M'!$D$17</f>
        <v>£m</v>
      </c>
      <c r="O1702" t="str">
        <f>_xlfn.CONCAT('4M'!$B$9, "-", '4M'!$B$17, "-", '4M'!$H$7, "-", '4M'!$F$6, "-", '4M'!$F$5)</f>
        <v>EA/NRW environmental programme (WINEP/NEP)-Flow monitoring at sewage treatment works-Highway drainage-Wastewater network+ -Expenditure in report year</v>
      </c>
    </row>
    <row r="1703" spans="1:15">
      <c r="A1703" t="s">
        <v>643</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682</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643</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682</v>
      </c>
      <c r="G1704" t="str">
        <f>'4M'!$D$17</f>
        <v>£m</v>
      </c>
      <c r="O1704" t="str">
        <f>_xlfn.CONCAT('4M'!$B$9, "-", '4M'!$B$17, "-", '4M'!$J$7, "-", '4M'!$F$6, "-", '4M'!$F$5)</f>
        <v>EA/NRW environmental programme (WINEP/NEP)-Flow monitoring at sewage treatment works-Sludge liquor treatment-Wastewater network+ -Expenditure in report year</v>
      </c>
    </row>
    <row r="1705" spans="1:15">
      <c r="A1705" t="s">
        <v>643</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682</v>
      </c>
      <c r="G1705" t="str">
        <f>'4M'!$D$17</f>
        <v>£m</v>
      </c>
      <c r="O1705" t="str">
        <f>_xlfn.CONCAT('4M'!$B$9, "-", '4M'!$B$17, "-", '4M'!$K$7, "-", '4M'!$K$6, "-", '4M'!$F$5)</f>
        <v>EA/NRW environmental programme (WINEP/NEP)-Flow monitoring at sewage treatment works-Sludge transport-Bioresources-Expenditure in report year</v>
      </c>
    </row>
    <row r="1706" spans="1:15">
      <c r="A1706" t="s">
        <v>643</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682</v>
      </c>
      <c r="G1706" t="str">
        <f>'4M'!$D$17</f>
        <v>£m</v>
      </c>
      <c r="O1706" t="str">
        <f>_xlfn.CONCAT('4M'!$B$9, "-", '4M'!$B$17, "-", '4M'!$L$7, "-", '4M'!$K$6, "-", '4M'!$F$5)</f>
        <v>EA/NRW environmental programme (WINEP/NEP)-Flow monitoring at sewage treatment works-Sludge treatment-Bioresources-Expenditure in report year</v>
      </c>
    </row>
    <row r="1707" spans="1:15">
      <c r="A1707" t="s">
        <v>643</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682</v>
      </c>
      <c r="G1707" t="str">
        <f>'4M'!$D$17</f>
        <v>£m</v>
      </c>
      <c r="O1707" t="str">
        <f>_xlfn.CONCAT('4M'!$B$9, "-", '4M'!$B$17, "-", '4M'!$M$7, "-", '4M'!$K$6, "-", '4M'!$F$5)</f>
        <v>EA/NRW environmental programme (WINEP/NEP)-Flow monitoring at sewage treatment works-Sludge disposal-Bioresources-Expenditure in report year</v>
      </c>
    </row>
    <row r="1708" spans="1:15">
      <c r="A1708" t="s">
        <v>643</v>
      </c>
      <c r="B1708" t="str">
        <f>'4M'!$BP$17</f>
        <v>B0300FMO_TOT</v>
      </c>
      <c r="D1708" t="str">
        <f>_xlfn.CONCAT('4M'!$B$9, "-", '4M'!$B$17, "-", '4M'!$N$6, "-", '4M'!$N$6, "-", '4M'!$F$5)</f>
        <v>EA/NRW environmental programme (WINEP/NEP)-Flow monitoring at sewage treatment works-Total-Total-Expenditure in report year</v>
      </c>
      <c r="E1708" t="str">
        <f>'4M'!$C$17</f>
        <v>Opex</v>
      </c>
      <c r="F1708" t="s">
        <v>682</v>
      </c>
      <c r="G1708" t="str">
        <f>'4M'!$D$17</f>
        <v>£m</v>
      </c>
      <c r="O1708" t="str">
        <f>_xlfn.CONCAT('4M'!$B$9, "-", '4M'!$B$17, "-", '4M'!$N$6, "-", '4M'!$N$6, "-", '4M'!$F$5)</f>
        <v>EA/NRW environmental programme (WINEP/NEP)-Flow monitoring at sewage treatment works-Total-Total-Expenditure in report year</v>
      </c>
    </row>
    <row r="1709" spans="1:15">
      <c r="A1709" t="s">
        <v>643</v>
      </c>
      <c r="B1709" t="str">
        <f>'4M'!$BH$18</f>
        <v>B0301FMT_F</v>
      </c>
      <c r="D1709" t="str">
        <f>_xlfn.CONCAT('4M'!$B$9, "-", '4M'!$B$18, "-", '4M'!$F$7, "-", '4M'!$F$6, "-", '4M'!$F$5)</f>
        <v>EA/NRW environmental programme (WINEP/NEP)-Flow monitoring at sewage treatment works-Foul-Wastewater network+ -Expenditure in report year</v>
      </c>
      <c r="E1709" t="str">
        <f>'4M'!$C$18</f>
        <v>Totex</v>
      </c>
      <c r="F1709" t="s">
        <v>682</v>
      </c>
      <c r="G1709" t="str">
        <f>'4M'!$D$18</f>
        <v>£m</v>
      </c>
      <c r="O1709" t="str">
        <f>_xlfn.CONCAT('4M'!$B$9, "-", '4M'!$B$18, "-", '4M'!$F$7, "-", '4M'!$F$6, "-", '4M'!$F$5)</f>
        <v>EA/NRW environmental programme (WINEP/NEP)-Flow monitoring at sewage treatment works-Foul-Wastewater network+ -Expenditure in report year</v>
      </c>
    </row>
    <row r="1710" spans="1:15">
      <c r="A1710" t="s">
        <v>643</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682</v>
      </c>
      <c r="G1710" t="str">
        <f>'4M'!$D$18</f>
        <v>£m</v>
      </c>
      <c r="O1710" t="str">
        <f>_xlfn.CONCAT('4M'!$B$9, "-", '4M'!$B$18, "-", '4M'!$G$7, "-", '4M'!$F$6, "-", '4M'!$F$5)</f>
        <v>EA/NRW environmental programme (WINEP/NEP)-Flow monitoring at sewage treatment works-Surface water drainage-Wastewater network+ -Expenditure in report year</v>
      </c>
    </row>
    <row r="1711" spans="1:15">
      <c r="A1711" t="s">
        <v>643</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682</v>
      </c>
      <c r="G1711" t="str">
        <f>'4M'!$D$18</f>
        <v>£m</v>
      </c>
      <c r="O1711" t="str">
        <f>_xlfn.CONCAT('4M'!$B$9, "-", '4M'!$B$18, "-", '4M'!$H$7, "-", '4M'!$F$6, "-", '4M'!$F$5)</f>
        <v>EA/NRW environmental programme (WINEP/NEP)-Flow monitoring at sewage treatment works-Highway drainage-Wastewater network+ -Expenditure in report year</v>
      </c>
    </row>
    <row r="1712" spans="1:15">
      <c r="A1712" t="s">
        <v>643</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682</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643</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682</v>
      </c>
      <c r="G1713" t="str">
        <f>'4M'!$D$18</f>
        <v>£m</v>
      </c>
      <c r="O1713" t="str">
        <f>_xlfn.CONCAT('4M'!$B$9, "-", '4M'!$B$18, "-", '4M'!$J$7, "-", '4M'!$F$6, "-", '4M'!$F$5)</f>
        <v>EA/NRW environmental programme (WINEP/NEP)-Flow monitoring at sewage treatment works-Sludge liquor treatment-Wastewater network+ -Expenditure in report year</v>
      </c>
    </row>
    <row r="1714" spans="1:15">
      <c r="A1714" t="s">
        <v>643</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682</v>
      </c>
      <c r="G1714" t="str">
        <f>'4M'!$D$18</f>
        <v>£m</v>
      </c>
      <c r="O1714" t="str">
        <f>_xlfn.CONCAT('4M'!$B$9, "-", '4M'!$B$18, "-", '4M'!$K$7, "-", '4M'!$K$6, "-", '4M'!$F$5)</f>
        <v>EA/NRW environmental programme (WINEP/NEP)-Flow monitoring at sewage treatment works-Sludge transport-Bioresources-Expenditure in report year</v>
      </c>
    </row>
    <row r="1715" spans="1:15">
      <c r="A1715" t="s">
        <v>643</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682</v>
      </c>
      <c r="G1715" t="str">
        <f>'4M'!$D$18</f>
        <v>£m</v>
      </c>
      <c r="O1715" t="str">
        <f>_xlfn.CONCAT('4M'!$B$9, "-", '4M'!$B$18, "-", '4M'!$L$7, "-", '4M'!$K$6, "-", '4M'!$F$5)</f>
        <v>EA/NRW environmental programme (WINEP/NEP)-Flow monitoring at sewage treatment works-Sludge treatment-Bioresources-Expenditure in report year</v>
      </c>
    </row>
    <row r="1716" spans="1:15">
      <c r="A1716" t="s">
        <v>643</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682</v>
      </c>
      <c r="G1716" t="str">
        <f>'4M'!$D$18</f>
        <v>£m</v>
      </c>
      <c r="O1716" t="str">
        <f>_xlfn.CONCAT('4M'!$B$9, "-", '4M'!$B$18, "-", '4M'!$M$7, "-", '4M'!$K$6, "-", '4M'!$F$5)</f>
        <v>EA/NRW environmental programme (WINEP/NEP)-Flow monitoring at sewage treatment works-Sludge disposal-Bioresources-Expenditure in report year</v>
      </c>
    </row>
    <row r="1717" spans="1:15">
      <c r="A1717" t="s">
        <v>643</v>
      </c>
      <c r="B1717" t="str">
        <f>'4M'!$BP$18</f>
        <v>B0301FMT_TOT</v>
      </c>
      <c r="D1717" t="str">
        <f>_xlfn.CONCAT('4M'!$B$9, "-", '4M'!$B$18, "-", '4M'!$N$6, "-", '4M'!$N$6, "-", '4M'!$F$5)</f>
        <v>EA/NRW environmental programme (WINEP/NEP)-Flow monitoring at sewage treatment works-Total-Total-Expenditure in report year</v>
      </c>
      <c r="E1717" t="str">
        <f>'4M'!$C$18</f>
        <v>Totex</v>
      </c>
      <c r="F1717" t="s">
        <v>682</v>
      </c>
      <c r="G1717" t="str">
        <f>'4M'!$D$18</f>
        <v>£m</v>
      </c>
      <c r="O1717" t="str">
        <f>_xlfn.CONCAT('4M'!$B$9, "-", '4M'!$B$18, "-", '4M'!$N$6, "-", '4M'!$N$6, "-", '4M'!$F$5)</f>
        <v>EA/NRW environmental programme (WINEP/NEP)-Flow monitoring at sewage treatment works-Total-Total-Expenditure in report year</v>
      </c>
    </row>
    <row r="1718" spans="1:15">
      <c r="A1718" t="s">
        <v>643</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682</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643</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682</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643</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682</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643</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682</v>
      </c>
      <c r="G1721" t="str">
        <f>'4M'!$D$19</f>
        <v>£m</v>
      </c>
      <c r="O1721" t="str">
        <f>_xlfn.CONCAT('4M'!$B$9, "-", '4M'!$B$19, "-", '4M'!$F$7, "-", '4M'!$F$6, "-", '4M'!$F$5)</f>
        <v>EA/NRW environmental programme (WINEP/NEP)-Schemes to increase flow to full treatment-Foul-Wastewater network+ -Expenditure in report year</v>
      </c>
    </row>
    <row r="1722" spans="1:15">
      <c r="A1722" t="s">
        <v>643</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682</v>
      </c>
      <c r="G1722" t="str">
        <f>'4M'!$D$19</f>
        <v>£m</v>
      </c>
      <c r="O1722" t="str">
        <f>_xlfn.CONCAT('4M'!$B$9, "-", '4M'!$B$19, "-", '4M'!$G$7, "-", '4M'!$F$6, "-", '4M'!$F$5)</f>
        <v>EA/NRW environmental programme (WINEP/NEP)-Schemes to increase flow to full treatment-Surface water drainage-Wastewater network+ -Expenditure in report year</v>
      </c>
    </row>
    <row r="1723" spans="1:15">
      <c r="A1723" t="s">
        <v>643</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682</v>
      </c>
      <c r="G1723" t="str">
        <f>'4M'!$D$19</f>
        <v>£m</v>
      </c>
      <c r="O1723" t="str">
        <f>_xlfn.CONCAT('4M'!$B$9, "-", '4M'!$B$19, "-", '4M'!$H$7, "-", '4M'!$F$6, "-", '4M'!$F$5)</f>
        <v>EA/NRW environmental programme (WINEP/NEP)-Schemes to increase flow to full treatment-Highway drainage-Wastewater network+ -Expenditure in report year</v>
      </c>
    </row>
    <row r="1724" spans="1:15">
      <c r="A1724" t="s">
        <v>643</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682</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643</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682</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643</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682</v>
      </c>
      <c r="G1726" t="str">
        <f>'4M'!$D$19</f>
        <v>£m</v>
      </c>
      <c r="O1726" t="str">
        <f>_xlfn.CONCAT('4M'!$B$9, "-", '4M'!$B$19, "-", '4M'!$K$7, "-", '4M'!$K$6, "-", '4M'!$F$5)</f>
        <v>EA/NRW environmental programme (WINEP/NEP)-Schemes to increase flow to full treatment-Sludge transport-Bioresources-Expenditure in report year</v>
      </c>
    </row>
    <row r="1727" spans="1:15">
      <c r="A1727" t="s">
        <v>643</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682</v>
      </c>
      <c r="G1727" t="str">
        <f>'4M'!$D$19</f>
        <v>£m</v>
      </c>
      <c r="O1727" t="str">
        <f>_xlfn.CONCAT('4M'!$B$9, "-", '4M'!$B$19, "-", '4M'!$L$7, "-", '4M'!$K$6, "-", '4M'!$F$5)</f>
        <v>EA/NRW environmental programme (WINEP/NEP)-Schemes to increase flow to full treatment-Sludge treatment-Bioresources-Expenditure in report year</v>
      </c>
    </row>
    <row r="1728" spans="1:15">
      <c r="A1728" t="s">
        <v>643</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682</v>
      </c>
      <c r="G1728" t="str">
        <f>'4M'!$D$19</f>
        <v>£m</v>
      </c>
      <c r="O1728" t="str">
        <f>_xlfn.CONCAT('4M'!$B$9, "-", '4M'!$B$19, "-", '4M'!$M$7, "-", '4M'!$K$6, "-", '4M'!$F$5)</f>
        <v>EA/NRW environmental programme (WINEP/NEP)-Schemes to increase flow to full treatment-Sludge disposal-Bioresources-Expenditure in report year</v>
      </c>
    </row>
    <row r="1729" spans="1:15">
      <c r="A1729" t="s">
        <v>643</v>
      </c>
      <c r="B1729" t="str">
        <f>'4M'!$BP$19</f>
        <v>B0302SIC_TOT</v>
      </c>
      <c r="D1729" t="str">
        <f>_xlfn.CONCAT('4M'!$B$9, "-", '4M'!$B$19, "-", '4M'!$N$6, "-", '4M'!$N$6, "-", '4M'!$F$5)</f>
        <v>EA/NRW environmental programme (WINEP/NEP)-Schemes to increase flow to full treatment-Total-Total-Expenditure in report year</v>
      </c>
      <c r="E1729" t="str">
        <f>'4M'!$C$19</f>
        <v>Capex</v>
      </c>
      <c r="F1729" t="s">
        <v>682</v>
      </c>
      <c r="G1729" t="str">
        <f>'4M'!$D$19</f>
        <v>£m</v>
      </c>
      <c r="O1729" t="str">
        <f>_xlfn.CONCAT('4M'!$B$9, "-", '4M'!$B$19, "-", '4M'!$N$6, "-", '4M'!$N$6, "-", '4M'!$F$5)</f>
        <v>EA/NRW environmental programme (WINEP/NEP)-Schemes to increase flow to full treatment-Total-Total-Expenditure in report year</v>
      </c>
    </row>
    <row r="1730" spans="1:15">
      <c r="A1730" t="s">
        <v>643</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682</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643</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682</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643</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682</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643</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682</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643</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682</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643</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682</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643</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682</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643</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682</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643</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682</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643</v>
      </c>
      <c r="B1739" t="str">
        <f>'4M'!$BH$20</f>
        <v>B0303SIO_F</v>
      </c>
      <c r="D1739" t="str">
        <f>_xlfn.CONCAT('4M'!$B$9, "-", '4M'!$B$20, "-", '4M'!$F$7, "-", '4M'!$F$6, "-", '4M'!$F$5)</f>
        <v>EA/NRW environmental programme (WINEP/NEP)-Schemes to increase flow to full treatment-Foul-Wastewater network+ -Expenditure in report year</v>
      </c>
      <c r="E1739" t="str">
        <f>'4M'!$C$20</f>
        <v>Opex</v>
      </c>
      <c r="F1739" t="s">
        <v>682</v>
      </c>
      <c r="G1739" t="str">
        <f>'4M'!$D$20</f>
        <v>£m</v>
      </c>
      <c r="O1739" t="str">
        <f>_xlfn.CONCAT('4M'!$B$9, "-", '4M'!$B$20, "-", '4M'!$F$7, "-", '4M'!$F$6, "-", '4M'!$F$5)</f>
        <v>EA/NRW environmental programme (WINEP/NEP)-Schemes to increase flow to full treatment-Foul-Wastewater network+ -Expenditure in report year</v>
      </c>
    </row>
    <row r="1740" spans="1:15">
      <c r="A1740" t="s">
        <v>643</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682</v>
      </c>
      <c r="G1740" t="str">
        <f>'4M'!$D$20</f>
        <v>£m</v>
      </c>
      <c r="O1740" t="str">
        <f>_xlfn.CONCAT('4M'!$B$9, "-", '4M'!$B$20, "-", '4M'!$G$7, "-", '4M'!$F$6, "-", '4M'!$F$5)</f>
        <v>EA/NRW environmental programme (WINEP/NEP)-Schemes to increase flow to full treatment-Surface water drainage-Wastewater network+ -Expenditure in report year</v>
      </c>
    </row>
    <row r="1741" spans="1:15">
      <c r="A1741" t="s">
        <v>643</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682</v>
      </c>
      <c r="G1741" t="str">
        <f>'4M'!$D$20</f>
        <v>£m</v>
      </c>
      <c r="O1741" t="str">
        <f>_xlfn.CONCAT('4M'!$B$9, "-", '4M'!$B$20, "-", '4M'!$H$7, "-", '4M'!$F$6, "-", '4M'!$F$5)</f>
        <v>EA/NRW environmental programme (WINEP/NEP)-Schemes to increase flow to full treatment-Highway drainage-Wastewater network+ -Expenditure in report year</v>
      </c>
    </row>
    <row r="1742" spans="1:15">
      <c r="A1742" t="s">
        <v>643</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682</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643</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682</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643</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682</v>
      </c>
      <c r="G1744" t="str">
        <f>'4M'!$D$20</f>
        <v>£m</v>
      </c>
      <c r="O1744" t="str">
        <f>_xlfn.CONCAT('4M'!$B$9, "-", '4M'!$B$20, "-", '4M'!$K$7, "-", '4M'!$K$6, "-", '4M'!$F$5)</f>
        <v>EA/NRW environmental programme (WINEP/NEP)-Schemes to increase flow to full treatment-Sludge transport-Bioresources-Expenditure in report year</v>
      </c>
    </row>
    <row r="1745" spans="1:15">
      <c r="A1745" t="s">
        <v>643</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682</v>
      </c>
      <c r="G1745" t="str">
        <f>'4M'!$D$20</f>
        <v>£m</v>
      </c>
      <c r="O1745" t="str">
        <f>_xlfn.CONCAT('4M'!$B$9, "-", '4M'!$B$20, "-", '4M'!$L$7, "-", '4M'!$K$6, "-", '4M'!$F$5)</f>
        <v>EA/NRW environmental programme (WINEP/NEP)-Schemes to increase flow to full treatment-Sludge treatment-Bioresources-Expenditure in report year</v>
      </c>
    </row>
    <row r="1746" spans="1:15">
      <c r="A1746" t="s">
        <v>643</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682</v>
      </c>
      <c r="G1746" t="str">
        <f>'4M'!$D$20</f>
        <v>£m</v>
      </c>
      <c r="O1746" t="str">
        <f>_xlfn.CONCAT('4M'!$B$9, "-", '4M'!$B$20, "-", '4M'!$M$7, "-", '4M'!$K$6, "-", '4M'!$F$5)</f>
        <v>EA/NRW environmental programme (WINEP/NEP)-Schemes to increase flow to full treatment-Sludge disposal-Bioresources-Expenditure in report year</v>
      </c>
    </row>
    <row r="1747" spans="1:15">
      <c r="A1747" t="s">
        <v>643</v>
      </c>
      <c r="B1747" t="str">
        <f>'4M'!$BP$20</f>
        <v>B0303SIO_TOT</v>
      </c>
      <c r="D1747" t="str">
        <f>_xlfn.CONCAT('4M'!$B$9, "-", '4M'!$B$20, "-", '4M'!$N$6, "-", '4M'!$N$6, "-", '4M'!$F$5)</f>
        <v>EA/NRW environmental programme (WINEP/NEP)-Schemes to increase flow to full treatment-Total-Total-Expenditure in report year</v>
      </c>
      <c r="E1747" t="str">
        <f>'4M'!$C$20</f>
        <v>Opex</v>
      </c>
      <c r="F1747" t="s">
        <v>682</v>
      </c>
      <c r="G1747" t="str">
        <f>'4M'!$D$20</f>
        <v>£m</v>
      </c>
      <c r="O1747" t="str">
        <f>_xlfn.CONCAT('4M'!$B$9, "-", '4M'!$B$20, "-", '4M'!$N$6, "-", '4M'!$N$6, "-", '4M'!$F$5)</f>
        <v>EA/NRW environmental programme (WINEP/NEP)-Schemes to increase flow to full treatment-Total-Total-Expenditure in report year</v>
      </c>
    </row>
    <row r="1748" spans="1:15">
      <c r="A1748" t="s">
        <v>643</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682</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643</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682</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643</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682</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643</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682</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643</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682</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643</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682</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643</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682</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643</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682</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643</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682</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643</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682</v>
      </c>
      <c r="G1757" t="str">
        <f>'4M'!$D$21</f>
        <v>£m</v>
      </c>
      <c r="O1757" t="str">
        <f>_xlfn.CONCAT('4M'!$B$9, "-", '4M'!$B$21, "-", '4M'!$F$7, "-", '4M'!$F$6, "-", '4M'!$F$5)</f>
        <v>EA/NRW environmental programme (WINEP/NEP)-Schemes to increase flow to full treatment-Foul-Wastewater network+ -Expenditure in report year</v>
      </c>
    </row>
    <row r="1758" spans="1:15">
      <c r="A1758" t="s">
        <v>643</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682</v>
      </c>
      <c r="G1758" t="str">
        <f>'4M'!$D$21</f>
        <v>£m</v>
      </c>
      <c r="O1758" t="str">
        <f>_xlfn.CONCAT('4M'!$B$9, "-", '4M'!$B$21, "-", '4M'!$G$7, "-", '4M'!$F$6, "-", '4M'!$F$5)</f>
        <v>EA/NRW environmental programme (WINEP/NEP)-Schemes to increase flow to full treatment-Surface water drainage-Wastewater network+ -Expenditure in report year</v>
      </c>
    </row>
    <row r="1759" spans="1:15">
      <c r="A1759" t="s">
        <v>643</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682</v>
      </c>
      <c r="G1759" t="str">
        <f>'4M'!$D$21</f>
        <v>£m</v>
      </c>
      <c r="O1759" t="str">
        <f>_xlfn.CONCAT('4M'!$B$9, "-", '4M'!$B$21, "-", '4M'!$H$7, "-", '4M'!$F$6, "-", '4M'!$F$5)</f>
        <v>EA/NRW environmental programme (WINEP/NEP)-Schemes to increase flow to full treatment-Highway drainage-Wastewater network+ -Expenditure in report year</v>
      </c>
    </row>
    <row r="1760" spans="1:15">
      <c r="A1760" t="s">
        <v>643</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682</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643</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682</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643</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682</v>
      </c>
      <c r="G1762" t="str">
        <f>'4M'!$D$21</f>
        <v>£m</v>
      </c>
      <c r="O1762" t="str">
        <f>_xlfn.CONCAT('4M'!$B$9, "-", '4M'!$B$21, "-", '4M'!$K$7, "-", '4M'!$K$6, "-", '4M'!$F$5)</f>
        <v>EA/NRW environmental programme (WINEP/NEP)-Schemes to increase flow to full treatment-Sludge transport-Bioresources-Expenditure in report year</v>
      </c>
    </row>
    <row r="1763" spans="1:15">
      <c r="A1763" t="s">
        <v>643</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682</v>
      </c>
      <c r="G1763" t="str">
        <f>'4M'!$D$21</f>
        <v>£m</v>
      </c>
      <c r="O1763" t="str">
        <f>_xlfn.CONCAT('4M'!$B$9, "-", '4M'!$B$21, "-", '4M'!$L$7, "-", '4M'!$K$6, "-", '4M'!$F$5)</f>
        <v>EA/NRW environmental programme (WINEP/NEP)-Schemes to increase flow to full treatment-Sludge treatment-Bioresources-Expenditure in report year</v>
      </c>
    </row>
    <row r="1764" spans="1:15">
      <c r="A1764" t="s">
        <v>643</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682</v>
      </c>
      <c r="G1764" t="str">
        <f>'4M'!$D$21</f>
        <v>£m</v>
      </c>
      <c r="O1764" t="str">
        <f>_xlfn.CONCAT('4M'!$B$9, "-", '4M'!$B$21, "-", '4M'!$M$7, "-", '4M'!$K$6, "-", '4M'!$F$5)</f>
        <v>EA/NRW environmental programme (WINEP/NEP)-Schemes to increase flow to full treatment-Sludge disposal-Bioresources-Expenditure in report year</v>
      </c>
    </row>
    <row r="1765" spans="1:15">
      <c r="A1765" t="s">
        <v>643</v>
      </c>
      <c r="B1765" t="str">
        <f>'4M'!$BP$21</f>
        <v>B0304SIT_TOT</v>
      </c>
      <c r="D1765" t="str">
        <f>_xlfn.CONCAT('4M'!$B$9, "-", '4M'!$B$21, "-", '4M'!$N$6, "-", '4M'!$N$6, "-", '4M'!$F$5)</f>
        <v>EA/NRW environmental programme (WINEP/NEP)-Schemes to increase flow to full treatment-Total-Total-Expenditure in report year</v>
      </c>
      <c r="E1765" t="str">
        <f>'4M'!$C$21</f>
        <v>Totex</v>
      </c>
      <c r="F1765" t="s">
        <v>682</v>
      </c>
      <c r="G1765" t="str">
        <f>'4M'!$D$21</f>
        <v>£m</v>
      </c>
      <c r="O1765" t="str">
        <f>_xlfn.CONCAT('4M'!$B$9, "-", '4M'!$B$21, "-", '4M'!$N$6, "-", '4M'!$N$6, "-", '4M'!$F$5)</f>
        <v>EA/NRW environmental programme (WINEP/NEP)-Schemes to increase flow to full treatment-Total-Total-Expenditure in report year</v>
      </c>
    </row>
    <row r="1766" spans="1:15">
      <c r="A1766" t="s">
        <v>643</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682</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643</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682</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643</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682</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643</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682</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643</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682</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643</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682</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643</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682</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643</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682</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643</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682</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643</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682</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643</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682</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643</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682</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643</v>
      </c>
      <c r="B1778" t="str">
        <f>'4M'!$BH$22</f>
        <v>B0305SIC_F</v>
      </c>
      <c r="D1778" t="str">
        <f>_xlfn.CONCAT('4M'!$B$9, "-", '4M'!$B$22, "-", '4M'!$F$7, "-", '4M'!$F$6, "-", '4M'!$F$5)</f>
        <v>EA/NRW environmental programme (WINEP/NEP)-Schemes to increase storm tank capacity-Foul-Wastewater network+ -Expenditure in report year</v>
      </c>
      <c r="E1778" t="str">
        <f>'4M'!$C$22</f>
        <v>Capex</v>
      </c>
      <c r="F1778" t="s">
        <v>682</v>
      </c>
      <c r="G1778" t="str">
        <f>'4M'!$D$22</f>
        <v>£m</v>
      </c>
      <c r="O1778" t="str">
        <f>_xlfn.CONCAT('4M'!$B$9, "-", '4M'!$B$22, "-", '4M'!$F$7, "-", '4M'!$F$6, "-", '4M'!$F$5)</f>
        <v>EA/NRW environmental programme (WINEP/NEP)-Schemes to increase storm tank capacity-Foul-Wastewater network+ -Expenditure in report year</v>
      </c>
    </row>
    <row r="1779" spans="1:15">
      <c r="A1779" t="s">
        <v>643</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682</v>
      </c>
      <c r="G1779" t="str">
        <f>'4M'!$D$22</f>
        <v>£m</v>
      </c>
      <c r="O1779" t="str">
        <f>_xlfn.CONCAT('4M'!$B$9, "-", '4M'!$B$22, "-", '4M'!$G$7, "-", '4M'!$F$6, "-", '4M'!$F$5)</f>
        <v>EA/NRW environmental programme (WINEP/NEP)-Schemes to increase storm tank capacity-Surface water drainage-Wastewater network+ -Expenditure in report year</v>
      </c>
    </row>
    <row r="1780" spans="1:15">
      <c r="A1780" t="s">
        <v>643</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682</v>
      </c>
      <c r="G1780" t="str">
        <f>'4M'!$D$22</f>
        <v>£m</v>
      </c>
      <c r="O1780" t="str">
        <f>_xlfn.CONCAT('4M'!$B$9, "-", '4M'!$B$22, "-", '4M'!$H$7, "-", '4M'!$F$6, "-", '4M'!$F$5)</f>
        <v>EA/NRW environmental programme (WINEP/NEP)-Schemes to increase storm tank capacity-Highway drainage-Wastewater network+ -Expenditure in report year</v>
      </c>
    </row>
    <row r="1781" spans="1:15">
      <c r="A1781" t="s">
        <v>643</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682</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643</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682</v>
      </c>
      <c r="G1782" t="str">
        <f>'4M'!$D$22</f>
        <v>£m</v>
      </c>
      <c r="O1782" t="str">
        <f>_xlfn.CONCAT('4M'!$B$9, "-", '4M'!$B$22, "-", '4M'!$J$7, "-", '4M'!$F$6, "-", '4M'!$F$5)</f>
        <v>EA/NRW environmental programme (WINEP/NEP)-Schemes to increase storm tank capacity-Sludge liquor treatment-Wastewater network+ -Expenditure in report year</v>
      </c>
    </row>
    <row r="1783" spans="1:15">
      <c r="A1783" t="s">
        <v>643</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682</v>
      </c>
      <c r="G1783" t="str">
        <f>'4M'!$D$22</f>
        <v>£m</v>
      </c>
      <c r="O1783" t="str">
        <f>_xlfn.CONCAT('4M'!$B$9, "-", '4M'!$B$22, "-", '4M'!$K$7, "-", '4M'!$K$6, "-", '4M'!$F$5)</f>
        <v>EA/NRW environmental programme (WINEP/NEP)-Schemes to increase storm tank capacity-Sludge transport-Bioresources-Expenditure in report year</v>
      </c>
    </row>
    <row r="1784" spans="1:15">
      <c r="A1784" t="s">
        <v>643</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682</v>
      </c>
      <c r="G1784" t="str">
        <f>'4M'!$D$22</f>
        <v>£m</v>
      </c>
      <c r="O1784" t="str">
        <f>_xlfn.CONCAT('4M'!$B$9, "-", '4M'!$B$22, "-", '4M'!$L$7, "-", '4M'!$K$6, "-", '4M'!$F$5)</f>
        <v>EA/NRW environmental programme (WINEP/NEP)-Schemes to increase storm tank capacity-Sludge treatment-Bioresources-Expenditure in report year</v>
      </c>
    </row>
    <row r="1785" spans="1:15">
      <c r="A1785" t="s">
        <v>643</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682</v>
      </c>
      <c r="G1785" t="str">
        <f>'4M'!$D$22</f>
        <v>£m</v>
      </c>
      <c r="O1785" t="str">
        <f>_xlfn.CONCAT('4M'!$B$9, "-", '4M'!$B$22, "-", '4M'!$M$7, "-", '4M'!$K$6, "-", '4M'!$F$5)</f>
        <v>EA/NRW environmental programme (WINEP/NEP)-Schemes to increase storm tank capacity-Sludge disposal-Bioresources-Expenditure in report year</v>
      </c>
    </row>
    <row r="1786" spans="1:15">
      <c r="A1786" t="s">
        <v>643</v>
      </c>
      <c r="B1786" t="str">
        <f>'4M'!$BP$22</f>
        <v>B0305SIC_TOT</v>
      </c>
      <c r="D1786" t="str">
        <f>_xlfn.CONCAT('4M'!$B$9, "-", '4M'!$B$22, "-", '4M'!$N$6, "-", '4M'!$N$6, "-", '4M'!$F$5)</f>
        <v>EA/NRW environmental programme (WINEP/NEP)-Schemes to increase storm tank capacity-Total-Total-Expenditure in report year</v>
      </c>
      <c r="E1786" t="str">
        <f>'4M'!$C$22</f>
        <v>Capex</v>
      </c>
      <c r="F1786" t="s">
        <v>682</v>
      </c>
      <c r="G1786" t="str">
        <f>'4M'!$D$22</f>
        <v>£m</v>
      </c>
      <c r="O1786" t="str">
        <f>_xlfn.CONCAT('4M'!$B$9, "-", '4M'!$B$22, "-", '4M'!$N$6, "-", '4M'!$N$6, "-", '4M'!$F$5)</f>
        <v>EA/NRW environmental programme (WINEP/NEP)-Schemes to increase storm tank capacity-Total-Total-Expenditure in report year</v>
      </c>
    </row>
    <row r="1787" spans="1:15">
      <c r="A1787" t="s">
        <v>643</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682</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643</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682</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643</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682</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643</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682</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643</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682</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643</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682</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643</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682</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643</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682</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643</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682</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643</v>
      </c>
      <c r="B1796" t="str">
        <f>'4M'!$BH$23</f>
        <v>B0306SIO_F</v>
      </c>
      <c r="D1796" t="str">
        <f>_xlfn.CONCAT('4M'!$B$9, "-", '4M'!$B$23, "-", '4M'!$F$7, "-", '4M'!$F$6, "-", '4M'!$F$5)</f>
        <v>EA/NRW environmental programme (WINEP/NEP)-Schemes to increase storm tank capacity-Foul-Wastewater network+ -Expenditure in report year</v>
      </c>
      <c r="E1796" t="str">
        <f>'4M'!$C$23</f>
        <v>Opex</v>
      </c>
      <c r="F1796" t="s">
        <v>682</v>
      </c>
      <c r="G1796" t="str">
        <f>'4M'!$D$23</f>
        <v>£m</v>
      </c>
      <c r="O1796" t="str">
        <f>_xlfn.CONCAT('4M'!$B$9, "-", '4M'!$B$23, "-", '4M'!$F$7, "-", '4M'!$F$6, "-", '4M'!$F$5)</f>
        <v>EA/NRW environmental programme (WINEP/NEP)-Schemes to increase storm tank capacity-Foul-Wastewater network+ -Expenditure in report year</v>
      </c>
    </row>
    <row r="1797" spans="1:15">
      <c r="A1797" t="s">
        <v>643</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682</v>
      </c>
      <c r="G1797" t="str">
        <f>'4M'!$D$23</f>
        <v>£m</v>
      </c>
      <c r="O1797" t="str">
        <f>_xlfn.CONCAT('4M'!$B$9, "-", '4M'!$B$23, "-", '4M'!$G$7, "-", '4M'!$F$6, "-", '4M'!$F$5)</f>
        <v>EA/NRW environmental programme (WINEP/NEP)-Schemes to increase storm tank capacity-Surface water drainage-Wastewater network+ -Expenditure in report year</v>
      </c>
    </row>
    <row r="1798" spans="1:15">
      <c r="A1798" t="s">
        <v>643</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682</v>
      </c>
      <c r="G1798" t="str">
        <f>'4M'!$D$23</f>
        <v>£m</v>
      </c>
      <c r="O1798" t="str">
        <f>_xlfn.CONCAT('4M'!$B$9, "-", '4M'!$B$23, "-", '4M'!$H$7, "-", '4M'!$F$6, "-", '4M'!$F$5)</f>
        <v>EA/NRW environmental programme (WINEP/NEP)-Schemes to increase storm tank capacity-Highway drainage-Wastewater network+ -Expenditure in report year</v>
      </c>
    </row>
    <row r="1799" spans="1:15">
      <c r="A1799" t="s">
        <v>643</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682</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643</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682</v>
      </c>
      <c r="G1800" t="str">
        <f>'4M'!$D$23</f>
        <v>£m</v>
      </c>
      <c r="O1800" t="str">
        <f>_xlfn.CONCAT('4M'!$B$9, "-", '4M'!$B$23, "-", '4M'!$J$7, "-", '4M'!$F$6, "-", '4M'!$F$5)</f>
        <v>EA/NRW environmental programme (WINEP/NEP)-Schemes to increase storm tank capacity-Sludge liquor treatment-Wastewater network+ -Expenditure in report year</v>
      </c>
    </row>
    <row r="1801" spans="1:15">
      <c r="A1801" t="s">
        <v>643</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682</v>
      </c>
      <c r="G1801" t="str">
        <f>'4M'!$D$23</f>
        <v>£m</v>
      </c>
      <c r="O1801" t="str">
        <f>_xlfn.CONCAT('4M'!$B$9, "-", '4M'!$B$23, "-", '4M'!$K$7, "-", '4M'!$K$6, "-", '4M'!$F$5)</f>
        <v>EA/NRW environmental programme (WINEP/NEP)-Schemes to increase storm tank capacity-Sludge transport-Bioresources-Expenditure in report year</v>
      </c>
    </row>
    <row r="1802" spans="1:15">
      <c r="A1802" t="s">
        <v>643</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682</v>
      </c>
      <c r="G1802" t="str">
        <f>'4M'!$D$23</f>
        <v>£m</v>
      </c>
      <c r="O1802" t="str">
        <f>_xlfn.CONCAT('4M'!$B$9, "-", '4M'!$B$23, "-", '4M'!$L$7, "-", '4M'!$K$6, "-", '4M'!$F$5)</f>
        <v>EA/NRW environmental programme (WINEP/NEP)-Schemes to increase storm tank capacity-Sludge treatment-Bioresources-Expenditure in report year</v>
      </c>
    </row>
    <row r="1803" spans="1:15">
      <c r="A1803" t="s">
        <v>643</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682</v>
      </c>
      <c r="G1803" t="str">
        <f>'4M'!$D$23</f>
        <v>£m</v>
      </c>
      <c r="O1803" t="str">
        <f>_xlfn.CONCAT('4M'!$B$9, "-", '4M'!$B$23, "-", '4M'!$M$7, "-", '4M'!$K$6, "-", '4M'!$F$5)</f>
        <v>EA/NRW environmental programme (WINEP/NEP)-Schemes to increase storm tank capacity-Sludge disposal-Bioresources-Expenditure in report year</v>
      </c>
    </row>
    <row r="1804" spans="1:15">
      <c r="A1804" t="s">
        <v>643</v>
      </c>
      <c r="B1804" t="str">
        <f>'4M'!$BP$23</f>
        <v>B0306SIO_TOT</v>
      </c>
      <c r="D1804" t="str">
        <f>_xlfn.CONCAT('4M'!$B$9, "-", '4M'!$B$23, "-", '4M'!$N$6, "-", '4M'!$N$6, "-", '4M'!$F$5)</f>
        <v>EA/NRW environmental programme (WINEP/NEP)-Schemes to increase storm tank capacity-Total-Total-Expenditure in report year</v>
      </c>
      <c r="E1804" t="str">
        <f>'4M'!$C$23</f>
        <v>Opex</v>
      </c>
      <c r="F1804" t="s">
        <v>682</v>
      </c>
      <c r="G1804" t="str">
        <f>'4M'!$D$23</f>
        <v>£m</v>
      </c>
      <c r="O1804" t="str">
        <f>_xlfn.CONCAT('4M'!$B$9, "-", '4M'!$B$23, "-", '4M'!$N$6, "-", '4M'!$N$6, "-", '4M'!$F$5)</f>
        <v>EA/NRW environmental programme (WINEP/NEP)-Schemes to increase storm tank capacity-Total-Total-Expenditure in report year</v>
      </c>
    </row>
    <row r="1805" spans="1:15">
      <c r="A1805" t="s">
        <v>643</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682</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643</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682</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643</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682</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643</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682</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643</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682</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643</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682</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643</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682</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643</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682</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643</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682</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643</v>
      </c>
      <c r="B1814" t="str">
        <f>'4M'!$BH$24</f>
        <v>B0307SIT_F</v>
      </c>
      <c r="D1814" t="str">
        <f>_xlfn.CONCAT('4M'!$B$9, "-", '4M'!$B$24, "-", '4M'!$F$7, "-", '4M'!$F$6, "-", '4M'!$F$5)</f>
        <v>EA/NRW environmental programme (WINEP/NEP)-Schemes to increase storm tank capacity-Foul-Wastewater network+ -Expenditure in report year</v>
      </c>
      <c r="E1814" t="str">
        <f>'4M'!$C$24</f>
        <v>Totex</v>
      </c>
      <c r="F1814" t="s">
        <v>682</v>
      </c>
      <c r="G1814" t="str">
        <f>'4M'!$D$24</f>
        <v>£m</v>
      </c>
      <c r="O1814" t="str">
        <f>_xlfn.CONCAT('4M'!$B$9, "-", '4M'!$B$24, "-", '4M'!$F$7, "-", '4M'!$F$6, "-", '4M'!$F$5)</f>
        <v>EA/NRW environmental programme (WINEP/NEP)-Schemes to increase storm tank capacity-Foul-Wastewater network+ -Expenditure in report year</v>
      </c>
    </row>
    <row r="1815" spans="1:15">
      <c r="A1815" t="s">
        <v>643</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682</v>
      </c>
      <c r="G1815" t="str">
        <f>'4M'!$D$24</f>
        <v>£m</v>
      </c>
      <c r="O1815" t="str">
        <f>_xlfn.CONCAT('4M'!$B$9, "-", '4M'!$B$24, "-", '4M'!$G$7, "-", '4M'!$F$6, "-", '4M'!$F$5)</f>
        <v>EA/NRW environmental programme (WINEP/NEP)-Schemes to increase storm tank capacity-Surface water drainage-Wastewater network+ -Expenditure in report year</v>
      </c>
    </row>
    <row r="1816" spans="1:15">
      <c r="A1816" t="s">
        <v>643</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682</v>
      </c>
      <c r="G1816" t="str">
        <f>'4M'!$D$24</f>
        <v>£m</v>
      </c>
      <c r="O1816" t="str">
        <f>_xlfn.CONCAT('4M'!$B$9, "-", '4M'!$B$24, "-", '4M'!$H$7, "-", '4M'!$F$6, "-", '4M'!$F$5)</f>
        <v>EA/NRW environmental programme (WINEP/NEP)-Schemes to increase storm tank capacity-Highway drainage-Wastewater network+ -Expenditure in report year</v>
      </c>
    </row>
    <row r="1817" spans="1:15">
      <c r="A1817" t="s">
        <v>643</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682</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643</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682</v>
      </c>
      <c r="G1818" t="str">
        <f>'4M'!$D$24</f>
        <v>£m</v>
      </c>
      <c r="O1818" t="str">
        <f>_xlfn.CONCAT('4M'!$B$9, "-", '4M'!$B$24, "-", '4M'!$J$7, "-", '4M'!$F$6, "-", '4M'!$F$5)</f>
        <v>EA/NRW environmental programme (WINEP/NEP)-Schemes to increase storm tank capacity-Sludge liquor treatment-Wastewater network+ -Expenditure in report year</v>
      </c>
    </row>
    <row r="1819" spans="1:15">
      <c r="A1819" t="s">
        <v>643</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682</v>
      </c>
      <c r="G1819" t="str">
        <f>'4M'!$D$24</f>
        <v>£m</v>
      </c>
      <c r="O1819" t="str">
        <f>_xlfn.CONCAT('4M'!$B$9, "-", '4M'!$B$24, "-", '4M'!$K$7, "-", '4M'!$K$6, "-", '4M'!$F$5)</f>
        <v>EA/NRW environmental programme (WINEP/NEP)-Schemes to increase storm tank capacity-Sludge transport-Bioresources-Expenditure in report year</v>
      </c>
    </row>
    <row r="1820" spans="1:15">
      <c r="A1820" t="s">
        <v>643</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682</v>
      </c>
      <c r="G1820" t="str">
        <f>'4M'!$D$24</f>
        <v>£m</v>
      </c>
      <c r="O1820" t="str">
        <f>_xlfn.CONCAT('4M'!$B$9, "-", '4M'!$B$24, "-", '4M'!$L$7, "-", '4M'!$K$6, "-", '4M'!$F$5)</f>
        <v>EA/NRW environmental programme (WINEP/NEP)-Schemes to increase storm tank capacity-Sludge treatment-Bioresources-Expenditure in report year</v>
      </c>
    </row>
    <row r="1821" spans="1:15">
      <c r="A1821" t="s">
        <v>643</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682</v>
      </c>
      <c r="G1821" t="str">
        <f>'4M'!$D$24</f>
        <v>£m</v>
      </c>
      <c r="O1821" t="str">
        <f>_xlfn.CONCAT('4M'!$B$9, "-", '4M'!$B$24, "-", '4M'!$M$7, "-", '4M'!$K$6, "-", '4M'!$F$5)</f>
        <v>EA/NRW environmental programme (WINEP/NEP)-Schemes to increase storm tank capacity-Sludge disposal-Bioresources-Expenditure in report year</v>
      </c>
    </row>
    <row r="1822" spans="1:15">
      <c r="A1822" t="s">
        <v>643</v>
      </c>
      <c r="B1822" t="str">
        <f>'4M'!$BP$24</f>
        <v>B0307SIT_TOT</v>
      </c>
      <c r="D1822" t="str">
        <f>_xlfn.CONCAT('4M'!$B$9, "-", '4M'!$B$24, "-", '4M'!$N$6, "-", '4M'!$N$6, "-", '4M'!$F$5)</f>
        <v>EA/NRW environmental programme (WINEP/NEP)-Schemes to increase storm tank capacity-Total-Total-Expenditure in report year</v>
      </c>
      <c r="E1822" t="str">
        <f>'4M'!$C$24</f>
        <v>Totex</v>
      </c>
      <c r="F1822" t="s">
        <v>682</v>
      </c>
      <c r="G1822" t="str">
        <f>'4M'!$D$24</f>
        <v>£m</v>
      </c>
      <c r="O1822" t="str">
        <f>_xlfn.CONCAT('4M'!$B$9, "-", '4M'!$B$24, "-", '4M'!$N$6, "-", '4M'!$N$6, "-", '4M'!$F$5)</f>
        <v>EA/NRW environmental programme (WINEP/NEP)-Schemes to increase storm tank capacity-Total-Total-Expenditure in report year</v>
      </c>
    </row>
    <row r="1823" spans="1:15">
      <c r="A1823" t="s">
        <v>643</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682</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643</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682</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643</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682</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643</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682</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643</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682</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643</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682</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643</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682</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643</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682</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643</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682</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643</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682</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643</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682</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643</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682</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643</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682</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643</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682</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643</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682</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643</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682</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643</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682</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643</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682</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643</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682</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643</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682</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643</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682</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643</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682</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643</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682</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643</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682</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643</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682</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643</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682</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643</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682</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643</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682</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643</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682</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643</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682</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643</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682</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643</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682</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643</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682</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643</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682</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643</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682</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643</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682</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643</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682</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643</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682</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643</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682</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643</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682</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643</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682</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643</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682</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643</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682</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643</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682</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643</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682</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643</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682</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643</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682</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643</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682</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643</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682</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643</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682</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643</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682</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643</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682</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643</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682</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643</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682</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643</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682</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643</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682</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643</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682</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643</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682</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643</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682</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643</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682</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643</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682</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643</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682</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643</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682</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643</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682</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643</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682</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643</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682</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643</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682</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643</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682</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643</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682</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643</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682</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643</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682</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643</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682</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643</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682</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643</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682</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643</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682</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643</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682</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643</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682</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643</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682</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643</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682</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643</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682</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643</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682</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643</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682</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643</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682</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643</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682</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643</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682</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643</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682</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643</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682</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643</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682</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643</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682</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643</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682</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643</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682</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643</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682</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643</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682</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643</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682</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643</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682</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643</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682</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643</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682</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643</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682</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643</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682</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643</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682</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643</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682</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643</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682</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643</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682</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643</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682</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643</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682</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643</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682</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643</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682</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643</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682</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643</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682</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643</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682</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643</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682</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643</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682</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643</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682</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643</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682</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643</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682</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643</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682</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643</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682</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643</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682</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643</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682</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643</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682</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643</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682</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643</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682</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643</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682</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643</v>
      </c>
      <c r="B1946" t="str">
        <f>'4M'!$BH$35</f>
        <v>B0311CRC_F</v>
      </c>
      <c r="D1946" t="str">
        <f>_xlfn.CONCAT('4M'!$B$9, "-", '4M'!$B$35, "-", '4M'!$F$7, "-", '4M'!$F$6, "-", '4M'!$F$5)</f>
        <v>EA/NRW environmental programme (WINEP/NEP)-Chemical removals schemes-Foul-Wastewater network+ -Expenditure in report year</v>
      </c>
      <c r="E1946" t="str">
        <f>'4M'!$C$35</f>
        <v>Capex</v>
      </c>
      <c r="F1946" t="s">
        <v>682</v>
      </c>
      <c r="G1946" t="str">
        <f>'4M'!$D$35</f>
        <v>£m</v>
      </c>
      <c r="O1946" t="str">
        <f>_xlfn.CONCAT('4M'!$B$9, "-", '4M'!$B$35, "-", '4M'!$F$7, "-", '4M'!$F$6, "-", '4M'!$F$5)</f>
        <v>EA/NRW environmental programme (WINEP/NEP)-Chemical removals schemes-Foul-Wastewater network+ -Expenditure in report year</v>
      </c>
    </row>
    <row r="1947" spans="1:15">
      <c r="A1947" t="s">
        <v>643</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682</v>
      </c>
      <c r="G1947" t="str">
        <f>'4M'!$D$35</f>
        <v>£m</v>
      </c>
      <c r="O1947" t="str">
        <f>_xlfn.CONCAT('4M'!$B$9, "-", '4M'!$B$35, "-", '4M'!$G$7, "-", '4M'!$F$6, "-", '4M'!$F$5)</f>
        <v>EA/NRW environmental programme (WINEP/NEP)-Chemical removals schemes-Surface water drainage-Wastewater network+ -Expenditure in report year</v>
      </c>
    </row>
    <row r="1948" spans="1:15">
      <c r="A1948" t="s">
        <v>643</v>
      </c>
      <c r="B1948" t="str">
        <f>'4M'!$BJ$35</f>
        <v>B0311CRC_HD</v>
      </c>
      <c r="D1948" t="str">
        <f>_xlfn.CONCAT('4M'!$B$9, "-", '4M'!$B$35, "-", '4M'!$H$7, "-", '4M'!$F$6, "-", '4M'!$F$5)</f>
        <v>EA/NRW environmental programme (WINEP/NEP)-Chemical removals schemes-Highway drainage-Wastewater network+ -Expenditure in report year</v>
      </c>
      <c r="E1948" t="str">
        <f>'4M'!$C$35</f>
        <v>Capex</v>
      </c>
      <c r="F1948" t="s">
        <v>682</v>
      </c>
      <c r="G1948" t="str">
        <f>'4M'!$D$35</f>
        <v>£m</v>
      </c>
      <c r="O1948" t="str">
        <f>_xlfn.CONCAT('4M'!$B$9, "-", '4M'!$B$35, "-", '4M'!$H$7, "-", '4M'!$F$6, "-", '4M'!$F$5)</f>
        <v>EA/NRW environmental programme (WINEP/NEP)-Chemical removals schemes-Highway drainage-Wastewater network+ -Expenditure in report year</v>
      </c>
    </row>
    <row r="1949" spans="1:15">
      <c r="A1949" t="s">
        <v>643</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682</v>
      </c>
      <c r="G1949" t="str">
        <f>'4M'!$D$35</f>
        <v>£m</v>
      </c>
      <c r="O1949" t="str">
        <f>_xlfn.CONCAT('4M'!$B$9, "-", '4M'!$B$35, "-", '4M'!$I$7, "-", '4M'!$F$6, "-", '4M'!$F$5)</f>
        <v>EA/NRW environmental programme (WINEP/NEP)-Chemical removals schemes-Sewage treatment and disposal-Wastewater network+ -Expenditure in report year</v>
      </c>
    </row>
    <row r="1950" spans="1:15">
      <c r="A1950" t="s">
        <v>643</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682</v>
      </c>
      <c r="G1950" t="str">
        <f>'4M'!$D$35</f>
        <v>£m</v>
      </c>
      <c r="O1950" t="str">
        <f>_xlfn.CONCAT('4M'!$B$9, "-", '4M'!$B$35, "-", '4M'!$J$7, "-", '4M'!$F$6, "-", '4M'!$F$5)</f>
        <v>EA/NRW environmental programme (WINEP/NEP)-Chemical removals schemes-Sludge liquor treatment-Wastewater network+ -Expenditure in report year</v>
      </c>
    </row>
    <row r="1951" spans="1:15">
      <c r="A1951" t="s">
        <v>643</v>
      </c>
      <c r="B1951" t="str">
        <f>'4M'!$BM$35</f>
        <v>B0311CRC_STP</v>
      </c>
      <c r="D1951" t="str">
        <f>_xlfn.CONCAT('4M'!$B$9, "-", '4M'!$B$35, "-", '4M'!$K$7, "-", '4M'!$K$6, "-", '4M'!$F$5)</f>
        <v>EA/NRW environmental programme (WINEP/NEP)-Chemical removals schemes-Sludge transport-Bioresources-Expenditure in report year</v>
      </c>
      <c r="E1951" t="str">
        <f>'4M'!$C$35</f>
        <v>Capex</v>
      </c>
      <c r="F1951" t="s">
        <v>682</v>
      </c>
      <c r="G1951" t="str">
        <f>'4M'!$D$35</f>
        <v>£m</v>
      </c>
      <c r="O1951" t="str">
        <f>_xlfn.CONCAT('4M'!$B$9, "-", '4M'!$B$35, "-", '4M'!$K$7, "-", '4M'!$K$6, "-", '4M'!$F$5)</f>
        <v>EA/NRW environmental programme (WINEP/NEP)-Chemical removals schemes-Sludge transport-Bioresources-Expenditure in report year</v>
      </c>
    </row>
    <row r="1952" spans="1:15">
      <c r="A1952" t="s">
        <v>643</v>
      </c>
      <c r="B1952" t="str">
        <f>'4M'!$BN$35</f>
        <v>B0311CRC_SDT</v>
      </c>
      <c r="D1952" t="str">
        <f>_xlfn.CONCAT('4M'!$B$9, "-", '4M'!$B$35, "-", '4M'!$L$7, "-", '4M'!$K$6, "-", '4M'!$F$5)</f>
        <v>EA/NRW environmental programme (WINEP/NEP)-Chemical removals schemes-Sludge treatment-Bioresources-Expenditure in report year</v>
      </c>
      <c r="E1952" t="str">
        <f>'4M'!$C$35</f>
        <v>Capex</v>
      </c>
      <c r="F1952" t="s">
        <v>682</v>
      </c>
      <c r="G1952" t="str">
        <f>'4M'!$D$35</f>
        <v>£m</v>
      </c>
      <c r="O1952" t="str">
        <f>_xlfn.CONCAT('4M'!$B$9, "-", '4M'!$B$35, "-", '4M'!$L$7, "-", '4M'!$K$6, "-", '4M'!$F$5)</f>
        <v>EA/NRW environmental programme (WINEP/NEP)-Chemical removals schemes-Sludge treatment-Bioresources-Expenditure in report year</v>
      </c>
    </row>
    <row r="1953" spans="1:15">
      <c r="A1953" t="s">
        <v>643</v>
      </c>
      <c r="B1953" t="str">
        <f>'4M'!$BO$35</f>
        <v>B0311CRC_SD</v>
      </c>
      <c r="D1953" t="str">
        <f>_xlfn.CONCAT('4M'!$B$9, "-", '4M'!$B$35, "-", '4M'!$M$7, "-", '4M'!$K$6, "-", '4M'!$F$5)</f>
        <v>EA/NRW environmental programme (WINEP/NEP)-Chemical removals schemes-Sludge disposal-Bioresources-Expenditure in report year</v>
      </c>
      <c r="E1953" t="str">
        <f>'4M'!$C$35</f>
        <v>Capex</v>
      </c>
      <c r="F1953" t="s">
        <v>682</v>
      </c>
      <c r="G1953" t="str">
        <f>'4M'!$D$35</f>
        <v>£m</v>
      </c>
      <c r="O1953" t="str">
        <f>_xlfn.CONCAT('4M'!$B$9, "-", '4M'!$B$35, "-", '4M'!$M$7, "-", '4M'!$K$6, "-", '4M'!$F$5)</f>
        <v>EA/NRW environmental programme (WINEP/NEP)-Chemical removals schemes-Sludge disposal-Bioresources-Expenditure in report year</v>
      </c>
    </row>
    <row r="1954" spans="1:15">
      <c r="A1954" t="s">
        <v>643</v>
      </c>
      <c r="B1954" t="str">
        <f>'4M'!$BP$35</f>
        <v>B0311CRC_TOT</v>
      </c>
      <c r="D1954" t="str">
        <f>_xlfn.CONCAT('4M'!$B$9, "-", '4M'!$B$35, "-", '4M'!$N$6, "-", '4M'!$N$6, "-", '4M'!$F$5)</f>
        <v>EA/NRW environmental programme (WINEP/NEP)-Chemical removals schemes-Total-Total-Expenditure in report year</v>
      </c>
      <c r="E1954" t="str">
        <f>'4M'!$C$35</f>
        <v>Capex</v>
      </c>
      <c r="F1954" t="s">
        <v>682</v>
      </c>
      <c r="G1954" t="str">
        <f>'4M'!$D$35</f>
        <v>£m</v>
      </c>
      <c r="O1954" t="str">
        <f>_xlfn.CONCAT('4M'!$B$9, "-", '4M'!$B$35, "-", '4M'!$N$6, "-", '4M'!$N$6, "-", '4M'!$F$5)</f>
        <v>EA/NRW environmental programme (WINEP/NEP)-Chemical removals schemes-Total-Total-Expenditure in report year</v>
      </c>
    </row>
    <row r="1955" spans="1:15">
      <c r="A1955" t="s">
        <v>643</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682</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643</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682</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643</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682</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643</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682</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643</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682</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643</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682</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643</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682</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643</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682</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643</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682</v>
      </c>
      <c r="G1963" t="str">
        <f>'4M'!$D$35</f>
        <v>£m</v>
      </c>
      <c r="O1963" t="str">
        <f>_xlfn.CONCAT('4M'!$B$9, "-", '4M'!$B$35, "-", '4M'!$W$6, "-", '4M'!$W$6, "-", '4M'!$O$5)</f>
        <v>EA/NRW environmental programme (WINEP/NEP)-Chemical removals schemes-Total-Total-Cumulative expenditure on schemes completed in the report year</v>
      </c>
    </row>
    <row r="1964" spans="1:15">
      <c r="A1964" t="s">
        <v>643</v>
      </c>
      <c r="B1964" t="str">
        <f>'4M'!$BH$36</f>
        <v>B0312CRO_F</v>
      </c>
      <c r="D1964" t="str">
        <f>_xlfn.CONCAT('4M'!$B$9, "-", '4M'!$B$36, "-", '4M'!$F$7, "-", '4M'!$F$6, "-", '4M'!$F$5)</f>
        <v>EA/NRW environmental programme (WINEP/NEP)-Chemical removals schemes-Foul-Wastewater network+ -Expenditure in report year</v>
      </c>
      <c r="E1964" t="str">
        <f>'4M'!$C$36</f>
        <v>Opex</v>
      </c>
      <c r="F1964" t="s">
        <v>682</v>
      </c>
      <c r="G1964" t="str">
        <f>'4M'!$D$36</f>
        <v>£m</v>
      </c>
      <c r="O1964" t="str">
        <f>_xlfn.CONCAT('4M'!$B$9, "-", '4M'!$B$36, "-", '4M'!$F$7, "-", '4M'!$F$6, "-", '4M'!$F$5)</f>
        <v>EA/NRW environmental programme (WINEP/NEP)-Chemical removals schemes-Foul-Wastewater network+ -Expenditure in report year</v>
      </c>
    </row>
    <row r="1965" spans="1:15">
      <c r="A1965" t="s">
        <v>643</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682</v>
      </c>
      <c r="G1965" t="str">
        <f>'4M'!$D$36</f>
        <v>£m</v>
      </c>
      <c r="O1965" t="str">
        <f>_xlfn.CONCAT('4M'!$B$9, "-", '4M'!$B$36, "-", '4M'!$G$7, "-", '4M'!$F$6, "-", '4M'!$F$5)</f>
        <v>EA/NRW environmental programme (WINEP/NEP)-Chemical removals schemes-Surface water drainage-Wastewater network+ -Expenditure in report year</v>
      </c>
    </row>
    <row r="1966" spans="1:15">
      <c r="A1966" t="s">
        <v>643</v>
      </c>
      <c r="B1966" t="str">
        <f>'4M'!$BJ$36</f>
        <v>B0312CRO_HD</v>
      </c>
      <c r="D1966" t="str">
        <f>_xlfn.CONCAT('4M'!$B$9, "-", '4M'!$B$36, "-", '4M'!$H$7, "-", '4M'!$F$6, "-", '4M'!$F$5)</f>
        <v>EA/NRW environmental programme (WINEP/NEP)-Chemical removals schemes-Highway drainage-Wastewater network+ -Expenditure in report year</v>
      </c>
      <c r="E1966" t="str">
        <f>'4M'!$C$36</f>
        <v>Opex</v>
      </c>
      <c r="F1966" t="s">
        <v>682</v>
      </c>
      <c r="G1966" t="str">
        <f>'4M'!$D$36</f>
        <v>£m</v>
      </c>
      <c r="O1966" t="str">
        <f>_xlfn.CONCAT('4M'!$B$9, "-", '4M'!$B$36, "-", '4M'!$H$7, "-", '4M'!$F$6, "-", '4M'!$F$5)</f>
        <v>EA/NRW environmental programme (WINEP/NEP)-Chemical removals schemes-Highway drainage-Wastewater network+ -Expenditure in report year</v>
      </c>
    </row>
    <row r="1967" spans="1:15">
      <c r="A1967" t="s">
        <v>643</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682</v>
      </c>
      <c r="G1967" t="str">
        <f>'4M'!$D$36</f>
        <v>£m</v>
      </c>
      <c r="O1967" t="str">
        <f>_xlfn.CONCAT('4M'!$B$9, "-", '4M'!$B$36, "-", '4M'!$I$7, "-", '4M'!$F$6, "-", '4M'!$F$5)</f>
        <v>EA/NRW environmental programme (WINEP/NEP)-Chemical removals schemes-Sewage treatment and disposal-Wastewater network+ -Expenditure in report year</v>
      </c>
    </row>
    <row r="1968" spans="1:15">
      <c r="A1968" t="s">
        <v>643</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682</v>
      </c>
      <c r="G1968" t="str">
        <f>'4M'!$D$36</f>
        <v>£m</v>
      </c>
      <c r="O1968" t="str">
        <f>_xlfn.CONCAT('4M'!$B$9, "-", '4M'!$B$36, "-", '4M'!$J$7, "-", '4M'!$F$6, "-", '4M'!$F$5)</f>
        <v>EA/NRW environmental programme (WINEP/NEP)-Chemical removals schemes-Sludge liquor treatment-Wastewater network+ -Expenditure in report year</v>
      </c>
    </row>
    <row r="1969" spans="1:15">
      <c r="A1969" t="s">
        <v>643</v>
      </c>
      <c r="B1969" t="str">
        <f>'4M'!$BM$36</f>
        <v>B0312CRO_STP</v>
      </c>
      <c r="D1969" t="str">
        <f>_xlfn.CONCAT('4M'!$B$9, "-", '4M'!$B$36, "-", '4M'!$K$7, "-", '4M'!$K$6, "-", '4M'!$F$5)</f>
        <v>EA/NRW environmental programme (WINEP/NEP)-Chemical removals schemes-Sludge transport-Bioresources-Expenditure in report year</v>
      </c>
      <c r="E1969" t="str">
        <f>'4M'!$C$36</f>
        <v>Opex</v>
      </c>
      <c r="F1969" t="s">
        <v>682</v>
      </c>
      <c r="G1969" t="str">
        <f>'4M'!$D$36</f>
        <v>£m</v>
      </c>
      <c r="O1969" t="str">
        <f>_xlfn.CONCAT('4M'!$B$9, "-", '4M'!$B$36, "-", '4M'!$K$7, "-", '4M'!$K$6, "-", '4M'!$F$5)</f>
        <v>EA/NRW environmental programme (WINEP/NEP)-Chemical removals schemes-Sludge transport-Bioresources-Expenditure in report year</v>
      </c>
    </row>
    <row r="1970" spans="1:15">
      <c r="A1970" t="s">
        <v>643</v>
      </c>
      <c r="B1970" t="str">
        <f>'4M'!$BN$36</f>
        <v>B0312CRO_SDT</v>
      </c>
      <c r="D1970" t="str">
        <f>_xlfn.CONCAT('4M'!$B$9, "-", '4M'!$B$36, "-", '4M'!$L$7, "-", '4M'!$K$6, "-", '4M'!$F$5)</f>
        <v>EA/NRW environmental programme (WINEP/NEP)-Chemical removals schemes-Sludge treatment-Bioresources-Expenditure in report year</v>
      </c>
      <c r="E1970" t="str">
        <f>'4M'!$C$36</f>
        <v>Opex</v>
      </c>
      <c r="F1970" t="s">
        <v>682</v>
      </c>
      <c r="G1970" t="str">
        <f>'4M'!$D$36</f>
        <v>£m</v>
      </c>
      <c r="O1970" t="str">
        <f>_xlfn.CONCAT('4M'!$B$9, "-", '4M'!$B$36, "-", '4M'!$L$7, "-", '4M'!$K$6, "-", '4M'!$F$5)</f>
        <v>EA/NRW environmental programme (WINEP/NEP)-Chemical removals schemes-Sludge treatment-Bioresources-Expenditure in report year</v>
      </c>
    </row>
    <row r="1971" spans="1:15">
      <c r="A1971" t="s">
        <v>643</v>
      </c>
      <c r="B1971" t="str">
        <f>'4M'!$BO$36</f>
        <v>B0312CRO_SD</v>
      </c>
      <c r="D1971" t="str">
        <f>_xlfn.CONCAT('4M'!$B$9, "-", '4M'!$B$36, "-", '4M'!$M$7, "-", '4M'!$K$6, "-", '4M'!$F$5)</f>
        <v>EA/NRW environmental programme (WINEP/NEP)-Chemical removals schemes-Sludge disposal-Bioresources-Expenditure in report year</v>
      </c>
      <c r="E1971" t="str">
        <f>'4M'!$C$36</f>
        <v>Opex</v>
      </c>
      <c r="F1971" t="s">
        <v>682</v>
      </c>
      <c r="G1971" t="str">
        <f>'4M'!$D$36</f>
        <v>£m</v>
      </c>
      <c r="O1971" t="str">
        <f>_xlfn.CONCAT('4M'!$B$9, "-", '4M'!$B$36, "-", '4M'!$M$7, "-", '4M'!$K$6, "-", '4M'!$F$5)</f>
        <v>EA/NRW environmental programme (WINEP/NEP)-Chemical removals schemes-Sludge disposal-Bioresources-Expenditure in report year</v>
      </c>
    </row>
    <row r="1972" spans="1:15">
      <c r="A1972" t="s">
        <v>643</v>
      </c>
      <c r="B1972" t="str">
        <f>'4M'!$BP$36</f>
        <v>B0312CRO_TOT</v>
      </c>
      <c r="D1972" t="str">
        <f>_xlfn.CONCAT('4M'!$B$9, "-", '4M'!$B$36, "-", '4M'!$N$6, "-", '4M'!$N$6, "-", '4M'!$F$5)</f>
        <v>EA/NRW environmental programme (WINEP/NEP)-Chemical removals schemes-Total-Total-Expenditure in report year</v>
      </c>
      <c r="E1972" t="str">
        <f>'4M'!$C$36</f>
        <v>Opex</v>
      </c>
      <c r="F1972" t="s">
        <v>682</v>
      </c>
      <c r="G1972" t="str">
        <f>'4M'!$D$36</f>
        <v>£m</v>
      </c>
      <c r="O1972" t="str">
        <f>_xlfn.CONCAT('4M'!$B$9, "-", '4M'!$B$36, "-", '4M'!$N$6, "-", '4M'!$N$6, "-", '4M'!$F$5)</f>
        <v>EA/NRW environmental programme (WINEP/NEP)-Chemical removals schemes-Total-Total-Expenditure in report year</v>
      </c>
    </row>
    <row r="1973" spans="1:15">
      <c r="A1973" t="s">
        <v>643</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682</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643</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682</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643</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682</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643</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682</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643</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682</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643</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682</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643</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682</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643</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682</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643</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682</v>
      </c>
      <c r="G1981" t="str">
        <f>'4M'!$D$36</f>
        <v>£m</v>
      </c>
      <c r="O1981" t="str">
        <f>_xlfn.CONCAT('4M'!$B$9, "-", '4M'!$B$36, "-", '4M'!$W$6, "-", '4M'!$W$6, "-", '4M'!$O$5)</f>
        <v>EA/NRW environmental programme (WINEP/NEP)-Chemical removals schemes-Total-Total-Cumulative expenditure on schemes completed in the report year</v>
      </c>
    </row>
    <row r="1982" spans="1:15">
      <c r="A1982" t="s">
        <v>643</v>
      </c>
      <c r="B1982" t="str">
        <f>'4M'!$BH$37</f>
        <v>B0313CRT_F</v>
      </c>
      <c r="D1982" t="str">
        <f>_xlfn.CONCAT('4M'!$B$9, "-", '4M'!$B$37, "-", '4M'!$F$7, "-", '4M'!$F$6, "-", '4M'!$F$5)</f>
        <v>EA/NRW environmental programme (WINEP/NEP)-Chemical removals schemes-Foul-Wastewater network+ -Expenditure in report year</v>
      </c>
      <c r="E1982" t="str">
        <f>'4M'!$C$37</f>
        <v>Totex</v>
      </c>
      <c r="F1982" t="s">
        <v>682</v>
      </c>
      <c r="G1982" t="str">
        <f>'4M'!$D$37</f>
        <v>£m</v>
      </c>
      <c r="O1982" t="str">
        <f>_xlfn.CONCAT('4M'!$B$9, "-", '4M'!$B$37, "-", '4M'!$F$7, "-", '4M'!$F$6, "-", '4M'!$F$5)</f>
        <v>EA/NRW environmental programme (WINEP/NEP)-Chemical removals schemes-Foul-Wastewater network+ -Expenditure in report year</v>
      </c>
    </row>
    <row r="1983" spans="1:15">
      <c r="A1983" t="s">
        <v>643</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682</v>
      </c>
      <c r="G1983" t="str">
        <f>'4M'!$D$37</f>
        <v>£m</v>
      </c>
      <c r="O1983" t="str">
        <f>_xlfn.CONCAT('4M'!$B$9, "-", '4M'!$B$37, "-", '4M'!$G$7, "-", '4M'!$F$6, "-", '4M'!$F$5)</f>
        <v>EA/NRW environmental programme (WINEP/NEP)-Chemical removals schemes-Surface water drainage-Wastewater network+ -Expenditure in report year</v>
      </c>
    </row>
    <row r="1984" spans="1:15">
      <c r="A1984" t="s">
        <v>643</v>
      </c>
      <c r="B1984" t="str">
        <f>'4M'!$BJ$37</f>
        <v>B0313CRT_HD</v>
      </c>
      <c r="D1984" t="str">
        <f>_xlfn.CONCAT('4M'!$B$9, "-", '4M'!$B$37, "-", '4M'!$H$7, "-", '4M'!$F$6, "-", '4M'!$F$5)</f>
        <v>EA/NRW environmental programme (WINEP/NEP)-Chemical removals schemes-Highway drainage-Wastewater network+ -Expenditure in report year</v>
      </c>
      <c r="E1984" t="str">
        <f>'4M'!$C$37</f>
        <v>Totex</v>
      </c>
      <c r="F1984" t="s">
        <v>682</v>
      </c>
      <c r="G1984" t="str">
        <f>'4M'!$D$37</f>
        <v>£m</v>
      </c>
      <c r="O1984" t="str">
        <f>_xlfn.CONCAT('4M'!$B$9, "-", '4M'!$B$37, "-", '4M'!$H$7, "-", '4M'!$F$6, "-", '4M'!$F$5)</f>
        <v>EA/NRW environmental programme (WINEP/NEP)-Chemical removals schemes-Highway drainage-Wastewater network+ -Expenditure in report year</v>
      </c>
    </row>
    <row r="1985" spans="1:15">
      <c r="A1985" t="s">
        <v>643</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682</v>
      </c>
      <c r="G1985" t="str">
        <f>'4M'!$D$37</f>
        <v>£m</v>
      </c>
      <c r="O1985" t="str">
        <f>_xlfn.CONCAT('4M'!$B$9, "-", '4M'!$B$37, "-", '4M'!$I$7, "-", '4M'!$F$6, "-", '4M'!$F$5)</f>
        <v>EA/NRW environmental programme (WINEP/NEP)-Chemical removals schemes-Sewage treatment and disposal-Wastewater network+ -Expenditure in report year</v>
      </c>
    </row>
    <row r="1986" spans="1:15">
      <c r="A1986" t="s">
        <v>643</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682</v>
      </c>
      <c r="G1986" t="str">
        <f>'4M'!$D$37</f>
        <v>£m</v>
      </c>
      <c r="O1986" t="str">
        <f>_xlfn.CONCAT('4M'!$B$9, "-", '4M'!$B$37, "-", '4M'!$J$7, "-", '4M'!$F$6, "-", '4M'!$F$5)</f>
        <v>EA/NRW environmental programme (WINEP/NEP)-Chemical removals schemes-Sludge liquor treatment-Wastewater network+ -Expenditure in report year</v>
      </c>
    </row>
    <row r="1987" spans="1:15">
      <c r="A1987" t="s">
        <v>643</v>
      </c>
      <c r="B1987" t="str">
        <f>'4M'!$BM$37</f>
        <v>B0313CRT_STP</v>
      </c>
      <c r="D1987" t="str">
        <f>_xlfn.CONCAT('4M'!$B$9, "-", '4M'!$B$37, "-", '4M'!$K$7, "-", '4M'!$K$6, "-", '4M'!$F$5)</f>
        <v>EA/NRW environmental programme (WINEP/NEP)-Chemical removals schemes-Sludge transport-Bioresources-Expenditure in report year</v>
      </c>
      <c r="E1987" t="str">
        <f>'4M'!$C$37</f>
        <v>Totex</v>
      </c>
      <c r="F1987" t="s">
        <v>682</v>
      </c>
      <c r="G1987" t="str">
        <f>'4M'!$D$37</f>
        <v>£m</v>
      </c>
      <c r="O1987" t="str">
        <f>_xlfn.CONCAT('4M'!$B$9, "-", '4M'!$B$37, "-", '4M'!$K$7, "-", '4M'!$K$6, "-", '4M'!$F$5)</f>
        <v>EA/NRW environmental programme (WINEP/NEP)-Chemical removals schemes-Sludge transport-Bioresources-Expenditure in report year</v>
      </c>
    </row>
    <row r="1988" spans="1:15">
      <c r="A1988" t="s">
        <v>643</v>
      </c>
      <c r="B1988" t="str">
        <f>'4M'!$BN$37</f>
        <v>B0313CRT_SDT</v>
      </c>
      <c r="D1988" t="str">
        <f>_xlfn.CONCAT('4M'!$B$9, "-", '4M'!$B$37, "-", '4M'!$L$7, "-", '4M'!$K$6, "-", '4M'!$F$5)</f>
        <v>EA/NRW environmental programme (WINEP/NEP)-Chemical removals schemes-Sludge treatment-Bioresources-Expenditure in report year</v>
      </c>
      <c r="E1988" t="str">
        <f>'4M'!$C$37</f>
        <v>Totex</v>
      </c>
      <c r="F1988" t="s">
        <v>682</v>
      </c>
      <c r="G1988" t="str">
        <f>'4M'!$D$37</f>
        <v>£m</v>
      </c>
      <c r="O1988" t="str">
        <f>_xlfn.CONCAT('4M'!$B$9, "-", '4M'!$B$37, "-", '4M'!$L$7, "-", '4M'!$K$6, "-", '4M'!$F$5)</f>
        <v>EA/NRW environmental programme (WINEP/NEP)-Chemical removals schemes-Sludge treatment-Bioresources-Expenditure in report year</v>
      </c>
    </row>
    <row r="1989" spans="1:15">
      <c r="A1989" t="s">
        <v>643</v>
      </c>
      <c r="B1989" t="str">
        <f>'4M'!$BO$37</f>
        <v>B0313CRT_SD</v>
      </c>
      <c r="D1989" t="str">
        <f>_xlfn.CONCAT('4M'!$B$9, "-", '4M'!$B$37, "-", '4M'!$M$7, "-", '4M'!$K$6, "-", '4M'!$F$5)</f>
        <v>EA/NRW environmental programme (WINEP/NEP)-Chemical removals schemes-Sludge disposal-Bioresources-Expenditure in report year</v>
      </c>
      <c r="E1989" t="str">
        <f>'4M'!$C$37</f>
        <v>Totex</v>
      </c>
      <c r="F1989" t="s">
        <v>682</v>
      </c>
      <c r="G1989" t="str">
        <f>'4M'!$D$37</f>
        <v>£m</v>
      </c>
      <c r="O1989" t="str">
        <f>_xlfn.CONCAT('4M'!$B$9, "-", '4M'!$B$37, "-", '4M'!$M$7, "-", '4M'!$K$6, "-", '4M'!$F$5)</f>
        <v>EA/NRW environmental programme (WINEP/NEP)-Chemical removals schemes-Sludge disposal-Bioresources-Expenditure in report year</v>
      </c>
    </row>
    <row r="1990" spans="1:15">
      <c r="A1990" t="s">
        <v>643</v>
      </c>
      <c r="B1990" t="str">
        <f>'4M'!$BP$37</f>
        <v>B0313CRT_TOT</v>
      </c>
      <c r="D1990" t="str">
        <f>_xlfn.CONCAT('4M'!$B$9, "-", '4M'!$B$37, "-", '4M'!$N$6, "-", '4M'!$N$6, "-", '4M'!$F$5)</f>
        <v>EA/NRW environmental programme (WINEP/NEP)-Chemical removals schemes-Total-Total-Expenditure in report year</v>
      </c>
      <c r="E1990" t="str">
        <f>'4M'!$C$37</f>
        <v>Totex</v>
      </c>
      <c r="F1990" t="s">
        <v>682</v>
      </c>
      <c r="G1990" t="str">
        <f>'4M'!$D$37</f>
        <v>£m</v>
      </c>
      <c r="O1990" t="str">
        <f>_xlfn.CONCAT('4M'!$B$9, "-", '4M'!$B$37, "-", '4M'!$N$6, "-", '4M'!$N$6, "-", '4M'!$F$5)</f>
        <v>EA/NRW environmental programme (WINEP/NEP)-Chemical removals schemes-Total-Total-Expenditure in report year</v>
      </c>
    </row>
    <row r="1991" spans="1:15">
      <c r="A1991" t="s">
        <v>643</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682</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643</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682</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643</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682</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643</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682</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643</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682</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643</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682</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643</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682</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643</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682</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643</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682</v>
      </c>
      <c r="G1999" t="str">
        <f>'4M'!$D$37</f>
        <v>£m</v>
      </c>
      <c r="O1999" t="str">
        <f>_xlfn.CONCAT('4M'!$B$9, "-", '4M'!$B$37, "-", '4M'!$W$6, "-", '4M'!$W$6, "-", '4M'!$O$5)</f>
        <v>EA/NRW environmental programme (WINEP/NEP)-Chemical removals schemes-Total-Total-Cumulative expenditure on schemes completed in the report year</v>
      </c>
    </row>
    <row r="2000" spans="1:15">
      <c r="A2000" t="s">
        <v>643</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682</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643</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682</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643</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682</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643</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682</v>
      </c>
      <c r="G2003" t="str">
        <f>'4M'!$D$38</f>
        <v>£m</v>
      </c>
      <c r="O2003" t="str">
        <f>_xlfn.CONCAT('4M'!$B$9, "-", '4M'!$B$38, "-", '4M'!$F$7, "-", '4M'!$F$6, "-", '4M'!$F$5)</f>
        <v>EA/NRW environmental programme (WINEP/NEP)-Chemicals monitoring/ investigations/ options appraisals-Foul-Wastewater network+ -Expenditure in report year</v>
      </c>
    </row>
    <row r="2004" spans="1:15">
      <c r="A2004" t="s">
        <v>643</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682</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643</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682</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643</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682</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643</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682</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643</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682</v>
      </c>
      <c r="G2008" t="str">
        <f>'4M'!$D$38</f>
        <v>£m</v>
      </c>
      <c r="O2008" t="str">
        <f>_xlfn.CONCAT('4M'!$B$9, "-", '4M'!$B$38, "-", '4M'!$K$7, "-", '4M'!$K$6, "-", '4M'!$F$5)</f>
        <v>EA/NRW environmental programme (WINEP/NEP)-Chemicals monitoring/ investigations/ options appraisals-Sludge transport-Bioresources-Expenditure in report year</v>
      </c>
    </row>
    <row r="2009" spans="1:15">
      <c r="A2009" t="s">
        <v>643</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682</v>
      </c>
      <c r="G2009" t="str">
        <f>'4M'!$D$38</f>
        <v>£m</v>
      </c>
      <c r="O2009" t="str">
        <f>_xlfn.CONCAT('4M'!$B$9, "-", '4M'!$B$38, "-", '4M'!$L$7, "-", '4M'!$K$6, "-", '4M'!$F$5)</f>
        <v>EA/NRW environmental programme (WINEP/NEP)-Chemicals monitoring/ investigations/ options appraisals-Sludge treatment-Bioresources-Expenditure in report year</v>
      </c>
    </row>
    <row r="2010" spans="1:15">
      <c r="A2010" t="s">
        <v>643</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682</v>
      </c>
      <c r="G2010" t="str">
        <f>'4M'!$D$38</f>
        <v>£m</v>
      </c>
      <c r="O2010" t="str">
        <f>_xlfn.CONCAT('4M'!$B$9, "-", '4M'!$B$38, "-", '4M'!$M$7, "-", '4M'!$K$6, "-", '4M'!$F$5)</f>
        <v>EA/NRW environmental programme (WINEP/NEP)-Chemicals monitoring/ investigations/ options appraisals-Sludge disposal-Bioresources-Expenditure in report year</v>
      </c>
    </row>
    <row r="2011" spans="1:15">
      <c r="A2011" t="s">
        <v>643</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682</v>
      </c>
      <c r="G2011" t="str">
        <f>'4M'!$D$38</f>
        <v>£m</v>
      </c>
      <c r="O2011" t="str">
        <f>_xlfn.CONCAT('4M'!$B$9, "-", '4M'!$B$38, "-", '4M'!$N$6, "-", '4M'!$N$6, "-", '4M'!$F$5)</f>
        <v>EA/NRW environmental programme (WINEP/NEP)-Chemicals monitoring/ investigations/ options appraisals-Total-Total-Expenditure in report year</v>
      </c>
    </row>
    <row r="2012" spans="1:15">
      <c r="A2012" t="s">
        <v>643</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682</v>
      </c>
      <c r="G2012" t="str">
        <f>'4M'!$D$39</f>
        <v>£m</v>
      </c>
      <c r="O2012" t="str">
        <f>_xlfn.CONCAT('4M'!$B$9, "-", '4M'!$B$39, "-", '4M'!$F$7, "-", '4M'!$F$6, "-", '4M'!$F$5)</f>
        <v>EA/NRW environmental programme (WINEP/NEP)-Chemicals monitoring/ investigations/ options appraisals-Foul-Wastewater network+ -Expenditure in report year</v>
      </c>
    </row>
    <row r="2013" spans="1:15">
      <c r="A2013" t="s">
        <v>643</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682</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643</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682</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643</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682</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643</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682</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643</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682</v>
      </c>
      <c r="G2017" t="str">
        <f>'4M'!$D$39</f>
        <v>£m</v>
      </c>
      <c r="O2017" t="str">
        <f>_xlfn.CONCAT('4M'!$B$9, "-", '4M'!$B$39, "-", '4M'!$K$7, "-", '4M'!$K$6, "-", '4M'!$F$5)</f>
        <v>EA/NRW environmental programme (WINEP/NEP)-Chemicals monitoring/ investigations/ options appraisals-Sludge transport-Bioresources-Expenditure in report year</v>
      </c>
    </row>
    <row r="2018" spans="1:15">
      <c r="A2018" t="s">
        <v>643</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682</v>
      </c>
      <c r="G2018" t="str">
        <f>'4M'!$D$39</f>
        <v>£m</v>
      </c>
      <c r="O2018" t="str">
        <f>_xlfn.CONCAT('4M'!$B$9, "-", '4M'!$B$39, "-", '4M'!$L$7, "-", '4M'!$K$6, "-", '4M'!$F$5)</f>
        <v>EA/NRW environmental programme (WINEP/NEP)-Chemicals monitoring/ investigations/ options appraisals-Sludge treatment-Bioresources-Expenditure in report year</v>
      </c>
    </row>
    <row r="2019" spans="1:15">
      <c r="A2019" t="s">
        <v>643</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682</v>
      </c>
      <c r="G2019" t="str">
        <f>'4M'!$D$39</f>
        <v>£m</v>
      </c>
      <c r="O2019" t="str">
        <f>_xlfn.CONCAT('4M'!$B$9, "-", '4M'!$B$39, "-", '4M'!$M$7, "-", '4M'!$K$6, "-", '4M'!$F$5)</f>
        <v>EA/NRW environmental programme (WINEP/NEP)-Chemicals monitoring/ investigations/ options appraisals-Sludge disposal-Bioresources-Expenditure in report year</v>
      </c>
    </row>
    <row r="2020" spans="1:15">
      <c r="A2020" t="s">
        <v>643</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682</v>
      </c>
      <c r="G2020" t="str">
        <f>'4M'!$D$39</f>
        <v>£m</v>
      </c>
      <c r="O2020" t="str">
        <f>_xlfn.CONCAT('4M'!$B$9, "-", '4M'!$B$39, "-", '4M'!$N$6, "-", '4M'!$N$6, "-", '4M'!$F$5)</f>
        <v>EA/NRW environmental programme (WINEP/NEP)-Chemicals monitoring/ investigations/ options appraisals-Total-Total-Expenditure in report year</v>
      </c>
    </row>
    <row r="2021" spans="1:15">
      <c r="A2021" t="s">
        <v>643</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682</v>
      </c>
      <c r="G2021" t="str">
        <f>'4M'!$D$40</f>
        <v>£m</v>
      </c>
      <c r="O2021" t="str">
        <f>_xlfn.CONCAT('4M'!$B$9, "-", '4M'!$B$40, "-", '4M'!$F$7, "-", '4M'!$F$6, "-", '4M'!$F$5)</f>
        <v>EA/NRW environmental programme (WINEP/NEP)-Chemicals monitoring/ investigations/ options appraisals-Foul-Wastewater network+ -Expenditure in report year</v>
      </c>
    </row>
    <row r="2022" spans="1:15">
      <c r="A2022" t="s">
        <v>643</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682</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643</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682</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643</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682</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643</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682</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643</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682</v>
      </c>
      <c r="G2026" t="str">
        <f>'4M'!$D$40</f>
        <v>£m</v>
      </c>
      <c r="O2026" t="str">
        <f>_xlfn.CONCAT('4M'!$B$9, "-", '4M'!$B$40, "-", '4M'!$K$7, "-", '4M'!$K$6, "-", '4M'!$F$5)</f>
        <v>EA/NRW environmental programme (WINEP/NEP)-Chemicals monitoring/ investigations/ options appraisals-Sludge transport-Bioresources-Expenditure in report year</v>
      </c>
    </row>
    <row r="2027" spans="1:15">
      <c r="A2027" t="s">
        <v>643</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682</v>
      </c>
      <c r="G2027" t="str">
        <f>'4M'!$D$40</f>
        <v>£m</v>
      </c>
      <c r="O2027" t="str">
        <f>_xlfn.CONCAT('4M'!$B$9, "-", '4M'!$B$40, "-", '4M'!$L$7, "-", '4M'!$K$6, "-", '4M'!$F$5)</f>
        <v>EA/NRW environmental programme (WINEP/NEP)-Chemicals monitoring/ investigations/ options appraisals-Sludge treatment-Bioresources-Expenditure in report year</v>
      </c>
    </row>
    <row r="2028" spans="1:15">
      <c r="A2028" t="s">
        <v>643</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682</v>
      </c>
      <c r="G2028" t="str">
        <f>'4M'!$D$40</f>
        <v>£m</v>
      </c>
      <c r="O2028" t="str">
        <f>_xlfn.CONCAT('4M'!$B$9, "-", '4M'!$B$40, "-", '4M'!$M$7, "-", '4M'!$K$6, "-", '4M'!$F$5)</f>
        <v>EA/NRW environmental programme (WINEP/NEP)-Chemicals monitoring/ investigations/ options appraisals-Sludge disposal-Bioresources-Expenditure in report year</v>
      </c>
    </row>
    <row r="2029" spans="1:15">
      <c r="A2029" t="s">
        <v>643</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682</v>
      </c>
      <c r="G2029" t="str">
        <f>'4M'!$D$40</f>
        <v>£m</v>
      </c>
      <c r="O2029" t="str">
        <f>_xlfn.CONCAT('4M'!$B$9, "-", '4M'!$B$40, "-", '4M'!$N$6, "-", '4M'!$N$6, "-", '4M'!$F$5)</f>
        <v>EA/NRW environmental programme (WINEP/NEP)-Chemicals monitoring/ investigations/ options appraisals-Total-Total-Expenditure in report year</v>
      </c>
    </row>
    <row r="2030" spans="1:15">
      <c r="A2030" t="s">
        <v>643</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682</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643</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682</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643</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682</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643</v>
      </c>
      <c r="B2033" t="str">
        <f>'4M'!$BH$41</f>
        <v>B0317NRC_F</v>
      </c>
      <c r="D2033" t="str">
        <f>_xlfn.CONCAT('4M'!$B$9, "-", '4M'!$B$41, "-", '4M'!$F$7, "-", '4M'!$F$6, "-", '4M'!$F$5)</f>
        <v>EA/NRW environmental programme (WINEP/NEP)-Nitrogen removal-Foul-Wastewater network+ -Expenditure in report year</v>
      </c>
      <c r="E2033" t="str">
        <f>'4M'!$C$41</f>
        <v>Capex</v>
      </c>
      <c r="F2033" t="s">
        <v>682</v>
      </c>
      <c r="G2033" t="str">
        <f>'4M'!$D$41</f>
        <v>£m</v>
      </c>
      <c r="O2033" t="str">
        <f>_xlfn.CONCAT('4M'!$B$9, "-", '4M'!$B$41, "-", '4M'!$F$7, "-", '4M'!$F$6, "-", '4M'!$F$5)</f>
        <v>EA/NRW environmental programme (WINEP/NEP)-Nitrogen removal-Foul-Wastewater network+ -Expenditure in report year</v>
      </c>
    </row>
    <row r="2034" spans="1:15">
      <c r="A2034" t="s">
        <v>643</v>
      </c>
      <c r="B2034" t="str">
        <f>'4M'!$BI$41</f>
        <v>B0317NRC_SWD</v>
      </c>
      <c r="D2034" t="str">
        <f>_xlfn.CONCAT('4M'!$B$9, "-", '4M'!$B$41, "-", '4M'!$G$7, "-", '4M'!$F$6, "-", '4M'!$F$5)</f>
        <v>EA/NRW environmental programme (WINEP/NEP)-Nitrogen removal-Surface water drainage-Wastewater network+ -Expenditure in report year</v>
      </c>
      <c r="E2034" t="str">
        <f>'4M'!$C$41</f>
        <v>Capex</v>
      </c>
      <c r="F2034" t="s">
        <v>682</v>
      </c>
      <c r="G2034" t="str">
        <f>'4M'!$D$41</f>
        <v>£m</v>
      </c>
      <c r="O2034" t="str">
        <f>_xlfn.CONCAT('4M'!$B$9, "-", '4M'!$B$41, "-", '4M'!$G$7, "-", '4M'!$F$6, "-", '4M'!$F$5)</f>
        <v>EA/NRW environmental programme (WINEP/NEP)-Nitrogen removal-Surface water drainage-Wastewater network+ -Expenditure in report year</v>
      </c>
    </row>
    <row r="2035" spans="1:15">
      <c r="A2035" t="s">
        <v>643</v>
      </c>
      <c r="B2035" t="str">
        <f>'4M'!$BJ$41</f>
        <v>B0317NRC_HD</v>
      </c>
      <c r="D2035" t="str">
        <f>_xlfn.CONCAT('4M'!$B$9, "-", '4M'!$B$41, "-", '4M'!$H$7, "-", '4M'!$F$6, "-", '4M'!$F$5)</f>
        <v>EA/NRW environmental programme (WINEP/NEP)-Nitrogen removal-Highway drainage-Wastewater network+ -Expenditure in report year</v>
      </c>
      <c r="E2035" t="str">
        <f>'4M'!$C$41</f>
        <v>Capex</v>
      </c>
      <c r="F2035" t="s">
        <v>682</v>
      </c>
      <c r="G2035" t="str">
        <f>'4M'!$D$41</f>
        <v>£m</v>
      </c>
      <c r="O2035" t="str">
        <f>_xlfn.CONCAT('4M'!$B$9, "-", '4M'!$B$41, "-", '4M'!$H$7, "-", '4M'!$F$6, "-", '4M'!$F$5)</f>
        <v>EA/NRW environmental programme (WINEP/NEP)-Nitrogen removal-Highway drainage-Wastewater network+ -Expenditure in report year</v>
      </c>
    </row>
    <row r="2036" spans="1:15">
      <c r="A2036" t="s">
        <v>643</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682</v>
      </c>
      <c r="G2036" t="str">
        <f>'4M'!$D$41</f>
        <v>£m</v>
      </c>
      <c r="O2036" t="str">
        <f>_xlfn.CONCAT('4M'!$B$9, "-", '4M'!$B$41, "-", '4M'!$I$7, "-", '4M'!$F$6, "-", '4M'!$F$5)</f>
        <v>EA/NRW environmental programme (WINEP/NEP)-Nitrogen removal-Sewage treatment and disposal-Wastewater network+ -Expenditure in report year</v>
      </c>
    </row>
    <row r="2037" spans="1:15">
      <c r="A2037" t="s">
        <v>643</v>
      </c>
      <c r="B2037" t="str">
        <f>'4M'!$BL$41</f>
        <v>B0317NRC_SLT</v>
      </c>
      <c r="D2037" t="str">
        <f>_xlfn.CONCAT('4M'!$B$9, "-", '4M'!$B$41, "-", '4M'!$J$7, "-", '4M'!$F$6, "-", '4M'!$F$5)</f>
        <v>EA/NRW environmental programme (WINEP/NEP)-Nitrogen removal-Sludge liquor treatment-Wastewater network+ -Expenditure in report year</v>
      </c>
      <c r="E2037" t="str">
        <f>'4M'!$C$41</f>
        <v>Capex</v>
      </c>
      <c r="F2037" t="s">
        <v>682</v>
      </c>
      <c r="G2037" t="str">
        <f>'4M'!$D$41</f>
        <v>£m</v>
      </c>
      <c r="O2037" t="str">
        <f>_xlfn.CONCAT('4M'!$B$9, "-", '4M'!$B$41, "-", '4M'!$J$7, "-", '4M'!$F$6, "-", '4M'!$F$5)</f>
        <v>EA/NRW environmental programme (WINEP/NEP)-Nitrogen removal-Sludge liquor treatment-Wastewater network+ -Expenditure in report year</v>
      </c>
    </row>
    <row r="2038" spans="1:15">
      <c r="A2038" t="s">
        <v>643</v>
      </c>
      <c r="B2038" t="str">
        <f>'4M'!$BM$41</f>
        <v>B0317NRC_STP</v>
      </c>
      <c r="D2038" t="str">
        <f>_xlfn.CONCAT('4M'!$B$9, "-", '4M'!$B$41, "-", '4M'!$K$7, "-", '4M'!$K$6, "-", '4M'!$F$5)</f>
        <v>EA/NRW environmental programme (WINEP/NEP)-Nitrogen removal-Sludge transport-Bioresources-Expenditure in report year</v>
      </c>
      <c r="E2038" t="str">
        <f>'4M'!$C$41</f>
        <v>Capex</v>
      </c>
      <c r="F2038" t="s">
        <v>682</v>
      </c>
      <c r="G2038" t="str">
        <f>'4M'!$D$41</f>
        <v>£m</v>
      </c>
      <c r="O2038" t="str">
        <f>_xlfn.CONCAT('4M'!$B$9, "-", '4M'!$B$41, "-", '4M'!$K$7, "-", '4M'!$K$6, "-", '4M'!$F$5)</f>
        <v>EA/NRW environmental programme (WINEP/NEP)-Nitrogen removal-Sludge transport-Bioresources-Expenditure in report year</v>
      </c>
    </row>
    <row r="2039" spans="1:15">
      <c r="A2039" t="s">
        <v>643</v>
      </c>
      <c r="B2039" t="str">
        <f>'4M'!$BN$41</f>
        <v>B0317NRC_SDT</v>
      </c>
      <c r="D2039" t="str">
        <f>_xlfn.CONCAT('4M'!$B$9, "-", '4M'!$B$41, "-", '4M'!$L$7, "-", '4M'!$K$6, "-", '4M'!$F$5)</f>
        <v>EA/NRW environmental programme (WINEP/NEP)-Nitrogen removal-Sludge treatment-Bioresources-Expenditure in report year</v>
      </c>
      <c r="E2039" t="str">
        <f>'4M'!$C$41</f>
        <v>Capex</v>
      </c>
      <c r="F2039" t="s">
        <v>682</v>
      </c>
      <c r="G2039" t="str">
        <f>'4M'!$D$41</f>
        <v>£m</v>
      </c>
      <c r="O2039" t="str">
        <f>_xlfn.CONCAT('4M'!$B$9, "-", '4M'!$B$41, "-", '4M'!$L$7, "-", '4M'!$K$6, "-", '4M'!$F$5)</f>
        <v>EA/NRW environmental programme (WINEP/NEP)-Nitrogen removal-Sludge treatment-Bioresources-Expenditure in report year</v>
      </c>
    </row>
    <row r="2040" spans="1:15">
      <c r="A2040" t="s">
        <v>643</v>
      </c>
      <c r="B2040" t="str">
        <f>'4M'!$BO$41</f>
        <v>B0317NRC_SD</v>
      </c>
      <c r="D2040" t="str">
        <f>_xlfn.CONCAT('4M'!$B$9, "-", '4M'!$B$41, "-", '4M'!$M$7, "-", '4M'!$K$6, "-", '4M'!$F$5)</f>
        <v>EA/NRW environmental programme (WINEP/NEP)-Nitrogen removal-Sludge disposal-Bioresources-Expenditure in report year</v>
      </c>
      <c r="E2040" t="str">
        <f>'4M'!$C$41</f>
        <v>Capex</v>
      </c>
      <c r="F2040" t="s">
        <v>682</v>
      </c>
      <c r="G2040" t="str">
        <f>'4M'!$D$41</f>
        <v>£m</v>
      </c>
      <c r="O2040" t="str">
        <f>_xlfn.CONCAT('4M'!$B$9, "-", '4M'!$B$41, "-", '4M'!$M$7, "-", '4M'!$K$6, "-", '4M'!$F$5)</f>
        <v>EA/NRW environmental programme (WINEP/NEP)-Nitrogen removal-Sludge disposal-Bioresources-Expenditure in report year</v>
      </c>
    </row>
    <row r="2041" spans="1:15">
      <c r="A2041" t="s">
        <v>643</v>
      </c>
      <c r="B2041" t="str">
        <f>'4M'!$BP$41</f>
        <v>B0317NRC_TOT</v>
      </c>
      <c r="D2041" t="str">
        <f>_xlfn.CONCAT('4M'!$B$9, "-", '4M'!$B$41, "-", '4M'!$N$6, "-", '4M'!$N$6, "-", '4M'!$F$5)</f>
        <v>EA/NRW environmental programme (WINEP/NEP)-Nitrogen removal-Total-Total-Expenditure in report year</v>
      </c>
      <c r="E2041" t="str">
        <f>'4M'!$C$41</f>
        <v>Capex</v>
      </c>
      <c r="F2041" t="s">
        <v>682</v>
      </c>
      <c r="G2041" t="str">
        <f>'4M'!$D$41</f>
        <v>£m</v>
      </c>
      <c r="O2041" t="str">
        <f>_xlfn.CONCAT('4M'!$B$9, "-", '4M'!$B$41, "-", '4M'!$N$6, "-", '4M'!$N$6, "-", '4M'!$F$5)</f>
        <v>EA/NRW environmental programme (WINEP/NEP)-Nitrogen removal-Total-Total-Expenditure in report year</v>
      </c>
    </row>
    <row r="2042" spans="1:15">
      <c r="A2042" t="s">
        <v>643</v>
      </c>
      <c r="B2042" t="str">
        <f>'4M'!$BH$42</f>
        <v>B0318NRO_F</v>
      </c>
      <c r="D2042" t="str">
        <f>_xlfn.CONCAT('4M'!$B$9, "-", '4M'!$B$42, "-", '4M'!$F$7, "-", '4M'!$F$6, "-", '4M'!$F$5)</f>
        <v>EA/NRW environmental programme (WINEP/NEP)-Nitrogen removal-Foul-Wastewater network+ -Expenditure in report year</v>
      </c>
      <c r="E2042" t="str">
        <f>'4M'!$C$42</f>
        <v>Opex</v>
      </c>
      <c r="F2042" t="s">
        <v>682</v>
      </c>
      <c r="G2042" t="str">
        <f>'4M'!$D$42</f>
        <v>£m</v>
      </c>
      <c r="O2042" t="str">
        <f>_xlfn.CONCAT('4M'!$B$9, "-", '4M'!$B$42, "-", '4M'!$F$7, "-", '4M'!$F$6, "-", '4M'!$F$5)</f>
        <v>EA/NRW environmental programme (WINEP/NEP)-Nitrogen removal-Foul-Wastewater network+ -Expenditure in report year</v>
      </c>
    </row>
    <row r="2043" spans="1:15">
      <c r="A2043" t="s">
        <v>643</v>
      </c>
      <c r="B2043" t="str">
        <f>'4M'!$BI$42</f>
        <v>B0318NRO_SWD</v>
      </c>
      <c r="D2043" t="str">
        <f>_xlfn.CONCAT('4M'!$B$9, "-", '4M'!$B$42, "-", '4M'!$G$7, "-", '4M'!$F$6, "-", '4M'!$F$5)</f>
        <v>EA/NRW environmental programme (WINEP/NEP)-Nitrogen removal-Surface water drainage-Wastewater network+ -Expenditure in report year</v>
      </c>
      <c r="E2043" t="str">
        <f>'4M'!$C$42</f>
        <v>Opex</v>
      </c>
      <c r="F2043" t="s">
        <v>682</v>
      </c>
      <c r="G2043" t="str">
        <f>'4M'!$D$42</f>
        <v>£m</v>
      </c>
      <c r="O2043" t="str">
        <f>_xlfn.CONCAT('4M'!$B$9, "-", '4M'!$B$42, "-", '4M'!$G$7, "-", '4M'!$F$6, "-", '4M'!$F$5)</f>
        <v>EA/NRW environmental programme (WINEP/NEP)-Nitrogen removal-Surface water drainage-Wastewater network+ -Expenditure in report year</v>
      </c>
    </row>
    <row r="2044" spans="1:15">
      <c r="A2044" t="s">
        <v>643</v>
      </c>
      <c r="B2044" t="str">
        <f>'4M'!$BJ$42</f>
        <v>B0318NRO_HD</v>
      </c>
      <c r="D2044" t="str">
        <f>_xlfn.CONCAT('4M'!$B$9, "-", '4M'!$B$42, "-", '4M'!$H$7, "-", '4M'!$F$6, "-", '4M'!$F$5)</f>
        <v>EA/NRW environmental programme (WINEP/NEP)-Nitrogen removal-Highway drainage-Wastewater network+ -Expenditure in report year</v>
      </c>
      <c r="E2044" t="str">
        <f>'4M'!$C$42</f>
        <v>Opex</v>
      </c>
      <c r="F2044" t="s">
        <v>682</v>
      </c>
      <c r="G2044" t="str">
        <f>'4M'!$D$42</f>
        <v>£m</v>
      </c>
      <c r="O2044" t="str">
        <f>_xlfn.CONCAT('4M'!$B$9, "-", '4M'!$B$42, "-", '4M'!$H$7, "-", '4M'!$F$6, "-", '4M'!$F$5)</f>
        <v>EA/NRW environmental programme (WINEP/NEP)-Nitrogen removal-Highway drainage-Wastewater network+ -Expenditure in report year</v>
      </c>
    </row>
    <row r="2045" spans="1:15">
      <c r="A2045" t="s">
        <v>643</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682</v>
      </c>
      <c r="G2045" t="str">
        <f>'4M'!$D$42</f>
        <v>£m</v>
      </c>
      <c r="O2045" t="str">
        <f>_xlfn.CONCAT('4M'!$B$9, "-", '4M'!$B$42, "-", '4M'!$I$7, "-", '4M'!$F$6, "-", '4M'!$F$5)</f>
        <v>EA/NRW environmental programme (WINEP/NEP)-Nitrogen removal-Sewage treatment and disposal-Wastewater network+ -Expenditure in report year</v>
      </c>
    </row>
    <row r="2046" spans="1:15">
      <c r="A2046" t="s">
        <v>643</v>
      </c>
      <c r="B2046" t="str">
        <f>'4M'!$BL$42</f>
        <v>B0318NRO_SLT</v>
      </c>
      <c r="D2046" t="str">
        <f>_xlfn.CONCAT('4M'!$B$9, "-", '4M'!$B$42, "-", '4M'!$J$7, "-", '4M'!$F$6, "-", '4M'!$F$5)</f>
        <v>EA/NRW environmental programme (WINEP/NEP)-Nitrogen removal-Sludge liquor treatment-Wastewater network+ -Expenditure in report year</v>
      </c>
      <c r="E2046" t="str">
        <f>'4M'!$C$42</f>
        <v>Opex</v>
      </c>
      <c r="F2046" t="s">
        <v>682</v>
      </c>
      <c r="G2046" t="str">
        <f>'4M'!$D$42</f>
        <v>£m</v>
      </c>
      <c r="O2046" t="str">
        <f>_xlfn.CONCAT('4M'!$B$9, "-", '4M'!$B$42, "-", '4M'!$J$7, "-", '4M'!$F$6, "-", '4M'!$F$5)</f>
        <v>EA/NRW environmental programme (WINEP/NEP)-Nitrogen removal-Sludge liquor treatment-Wastewater network+ -Expenditure in report year</v>
      </c>
    </row>
    <row r="2047" spans="1:15">
      <c r="A2047" t="s">
        <v>643</v>
      </c>
      <c r="B2047" t="str">
        <f>'4M'!$BM$42</f>
        <v>B0318NRO_STP</v>
      </c>
      <c r="D2047" t="str">
        <f>_xlfn.CONCAT('4M'!$B$9, "-", '4M'!$B$42, "-", '4M'!$K$7, "-", '4M'!$K$6, "-", '4M'!$F$5)</f>
        <v>EA/NRW environmental programme (WINEP/NEP)-Nitrogen removal-Sludge transport-Bioresources-Expenditure in report year</v>
      </c>
      <c r="E2047" t="str">
        <f>'4M'!$C$42</f>
        <v>Opex</v>
      </c>
      <c r="F2047" t="s">
        <v>682</v>
      </c>
      <c r="G2047" t="str">
        <f>'4M'!$D$42</f>
        <v>£m</v>
      </c>
      <c r="O2047" t="str">
        <f>_xlfn.CONCAT('4M'!$B$9, "-", '4M'!$B$42, "-", '4M'!$K$7, "-", '4M'!$K$6, "-", '4M'!$F$5)</f>
        <v>EA/NRW environmental programme (WINEP/NEP)-Nitrogen removal-Sludge transport-Bioresources-Expenditure in report year</v>
      </c>
    </row>
    <row r="2048" spans="1:15">
      <c r="A2048" t="s">
        <v>643</v>
      </c>
      <c r="B2048" t="str">
        <f>'4M'!$BN$42</f>
        <v>B0318NRO_SDT</v>
      </c>
      <c r="D2048" t="str">
        <f>_xlfn.CONCAT('4M'!$B$9, "-", '4M'!$B$42, "-", '4M'!$L$7, "-", '4M'!$K$6, "-", '4M'!$F$5)</f>
        <v>EA/NRW environmental programme (WINEP/NEP)-Nitrogen removal-Sludge treatment-Bioresources-Expenditure in report year</v>
      </c>
      <c r="E2048" t="str">
        <f>'4M'!$C$42</f>
        <v>Opex</v>
      </c>
      <c r="F2048" t="s">
        <v>682</v>
      </c>
      <c r="G2048" t="str">
        <f>'4M'!$D$42</f>
        <v>£m</v>
      </c>
      <c r="O2048" t="str">
        <f>_xlfn.CONCAT('4M'!$B$9, "-", '4M'!$B$42, "-", '4M'!$L$7, "-", '4M'!$K$6, "-", '4M'!$F$5)</f>
        <v>EA/NRW environmental programme (WINEP/NEP)-Nitrogen removal-Sludge treatment-Bioresources-Expenditure in report year</v>
      </c>
    </row>
    <row r="2049" spans="1:15">
      <c r="A2049" t="s">
        <v>643</v>
      </c>
      <c r="B2049" t="str">
        <f>'4M'!$BO$42</f>
        <v>B0318NRO_SD</v>
      </c>
      <c r="D2049" t="str">
        <f>_xlfn.CONCAT('4M'!$B$9, "-", '4M'!$B$42, "-", '4M'!$M$7, "-", '4M'!$K$6, "-", '4M'!$F$5)</f>
        <v>EA/NRW environmental programme (WINEP/NEP)-Nitrogen removal-Sludge disposal-Bioresources-Expenditure in report year</v>
      </c>
      <c r="E2049" t="str">
        <f>'4M'!$C$42</f>
        <v>Opex</v>
      </c>
      <c r="F2049" t="s">
        <v>682</v>
      </c>
      <c r="G2049" t="str">
        <f>'4M'!$D$42</f>
        <v>£m</v>
      </c>
      <c r="O2049" t="str">
        <f>_xlfn.CONCAT('4M'!$B$9, "-", '4M'!$B$42, "-", '4M'!$M$7, "-", '4M'!$K$6, "-", '4M'!$F$5)</f>
        <v>EA/NRW environmental programme (WINEP/NEP)-Nitrogen removal-Sludge disposal-Bioresources-Expenditure in report year</v>
      </c>
    </row>
    <row r="2050" spans="1:15">
      <c r="A2050" t="s">
        <v>643</v>
      </c>
      <c r="B2050" t="str">
        <f>'4M'!$BP$42</f>
        <v>B0318NRO_TOT</v>
      </c>
      <c r="D2050" t="str">
        <f>_xlfn.CONCAT('4M'!$B$9, "-", '4M'!$B$42, "-", '4M'!$N$6, "-", '4M'!$N$6, "-", '4M'!$F$5)</f>
        <v>EA/NRW environmental programme (WINEP/NEP)-Nitrogen removal-Total-Total-Expenditure in report year</v>
      </c>
      <c r="E2050" t="str">
        <f>'4M'!$C$42</f>
        <v>Opex</v>
      </c>
      <c r="F2050" t="s">
        <v>682</v>
      </c>
      <c r="G2050" t="str">
        <f>'4M'!$D$42</f>
        <v>£m</v>
      </c>
      <c r="O2050" t="str">
        <f>_xlfn.CONCAT('4M'!$B$9, "-", '4M'!$B$42, "-", '4M'!$N$6, "-", '4M'!$N$6, "-", '4M'!$F$5)</f>
        <v>EA/NRW environmental programme (WINEP/NEP)-Nitrogen removal-Total-Total-Expenditure in report year</v>
      </c>
    </row>
    <row r="2051" spans="1:15">
      <c r="A2051" t="s">
        <v>643</v>
      </c>
      <c r="B2051" t="str">
        <f>'4M'!$BH$43</f>
        <v>B0319NRT_F</v>
      </c>
      <c r="D2051" t="str">
        <f>_xlfn.CONCAT('4M'!$B$9, "-", '4M'!$B$43, "-", '4M'!$F$7, "-", '4M'!$F$6, "-", '4M'!$F$5)</f>
        <v>EA/NRW environmental programme (WINEP/NEP)-Nitrogen removal-Foul-Wastewater network+ -Expenditure in report year</v>
      </c>
      <c r="E2051" t="str">
        <f>'4M'!$C$43</f>
        <v>Totex</v>
      </c>
      <c r="F2051" t="s">
        <v>682</v>
      </c>
      <c r="G2051" t="str">
        <f>'4M'!$D$43</f>
        <v>£m</v>
      </c>
      <c r="O2051" t="str">
        <f>_xlfn.CONCAT('4M'!$B$9, "-", '4M'!$B$43, "-", '4M'!$F$7, "-", '4M'!$F$6, "-", '4M'!$F$5)</f>
        <v>EA/NRW environmental programme (WINEP/NEP)-Nitrogen removal-Foul-Wastewater network+ -Expenditure in report year</v>
      </c>
    </row>
    <row r="2052" spans="1:15">
      <c r="A2052" t="s">
        <v>643</v>
      </c>
      <c r="B2052" t="str">
        <f>'4M'!$BI$43</f>
        <v>B0319NRT_SWD</v>
      </c>
      <c r="D2052" t="str">
        <f>_xlfn.CONCAT('4M'!$B$9, "-", '4M'!$B$43, "-", '4M'!$G$7, "-", '4M'!$F$6, "-", '4M'!$F$5)</f>
        <v>EA/NRW environmental programme (WINEP/NEP)-Nitrogen removal-Surface water drainage-Wastewater network+ -Expenditure in report year</v>
      </c>
      <c r="E2052" t="str">
        <f>'4M'!$C$43</f>
        <v>Totex</v>
      </c>
      <c r="F2052" t="s">
        <v>682</v>
      </c>
      <c r="G2052" t="str">
        <f>'4M'!$D$43</f>
        <v>£m</v>
      </c>
      <c r="O2052" t="str">
        <f>_xlfn.CONCAT('4M'!$B$9, "-", '4M'!$B$43, "-", '4M'!$G$7, "-", '4M'!$F$6, "-", '4M'!$F$5)</f>
        <v>EA/NRW environmental programme (WINEP/NEP)-Nitrogen removal-Surface water drainage-Wastewater network+ -Expenditure in report year</v>
      </c>
    </row>
    <row r="2053" spans="1:15">
      <c r="A2053" t="s">
        <v>643</v>
      </c>
      <c r="B2053" t="str">
        <f>'4M'!$BJ$43</f>
        <v>B0319NRT_HD</v>
      </c>
      <c r="D2053" t="str">
        <f>_xlfn.CONCAT('4M'!$B$9, "-", '4M'!$B$43, "-", '4M'!$H$7, "-", '4M'!$F$6, "-", '4M'!$F$5)</f>
        <v>EA/NRW environmental programme (WINEP/NEP)-Nitrogen removal-Highway drainage-Wastewater network+ -Expenditure in report year</v>
      </c>
      <c r="E2053" t="str">
        <f>'4M'!$C$43</f>
        <v>Totex</v>
      </c>
      <c r="F2053" t="s">
        <v>682</v>
      </c>
      <c r="G2053" t="str">
        <f>'4M'!$D$43</f>
        <v>£m</v>
      </c>
      <c r="O2053" t="str">
        <f>_xlfn.CONCAT('4M'!$B$9, "-", '4M'!$B$43, "-", '4M'!$H$7, "-", '4M'!$F$6, "-", '4M'!$F$5)</f>
        <v>EA/NRW environmental programme (WINEP/NEP)-Nitrogen removal-Highway drainage-Wastewater network+ -Expenditure in report year</v>
      </c>
    </row>
    <row r="2054" spans="1:15">
      <c r="A2054" t="s">
        <v>643</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682</v>
      </c>
      <c r="G2054" t="str">
        <f>'4M'!$D$43</f>
        <v>£m</v>
      </c>
      <c r="O2054" t="str">
        <f>_xlfn.CONCAT('4M'!$B$9, "-", '4M'!$B$43, "-", '4M'!$I$7, "-", '4M'!$F$6, "-", '4M'!$F$5)</f>
        <v>EA/NRW environmental programme (WINEP/NEP)-Nitrogen removal-Sewage treatment and disposal-Wastewater network+ -Expenditure in report year</v>
      </c>
    </row>
    <row r="2055" spans="1:15">
      <c r="A2055" t="s">
        <v>643</v>
      </c>
      <c r="B2055" t="str">
        <f>'4M'!$BL$43</f>
        <v>B0319NRT_SLT</v>
      </c>
      <c r="D2055" t="str">
        <f>_xlfn.CONCAT('4M'!$B$9, "-", '4M'!$B$43, "-", '4M'!$J$7, "-", '4M'!$F$6, "-", '4M'!$F$5)</f>
        <v>EA/NRW environmental programme (WINEP/NEP)-Nitrogen removal-Sludge liquor treatment-Wastewater network+ -Expenditure in report year</v>
      </c>
      <c r="E2055" t="str">
        <f>'4M'!$C$43</f>
        <v>Totex</v>
      </c>
      <c r="F2055" t="s">
        <v>682</v>
      </c>
      <c r="G2055" t="str">
        <f>'4M'!$D$43</f>
        <v>£m</v>
      </c>
      <c r="O2055" t="str">
        <f>_xlfn.CONCAT('4M'!$B$9, "-", '4M'!$B$43, "-", '4M'!$J$7, "-", '4M'!$F$6, "-", '4M'!$F$5)</f>
        <v>EA/NRW environmental programme (WINEP/NEP)-Nitrogen removal-Sludge liquor treatment-Wastewater network+ -Expenditure in report year</v>
      </c>
    </row>
    <row r="2056" spans="1:15">
      <c r="A2056" t="s">
        <v>643</v>
      </c>
      <c r="B2056" t="str">
        <f>'4M'!$BM$43</f>
        <v>B0319NRT_STP</v>
      </c>
      <c r="D2056" t="str">
        <f>_xlfn.CONCAT('4M'!$B$9, "-", '4M'!$B$43, "-", '4M'!$K$7, "-", '4M'!$K$6, "-", '4M'!$F$5)</f>
        <v>EA/NRW environmental programme (WINEP/NEP)-Nitrogen removal-Sludge transport-Bioresources-Expenditure in report year</v>
      </c>
      <c r="E2056" t="str">
        <f>'4M'!$C$43</f>
        <v>Totex</v>
      </c>
      <c r="F2056" t="s">
        <v>682</v>
      </c>
      <c r="G2056" t="str">
        <f>'4M'!$D$43</f>
        <v>£m</v>
      </c>
      <c r="O2056" t="str">
        <f>_xlfn.CONCAT('4M'!$B$9, "-", '4M'!$B$43, "-", '4M'!$K$7, "-", '4M'!$K$6, "-", '4M'!$F$5)</f>
        <v>EA/NRW environmental programme (WINEP/NEP)-Nitrogen removal-Sludge transport-Bioresources-Expenditure in report year</v>
      </c>
    </row>
    <row r="2057" spans="1:15">
      <c r="A2057" t="s">
        <v>643</v>
      </c>
      <c r="B2057" t="str">
        <f>'4M'!$BN$43</f>
        <v>B0319NRT_SDT</v>
      </c>
      <c r="D2057" t="str">
        <f>_xlfn.CONCAT('4M'!$B$9, "-", '4M'!$B$43, "-", '4M'!$L$7, "-", '4M'!$K$6, "-", '4M'!$F$5)</f>
        <v>EA/NRW environmental programme (WINEP/NEP)-Nitrogen removal-Sludge treatment-Bioresources-Expenditure in report year</v>
      </c>
      <c r="E2057" t="str">
        <f>'4M'!$C$43</f>
        <v>Totex</v>
      </c>
      <c r="F2057" t="s">
        <v>682</v>
      </c>
      <c r="G2057" t="str">
        <f>'4M'!$D$43</f>
        <v>£m</v>
      </c>
      <c r="O2057" t="str">
        <f>_xlfn.CONCAT('4M'!$B$9, "-", '4M'!$B$43, "-", '4M'!$L$7, "-", '4M'!$K$6, "-", '4M'!$F$5)</f>
        <v>EA/NRW environmental programme (WINEP/NEP)-Nitrogen removal-Sludge treatment-Bioresources-Expenditure in report year</v>
      </c>
    </row>
    <row r="2058" spans="1:15">
      <c r="A2058" t="s">
        <v>643</v>
      </c>
      <c r="B2058" t="str">
        <f>'4M'!$BO$43</f>
        <v>B0319NRT_SD</v>
      </c>
      <c r="D2058" t="str">
        <f>_xlfn.CONCAT('4M'!$B$9, "-", '4M'!$B$43, "-", '4M'!$M$7, "-", '4M'!$K$6, "-", '4M'!$F$5)</f>
        <v>EA/NRW environmental programme (WINEP/NEP)-Nitrogen removal-Sludge disposal-Bioresources-Expenditure in report year</v>
      </c>
      <c r="E2058" t="str">
        <f>'4M'!$C$43</f>
        <v>Totex</v>
      </c>
      <c r="F2058" t="s">
        <v>682</v>
      </c>
      <c r="G2058" t="str">
        <f>'4M'!$D$43</f>
        <v>£m</v>
      </c>
      <c r="O2058" t="str">
        <f>_xlfn.CONCAT('4M'!$B$9, "-", '4M'!$B$43, "-", '4M'!$M$7, "-", '4M'!$K$6, "-", '4M'!$F$5)</f>
        <v>EA/NRW environmental programme (WINEP/NEP)-Nitrogen removal-Sludge disposal-Bioresources-Expenditure in report year</v>
      </c>
    </row>
    <row r="2059" spans="1:15">
      <c r="A2059" t="s">
        <v>643</v>
      </c>
      <c r="B2059" t="str">
        <f>'4M'!$BP$43</f>
        <v>B0319NRT_TOT</v>
      </c>
      <c r="D2059" t="str">
        <f>_xlfn.CONCAT('4M'!$B$9, "-", '4M'!$B$43, "-", '4M'!$N$6, "-", '4M'!$N$6, "-", '4M'!$F$5)</f>
        <v>EA/NRW environmental programme (WINEP/NEP)-Nitrogen removal-Total-Total-Expenditure in report year</v>
      </c>
      <c r="E2059" t="str">
        <f>'4M'!$C$43</f>
        <v>Totex</v>
      </c>
      <c r="F2059" t="s">
        <v>682</v>
      </c>
      <c r="G2059" t="str">
        <f>'4M'!$D$43</f>
        <v>£m</v>
      </c>
      <c r="O2059" t="str">
        <f>_xlfn.CONCAT('4M'!$B$9, "-", '4M'!$B$43, "-", '4M'!$N$6, "-", '4M'!$N$6, "-", '4M'!$F$5)</f>
        <v>EA/NRW environmental programme (WINEP/NEP)-Nitrogen removal-Total-Total-Expenditure in report year</v>
      </c>
    </row>
    <row r="2060" spans="1:15">
      <c r="A2060" t="s">
        <v>643</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682</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643</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682</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643</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682</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643</v>
      </c>
      <c r="B2063" t="str">
        <f>'4M'!$BH$44</f>
        <v>B0320PRC_F</v>
      </c>
      <c r="D2063" t="str">
        <f>_xlfn.CONCAT('4M'!$B$9, "-", '4M'!$B$44, "-", '4M'!$F$7, "-", '4M'!$F$6, "-", '4M'!$F$5)</f>
        <v>EA/NRW environmental programme (WINEP/NEP)-Phosphorus removal-Foul-Wastewater network+ -Expenditure in report year</v>
      </c>
      <c r="E2063" t="str">
        <f>'4M'!$C$44</f>
        <v>Capex</v>
      </c>
      <c r="F2063" t="s">
        <v>682</v>
      </c>
      <c r="G2063" t="str">
        <f>'4M'!$D$44</f>
        <v>£m</v>
      </c>
      <c r="O2063" t="str">
        <f>_xlfn.CONCAT('4M'!$B$9, "-", '4M'!$B$44, "-", '4M'!$F$7, "-", '4M'!$F$6, "-", '4M'!$F$5)</f>
        <v>EA/NRW environmental programme (WINEP/NEP)-Phosphorus removal-Foul-Wastewater network+ -Expenditure in report year</v>
      </c>
    </row>
    <row r="2064" spans="1:15">
      <c r="A2064" t="s">
        <v>643</v>
      </c>
      <c r="B2064" t="str">
        <f>'4M'!$BI$44</f>
        <v>B0320PRC_SWD</v>
      </c>
      <c r="D2064" t="str">
        <f>_xlfn.CONCAT('4M'!$B$9, "-", '4M'!$B$44, "-", '4M'!$G$7, "-", '4M'!$F$6, "-", '4M'!$F$5)</f>
        <v>EA/NRW environmental programme (WINEP/NEP)-Phosphorus removal-Surface water drainage-Wastewater network+ -Expenditure in report year</v>
      </c>
      <c r="E2064" t="str">
        <f>'4M'!$C$44</f>
        <v>Capex</v>
      </c>
      <c r="F2064" t="s">
        <v>682</v>
      </c>
      <c r="G2064" t="str">
        <f>'4M'!$D$44</f>
        <v>£m</v>
      </c>
      <c r="O2064" t="str">
        <f>_xlfn.CONCAT('4M'!$B$9, "-", '4M'!$B$44, "-", '4M'!$G$7, "-", '4M'!$F$6, "-", '4M'!$F$5)</f>
        <v>EA/NRW environmental programme (WINEP/NEP)-Phosphorus removal-Surface water drainage-Wastewater network+ -Expenditure in report year</v>
      </c>
    </row>
    <row r="2065" spans="1:15">
      <c r="A2065" t="s">
        <v>643</v>
      </c>
      <c r="B2065" t="str">
        <f>'4M'!$BJ$44</f>
        <v>B0320PRC_HD</v>
      </c>
      <c r="D2065" t="str">
        <f>_xlfn.CONCAT('4M'!$B$9, "-", '4M'!$B$44, "-", '4M'!$H$7, "-", '4M'!$F$6, "-", '4M'!$F$5)</f>
        <v>EA/NRW environmental programme (WINEP/NEP)-Phosphorus removal-Highway drainage-Wastewater network+ -Expenditure in report year</v>
      </c>
      <c r="E2065" t="str">
        <f>'4M'!$C$44</f>
        <v>Capex</v>
      </c>
      <c r="F2065" t="s">
        <v>682</v>
      </c>
      <c r="G2065" t="str">
        <f>'4M'!$D$44</f>
        <v>£m</v>
      </c>
      <c r="O2065" t="str">
        <f>_xlfn.CONCAT('4M'!$B$9, "-", '4M'!$B$44, "-", '4M'!$H$7, "-", '4M'!$F$6, "-", '4M'!$F$5)</f>
        <v>EA/NRW environmental programme (WINEP/NEP)-Phosphorus removal-Highway drainage-Wastewater network+ -Expenditure in report year</v>
      </c>
    </row>
    <row r="2066" spans="1:15">
      <c r="A2066" t="s">
        <v>643</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682</v>
      </c>
      <c r="G2066" t="str">
        <f>'4M'!$D$44</f>
        <v>£m</v>
      </c>
      <c r="O2066" t="str">
        <f>_xlfn.CONCAT('4M'!$B$9, "-", '4M'!$B$44, "-", '4M'!$I$7, "-", '4M'!$F$6, "-", '4M'!$F$5)</f>
        <v>EA/NRW environmental programme (WINEP/NEP)-Phosphorus removal-Sewage treatment and disposal-Wastewater network+ -Expenditure in report year</v>
      </c>
    </row>
    <row r="2067" spans="1:15">
      <c r="A2067" t="s">
        <v>643</v>
      </c>
      <c r="B2067" t="str">
        <f>'4M'!$BL$44</f>
        <v>B0320PRC_SLT</v>
      </c>
      <c r="D2067" t="str">
        <f>_xlfn.CONCAT('4M'!$B$9, "-", '4M'!$B$44, "-", '4M'!$J$7, "-", '4M'!$F$6, "-", '4M'!$F$5)</f>
        <v>EA/NRW environmental programme (WINEP/NEP)-Phosphorus removal-Sludge liquor treatment-Wastewater network+ -Expenditure in report year</v>
      </c>
      <c r="E2067" t="str">
        <f>'4M'!$C$44</f>
        <v>Capex</v>
      </c>
      <c r="F2067" t="s">
        <v>682</v>
      </c>
      <c r="G2067" t="str">
        <f>'4M'!$D$44</f>
        <v>£m</v>
      </c>
      <c r="O2067" t="str">
        <f>_xlfn.CONCAT('4M'!$B$9, "-", '4M'!$B$44, "-", '4M'!$J$7, "-", '4M'!$F$6, "-", '4M'!$F$5)</f>
        <v>EA/NRW environmental programme (WINEP/NEP)-Phosphorus removal-Sludge liquor treatment-Wastewater network+ -Expenditure in report year</v>
      </c>
    </row>
    <row r="2068" spans="1:15">
      <c r="A2068" t="s">
        <v>643</v>
      </c>
      <c r="B2068" t="str">
        <f>'4M'!$BM$44</f>
        <v>B0320PRC_STP</v>
      </c>
      <c r="D2068" t="str">
        <f>_xlfn.CONCAT('4M'!$B$9, "-", '4M'!$B$44, "-", '4M'!$K$7, "-", '4M'!$K$6, "-", '4M'!$F$5)</f>
        <v>EA/NRW environmental programme (WINEP/NEP)-Phosphorus removal-Sludge transport-Bioresources-Expenditure in report year</v>
      </c>
      <c r="E2068" t="str">
        <f>'4M'!$C$44</f>
        <v>Capex</v>
      </c>
      <c r="F2068" t="s">
        <v>682</v>
      </c>
      <c r="G2068" t="str">
        <f>'4M'!$D$44</f>
        <v>£m</v>
      </c>
      <c r="O2068" t="str">
        <f>_xlfn.CONCAT('4M'!$B$9, "-", '4M'!$B$44, "-", '4M'!$K$7, "-", '4M'!$K$6, "-", '4M'!$F$5)</f>
        <v>EA/NRW environmental programme (WINEP/NEP)-Phosphorus removal-Sludge transport-Bioresources-Expenditure in report year</v>
      </c>
    </row>
    <row r="2069" spans="1:15">
      <c r="A2069" t="s">
        <v>643</v>
      </c>
      <c r="B2069" t="str">
        <f>'4M'!$BN$44</f>
        <v>B0320PRC_SDT</v>
      </c>
      <c r="D2069" t="str">
        <f>_xlfn.CONCAT('4M'!$B$9, "-", '4M'!$B$44, "-", '4M'!$L$7, "-", '4M'!$K$6, "-", '4M'!$F$5)</f>
        <v>EA/NRW environmental programme (WINEP/NEP)-Phosphorus removal-Sludge treatment-Bioresources-Expenditure in report year</v>
      </c>
      <c r="E2069" t="str">
        <f>'4M'!$C$44</f>
        <v>Capex</v>
      </c>
      <c r="F2069" t="s">
        <v>682</v>
      </c>
      <c r="G2069" t="str">
        <f>'4M'!$D$44</f>
        <v>£m</v>
      </c>
      <c r="O2069" t="str">
        <f>_xlfn.CONCAT('4M'!$B$9, "-", '4M'!$B$44, "-", '4M'!$L$7, "-", '4M'!$K$6, "-", '4M'!$F$5)</f>
        <v>EA/NRW environmental programme (WINEP/NEP)-Phosphorus removal-Sludge treatment-Bioresources-Expenditure in report year</v>
      </c>
    </row>
    <row r="2070" spans="1:15">
      <c r="A2070" t="s">
        <v>643</v>
      </c>
      <c r="B2070" t="str">
        <f>'4M'!$BO$44</f>
        <v>B0320PRC_SD</v>
      </c>
      <c r="D2070" t="str">
        <f>_xlfn.CONCAT('4M'!$B$9, "-", '4M'!$B$44, "-", '4M'!$M$7, "-", '4M'!$K$6, "-", '4M'!$F$5)</f>
        <v>EA/NRW environmental programme (WINEP/NEP)-Phosphorus removal-Sludge disposal-Bioresources-Expenditure in report year</v>
      </c>
      <c r="E2070" t="str">
        <f>'4M'!$C$44</f>
        <v>Capex</v>
      </c>
      <c r="F2070" t="s">
        <v>682</v>
      </c>
      <c r="G2070" t="str">
        <f>'4M'!$D$44</f>
        <v>£m</v>
      </c>
      <c r="O2070" t="str">
        <f>_xlfn.CONCAT('4M'!$B$9, "-", '4M'!$B$44, "-", '4M'!$M$7, "-", '4M'!$K$6, "-", '4M'!$F$5)</f>
        <v>EA/NRW environmental programme (WINEP/NEP)-Phosphorus removal-Sludge disposal-Bioresources-Expenditure in report year</v>
      </c>
    </row>
    <row r="2071" spans="1:15">
      <c r="A2071" t="s">
        <v>643</v>
      </c>
      <c r="B2071" t="str">
        <f>'4M'!$BP$44</f>
        <v>B0320PRC_TOT</v>
      </c>
      <c r="D2071" t="str">
        <f>_xlfn.CONCAT('4M'!$B$9, "-", '4M'!$B$44, "-", '4M'!$N$6, "-", '4M'!$N$6, "-", '4M'!$F$5)</f>
        <v>EA/NRW environmental programme (WINEP/NEP)-Phosphorus removal-Total-Total-Expenditure in report year</v>
      </c>
      <c r="E2071" t="str">
        <f>'4M'!$C$44</f>
        <v>Capex</v>
      </c>
      <c r="F2071" t="s">
        <v>682</v>
      </c>
      <c r="G2071" t="str">
        <f>'4M'!$D$44</f>
        <v>£m</v>
      </c>
      <c r="O2071" t="str">
        <f>_xlfn.CONCAT('4M'!$B$9, "-", '4M'!$B$44, "-", '4M'!$N$6, "-", '4M'!$N$6, "-", '4M'!$F$5)</f>
        <v>EA/NRW environmental programme (WINEP/NEP)-Phosphorus removal-Total-Total-Expenditure in report year</v>
      </c>
    </row>
    <row r="2072" spans="1:15">
      <c r="A2072" t="s">
        <v>643</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682</v>
      </c>
      <c r="G2072" t="str">
        <f>'4M'!$D$44</f>
        <v>£m</v>
      </c>
      <c r="O2072" t="str">
        <f>_xlfn.CONCAT('4M'!$B$9, "-", '4M'!$B$44, "-", '4M'!$O$7, "-", '4M'!$O$6, "-", '4M'!$O$5)</f>
        <v>EA/NRW environmental programme (WINEP/NEP)-Phosphorus removal-Foul-Wastewater network+ -Cumulative expenditure on schemes completed in the report year</v>
      </c>
    </row>
    <row r="2073" spans="1:15">
      <c r="A2073" t="s">
        <v>643</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682</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643</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682</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643</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682</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643</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682</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643</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682</v>
      </c>
      <c r="G2077" t="str">
        <f>'4M'!$D$44</f>
        <v>£m</v>
      </c>
      <c r="O2077" t="str">
        <f>_xlfn.CONCAT('4M'!$B$9, "-", '4M'!$B$44, "-", '4M'!$T$7, "-", '4M'!$T$6, "-", '4M'!$O$5)</f>
        <v>EA/NRW environmental programme (WINEP/NEP)-Phosphorus removal-Sludge transport-Bioresources-Cumulative expenditure on schemes completed in the report year</v>
      </c>
    </row>
    <row r="2078" spans="1:15">
      <c r="A2078" t="s">
        <v>643</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682</v>
      </c>
      <c r="G2078" t="str">
        <f>'4M'!$D$44</f>
        <v>£m</v>
      </c>
      <c r="O2078" t="str">
        <f>_xlfn.CONCAT('4M'!$B$9, "-", '4M'!$B$44, "-", '4M'!$U$7, "-", '4M'!$T$6, "-", '4M'!$O$5)</f>
        <v>EA/NRW environmental programme (WINEP/NEP)-Phosphorus removal-Sludge treatment-Bioresources-Cumulative expenditure on schemes completed in the report year</v>
      </c>
    </row>
    <row r="2079" spans="1:15">
      <c r="A2079" t="s">
        <v>643</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682</v>
      </c>
      <c r="G2079" t="str">
        <f>'4M'!$D$44</f>
        <v>£m</v>
      </c>
      <c r="O2079" t="str">
        <f>_xlfn.CONCAT('4M'!$B$9, "-", '4M'!$B$44, "-", '4M'!$V$7, "-", '4M'!$T$6, "-", '4M'!$O$5)</f>
        <v>EA/NRW environmental programme (WINEP/NEP)-Phosphorus removal-Sludge disposal-Bioresources-Cumulative expenditure on schemes completed in the report year</v>
      </c>
    </row>
    <row r="2080" spans="1:15">
      <c r="A2080" t="s">
        <v>643</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682</v>
      </c>
      <c r="G2080" t="str">
        <f>'4M'!$D$44</f>
        <v>£m</v>
      </c>
      <c r="O2080" t="str">
        <f>_xlfn.CONCAT('4M'!$B$9, "-", '4M'!$B$44, "-", '4M'!$W$6, "-", '4M'!$W$6, "-", '4M'!$O$5)</f>
        <v>EA/NRW environmental programme (WINEP/NEP)-Phosphorus removal-Total-Total-Cumulative expenditure on schemes completed in the report year</v>
      </c>
    </row>
    <row r="2081" spans="1:15">
      <c r="A2081" t="s">
        <v>643</v>
      </c>
      <c r="B2081" t="str">
        <f>'4M'!$BH$45</f>
        <v>B0321PRO_F</v>
      </c>
      <c r="D2081" t="str">
        <f>_xlfn.CONCAT('4M'!$B$9, "-", '4M'!$B$45, "-", '4M'!$F$7, "-", '4M'!$F$6, "-", '4M'!$F$5)</f>
        <v>EA/NRW environmental programme (WINEP/NEP)-Phosphorus removal-Foul-Wastewater network+ -Expenditure in report year</v>
      </c>
      <c r="E2081" t="str">
        <f>'4M'!$C$45</f>
        <v>Opex</v>
      </c>
      <c r="F2081" t="s">
        <v>682</v>
      </c>
      <c r="G2081" t="str">
        <f>'4M'!$D$45</f>
        <v>£m</v>
      </c>
      <c r="O2081" t="str">
        <f>_xlfn.CONCAT('4M'!$B$9, "-", '4M'!$B$45, "-", '4M'!$F$7, "-", '4M'!$F$6, "-", '4M'!$F$5)</f>
        <v>EA/NRW environmental programme (WINEP/NEP)-Phosphorus removal-Foul-Wastewater network+ -Expenditure in report year</v>
      </c>
    </row>
    <row r="2082" spans="1:15">
      <c r="A2082" t="s">
        <v>643</v>
      </c>
      <c r="B2082" t="str">
        <f>'4M'!$BI$45</f>
        <v>B0321PRO_SWD</v>
      </c>
      <c r="D2082" t="str">
        <f>_xlfn.CONCAT('4M'!$B$9, "-", '4M'!$B$45, "-", '4M'!$G$7, "-", '4M'!$F$6, "-", '4M'!$F$5)</f>
        <v>EA/NRW environmental programme (WINEP/NEP)-Phosphorus removal-Surface water drainage-Wastewater network+ -Expenditure in report year</v>
      </c>
      <c r="E2082" t="str">
        <f>'4M'!$C$45</f>
        <v>Opex</v>
      </c>
      <c r="F2082" t="s">
        <v>682</v>
      </c>
      <c r="G2082" t="str">
        <f>'4M'!$D$45</f>
        <v>£m</v>
      </c>
      <c r="O2082" t="str">
        <f>_xlfn.CONCAT('4M'!$B$9, "-", '4M'!$B$45, "-", '4M'!$G$7, "-", '4M'!$F$6, "-", '4M'!$F$5)</f>
        <v>EA/NRW environmental programme (WINEP/NEP)-Phosphorus removal-Surface water drainage-Wastewater network+ -Expenditure in report year</v>
      </c>
    </row>
    <row r="2083" spans="1:15">
      <c r="A2083" t="s">
        <v>643</v>
      </c>
      <c r="B2083" t="str">
        <f>'4M'!$BJ$45</f>
        <v>B0321PRO_HD</v>
      </c>
      <c r="D2083" t="str">
        <f>_xlfn.CONCAT('4M'!$B$9, "-", '4M'!$B$45, "-", '4M'!$H$7, "-", '4M'!$F$6, "-", '4M'!$F$5)</f>
        <v>EA/NRW environmental programme (WINEP/NEP)-Phosphorus removal-Highway drainage-Wastewater network+ -Expenditure in report year</v>
      </c>
      <c r="E2083" t="str">
        <f>'4M'!$C$45</f>
        <v>Opex</v>
      </c>
      <c r="F2083" t="s">
        <v>682</v>
      </c>
      <c r="G2083" t="str">
        <f>'4M'!$D$45</f>
        <v>£m</v>
      </c>
      <c r="O2083" t="str">
        <f>_xlfn.CONCAT('4M'!$B$9, "-", '4M'!$B$45, "-", '4M'!$H$7, "-", '4M'!$F$6, "-", '4M'!$F$5)</f>
        <v>EA/NRW environmental programme (WINEP/NEP)-Phosphorus removal-Highway drainage-Wastewater network+ -Expenditure in report year</v>
      </c>
    </row>
    <row r="2084" spans="1:15">
      <c r="A2084" t="s">
        <v>643</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682</v>
      </c>
      <c r="G2084" t="str">
        <f>'4M'!$D$45</f>
        <v>£m</v>
      </c>
      <c r="O2084" t="str">
        <f>_xlfn.CONCAT('4M'!$B$9, "-", '4M'!$B$45, "-", '4M'!$I$7, "-", '4M'!$F$6, "-", '4M'!$F$5)</f>
        <v>EA/NRW environmental programme (WINEP/NEP)-Phosphorus removal-Sewage treatment and disposal-Wastewater network+ -Expenditure in report year</v>
      </c>
    </row>
    <row r="2085" spans="1:15">
      <c r="A2085" t="s">
        <v>643</v>
      </c>
      <c r="B2085" t="str">
        <f>'4M'!$BL$45</f>
        <v>B0321PRO_SLT</v>
      </c>
      <c r="D2085" t="str">
        <f>_xlfn.CONCAT('4M'!$B$9, "-", '4M'!$B$45, "-", '4M'!$J$7, "-", '4M'!$F$6, "-", '4M'!$F$5)</f>
        <v>EA/NRW environmental programme (WINEP/NEP)-Phosphorus removal-Sludge liquor treatment-Wastewater network+ -Expenditure in report year</v>
      </c>
      <c r="E2085" t="str">
        <f>'4M'!$C$45</f>
        <v>Opex</v>
      </c>
      <c r="F2085" t="s">
        <v>682</v>
      </c>
      <c r="G2085" t="str">
        <f>'4M'!$D$45</f>
        <v>£m</v>
      </c>
      <c r="O2085" t="str">
        <f>_xlfn.CONCAT('4M'!$B$9, "-", '4M'!$B$45, "-", '4M'!$J$7, "-", '4M'!$F$6, "-", '4M'!$F$5)</f>
        <v>EA/NRW environmental programme (WINEP/NEP)-Phosphorus removal-Sludge liquor treatment-Wastewater network+ -Expenditure in report year</v>
      </c>
    </row>
    <row r="2086" spans="1:15">
      <c r="A2086" t="s">
        <v>643</v>
      </c>
      <c r="B2086" t="str">
        <f>'4M'!$BM$45</f>
        <v>B0321PRO_STP</v>
      </c>
      <c r="D2086" t="str">
        <f>_xlfn.CONCAT('4M'!$B$9, "-", '4M'!$B$45, "-", '4M'!$K$7, "-", '4M'!$K$6, "-", '4M'!$F$5)</f>
        <v>EA/NRW environmental programme (WINEP/NEP)-Phosphorus removal-Sludge transport-Bioresources-Expenditure in report year</v>
      </c>
      <c r="E2086" t="str">
        <f>'4M'!$C$45</f>
        <v>Opex</v>
      </c>
      <c r="F2086" t="s">
        <v>682</v>
      </c>
      <c r="G2086" t="str">
        <f>'4M'!$D$45</f>
        <v>£m</v>
      </c>
      <c r="O2086" t="str">
        <f>_xlfn.CONCAT('4M'!$B$9, "-", '4M'!$B$45, "-", '4M'!$K$7, "-", '4M'!$K$6, "-", '4M'!$F$5)</f>
        <v>EA/NRW environmental programme (WINEP/NEP)-Phosphorus removal-Sludge transport-Bioresources-Expenditure in report year</v>
      </c>
    </row>
    <row r="2087" spans="1:15">
      <c r="A2087" t="s">
        <v>643</v>
      </c>
      <c r="B2087" t="str">
        <f>'4M'!$BN$45</f>
        <v>B0321PRO_SDT</v>
      </c>
      <c r="D2087" t="str">
        <f>_xlfn.CONCAT('4M'!$B$9, "-", '4M'!$B$45, "-", '4M'!$L$7, "-", '4M'!$K$6, "-", '4M'!$F$5)</f>
        <v>EA/NRW environmental programme (WINEP/NEP)-Phosphorus removal-Sludge treatment-Bioresources-Expenditure in report year</v>
      </c>
      <c r="E2087" t="str">
        <f>'4M'!$C$45</f>
        <v>Opex</v>
      </c>
      <c r="F2087" t="s">
        <v>682</v>
      </c>
      <c r="G2087" t="str">
        <f>'4M'!$D$45</f>
        <v>£m</v>
      </c>
      <c r="O2087" t="str">
        <f>_xlfn.CONCAT('4M'!$B$9, "-", '4M'!$B$45, "-", '4M'!$L$7, "-", '4M'!$K$6, "-", '4M'!$F$5)</f>
        <v>EA/NRW environmental programme (WINEP/NEP)-Phosphorus removal-Sludge treatment-Bioresources-Expenditure in report year</v>
      </c>
    </row>
    <row r="2088" spans="1:15">
      <c r="A2088" t="s">
        <v>643</v>
      </c>
      <c r="B2088" t="str">
        <f>'4M'!$BO$45</f>
        <v>B0321PRO_SD</v>
      </c>
      <c r="D2088" t="str">
        <f>_xlfn.CONCAT('4M'!$B$9, "-", '4M'!$B$45, "-", '4M'!$M$7, "-", '4M'!$K$6, "-", '4M'!$F$5)</f>
        <v>EA/NRW environmental programme (WINEP/NEP)-Phosphorus removal-Sludge disposal-Bioresources-Expenditure in report year</v>
      </c>
      <c r="E2088" t="str">
        <f>'4M'!$C$45</f>
        <v>Opex</v>
      </c>
      <c r="F2088" t="s">
        <v>682</v>
      </c>
      <c r="G2088" t="str">
        <f>'4M'!$D$45</f>
        <v>£m</v>
      </c>
      <c r="O2088" t="str">
        <f>_xlfn.CONCAT('4M'!$B$9, "-", '4M'!$B$45, "-", '4M'!$M$7, "-", '4M'!$K$6, "-", '4M'!$F$5)</f>
        <v>EA/NRW environmental programme (WINEP/NEP)-Phosphorus removal-Sludge disposal-Bioresources-Expenditure in report year</v>
      </c>
    </row>
    <row r="2089" spans="1:15">
      <c r="A2089" t="s">
        <v>643</v>
      </c>
      <c r="B2089" t="str">
        <f>'4M'!$BP$45</f>
        <v>B0321PRO_TOT</v>
      </c>
      <c r="D2089" t="str">
        <f>_xlfn.CONCAT('4M'!$B$9, "-", '4M'!$B$45, "-", '4M'!$N$6, "-", '4M'!$N$6, "-", '4M'!$F$5)</f>
        <v>EA/NRW environmental programme (WINEP/NEP)-Phosphorus removal-Total-Total-Expenditure in report year</v>
      </c>
      <c r="E2089" t="str">
        <f>'4M'!$C$45</f>
        <v>Opex</v>
      </c>
      <c r="F2089" t="s">
        <v>682</v>
      </c>
      <c r="G2089" t="str">
        <f>'4M'!$D$45</f>
        <v>£m</v>
      </c>
      <c r="O2089" t="str">
        <f>_xlfn.CONCAT('4M'!$B$9, "-", '4M'!$B$45, "-", '4M'!$N$6, "-", '4M'!$N$6, "-", '4M'!$F$5)</f>
        <v>EA/NRW environmental programme (WINEP/NEP)-Phosphorus removal-Total-Total-Expenditure in report year</v>
      </c>
    </row>
    <row r="2090" spans="1:15">
      <c r="A2090" t="s">
        <v>643</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682</v>
      </c>
      <c r="G2090" t="str">
        <f>'4M'!$D$45</f>
        <v>£m</v>
      </c>
      <c r="O2090" t="str">
        <f>_xlfn.CONCAT('4M'!$B$9, "-", '4M'!$B$45, "-", '4M'!$O$7, "-", '4M'!$O$6, "-", '4M'!$O$5)</f>
        <v>EA/NRW environmental programme (WINEP/NEP)-Phosphorus removal-Foul-Wastewater network+ -Cumulative expenditure on schemes completed in the report year</v>
      </c>
    </row>
    <row r="2091" spans="1:15">
      <c r="A2091" t="s">
        <v>643</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682</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643</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682</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643</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682</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643</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682</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643</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682</v>
      </c>
      <c r="G2095" t="str">
        <f>'4M'!$D$45</f>
        <v>£m</v>
      </c>
      <c r="O2095" t="str">
        <f>_xlfn.CONCAT('4M'!$B$9, "-", '4M'!$B$45, "-", '4M'!$T$7, "-", '4M'!$T$6, "-", '4M'!$O$5)</f>
        <v>EA/NRW environmental programme (WINEP/NEP)-Phosphorus removal-Sludge transport-Bioresources-Cumulative expenditure on schemes completed in the report year</v>
      </c>
    </row>
    <row r="2096" spans="1:15">
      <c r="A2096" t="s">
        <v>643</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682</v>
      </c>
      <c r="G2096" t="str">
        <f>'4M'!$D$45</f>
        <v>£m</v>
      </c>
      <c r="O2096" t="str">
        <f>_xlfn.CONCAT('4M'!$B$9, "-", '4M'!$B$45, "-", '4M'!$U$7, "-", '4M'!$T$6, "-", '4M'!$O$5)</f>
        <v>EA/NRW environmental programme (WINEP/NEP)-Phosphorus removal-Sludge treatment-Bioresources-Cumulative expenditure on schemes completed in the report year</v>
      </c>
    </row>
    <row r="2097" spans="1:15">
      <c r="A2097" t="s">
        <v>643</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682</v>
      </c>
      <c r="G2097" t="str">
        <f>'4M'!$D$45</f>
        <v>£m</v>
      </c>
      <c r="O2097" t="str">
        <f>_xlfn.CONCAT('4M'!$B$9, "-", '4M'!$B$45, "-", '4M'!$V$7, "-", '4M'!$T$6, "-", '4M'!$O$5)</f>
        <v>EA/NRW environmental programme (WINEP/NEP)-Phosphorus removal-Sludge disposal-Bioresources-Cumulative expenditure on schemes completed in the report year</v>
      </c>
    </row>
    <row r="2098" spans="1:15">
      <c r="A2098" t="s">
        <v>643</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682</v>
      </c>
      <c r="G2098" t="str">
        <f>'4M'!$D$45</f>
        <v>£m</v>
      </c>
      <c r="O2098" t="str">
        <f>_xlfn.CONCAT('4M'!$B$9, "-", '4M'!$B$45, "-", '4M'!$W$6, "-", '4M'!$W$6, "-", '4M'!$O$5)</f>
        <v>EA/NRW environmental programme (WINEP/NEP)-Phosphorus removal-Total-Total-Cumulative expenditure on schemes completed in the report year</v>
      </c>
    </row>
    <row r="2099" spans="1:15">
      <c r="A2099" t="s">
        <v>643</v>
      </c>
      <c r="B2099" t="str">
        <f>'4M'!$BH$46</f>
        <v>B0322PRT_F</v>
      </c>
      <c r="D2099" t="str">
        <f>_xlfn.CONCAT('4M'!$B$9, "-", '4M'!$B$46, "-", '4M'!$F$7, "-", '4M'!$F$6, "-", '4M'!$F$5)</f>
        <v>EA/NRW environmental programme (WINEP/NEP)-Phosphorus removal-Foul-Wastewater network+ -Expenditure in report year</v>
      </c>
      <c r="E2099" t="str">
        <f>'4M'!$C$46</f>
        <v>Totex</v>
      </c>
      <c r="F2099" t="s">
        <v>682</v>
      </c>
      <c r="G2099" t="str">
        <f>'4M'!$D$46</f>
        <v>£m</v>
      </c>
      <c r="O2099" t="str">
        <f>_xlfn.CONCAT('4M'!$B$9, "-", '4M'!$B$46, "-", '4M'!$F$7, "-", '4M'!$F$6, "-", '4M'!$F$5)</f>
        <v>EA/NRW environmental programme (WINEP/NEP)-Phosphorus removal-Foul-Wastewater network+ -Expenditure in report year</v>
      </c>
    </row>
    <row r="2100" spans="1:15">
      <c r="A2100" t="s">
        <v>643</v>
      </c>
      <c r="B2100" t="str">
        <f>'4M'!$BI$46</f>
        <v>B0322PRT_SWD</v>
      </c>
      <c r="D2100" t="str">
        <f>_xlfn.CONCAT('4M'!$B$9, "-", '4M'!$B$46, "-", '4M'!$G$7, "-", '4M'!$F$6, "-", '4M'!$F$5)</f>
        <v>EA/NRW environmental programme (WINEP/NEP)-Phosphorus removal-Surface water drainage-Wastewater network+ -Expenditure in report year</v>
      </c>
      <c r="E2100" t="str">
        <f>'4M'!$C$46</f>
        <v>Totex</v>
      </c>
      <c r="F2100" t="s">
        <v>682</v>
      </c>
      <c r="G2100" t="str">
        <f>'4M'!$D$46</f>
        <v>£m</v>
      </c>
      <c r="O2100" t="str">
        <f>_xlfn.CONCAT('4M'!$B$9, "-", '4M'!$B$46, "-", '4M'!$G$7, "-", '4M'!$F$6, "-", '4M'!$F$5)</f>
        <v>EA/NRW environmental programme (WINEP/NEP)-Phosphorus removal-Surface water drainage-Wastewater network+ -Expenditure in report year</v>
      </c>
    </row>
    <row r="2101" spans="1:15">
      <c r="A2101" t="s">
        <v>643</v>
      </c>
      <c r="B2101" t="str">
        <f>'4M'!$BJ$46</f>
        <v>B0322PRT_HD</v>
      </c>
      <c r="D2101" t="str">
        <f>_xlfn.CONCAT('4M'!$B$9, "-", '4M'!$B$46, "-", '4M'!$H$7, "-", '4M'!$F$6, "-", '4M'!$F$5)</f>
        <v>EA/NRW environmental programme (WINEP/NEP)-Phosphorus removal-Highway drainage-Wastewater network+ -Expenditure in report year</v>
      </c>
      <c r="E2101" t="str">
        <f>'4M'!$C$46</f>
        <v>Totex</v>
      </c>
      <c r="F2101" t="s">
        <v>682</v>
      </c>
      <c r="G2101" t="str">
        <f>'4M'!$D$46</f>
        <v>£m</v>
      </c>
      <c r="O2101" t="str">
        <f>_xlfn.CONCAT('4M'!$B$9, "-", '4M'!$B$46, "-", '4M'!$H$7, "-", '4M'!$F$6, "-", '4M'!$F$5)</f>
        <v>EA/NRW environmental programme (WINEP/NEP)-Phosphorus removal-Highway drainage-Wastewater network+ -Expenditure in report year</v>
      </c>
    </row>
    <row r="2102" spans="1:15">
      <c r="A2102" t="s">
        <v>643</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682</v>
      </c>
      <c r="G2102" t="str">
        <f>'4M'!$D$46</f>
        <v>£m</v>
      </c>
      <c r="O2102" t="str">
        <f>_xlfn.CONCAT('4M'!$B$9, "-", '4M'!$B$46, "-", '4M'!$I$7, "-", '4M'!$F$6, "-", '4M'!$F$5)</f>
        <v>EA/NRW environmental programme (WINEP/NEP)-Phosphorus removal-Sewage treatment and disposal-Wastewater network+ -Expenditure in report year</v>
      </c>
    </row>
    <row r="2103" spans="1:15">
      <c r="A2103" t="s">
        <v>643</v>
      </c>
      <c r="B2103" t="str">
        <f>'4M'!$BL$46</f>
        <v>B0322PRT_SLT</v>
      </c>
      <c r="D2103" t="str">
        <f>_xlfn.CONCAT('4M'!$B$9, "-", '4M'!$B$46, "-", '4M'!$J$7, "-", '4M'!$F$6, "-", '4M'!$F$5)</f>
        <v>EA/NRW environmental programme (WINEP/NEP)-Phosphorus removal-Sludge liquor treatment-Wastewater network+ -Expenditure in report year</v>
      </c>
      <c r="E2103" t="str">
        <f>'4M'!$C$46</f>
        <v>Totex</v>
      </c>
      <c r="F2103" t="s">
        <v>682</v>
      </c>
      <c r="G2103" t="str">
        <f>'4M'!$D$46</f>
        <v>£m</v>
      </c>
      <c r="O2103" t="str">
        <f>_xlfn.CONCAT('4M'!$B$9, "-", '4M'!$B$46, "-", '4M'!$J$7, "-", '4M'!$F$6, "-", '4M'!$F$5)</f>
        <v>EA/NRW environmental programme (WINEP/NEP)-Phosphorus removal-Sludge liquor treatment-Wastewater network+ -Expenditure in report year</v>
      </c>
    </row>
    <row r="2104" spans="1:15">
      <c r="A2104" t="s">
        <v>643</v>
      </c>
      <c r="B2104" t="str">
        <f>'4M'!$BM$46</f>
        <v>B0322PRT_STP</v>
      </c>
      <c r="D2104" t="str">
        <f>_xlfn.CONCAT('4M'!$B$9, "-", '4M'!$B$46, "-", '4M'!$K$7, "-", '4M'!$K$6, "-", '4M'!$F$5)</f>
        <v>EA/NRW environmental programme (WINEP/NEP)-Phosphorus removal-Sludge transport-Bioresources-Expenditure in report year</v>
      </c>
      <c r="E2104" t="str">
        <f>'4M'!$C$46</f>
        <v>Totex</v>
      </c>
      <c r="F2104" t="s">
        <v>682</v>
      </c>
      <c r="G2104" t="str">
        <f>'4M'!$D$46</f>
        <v>£m</v>
      </c>
      <c r="O2104" t="str">
        <f>_xlfn.CONCAT('4M'!$B$9, "-", '4M'!$B$46, "-", '4M'!$K$7, "-", '4M'!$K$6, "-", '4M'!$F$5)</f>
        <v>EA/NRW environmental programme (WINEP/NEP)-Phosphorus removal-Sludge transport-Bioresources-Expenditure in report year</v>
      </c>
    </row>
    <row r="2105" spans="1:15">
      <c r="A2105" t="s">
        <v>643</v>
      </c>
      <c r="B2105" t="str">
        <f>'4M'!$BN$46</f>
        <v>B0322PRT_SDT</v>
      </c>
      <c r="D2105" t="str">
        <f>_xlfn.CONCAT('4M'!$B$9, "-", '4M'!$B$46, "-", '4M'!$L$7, "-", '4M'!$K$6, "-", '4M'!$F$5)</f>
        <v>EA/NRW environmental programme (WINEP/NEP)-Phosphorus removal-Sludge treatment-Bioresources-Expenditure in report year</v>
      </c>
      <c r="E2105" t="str">
        <f>'4M'!$C$46</f>
        <v>Totex</v>
      </c>
      <c r="F2105" t="s">
        <v>682</v>
      </c>
      <c r="G2105" t="str">
        <f>'4M'!$D$46</f>
        <v>£m</v>
      </c>
      <c r="O2105" t="str">
        <f>_xlfn.CONCAT('4M'!$B$9, "-", '4M'!$B$46, "-", '4M'!$L$7, "-", '4M'!$K$6, "-", '4M'!$F$5)</f>
        <v>EA/NRW environmental programme (WINEP/NEP)-Phosphorus removal-Sludge treatment-Bioresources-Expenditure in report year</v>
      </c>
    </row>
    <row r="2106" spans="1:15">
      <c r="A2106" t="s">
        <v>643</v>
      </c>
      <c r="B2106" t="str">
        <f>'4M'!$BO$46</f>
        <v>B0322PRT_SD</v>
      </c>
      <c r="D2106" t="str">
        <f>_xlfn.CONCAT('4M'!$B$9, "-", '4M'!$B$46, "-", '4M'!$M$7, "-", '4M'!$K$6, "-", '4M'!$F$5)</f>
        <v>EA/NRW environmental programme (WINEP/NEP)-Phosphorus removal-Sludge disposal-Bioresources-Expenditure in report year</v>
      </c>
      <c r="E2106" t="str">
        <f>'4M'!$C$46</f>
        <v>Totex</v>
      </c>
      <c r="F2106" t="s">
        <v>682</v>
      </c>
      <c r="G2106" t="str">
        <f>'4M'!$D$46</f>
        <v>£m</v>
      </c>
      <c r="O2106" t="str">
        <f>_xlfn.CONCAT('4M'!$B$9, "-", '4M'!$B$46, "-", '4M'!$M$7, "-", '4M'!$K$6, "-", '4M'!$F$5)</f>
        <v>EA/NRW environmental programme (WINEP/NEP)-Phosphorus removal-Sludge disposal-Bioresources-Expenditure in report year</v>
      </c>
    </row>
    <row r="2107" spans="1:15">
      <c r="A2107" t="s">
        <v>643</v>
      </c>
      <c r="B2107" t="str">
        <f>'4M'!$BP$46</f>
        <v>B0322PRT_TOT</v>
      </c>
      <c r="D2107" t="str">
        <f>_xlfn.CONCAT('4M'!$B$9, "-", '4M'!$B$46, "-", '4M'!$N$6, "-", '4M'!$N$6, "-", '4M'!$F$5)</f>
        <v>EA/NRW environmental programme (WINEP/NEP)-Phosphorus removal-Total-Total-Expenditure in report year</v>
      </c>
      <c r="E2107" t="str">
        <f>'4M'!$C$46</f>
        <v>Totex</v>
      </c>
      <c r="F2107" t="s">
        <v>682</v>
      </c>
      <c r="G2107" t="str">
        <f>'4M'!$D$46</f>
        <v>£m</v>
      </c>
      <c r="O2107" t="str">
        <f>_xlfn.CONCAT('4M'!$B$9, "-", '4M'!$B$46, "-", '4M'!$N$6, "-", '4M'!$N$6, "-", '4M'!$F$5)</f>
        <v>EA/NRW environmental programme (WINEP/NEP)-Phosphorus removal-Total-Total-Expenditure in report year</v>
      </c>
    </row>
    <row r="2108" spans="1:15">
      <c r="A2108" t="s">
        <v>643</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682</v>
      </c>
      <c r="G2108" t="str">
        <f>'4M'!$D$46</f>
        <v>£m</v>
      </c>
      <c r="O2108" t="str">
        <f>_xlfn.CONCAT('4M'!$B$9, "-", '4M'!$B$46, "-", '4M'!$O$7, "-", '4M'!$O$6, "-", '4M'!$O$5)</f>
        <v>EA/NRW environmental programme (WINEP/NEP)-Phosphorus removal-Foul-Wastewater network+ -Cumulative expenditure on schemes completed in the report year</v>
      </c>
    </row>
    <row r="2109" spans="1:15">
      <c r="A2109" t="s">
        <v>643</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682</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643</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682</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643</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682</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643</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682</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643</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682</v>
      </c>
      <c r="G2113" t="str">
        <f>'4M'!$D$46</f>
        <v>£m</v>
      </c>
      <c r="O2113" t="str">
        <f>_xlfn.CONCAT('4M'!$B$9, "-", '4M'!$B$46, "-", '4M'!$T$7, "-", '4M'!$T$6, "-", '4M'!$O$5)</f>
        <v>EA/NRW environmental programme (WINEP/NEP)-Phosphorus removal-Sludge transport-Bioresources-Cumulative expenditure on schemes completed in the report year</v>
      </c>
    </row>
    <row r="2114" spans="1:15">
      <c r="A2114" t="s">
        <v>643</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682</v>
      </c>
      <c r="G2114" t="str">
        <f>'4M'!$D$46</f>
        <v>£m</v>
      </c>
      <c r="O2114" t="str">
        <f>_xlfn.CONCAT('4M'!$B$9, "-", '4M'!$B$46, "-", '4M'!$U$7, "-", '4M'!$T$6, "-", '4M'!$O$5)</f>
        <v>EA/NRW environmental programme (WINEP/NEP)-Phosphorus removal-Sludge treatment-Bioresources-Cumulative expenditure on schemes completed in the report year</v>
      </c>
    </row>
    <row r="2115" spans="1:15">
      <c r="A2115" t="s">
        <v>643</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682</v>
      </c>
      <c r="G2115" t="str">
        <f>'4M'!$D$46</f>
        <v>£m</v>
      </c>
      <c r="O2115" t="str">
        <f>_xlfn.CONCAT('4M'!$B$9, "-", '4M'!$B$46, "-", '4M'!$V$7, "-", '4M'!$T$6, "-", '4M'!$O$5)</f>
        <v>EA/NRW environmental programme (WINEP/NEP)-Phosphorus removal-Sludge disposal-Bioresources-Cumulative expenditure on schemes completed in the report year</v>
      </c>
    </row>
    <row r="2116" spans="1:15">
      <c r="A2116" t="s">
        <v>643</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682</v>
      </c>
      <c r="G2116" t="str">
        <f>'4M'!$D$46</f>
        <v>£m</v>
      </c>
      <c r="O2116" t="str">
        <f>_xlfn.CONCAT('4M'!$B$9, "-", '4M'!$B$46, "-", '4M'!$W$6, "-", '4M'!$W$6, "-", '4M'!$O$5)</f>
        <v>EA/NRW environmental programme (WINEP/NEP)-Phosphorus removal-Total-Total-Cumulative expenditure on schemes completed in the report year</v>
      </c>
    </row>
    <row r="2117" spans="1:15">
      <c r="A2117" t="s">
        <v>643</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682</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643</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682</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643</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682</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643</v>
      </c>
      <c r="B2120" t="str">
        <f>'4M'!$BH$47</f>
        <v>B0323RSC_F</v>
      </c>
      <c r="D2120" t="str">
        <f>_xlfn.CONCAT('4M'!$B$9, "-", '4M'!$B$47, "-", '4M'!$F$7, "-", '4M'!$F$6, "-", '4M'!$F$5)</f>
        <v>EA/NRW environmental programme (WINEP/NEP)-Reduction of sanitary parameters-Foul-Wastewater network+ -Expenditure in report year</v>
      </c>
      <c r="E2120" t="str">
        <f>'4M'!$C$47</f>
        <v>Capex</v>
      </c>
      <c r="F2120" t="s">
        <v>682</v>
      </c>
      <c r="G2120" t="str">
        <f>'4M'!$D$47</f>
        <v>£m</v>
      </c>
      <c r="O2120" t="str">
        <f>_xlfn.CONCAT('4M'!$B$9, "-", '4M'!$B$47, "-", '4M'!$F$7, "-", '4M'!$F$6, "-", '4M'!$F$5)</f>
        <v>EA/NRW environmental programme (WINEP/NEP)-Reduction of sanitary parameters-Foul-Wastewater network+ -Expenditure in report year</v>
      </c>
    </row>
    <row r="2121" spans="1:15">
      <c r="A2121" t="s">
        <v>643</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682</v>
      </c>
      <c r="G2121" t="str">
        <f>'4M'!$D$47</f>
        <v>£m</v>
      </c>
      <c r="O2121" t="str">
        <f>_xlfn.CONCAT('4M'!$B$9, "-", '4M'!$B$47, "-", '4M'!$G$7, "-", '4M'!$F$6, "-", '4M'!$F$5)</f>
        <v>EA/NRW environmental programme (WINEP/NEP)-Reduction of sanitary parameters-Surface water drainage-Wastewater network+ -Expenditure in report year</v>
      </c>
    </row>
    <row r="2122" spans="1:15">
      <c r="A2122" t="s">
        <v>643</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682</v>
      </c>
      <c r="G2122" t="str">
        <f>'4M'!$D$47</f>
        <v>£m</v>
      </c>
      <c r="O2122" t="str">
        <f>_xlfn.CONCAT('4M'!$B$9, "-", '4M'!$B$47, "-", '4M'!$H$7, "-", '4M'!$F$6, "-", '4M'!$F$5)</f>
        <v>EA/NRW environmental programme (WINEP/NEP)-Reduction of sanitary parameters-Highway drainage-Wastewater network+ -Expenditure in report year</v>
      </c>
    </row>
    <row r="2123" spans="1:15">
      <c r="A2123" t="s">
        <v>643</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682</v>
      </c>
      <c r="G2123" t="str">
        <f>'4M'!$D$47</f>
        <v>£m</v>
      </c>
      <c r="O2123" t="str">
        <f>_xlfn.CONCAT('4M'!$B$9, "-", '4M'!$B$47, "-", '4M'!$I$7, "-", '4M'!$F$6, "-", '4M'!$F$5)</f>
        <v>EA/NRW environmental programme (WINEP/NEP)-Reduction of sanitary parameters-Sewage treatment and disposal-Wastewater network+ -Expenditure in report year</v>
      </c>
    </row>
    <row r="2124" spans="1:15">
      <c r="A2124" t="s">
        <v>643</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682</v>
      </c>
      <c r="G2124" t="str">
        <f>'4M'!$D$47</f>
        <v>£m</v>
      </c>
      <c r="O2124" t="str">
        <f>_xlfn.CONCAT('4M'!$B$9, "-", '4M'!$B$47, "-", '4M'!$J$7, "-", '4M'!$F$6, "-", '4M'!$F$5)</f>
        <v>EA/NRW environmental programme (WINEP/NEP)-Reduction of sanitary parameters-Sludge liquor treatment-Wastewater network+ -Expenditure in report year</v>
      </c>
    </row>
    <row r="2125" spans="1:15">
      <c r="A2125" t="s">
        <v>643</v>
      </c>
      <c r="B2125" t="str">
        <f>'4M'!$BM$47</f>
        <v>B0323RSC_STP</v>
      </c>
      <c r="D2125" t="str">
        <f>_xlfn.CONCAT('4M'!$B$9, "-", '4M'!$B$47, "-", '4M'!$K$7, "-", '4M'!$K$6, "-", '4M'!$F$5)</f>
        <v>EA/NRW environmental programme (WINEP/NEP)-Reduction of sanitary parameters-Sludge transport-Bioresources-Expenditure in report year</v>
      </c>
      <c r="E2125" t="str">
        <f>'4M'!$C$47</f>
        <v>Capex</v>
      </c>
      <c r="F2125" t="s">
        <v>682</v>
      </c>
      <c r="G2125" t="str">
        <f>'4M'!$D$47</f>
        <v>£m</v>
      </c>
      <c r="O2125" t="str">
        <f>_xlfn.CONCAT('4M'!$B$9, "-", '4M'!$B$47, "-", '4M'!$K$7, "-", '4M'!$K$6, "-", '4M'!$F$5)</f>
        <v>EA/NRW environmental programme (WINEP/NEP)-Reduction of sanitary parameters-Sludge transport-Bioresources-Expenditure in report year</v>
      </c>
    </row>
    <row r="2126" spans="1:15">
      <c r="A2126" t="s">
        <v>643</v>
      </c>
      <c r="B2126" t="str">
        <f>'4M'!$BN$47</f>
        <v>B0323RSC_SDT</v>
      </c>
      <c r="D2126" t="str">
        <f>_xlfn.CONCAT('4M'!$B$9, "-", '4M'!$B$47, "-", '4M'!$L$7, "-", '4M'!$K$6, "-", '4M'!$F$5)</f>
        <v>EA/NRW environmental programme (WINEP/NEP)-Reduction of sanitary parameters-Sludge treatment-Bioresources-Expenditure in report year</v>
      </c>
      <c r="E2126" t="str">
        <f>'4M'!$C$47</f>
        <v>Capex</v>
      </c>
      <c r="F2126" t="s">
        <v>682</v>
      </c>
      <c r="G2126" t="str">
        <f>'4M'!$D$47</f>
        <v>£m</v>
      </c>
      <c r="O2126" t="str">
        <f>_xlfn.CONCAT('4M'!$B$9, "-", '4M'!$B$47, "-", '4M'!$L$7, "-", '4M'!$K$6, "-", '4M'!$F$5)</f>
        <v>EA/NRW environmental programme (WINEP/NEP)-Reduction of sanitary parameters-Sludge treatment-Bioresources-Expenditure in report year</v>
      </c>
    </row>
    <row r="2127" spans="1:15">
      <c r="A2127" t="s">
        <v>643</v>
      </c>
      <c r="B2127" t="str">
        <f>'4M'!$BO$47</f>
        <v>B0323RSC_SD</v>
      </c>
      <c r="D2127" t="str">
        <f>_xlfn.CONCAT('4M'!$B$9, "-", '4M'!$B$47, "-", '4M'!$M$7, "-", '4M'!$K$6, "-", '4M'!$F$5)</f>
        <v>EA/NRW environmental programme (WINEP/NEP)-Reduction of sanitary parameters-Sludge disposal-Bioresources-Expenditure in report year</v>
      </c>
      <c r="E2127" t="str">
        <f>'4M'!$C$47</f>
        <v>Capex</v>
      </c>
      <c r="F2127" t="s">
        <v>682</v>
      </c>
      <c r="G2127" t="str">
        <f>'4M'!$D$47</f>
        <v>£m</v>
      </c>
      <c r="O2127" t="str">
        <f>_xlfn.CONCAT('4M'!$B$9, "-", '4M'!$B$47, "-", '4M'!$M$7, "-", '4M'!$K$6, "-", '4M'!$F$5)</f>
        <v>EA/NRW environmental programme (WINEP/NEP)-Reduction of sanitary parameters-Sludge disposal-Bioresources-Expenditure in report year</v>
      </c>
    </row>
    <row r="2128" spans="1:15">
      <c r="A2128" t="s">
        <v>643</v>
      </c>
      <c r="B2128" t="str">
        <f>'4M'!$BP$47</f>
        <v>B0323RSC_TOT</v>
      </c>
      <c r="D2128" t="str">
        <f>_xlfn.CONCAT('4M'!$B$9, "-", '4M'!$B$47, "-", '4M'!$N$6, "-", '4M'!$N$6, "-", '4M'!$F$5)</f>
        <v>EA/NRW environmental programme (WINEP/NEP)-Reduction of sanitary parameters-Total-Total-Expenditure in report year</v>
      </c>
      <c r="E2128" t="str">
        <f>'4M'!$C$47</f>
        <v>Capex</v>
      </c>
      <c r="F2128" t="s">
        <v>682</v>
      </c>
      <c r="G2128" t="str">
        <f>'4M'!$D$47</f>
        <v>£m</v>
      </c>
      <c r="O2128" t="str">
        <f>_xlfn.CONCAT('4M'!$B$9, "-", '4M'!$B$47, "-", '4M'!$N$6, "-", '4M'!$N$6, "-", '4M'!$F$5)</f>
        <v>EA/NRW environmental programme (WINEP/NEP)-Reduction of sanitary parameters-Total-Total-Expenditure in report year</v>
      </c>
    </row>
    <row r="2129" spans="1:15">
      <c r="A2129" t="s">
        <v>643</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682</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643</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682</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643</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682</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643</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682</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643</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682</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643</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682</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643</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682</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643</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682</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643</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682</v>
      </c>
      <c r="G2137" t="str">
        <f>'4M'!$D$47</f>
        <v>£m</v>
      </c>
      <c r="O2137" t="str">
        <f>_xlfn.CONCAT('4M'!$B$9, "-", '4M'!$B$47, "-", '4M'!$W$6, "-", '4M'!$W$6, "-", '4M'!$O$5)</f>
        <v>EA/NRW environmental programme (WINEP/NEP)-Reduction of sanitary parameters-Total-Total-Cumulative expenditure on schemes completed in the report year</v>
      </c>
    </row>
    <row r="2138" spans="1:15">
      <c r="A2138" t="s">
        <v>643</v>
      </c>
      <c r="B2138" t="str">
        <f>'4M'!$BH$48</f>
        <v>B0324RSO_F</v>
      </c>
      <c r="D2138" t="str">
        <f>_xlfn.CONCAT('4M'!$B$9, "-", '4M'!$B$48, "-", '4M'!$F$7, "-", '4M'!$F$6, "-", '4M'!$F$5)</f>
        <v>EA/NRW environmental programme (WINEP/NEP)-Reduction of sanitary parameters-Foul-Wastewater network+ -Expenditure in report year</v>
      </c>
      <c r="E2138" t="str">
        <f>'4M'!$C$48</f>
        <v>Opex</v>
      </c>
      <c r="F2138" t="s">
        <v>682</v>
      </c>
      <c r="G2138" t="str">
        <f>'4M'!$D$48</f>
        <v>£m</v>
      </c>
      <c r="O2138" t="str">
        <f>_xlfn.CONCAT('4M'!$B$9, "-", '4M'!$B$48, "-", '4M'!$F$7, "-", '4M'!$F$6, "-", '4M'!$F$5)</f>
        <v>EA/NRW environmental programme (WINEP/NEP)-Reduction of sanitary parameters-Foul-Wastewater network+ -Expenditure in report year</v>
      </c>
    </row>
    <row r="2139" spans="1:15">
      <c r="A2139" t="s">
        <v>643</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682</v>
      </c>
      <c r="G2139" t="str">
        <f>'4M'!$D$48</f>
        <v>£m</v>
      </c>
      <c r="O2139" t="str">
        <f>_xlfn.CONCAT('4M'!$B$9, "-", '4M'!$B$48, "-", '4M'!$G$7, "-", '4M'!$F$6, "-", '4M'!$F$5)</f>
        <v>EA/NRW environmental programme (WINEP/NEP)-Reduction of sanitary parameters-Surface water drainage-Wastewater network+ -Expenditure in report year</v>
      </c>
    </row>
    <row r="2140" spans="1:15">
      <c r="A2140" t="s">
        <v>643</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682</v>
      </c>
      <c r="G2140" t="str">
        <f>'4M'!$D$48</f>
        <v>£m</v>
      </c>
      <c r="O2140" t="str">
        <f>_xlfn.CONCAT('4M'!$B$9, "-", '4M'!$B$48, "-", '4M'!$H$7, "-", '4M'!$F$6, "-", '4M'!$F$5)</f>
        <v>EA/NRW environmental programme (WINEP/NEP)-Reduction of sanitary parameters-Highway drainage-Wastewater network+ -Expenditure in report year</v>
      </c>
    </row>
    <row r="2141" spans="1:15">
      <c r="A2141" t="s">
        <v>643</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682</v>
      </c>
      <c r="G2141" t="str">
        <f>'4M'!$D$48</f>
        <v>£m</v>
      </c>
      <c r="O2141" t="str">
        <f>_xlfn.CONCAT('4M'!$B$9, "-", '4M'!$B$48, "-", '4M'!$I$7, "-", '4M'!$F$6, "-", '4M'!$F$5)</f>
        <v>EA/NRW environmental programme (WINEP/NEP)-Reduction of sanitary parameters-Sewage treatment and disposal-Wastewater network+ -Expenditure in report year</v>
      </c>
    </row>
    <row r="2142" spans="1:15">
      <c r="A2142" t="s">
        <v>643</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682</v>
      </c>
      <c r="G2142" t="str">
        <f>'4M'!$D$48</f>
        <v>£m</v>
      </c>
      <c r="O2142" t="str">
        <f>_xlfn.CONCAT('4M'!$B$9, "-", '4M'!$B$48, "-", '4M'!$J$7, "-", '4M'!$F$6, "-", '4M'!$F$5)</f>
        <v>EA/NRW environmental programme (WINEP/NEP)-Reduction of sanitary parameters-Sludge liquor treatment-Wastewater network+ -Expenditure in report year</v>
      </c>
    </row>
    <row r="2143" spans="1:15">
      <c r="A2143" t="s">
        <v>643</v>
      </c>
      <c r="B2143" t="str">
        <f>'4M'!$BM$48</f>
        <v>B0324RSO_STP</v>
      </c>
      <c r="D2143" t="str">
        <f>_xlfn.CONCAT('4M'!$B$9, "-", '4M'!$B$48, "-", '4M'!$K$7, "-", '4M'!$K$6, "-", '4M'!$F$5)</f>
        <v>EA/NRW environmental programme (WINEP/NEP)-Reduction of sanitary parameters-Sludge transport-Bioresources-Expenditure in report year</v>
      </c>
      <c r="E2143" t="str">
        <f>'4M'!$C$48</f>
        <v>Opex</v>
      </c>
      <c r="F2143" t="s">
        <v>682</v>
      </c>
      <c r="G2143" t="str">
        <f>'4M'!$D$48</f>
        <v>£m</v>
      </c>
      <c r="O2143" t="str">
        <f>_xlfn.CONCAT('4M'!$B$9, "-", '4M'!$B$48, "-", '4M'!$K$7, "-", '4M'!$K$6, "-", '4M'!$F$5)</f>
        <v>EA/NRW environmental programme (WINEP/NEP)-Reduction of sanitary parameters-Sludge transport-Bioresources-Expenditure in report year</v>
      </c>
    </row>
    <row r="2144" spans="1:15">
      <c r="A2144" t="s">
        <v>643</v>
      </c>
      <c r="B2144" t="str">
        <f>'4M'!$BN$48</f>
        <v>B0324RSO_SDT</v>
      </c>
      <c r="D2144" t="str">
        <f>_xlfn.CONCAT('4M'!$B$9, "-", '4M'!$B$48, "-", '4M'!$L$7, "-", '4M'!$K$6, "-", '4M'!$F$5)</f>
        <v>EA/NRW environmental programme (WINEP/NEP)-Reduction of sanitary parameters-Sludge treatment-Bioresources-Expenditure in report year</v>
      </c>
      <c r="E2144" t="str">
        <f>'4M'!$C$48</f>
        <v>Opex</v>
      </c>
      <c r="F2144" t="s">
        <v>682</v>
      </c>
      <c r="G2144" t="str">
        <f>'4M'!$D$48</f>
        <v>£m</v>
      </c>
      <c r="O2144" t="str">
        <f>_xlfn.CONCAT('4M'!$B$9, "-", '4M'!$B$48, "-", '4M'!$L$7, "-", '4M'!$K$6, "-", '4M'!$F$5)</f>
        <v>EA/NRW environmental programme (WINEP/NEP)-Reduction of sanitary parameters-Sludge treatment-Bioresources-Expenditure in report year</v>
      </c>
    </row>
    <row r="2145" spans="1:15">
      <c r="A2145" t="s">
        <v>643</v>
      </c>
      <c r="B2145" t="str">
        <f>'4M'!$BO$48</f>
        <v>B0324RSO_SD</v>
      </c>
      <c r="D2145" t="str">
        <f>_xlfn.CONCAT('4M'!$B$9, "-", '4M'!$B$48, "-", '4M'!$M$7, "-", '4M'!$K$6, "-", '4M'!$F$5)</f>
        <v>EA/NRW environmental programme (WINEP/NEP)-Reduction of sanitary parameters-Sludge disposal-Bioresources-Expenditure in report year</v>
      </c>
      <c r="E2145" t="str">
        <f>'4M'!$C$48</f>
        <v>Opex</v>
      </c>
      <c r="F2145" t="s">
        <v>682</v>
      </c>
      <c r="G2145" t="str">
        <f>'4M'!$D$48</f>
        <v>£m</v>
      </c>
      <c r="O2145" t="str">
        <f>_xlfn.CONCAT('4M'!$B$9, "-", '4M'!$B$48, "-", '4M'!$M$7, "-", '4M'!$K$6, "-", '4M'!$F$5)</f>
        <v>EA/NRW environmental programme (WINEP/NEP)-Reduction of sanitary parameters-Sludge disposal-Bioresources-Expenditure in report year</v>
      </c>
    </row>
    <row r="2146" spans="1:15">
      <c r="A2146" t="s">
        <v>643</v>
      </c>
      <c r="B2146" t="str">
        <f>'4M'!$BP$48</f>
        <v>B0324RSO_TOT</v>
      </c>
      <c r="D2146" t="str">
        <f>_xlfn.CONCAT('4M'!$B$9, "-", '4M'!$B$48, "-", '4M'!$N$6, "-", '4M'!$N$6, "-", '4M'!$F$5)</f>
        <v>EA/NRW environmental programme (WINEP/NEP)-Reduction of sanitary parameters-Total-Total-Expenditure in report year</v>
      </c>
      <c r="E2146" t="str">
        <f>'4M'!$C$48</f>
        <v>Opex</v>
      </c>
      <c r="F2146" t="s">
        <v>682</v>
      </c>
      <c r="G2146" t="str">
        <f>'4M'!$D$48</f>
        <v>£m</v>
      </c>
      <c r="O2146" t="str">
        <f>_xlfn.CONCAT('4M'!$B$9, "-", '4M'!$B$48, "-", '4M'!$N$6, "-", '4M'!$N$6, "-", '4M'!$F$5)</f>
        <v>EA/NRW environmental programme (WINEP/NEP)-Reduction of sanitary parameters-Total-Total-Expenditure in report year</v>
      </c>
    </row>
    <row r="2147" spans="1:15">
      <c r="A2147" t="s">
        <v>643</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682</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643</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682</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643</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682</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643</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682</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643</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682</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643</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682</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643</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682</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643</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682</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643</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682</v>
      </c>
      <c r="G2155" t="str">
        <f>'4M'!$D$48</f>
        <v>£m</v>
      </c>
      <c r="O2155" t="str">
        <f>_xlfn.CONCAT('4M'!$B$9, "-", '4M'!$B$48, "-", '4M'!$W$6, "-", '4M'!$W$6, "-", '4M'!$O$5)</f>
        <v>EA/NRW environmental programme (WINEP/NEP)-Reduction of sanitary parameters-Total-Total-Cumulative expenditure on schemes completed in the report year</v>
      </c>
    </row>
    <row r="2156" spans="1:15">
      <c r="A2156" t="s">
        <v>643</v>
      </c>
      <c r="B2156" t="str">
        <f>'4M'!$BH$49</f>
        <v>B0325RST_F</v>
      </c>
      <c r="D2156" t="str">
        <f>_xlfn.CONCAT('4M'!$B$9, "-", '4M'!$B$49, "-", '4M'!$F$7, "-", '4M'!$F$6, "-", '4M'!$F$5)</f>
        <v>EA/NRW environmental programme (WINEP/NEP)-Reduction of sanitary parameters-Foul-Wastewater network+ -Expenditure in report year</v>
      </c>
      <c r="E2156" t="str">
        <f>'4M'!$C$49</f>
        <v>Totex</v>
      </c>
      <c r="F2156" t="s">
        <v>682</v>
      </c>
      <c r="G2156" t="str">
        <f>'4M'!$D$49</f>
        <v>£m</v>
      </c>
      <c r="O2156" t="str">
        <f>_xlfn.CONCAT('4M'!$B$9, "-", '4M'!$B$49, "-", '4M'!$F$7, "-", '4M'!$F$6, "-", '4M'!$F$5)</f>
        <v>EA/NRW environmental programme (WINEP/NEP)-Reduction of sanitary parameters-Foul-Wastewater network+ -Expenditure in report year</v>
      </c>
    </row>
    <row r="2157" spans="1:15">
      <c r="A2157" t="s">
        <v>643</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682</v>
      </c>
      <c r="G2157" t="str">
        <f>'4M'!$D$49</f>
        <v>£m</v>
      </c>
      <c r="O2157" t="str">
        <f>_xlfn.CONCAT('4M'!$B$9, "-", '4M'!$B$49, "-", '4M'!$G$7, "-", '4M'!$F$6, "-", '4M'!$F$5)</f>
        <v>EA/NRW environmental programme (WINEP/NEP)-Reduction of sanitary parameters-Surface water drainage-Wastewater network+ -Expenditure in report year</v>
      </c>
    </row>
    <row r="2158" spans="1:15">
      <c r="A2158" t="s">
        <v>643</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682</v>
      </c>
      <c r="G2158" t="str">
        <f>'4M'!$D$49</f>
        <v>£m</v>
      </c>
      <c r="O2158" t="str">
        <f>_xlfn.CONCAT('4M'!$B$9, "-", '4M'!$B$49, "-", '4M'!$H$7, "-", '4M'!$F$6, "-", '4M'!$F$5)</f>
        <v>EA/NRW environmental programme (WINEP/NEP)-Reduction of sanitary parameters-Highway drainage-Wastewater network+ -Expenditure in report year</v>
      </c>
    </row>
    <row r="2159" spans="1:15">
      <c r="A2159" t="s">
        <v>643</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682</v>
      </c>
      <c r="G2159" t="str">
        <f>'4M'!$D$49</f>
        <v>£m</v>
      </c>
      <c r="O2159" t="str">
        <f>_xlfn.CONCAT('4M'!$B$9, "-", '4M'!$B$49, "-", '4M'!$I$7, "-", '4M'!$F$6, "-", '4M'!$F$5)</f>
        <v>EA/NRW environmental programme (WINEP/NEP)-Reduction of sanitary parameters-Sewage treatment and disposal-Wastewater network+ -Expenditure in report year</v>
      </c>
    </row>
    <row r="2160" spans="1:15">
      <c r="A2160" t="s">
        <v>643</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682</v>
      </c>
      <c r="G2160" t="str">
        <f>'4M'!$D$49</f>
        <v>£m</v>
      </c>
      <c r="O2160" t="str">
        <f>_xlfn.CONCAT('4M'!$B$9, "-", '4M'!$B$49, "-", '4M'!$J$7, "-", '4M'!$F$6, "-", '4M'!$F$5)</f>
        <v>EA/NRW environmental programme (WINEP/NEP)-Reduction of sanitary parameters-Sludge liquor treatment-Wastewater network+ -Expenditure in report year</v>
      </c>
    </row>
    <row r="2161" spans="1:15">
      <c r="A2161" t="s">
        <v>643</v>
      </c>
      <c r="B2161" t="str">
        <f>'4M'!$BM$49</f>
        <v>B0325RST_STP</v>
      </c>
      <c r="D2161" t="str">
        <f>_xlfn.CONCAT('4M'!$B$9, "-", '4M'!$B$49, "-", '4M'!$K$7, "-", '4M'!$K$6, "-", '4M'!$F$5)</f>
        <v>EA/NRW environmental programme (WINEP/NEP)-Reduction of sanitary parameters-Sludge transport-Bioresources-Expenditure in report year</v>
      </c>
      <c r="E2161" t="str">
        <f>'4M'!$C$49</f>
        <v>Totex</v>
      </c>
      <c r="F2161" t="s">
        <v>682</v>
      </c>
      <c r="G2161" t="str">
        <f>'4M'!$D$49</f>
        <v>£m</v>
      </c>
      <c r="O2161" t="str">
        <f>_xlfn.CONCAT('4M'!$B$9, "-", '4M'!$B$49, "-", '4M'!$K$7, "-", '4M'!$K$6, "-", '4M'!$F$5)</f>
        <v>EA/NRW environmental programme (WINEP/NEP)-Reduction of sanitary parameters-Sludge transport-Bioresources-Expenditure in report year</v>
      </c>
    </row>
    <row r="2162" spans="1:15">
      <c r="A2162" t="s">
        <v>643</v>
      </c>
      <c r="B2162" t="str">
        <f>'4M'!$BN$49</f>
        <v>B0325RST_SDT</v>
      </c>
      <c r="D2162" t="str">
        <f>_xlfn.CONCAT('4M'!$B$9, "-", '4M'!$B$49, "-", '4M'!$L$7, "-", '4M'!$K$6, "-", '4M'!$F$5)</f>
        <v>EA/NRW environmental programme (WINEP/NEP)-Reduction of sanitary parameters-Sludge treatment-Bioresources-Expenditure in report year</v>
      </c>
      <c r="E2162" t="str">
        <f>'4M'!$C$49</f>
        <v>Totex</v>
      </c>
      <c r="F2162" t="s">
        <v>682</v>
      </c>
      <c r="G2162" t="str">
        <f>'4M'!$D$49</f>
        <v>£m</v>
      </c>
      <c r="O2162" t="str">
        <f>_xlfn.CONCAT('4M'!$B$9, "-", '4M'!$B$49, "-", '4M'!$L$7, "-", '4M'!$K$6, "-", '4M'!$F$5)</f>
        <v>EA/NRW environmental programme (WINEP/NEP)-Reduction of sanitary parameters-Sludge treatment-Bioresources-Expenditure in report year</v>
      </c>
    </row>
    <row r="2163" spans="1:15">
      <c r="A2163" t="s">
        <v>643</v>
      </c>
      <c r="B2163" t="str">
        <f>'4M'!$BO$49</f>
        <v>B0325RST_SD</v>
      </c>
      <c r="D2163" t="str">
        <f>_xlfn.CONCAT('4M'!$B$9, "-", '4M'!$B$49, "-", '4M'!$M$7, "-", '4M'!$K$6, "-", '4M'!$F$5)</f>
        <v>EA/NRW environmental programme (WINEP/NEP)-Reduction of sanitary parameters-Sludge disposal-Bioresources-Expenditure in report year</v>
      </c>
      <c r="E2163" t="str">
        <f>'4M'!$C$49</f>
        <v>Totex</v>
      </c>
      <c r="F2163" t="s">
        <v>682</v>
      </c>
      <c r="G2163" t="str">
        <f>'4M'!$D$49</f>
        <v>£m</v>
      </c>
      <c r="O2163" t="str">
        <f>_xlfn.CONCAT('4M'!$B$9, "-", '4M'!$B$49, "-", '4M'!$M$7, "-", '4M'!$K$6, "-", '4M'!$F$5)</f>
        <v>EA/NRW environmental programme (WINEP/NEP)-Reduction of sanitary parameters-Sludge disposal-Bioresources-Expenditure in report year</v>
      </c>
    </row>
    <row r="2164" spans="1:15">
      <c r="A2164" t="s">
        <v>643</v>
      </c>
      <c r="B2164" t="str">
        <f>'4M'!$BP$49</f>
        <v>B0325RST_TOT</v>
      </c>
      <c r="D2164" t="str">
        <f>_xlfn.CONCAT('4M'!$B$9, "-", '4M'!$B$49, "-", '4M'!$N$6, "-", '4M'!$N$6, "-", '4M'!$F$5)</f>
        <v>EA/NRW environmental programme (WINEP/NEP)-Reduction of sanitary parameters-Total-Total-Expenditure in report year</v>
      </c>
      <c r="E2164" t="str">
        <f>'4M'!$C$49</f>
        <v>Totex</v>
      </c>
      <c r="F2164" t="s">
        <v>682</v>
      </c>
      <c r="G2164" t="str">
        <f>'4M'!$D$49</f>
        <v>£m</v>
      </c>
      <c r="O2164" t="str">
        <f>_xlfn.CONCAT('4M'!$B$9, "-", '4M'!$B$49, "-", '4M'!$N$6, "-", '4M'!$N$6, "-", '4M'!$F$5)</f>
        <v>EA/NRW environmental programme (WINEP/NEP)-Reduction of sanitary parameters-Total-Total-Expenditure in report year</v>
      </c>
    </row>
    <row r="2165" spans="1:15">
      <c r="A2165" t="s">
        <v>643</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682</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643</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682</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643</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682</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643</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682</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643</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682</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643</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682</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643</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682</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643</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682</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643</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682</v>
      </c>
      <c r="G2173" t="str">
        <f>'4M'!$D$49</f>
        <v>£m</v>
      </c>
      <c r="O2173" t="str">
        <f>_xlfn.CONCAT('4M'!$B$9, "-", '4M'!$B$49, "-", '4M'!$W$6, "-", '4M'!$W$6, "-", '4M'!$O$5)</f>
        <v>EA/NRW environmental programme (WINEP/NEP)-Reduction of sanitary parameters-Total-Total-Cumulative expenditure on schemes completed in the report year</v>
      </c>
    </row>
    <row r="2174" spans="1:15">
      <c r="A2174" t="s">
        <v>643</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682</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643</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682</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643</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682</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643</v>
      </c>
      <c r="B2177" t="str">
        <f>'4M'!$BH$50</f>
        <v>B0326UVC_F</v>
      </c>
      <c r="D2177" t="str">
        <f>_xlfn.CONCAT('4M'!$B$9, "-", '4M'!$B$50, "-", '4M'!$F$7, "-", '4M'!$F$6, "-", '4M'!$F$5)</f>
        <v>EA/NRW environmental programme (WINEP/NEP)-UV disinfection (or similar)-Foul-Wastewater network+ -Expenditure in report year</v>
      </c>
      <c r="E2177" t="str">
        <f>'4M'!$C$50</f>
        <v>Capex</v>
      </c>
      <c r="F2177" t="s">
        <v>682</v>
      </c>
      <c r="G2177" t="str">
        <f>'4M'!$D$50</f>
        <v>£m</v>
      </c>
      <c r="O2177" t="str">
        <f>_xlfn.CONCAT('4M'!$B$9, "-", '4M'!$B$50, "-", '4M'!$F$7, "-", '4M'!$F$6, "-", '4M'!$F$5)</f>
        <v>EA/NRW environmental programme (WINEP/NEP)-UV disinfection (or similar)-Foul-Wastewater network+ -Expenditure in report year</v>
      </c>
    </row>
    <row r="2178" spans="1:15">
      <c r="A2178" t="s">
        <v>643</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682</v>
      </c>
      <c r="G2178" t="str">
        <f>'4M'!$D$50</f>
        <v>£m</v>
      </c>
      <c r="O2178" t="str">
        <f>_xlfn.CONCAT('4M'!$B$9, "-", '4M'!$B$50, "-", '4M'!$G$7, "-", '4M'!$F$6, "-", '4M'!$F$5)</f>
        <v>EA/NRW environmental programme (WINEP/NEP)-UV disinfection (or similar)-Surface water drainage-Wastewater network+ -Expenditure in report year</v>
      </c>
    </row>
    <row r="2179" spans="1:15">
      <c r="A2179" t="s">
        <v>643</v>
      </c>
      <c r="B2179" t="str">
        <f>'4M'!$BJ$50</f>
        <v>B0326UVC_HD</v>
      </c>
      <c r="D2179" t="str">
        <f>_xlfn.CONCAT('4M'!$B$9, "-", '4M'!$B$50, "-", '4M'!$H$7, "-", '4M'!$F$6, "-", '4M'!$F$5)</f>
        <v>EA/NRW environmental programme (WINEP/NEP)-UV disinfection (or similar)-Highway drainage-Wastewater network+ -Expenditure in report year</v>
      </c>
      <c r="E2179" t="str">
        <f>'4M'!$C$50</f>
        <v>Capex</v>
      </c>
      <c r="F2179" t="s">
        <v>682</v>
      </c>
      <c r="G2179" t="str">
        <f>'4M'!$D$50</f>
        <v>£m</v>
      </c>
      <c r="O2179" t="str">
        <f>_xlfn.CONCAT('4M'!$B$9, "-", '4M'!$B$50, "-", '4M'!$H$7, "-", '4M'!$F$6, "-", '4M'!$F$5)</f>
        <v>EA/NRW environmental programme (WINEP/NEP)-UV disinfection (or similar)-Highway drainage-Wastewater network+ -Expenditure in report year</v>
      </c>
    </row>
    <row r="2180" spans="1:15">
      <c r="A2180" t="s">
        <v>643</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682</v>
      </c>
      <c r="G2180" t="str">
        <f>'4M'!$D$50</f>
        <v>£m</v>
      </c>
      <c r="O2180" t="str">
        <f>_xlfn.CONCAT('4M'!$B$9, "-", '4M'!$B$50, "-", '4M'!$I$7, "-", '4M'!$F$6, "-", '4M'!$F$5)</f>
        <v>EA/NRW environmental programme (WINEP/NEP)-UV disinfection (or similar)-Sewage treatment and disposal-Wastewater network+ -Expenditure in report year</v>
      </c>
    </row>
    <row r="2181" spans="1:15">
      <c r="A2181" t="s">
        <v>643</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682</v>
      </c>
      <c r="G2181" t="str">
        <f>'4M'!$D$50</f>
        <v>£m</v>
      </c>
      <c r="O2181" t="str">
        <f>_xlfn.CONCAT('4M'!$B$9, "-", '4M'!$B$50, "-", '4M'!$J$7, "-", '4M'!$F$6, "-", '4M'!$F$5)</f>
        <v>EA/NRW environmental programme (WINEP/NEP)-UV disinfection (or similar)-Sludge liquor treatment-Wastewater network+ -Expenditure in report year</v>
      </c>
    </row>
    <row r="2182" spans="1:15">
      <c r="A2182" t="s">
        <v>643</v>
      </c>
      <c r="B2182" t="str">
        <f>'4M'!$BM$50</f>
        <v>B0326UVC_STP</v>
      </c>
      <c r="D2182" t="str">
        <f>_xlfn.CONCAT('4M'!$B$9, "-", '4M'!$B$50, "-", '4M'!$K$7, "-", '4M'!$K$6, "-", '4M'!$F$5)</f>
        <v>EA/NRW environmental programme (WINEP/NEP)-UV disinfection (or similar)-Sludge transport-Bioresources-Expenditure in report year</v>
      </c>
      <c r="E2182" t="str">
        <f>'4M'!$C$50</f>
        <v>Capex</v>
      </c>
      <c r="F2182" t="s">
        <v>682</v>
      </c>
      <c r="G2182" t="str">
        <f>'4M'!$D$50</f>
        <v>£m</v>
      </c>
      <c r="O2182" t="str">
        <f>_xlfn.CONCAT('4M'!$B$9, "-", '4M'!$B$50, "-", '4M'!$K$7, "-", '4M'!$K$6, "-", '4M'!$F$5)</f>
        <v>EA/NRW environmental programme (WINEP/NEP)-UV disinfection (or similar)-Sludge transport-Bioresources-Expenditure in report year</v>
      </c>
    </row>
    <row r="2183" spans="1:15">
      <c r="A2183" t="s">
        <v>643</v>
      </c>
      <c r="B2183" t="str">
        <f>'4M'!$BN$50</f>
        <v>B0326UVC_SDT</v>
      </c>
      <c r="D2183" t="str">
        <f>_xlfn.CONCAT('4M'!$B$9, "-", '4M'!$B$50, "-", '4M'!$L$7, "-", '4M'!$K$6, "-", '4M'!$F$5)</f>
        <v>EA/NRW environmental programme (WINEP/NEP)-UV disinfection (or similar)-Sludge treatment-Bioresources-Expenditure in report year</v>
      </c>
      <c r="E2183" t="str">
        <f>'4M'!$C$50</f>
        <v>Capex</v>
      </c>
      <c r="F2183" t="s">
        <v>682</v>
      </c>
      <c r="G2183" t="str">
        <f>'4M'!$D$50</f>
        <v>£m</v>
      </c>
      <c r="O2183" t="str">
        <f>_xlfn.CONCAT('4M'!$B$9, "-", '4M'!$B$50, "-", '4M'!$L$7, "-", '4M'!$K$6, "-", '4M'!$F$5)</f>
        <v>EA/NRW environmental programme (WINEP/NEP)-UV disinfection (or similar)-Sludge treatment-Bioresources-Expenditure in report year</v>
      </c>
    </row>
    <row r="2184" spans="1:15">
      <c r="A2184" t="s">
        <v>643</v>
      </c>
      <c r="B2184" t="str">
        <f>'4M'!$BO$50</f>
        <v>B0326UVC_SD</v>
      </c>
      <c r="D2184" t="str">
        <f>_xlfn.CONCAT('4M'!$B$9, "-", '4M'!$B$50, "-", '4M'!$M$7, "-", '4M'!$K$6, "-", '4M'!$F$5)</f>
        <v>EA/NRW environmental programme (WINEP/NEP)-UV disinfection (or similar)-Sludge disposal-Bioresources-Expenditure in report year</v>
      </c>
      <c r="E2184" t="str">
        <f>'4M'!$C$50</f>
        <v>Capex</v>
      </c>
      <c r="F2184" t="s">
        <v>682</v>
      </c>
      <c r="G2184" t="str">
        <f>'4M'!$D$50</f>
        <v>£m</v>
      </c>
      <c r="O2184" t="str">
        <f>_xlfn.CONCAT('4M'!$B$9, "-", '4M'!$B$50, "-", '4M'!$M$7, "-", '4M'!$K$6, "-", '4M'!$F$5)</f>
        <v>EA/NRW environmental programme (WINEP/NEP)-UV disinfection (or similar)-Sludge disposal-Bioresources-Expenditure in report year</v>
      </c>
    </row>
    <row r="2185" spans="1:15">
      <c r="A2185" t="s">
        <v>643</v>
      </c>
      <c r="B2185" t="str">
        <f>'4M'!$BP$50</f>
        <v>B0326UVC_TOT</v>
      </c>
      <c r="D2185" t="str">
        <f>_xlfn.CONCAT('4M'!$B$9, "-", '4M'!$B$50, "-", '4M'!$N$6, "-", '4M'!$N$6, "-", '4M'!$F$5)</f>
        <v>EA/NRW environmental programme (WINEP/NEP)-UV disinfection (or similar)-Total-Total-Expenditure in report year</v>
      </c>
      <c r="E2185" t="str">
        <f>'4M'!$C$50</f>
        <v>Capex</v>
      </c>
      <c r="F2185" t="s">
        <v>682</v>
      </c>
      <c r="G2185" t="str">
        <f>'4M'!$D$50</f>
        <v>£m</v>
      </c>
      <c r="O2185" t="str">
        <f>_xlfn.CONCAT('4M'!$B$9, "-", '4M'!$B$50, "-", '4M'!$N$6, "-", '4M'!$N$6, "-", '4M'!$F$5)</f>
        <v>EA/NRW environmental programme (WINEP/NEP)-UV disinfection (or similar)-Total-Total-Expenditure in report year</v>
      </c>
    </row>
    <row r="2186" spans="1:15">
      <c r="A2186" t="s">
        <v>643</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682</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643</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682</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643</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682</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643</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682</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643</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682</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643</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682</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643</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682</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643</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682</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643</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682</v>
      </c>
      <c r="G2194" t="str">
        <f>'4M'!$D$50</f>
        <v>£m</v>
      </c>
      <c r="O2194" t="str">
        <f>_xlfn.CONCAT('4M'!$B$9, "-", '4M'!$B$50, "-", '4M'!$W$6, "-", '4M'!$W$6, "-", '4M'!$O$5)</f>
        <v>EA/NRW environmental programme (WINEP/NEP)-UV disinfection (or similar)-Total-Total-Cumulative expenditure on schemes completed in the report year</v>
      </c>
    </row>
    <row r="2195" spans="1:15">
      <c r="A2195" t="s">
        <v>643</v>
      </c>
      <c r="B2195" t="str">
        <f>'4M'!$BH$51</f>
        <v>B0327UVO_F</v>
      </c>
      <c r="D2195" t="str">
        <f>_xlfn.CONCAT('4M'!$B$9, "-", '4M'!$B$51, "-", '4M'!$F$7, "-", '4M'!$F$6, "-", '4M'!$F$5)</f>
        <v>EA/NRW environmental programme (WINEP/NEP)-UV disinfection (or similar)-Foul-Wastewater network+ -Expenditure in report year</v>
      </c>
      <c r="E2195" t="str">
        <f>'4M'!$C$51</f>
        <v>Opex</v>
      </c>
      <c r="F2195" t="s">
        <v>682</v>
      </c>
      <c r="G2195" t="str">
        <f>'4M'!$D$51</f>
        <v>£m</v>
      </c>
      <c r="O2195" t="str">
        <f>_xlfn.CONCAT('4M'!$B$9, "-", '4M'!$B$51, "-", '4M'!$F$7, "-", '4M'!$F$6, "-", '4M'!$F$5)</f>
        <v>EA/NRW environmental programme (WINEP/NEP)-UV disinfection (or similar)-Foul-Wastewater network+ -Expenditure in report year</v>
      </c>
    </row>
    <row r="2196" spans="1:15">
      <c r="A2196" t="s">
        <v>643</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682</v>
      </c>
      <c r="G2196" t="str">
        <f>'4M'!$D$51</f>
        <v>£m</v>
      </c>
      <c r="O2196" t="str">
        <f>_xlfn.CONCAT('4M'!$B$9, "-", '4M'!$B$51, "-", '4M'!$G$7, "-", '4M'!$F$6, "-", '4M'!$F$5)</f>
        <v>EA/NRW environmental programme (WINEP/NEP)-UV disinfection (or similar)-Surface water drainage-Wastewater network+ -Expenditure in report year</v>
      </c>
    </row>
    <row r="2197" spans="1:15">
      <c r="A2197" t="s">
        <v>643</v>
      </c>
      <c r="B2197" t="str">
        <f>'4M'!$BJ$51</f>
        <v>B0327UVO_HD</v>
      </c>
      <c r="D2197" t="str">
        <f>_xlfn.CONCAT('4M'!$B$9, "-", '4M'!$B$51, "-", '4M'!$H$7, "-", '4M'!$F$6, "-", '4M'!$F$5)</f>
        <v>EA/NRW environmental programme (WINEP/NEP)-UV disinfection (or similar)-Highway drainage-Wastewater network+ -Expenditure in report year</v>
      </c>
      <c r="E2197" t="str">
        <f>'4M'!$C$51</f>
        <v>Opex</v>
      </c>
      <c r="F2197" t="s">
        <v>682</v>
      </c>
      <c r="G2197" t="str">
        <f>'4M'!$D$51</f>
        <v>£m</v>
      </c>
      <c r="O2197" t="str">
        <f>_xlfn.CONCAT('4M'!$B$9, "-", '4M'!$B$51, "-", '4M'!$H$7, "-", '4M'!$F$6, "-", '4M'!$F$5)</f>
        <v>EA/NRW environmental programme (WINEP/NEP)-UV disinfection (or similar)-Highway drainage-Wastewater network+ -Expenditure in report year</v>
      </c>
    </row>
    <row r="2198" spans="1:15">
      <c r="A2198" t="s">
        <v>643</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682</v>
      </c>
      <c r="G2198" t="str">
        <f>'4M'!$D$51</f>
        <v>£m</v>
      </c>
      <c r="O2198" t="str">
        <f>_xlfn.CONCAT('4M'!$B$9, "-", '4M'!$B$51, "-", '4M'!$I$7, "-", '4M'!$F$6, "-", '4M'!$F$5)</f>
        <v>EA/NRW environmental programme (WINEP/NEP)-UV disinfection (or similar)-Sewage treatment and disposal-Wastewater network+ -Expenditure in report year</v>
      </c>
    </row>
    <row r="2199" spans="1:15">
      <c r="A2199" t="s">
        <v>643</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682</v>
      </c>
      <c r="G2199" t="str">
        <f>'4M'!$D$51</f>
        <v>£m</v>
      </c>
      <c r="O2199" t="str">
        <f>_xlfn.CONCAT('4M'!$B$9, "-", '4M'!$B$51, "-", '4M'!$J$7, "-", '4M'!$F$6, "-", '4M'!$F$5)</f>
        <v>EA/NRW environmental programme (WINEP/NEP)-UV disinfection (or similar)-Sludge liquor treatment-Wastewater network+ -Expenditure in report year</v>
      </c>
    </row>
    <row r="2200" spans="1:15">
      <c r="A2200" t="s">
        <v>643</v>
      </c>
      <c r="B2200" t="str">
        <f>'4M'!$BM$51</f>
        <v>B0327UVO_STP</v>
      </c>
      <c r="D2200" t="str">
        <f>_xlfn.CONCAT('4M'!$B$9, "-", '4M'!$B$51, "-", '4M'!$K$7, "-", '4M'!$K$6, "-", '4M'!$F$5)</f>
        <v>EA/NRW environmental programme (WINEP/NEP)-UV disinfection (or similar)-Sludge transport-Bioresources-Expenditure in report year</v>
      </c>
      <c r="E2200" t="str">
        <f>'4M'!$C$51</f>
        <v>Opex</v>
      </c>
      <c r="F2200" t="s">
        <v>682</v>
      </c>
      <c r="G2200" t="str">
        <f>'4M'!$D$51</f>
        <v>£m</v>
      </c>
      <c r="O2200" t="str">
        <f>_xlfn.CONCAT('4M'!$B$9, "-", '4M'!$B$51, "-", '4M'!$K$7, "-", '4M'!$K$6, "-", '4M'!$F$5)</f>
        <v>EA/NRW environmental programme (WINEP/NEP)-UV disinfection (or similar)-Sludge transport-Bioresources-Expenditure in report year</v>
      </c>
    </row>
    <row r="2201" spans="1:15">
      <c r="A2201" t="s">
        <v>643</v>
      </c>
      <c r="B2201" t="str">
        <f>'4M'!$BN$51</f>
        <v>B0327UVO_SDT</v>
      </c>
      <c r="D2201" t="str">
        <f>_xlfn.CONCAT('4M'!$B$9, "-", '4M'!$B$51, "-", '4M'!$L$7, "-", '4M'!$K$6, "-", '4M'!$F$5)</f>
        <v>EA/NRW environmental programme (WINEP/NEP)-UV disinfection (or similar)-Sludge treatment-Bioresources-Expenditure in report year</v>
      </c>
      <c r="E2201" t="str">
        <f>'4M'!$C$51</f>
        <v>Opex</v>
      </c>
      <c r="F2201" t="s">
        <v>682</v>
      </c>
      <c r="G2201" t="str">
        <f>'4M'!$D$51</f>
        <v>£m</v>
      </c>
      <c r="O2201" t="str">
        <f>_xlfn.CONCAT('4M'!$B$9, "-", '4M'!$B$51, "-", '4M'!$L$7, "-", '4M'!$K$6, "-", '4M'!$F$5)</f>
        <v>EA/NRW environmental programme (WINEP/NEP)-UV disinfection (or similar)-Sludge treatment-Bioresources-Expenditure in report year</v>
      </c>
    </row>
    <row r="2202" spans="1:15">
      <c r="A2202" t="s">
        <v>643</v>
      </c>
      <c r="B2202" t="str">
        <f>'4M'!$BO$51</f>
        <v>B0327UVO_SD</v>
      </c>
      <c r="D2202" t="str">
        <f>_xlfn.CONCAT('4M'!$B$9, "-", '4M'!$B$51, "-", '4M'!$M$7, "-", '4M'!$K$6, "-", '4M'!$F$5)</f>
        <v>EA/NRW environmental programme (WINEP/NEP)-UV disinfection (or similar)-Sludge disposal-Bioresources-Expenditure in report year</v>
      </c>
      <c r="E2202" t="str">
        <f>'4M'!$C$51</f>
        <v>Opex</v>
      </c>
      <c r="F2202" t="s">
        <v>682</v>
      </c>
      <c r="G2202" t="str">
        <f>'4M'!$D$51</f>
        <v>£m</v>
      </c>
      <c r="O2202" t="str">
        <f>_xlfn.CONCAT('4M'!$B$9, "-", '4M'!$B$51, "-", '4M'!$M$7, "-", '4M'!$K$6, "-", '4M'!$F$5)</f>
        <v>EA/NRW environmental programme (WINEP/NEP)-UV disinfection (or similar)-Sludge disposal-Bioresources-Expenditure in report year</v>
      </c>
    </row>
    <row r="2203" spans="1:15">
      <c r="A2203" t="s">
        <v>643</v>
      </c>
      <c r="B2203" t="str">
        <f>'4M'!$BP$51</f>
        <v>B0327UVO_TOT</v>
      </c>
      <c r="D2203" t="str">
        <f>_xlfn.CONCAT('4M'!$B$9, "-", '4M'!$B$51, "-", '4M'!$N$6, "-", '4M'!$N$6, "-", '4M'!$F$5)</f>
        <v>EA/NRW environmental programme (WINEP/NEP)-UV disinfection (or similar)-Total-Total-Expenditure in report year</v>
      </c>
      <c r="E2203" t="str">
        <f>'4M'!$C$51</f>
        <v>Opex</v>
      </c>
      <c r="F2203" t="s">
        <v>682</v>
      </c>
      <c r="G2203" t="str">
        <f>'4M'!$D$51</f>
        <v>£m</v>
      </c>
      <c r="O2203" t="str">
        <f>_xlfn.CONCAT('4M'!$B$9, "-", '4M'!$B$51, "-", '4M'!$N$6, "-", '4M'!$N$6, "-", '4M'!$F$5)</f>
        <v>EA/NRW environmental programme (WINEP/NEP)-UV disinfection (or similar)-Total-Total-Expenditure in report year</v>
      </c>
    </row>
    <row r="2204" spans="1:15">
      <c r="A2204" t="s">
        <v>643</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682</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643</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682</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643</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682</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643</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682</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643</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682</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643</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682</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643</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682</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643</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682</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643</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682</v>
      </c>
      <c r="G2212" t="str">
        <f>'4M'!$D$51</f>
        <v>£m</v>
      </c>
      <c r="O2212" t="str">
        <f>_xlfn.CONCAT('4M'!$B$9, "-", '4M'!$B$51, "-", '4M'!$W$6, "-", '4M'!$W$6, "-", '4M'!$O$5)</f>
        <v>EA/NRW environmental programme (WINEP/NEP)-UV disinfection (or similar)-Total-Total-Cumulative expenditure on schemes completed in the report year</v>
      </c>
    </row>
    <row r="2213" spans="1:15">
      <c r="A2213" t="s">
        <v>643</v>
      </c>
      <c r="B2213" t="str">
        <f>'4M'!$BH$52</f>
        <v>B0328UVT_F</v>
      </c>
      <c r="D2213" t="str">
        <f>_xlfn.CONCAT('4M'!$B$9, "-", '4M'!$B$52, "-", '4M'!$F$7, "-", '4M'!$F$6, "-", '4M'!$F$5)</f>
        <v>EA/NRW environmental programme (WINEP/NEP)-UV disinfection (or similar)-Foul-Wastewater network+ -Expenditure in report year</v>
      </c>
      <c r="E2213" t="str">
        <f>'4M'!$C$52</f>
        <v>Totex</v>
      </c>
      <c r="F2213" t="s">
        <v>682</v>
      </c>
      <c r="G2213" t="str">
        <f>'4M'!$D$52</f>
        <v>£m</v>
      </c>
      <c r="O2213" t="str">
        <f>_xlfn.CONCAT('4M'!$B$9, "-", '4M'!$B$52, "-", '4M'!$F$7, "-", '4M'!$F$6, "-", '4M'!$F$5)</f>
        <v>EA/NRW environmental programme (WINEP/NEP)-UV disinfection (or similar)-Foul-Wastewater network+ -Expenditure in report year</v>
      </c>
    </row>
    <row r="2214" spans="1:15">
      <c r="A2214" t="s">
        <v>643</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682</v>
      </c>
      <c r="G2214" t="str">
        <f>'4M'!$D$52</f>
        <v>£m</v>
      </c>
      <c r="O2214" t="str">
        <f>_xlfn.CONCAT('4M'!$B$9, "-", '4M'!$B$52, "-", '4M'!$G$7, "-", '4M'!$F$6, "-", '4M'!$F$5)</f>
        <v>EA/NRW environmental programme (WINEP/NEP)-UV disinfection (or similar)-Surface water drainage-Wastewater network+ -Expenditure in report year</v>
      </c>
    </row>
    <row r="2215" spans="1:15">
      <c r="A2215" t="s">
        <v>643</v>
      </c>
      <c r="B2215" t="str">
        <f>'4M'!$BJ$52</f>
        <v>B0328UVT_HD</v>
      </c>
      <c r="D2215" t="str">
        <f>_xlfn.CONCAT('4M'!$B$9, "-", '4M'!$B$52, "-", '4M'!$H$7, "-", '4M'!$F$6, "-", '4M'!$F$5)</f>
        <v>EA/NRW environmental programme (WINEP/NEP)-UV disinfection (or similar)-Highway drainage-Wastewater network+ -Expenditure in report year</v>
      </c>
      <c r="E2215" t="str">
        <f>'4M'!$C$52</f>
        <v>Totex</v>
      </c>
      <c r="F2215" t="s">
        <v>682</v>
      </c>
      <c r="G2215" t="str">
        <f>'4M'!$D$52</f>
        <v>£m</v>
      </c>
      <c r="O2215" t="str">
        <f>_xlfn.CONCAT('4M'!$B$9, "-", '4M'!$B$52, "-", '4M'!$H$7, "-", '4M'!$F$6, "-", '4M'!$F$5)</f>
        <v>EA/NRW environmental programme (WINEP/NEP)-UV disinfection (or similar)-Highway drainage-Wastewater network+ -Expenditure in report year</v>
      </c>
    </row>
    <row r="2216" spans="1:15">
      <c r="A2216" t="s">
        <v>643</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682</v>
      </c>
      <c r="G2216" t="str">
        <f>'4M'!$D$52</f>
        <v>£m</v>
      </c>
      <c r="O2216" t="str">
        <f>_xlfn.CONCAT('4M'!$B$9, "-", '4M'!$B$52, "-", '4M'!$I$7, "-", '4M'!$F$6, "-", '4M'!$F$5)</f>
        <v>EA/NRW environmental programme (WINEP/NEP)-UV disinfection (or similar)-Sewage treatment and disposal-Wastewater network+ -Expenditure in report year</v>
      </c>
    </row>
    <row r="2217" spans="1:15">
      <c r="A2217" t="s">
        <v>643</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682</v>
      </c>
      <c r="G2217" t="str">
        <f>'4M'!$D$52</f>
        <v>£m</v>
      </c>
      <c r="O2217" t="str">
        <f>_xlfn.CONCAT('4M'!$B$9, "-", '4M'!$B$52, "-", '4M'!$J$7, "-", '4M'!$F$6, "-", '4M'!$F$5)</f>
        <v>EA/NRW environmental programme (WINEP/NEP)-UV disinfection (or similar)-Sludge liquor treatment-Wastewater network+ -Expenditure in report year</v>
      </c>
    </row>
    <row r="2218" spans="1:15">
      <c r="A2218" t="s">
        <v>643</v>
      </c>
      <c r="B2218" t="str">
        <f>'4M'!$BM$52</f>
        <v>B0328UVT_STP</v>
      </c>
      <c r="D2218" t="str">
        <f>_xlfn.CONCAT('4M'!$B$9, "-", '4M'!$B$52, "-", '4M'!$K$7, "-", '4M'!$K$6, "-", '4M'!$F$5)</f>
        <v>EA/NRW environmental programme (WINEP/NEP)-UV disinfection (or similar)-Sludge transport-Bioresources-Expenditure in report year</v>
      </c>
      <c r="E2218" t="str">
        <f>'4M'!$C$52</f>
        <v>Totex</v>
      </c>
      <c r="F2218" t="s">
        <v>682</v>
      </c>
      <c r="G2218" t="str">
        <f>'4M'!$D$52</f>
        <v>£m</v>
      </c>
      <c r="O2218" t="str">
        <f>_xlfn.CONCAT('4M'!$B$9, "-", '4M'!$B$52, "-", '4M'!$K$7, "-", '4M'!$K$6, "-", '4M'!$F$5)</f>
        <v>EA/NRW environmental programme (WINEP/NEP)-UV disinfection (or similar)-Sludge transport-Bioresources-Expenditure in report year</v>
      </c>
    </row>
    <row r="2219" spans="1:15">
      <c r="A2219" t="s">
        <v>643</v>
      </c>
      <c r="B2219" t="str">
        <f>'4M'!$BN$52</f>
        <v>B0328UVT_SDT</v>
      </c>
      <c r="D2219" t="str">
        <f>_xlfn.CONCAT('4M'!$B$9, "-", '4M'!$B$52, "-", '4M'!$L$7, "-", '4M'!$K$6, "-", '4M'!$F$5)</f>
        <v>EA/NRW environmental programme (WINEP/NEP)-UV disinfection (or similar)-Sludge treatment-Bioresources-Expenditure in report year</v>
      </c>
      <c r="E2219" t="str">
        <f>'4M'!$C$52</f>
        <v>Totex</v>
      </c>
      <c r="F2219" t="s">
        <v>682</v>
      </c>
      <c r="G2219" t="str">
        <f>'4M'!$D$52</f>
        <v>£m</v>
      </c>
      <c r="O2219" t="str">
        <f>_xlfn.CONCAT('4M'!$B$9, "-", '4M'!$B$52, "-", '4M'!$L$7, "-", '4M'!$K$6, "-", '4M'!$F$5)</f>
        <v>EA/NRW environmental programme (WINEP/NEP)-UV disinfection (or similar)-Sludge treatment-Bioresources-Expenditure in report year</v>
      </c>
    </row>
    <row r="2220" spans="1:15">
      <c r="A2220" t="s">
        <v>643</v>
      </c>
      <c r="B2220" t="str">
        <f>'4M'!$BO$52</f>
        <v>B0328UVT_SD</v>
      </c>
      <c r="D2220" t="str">
        <f>_xlfn.CONCAT('4M'!$B$9, "-", '4M'!$B$52, "-", '4M'!$M$7, "-", '4M'!$K$6, "-", '4M'!$F$5)</f>
        <v>EA/NRW environmental programme (WINEP/NEP)-UV disinfection (or similar)-Sludge disposal-Bioresources-Expenditure in report year</v>
      </c>
      <c r="E2220" t="str">
        <f>'4M'!$C$52</f>
        <v>Totex</v>
      </c>
      <c r="F2220" t="s">
        <v>682</v>
      </c>
      <c r="G2220" t="str">
        <f>'4M'!$D$52</f>
        <v>£m</v>
      </c>
      <c r="O2220" t="str">
        <f>_xlfn.CONCAT('4M'!$B$9, "-", '4M'!$B$52, "-", '4M'!$M$7, "-", '4M'!$K$6, "-", '4M'!$F$5)</f>
        <v>EA/NRW environmental programme (WINEP/NEP)-UV disinfection (or similar)-Sludge disposal-Bioresources-Expenditure in report year</v>
      </c>
    </row>
    <row r="2221" spans="1:15">
      <c r="A2221" t="s">
        <v>643</v>
      </c>
      <c r="B2221" t="str">
        <f>'4M'!$BP$52</f>
        <v>B0328UVT_TOT</v>
      </c>
      <c r="D2221" t="str">
        <f>_xlfn.CONCAT('4M'!$B$9, "-", '4M'!$B$52, "-", '4M'!$N$6, "-", '4M'!$N$6, "-", '4M'!$F$5)</f>
        <v>EA/NRW environmental programme (WINEP/NEP)-UV disinfection (or similar)-Total-Total-Expenditure in report year</v>
      </c>
      <c r="E2221" t="str">
        <f>'4M'!$C$52</f>
        <v>Totex</v>
      </c>
      <c r="F2221" t="s">
        <v>682</v>
      </c>
      <c r="G2221" t="str">
        <f>'4M'!$D$52</f>
        <v>£m</v>
      </c>
      <c r="O2221" t="str">
        <f>_xlfn.CONCAT('4M'!$B$9, "-", '4M'!$B$52, "-", '4M'!$N$6, "-", '4M'!$N$6, "-", '4M'!$F$5)</f>
        <v>EA/NRW environmental programme (WINEP/NEP)-UV disinfection (or similar)-Total-Total-Expenditure in report year</v>
      </c>
    </row>
    <row r="2222" spans="1:15">
      <c r="A2222" t="s">
        <v>643</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682</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643</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682</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643</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682</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643</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682</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643</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682</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643</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682</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643</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682</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643</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682</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643</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682</v>
      </c>
      <c r="G2230" t="str">
        <f>'4M'!$D$52</f>
        <v>£m</v>
      </c>
      <c r="O2230" t="str">
        <f>_xlfn.CONCAT('4M'!$B$9, "-", '4M'!$B$52, "-", '4M'!$W$6, "-", '4M'!$W$6, "-", '4M'!$O$5)</f>
        <v>EA/NRW environmental programme (WINEP/NEP)-UV disinfection (or similar)-Total-Total-Cumulative expenditure on schemes completed in the report year</v>
      </c>
    </row>
    <row r="2231" spans="1:15">
      <c r="A2231" t="s">
        <v>643</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682</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643</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682</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643</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682</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643</v>
      </c>
      <c r="B2234" t="str">
        <f>'4M'!$BH$53</f>
        <v>B0329INC_F</v>
      </c>
      <c r="D2234" t="str">
        <f>_xlfn.CONCAT('4M'!$B$9, "-", '4M'!$B$53, "-", '4M'!$F$7, "-", '4M'!$F$6, "-", '4M'!$F$5)</f>
        <v>EA/NRW environmental programme (WINEP/NEP)-Investigations-Foul-Wastewater network+ -Expenditure in report year</v>
      </c>
      <c r="E2234" t="str">
        <f>'4M'!$C$53</f>
        <v>Capex</v>
      </c>
      <c r="F2234" t="s">
        <v>682</v>
      </c>
      <c r="G2234" t="str">
        <f>'4M'!$D$53</f>
        <v>£m</v>
      </c>
      <c r="O2234" t="str">
        <f>_xlfn.CONCAT('4M'!$B$9, "-", '4M'!$B$53, "-", '4M'!$F$7, "-", '4M'!$F$6, "-", '4M'!$F$5)</f>
        <v>EA/NRW environmental programme (WINEP/NEP)-Investigations-Foul-Wastewater network+ -Expenditure in report year</v>
      </c>
    </row>
    <row r="2235" spans="1:15">
      <c r="A2235" t="s">
        <v>643</v>
      </c>
      <c r="B2235" t="str">
        <f>'4M'!$BI$53</f>
        <v>B0329INC_SWD</v>
      </c>
      <c r="D2235" t="str">
        <f>_xlfn.CONCAT('4M'!$B$9, "-", '4M'!$B$53, "-", '4M'!$G$7, "-", '4M'!$F$6, "-", '4M'!$F$5)</f>
        <v>EA/NRW environmental programme (WINEP/NEP)-Investigations-Surface water drainage-Wastewater network+ -Expenditure in report year</v>
      </c>
      <c r="E2235" t="str">
        <f>'4M'!$C$53</f>
        <v>Capex</v>
      </c>
      <c r="F2235" t="s">
        <v>682</v>
      </c>
      <c r="G2235" t="str">
        <f>'4M'!$D$53</f>
        <v>£m</v>
      </c>
      <c r="O2235" t="str">
        <f>_xlfn.CONCAT('4M'!$B$9, "-", '4M'!$B$53, "-", '4M'!$G$7, "-", '4M'!$F$6, "-", '4M'!$F$5)</f>
        <v>EA/NRW environmental programme (WINEP/NEP)-Investigations-Surface water drainage-Wastewater network+ -Expenditure in report year</v>
      </c>
    </row>
    <row r="2236" spans="1:15">
      <c r="A2236" t="s">
        <v>643</v>
      </c>
      <c r="B2236" t="str">
        <f>'4M'!$BJ$53</f>
        <v>B0329INC_HD</v>
      </c>
      <c r="D2236" t="str">
        <f>_xlfn.CONCAT('4M'!$B$9, "-", '4M'!$B$53, "-", '4M'!$H$7, "-", '4M'!$F$6, "-", '4M'!$F$5)</f>
        <v>EA/NRW environmental programme (WINEP/NEP)-Investigations-Highway drainage-Wastewater network+ -Expenditure in report year</v>
      </c>
      <c r="E2236" t="str">
        <f>'4M'!$C$53</f>
        <v>Capex</v>
      </c>
      <c r="F2236" t="s">
        <v>682</v>
      </c>
      <c r="G2236" t="str">
        <f>'4M'!$D$53</f>
        <v>£m</v>
      </c>
      <c r="O2236" t="str">
        <f>_xlfn.CONCAT('4M'!$B$9, "-", '4M'!$B$53, "-", '4M'!$H$7, "-", '4M'!$F$6, "-", '4M'!$F$5)</f>
        <v>EA/NRW environmental programme (WINEP/NEP)-Investigations-Highway drainage-Wastewater network+ -Expenditure in report year</v>
      </c>
    </row>
    <row r="2237" spans="1:15">
      <c r="A2237" t="s">
        <v>643</v>
      </c>
      <c r="B2237" t="str">
        <f>'4M'!$BK$53</f>
        <v>B0329INC_STD</v>
      </c>
      <c r="D2237" t="str">
        <f>_xlfn.CONCAT('4M'!$B$9, "-", '4M'!$B$53, "-", '4M'!$I$7, "-", '4M'!$F$6, "-", '4M'!$F$5)</f>
        <v>EA/NRW environmental programme (WINEP/NEP)-Investigations-Sewage treatment and disposal-Wastewater network+ -Expenditure in report year</v>
      </c>
      <c r="E2237" t="str">
        <f>'4M'!$C$53</f>
        <v>Capex</v>
      </c>
      <c r="F2237" t="s">
        <v>682</v>
      </c>
      <c r="G2237" t="str">
        <f>'4M'!$D$53</f>
        <v>£m</v>
      </c>
      <c r="O2237" t="str">
        <f>_xlfn.CONCAT('4M'!$B$9, "-", '4M'!$B$53, "-", '4M'!$I$7, "-", '4M'!$F$6, "-", '4M'!$F$5)</f>
        <v>EA/NRW environmental programme (WINEP/NEP)-Investigations-Sewage treatment and disposal-Wastewater network+ -Expenditure in report year</v>
      </c>
    </row>
    <row r="2238" spans="1:15">
      <c r="A2238" t="s">
        <v>643</v>
      </c>
      <c r="B2238" t="str">
        <f>'4M'!$BL$53</f>
        <v>B0329INC_SLT</v>
      </c>
      <c r="D2238" t="str">
        <f>_xlfn.CONCAT('4M'!$B$9, "-", '4M'!$B$53, "-", '4M'!$J$7, "-", '4M'!$F$6, "-", '4M'!$F$5)</f>
        <v>EA/NRW environmental programme (WINEP/NEP)-Investigations-Sludge liquor treatment-Wastewater network+ -Expenditure in report year</v>
      </c>
      <c r="E2238" t="str">
        <f>'4M'!$C$53</f>
        <v>Capex</v>
      </c>
      <c r="F2238" t="s">
        <v>682</v>
      </c>
      <c r="G2238" t="str">
        <f>'4M'!$D$53</f>
        <v>£m</v>
      </c>
      <c r="O2238" t="str">
        <f>_xlfn.CONCAT('4M'!$B$9, "-", '4M'!$B$53, "-", '4M'!$J$7, "-", '4M'!$F$6, "-", '4M'!$F$5)</f>
        <v>EA/NRW environmental programme (WINEP/NEP)-Investigations-Sludge liquor treatment-Wastewater network+ -Expenditure in report year</v>
      </c>
    </row>
    <row r="2239" spans="1:15">
      <c r="A2239" t="s">
        <v>643</v>
      </c>
      <c r="B2239" t="str">
        <f>'4M'!$BM$53</f>
        <v>B0329INC_STP</v>
      </c>
      <c r="D2239" t="str">
        <f>_xlfn.CONCAT('4M'!$B$9, "-", '4M'!$B$53, "-", '4M'!$K$7, "-", '4M'!$K$6, "-", '4M'!$F$5)</f>
        <v>EA/NRW environmental programme (WINEP/NEP)-Investigations-Sludge transport-Bioresources-Expenditure in report year</v>
      </c>
      <c r="E2239" t="str">
        <f>'4M'!$C$53</f>
        <v>Capex</v>
      </c>
      <c r="F2239" t="s">
        <v>682</v>
      </c>
      <c r="G2239" t="str">
        <f>'4M'!$D$53</f>
        <v>£m</v>
      </c>
      <c r="O2239" t="str">
        <f>_xlfn.CONCAT('4M'!$B$9, "-", '4M'!$B$53, "-", '4M'!$K$7, "-", '4M'!$K$6, "-", '4M'!$F$5)</f>
        <v>EA/NRW environmental programme (WINEP/NEP)-Investigations-Sludge transport-Bioresources-Expenditure in report year</v>
      </c>
    </row>
    <row r="2240" spans="1:15">
      <c r="A2240" t="s">
        <v>643</v>
      </c>
      <c r="B2240" t="str">
        <f>'4M'!$BN$53</f>
        <v>B0329INC_SDT</v>
      </c>
      <c r="D2240" t="str">
        <f>_xlfn.CONCAT('4M'!$B$9, "-", '4M'!$B$53, "-", '4M'!$L$7, "-", '4M'!$K$6, "-", '4M'!$F$5)</f>
        <v>EA/NRW environmental programme (WINEP/NEP)-Investigations-Sludge treatment-Bioresources-Expenditure in report year</v>
      </c>
      <c r="E2240" t="str">
        <f>'4M'!$C$53</f>
        <v>Capex</v>
      </c>
      <c r="F2240" t="s">
        <v>682</v>
      </c>
      <c r="G2240" t="str">
        <f>'4M'!$D$53</f>
        <v>£m</v>
      </c>
      <c r="O2240" t="str">
        <f>_xlfn.CONCAT('4M'!$B$9, "-", '4M'!$B$53, "-", '4M'!$L$7, "-", '4M'!$K$6, "-", '4M'!$F$5)</f>
        <v>EA/NRW environmental programme (WINEP/NEP)-Investigations-Sludge treatment-Bioresources-Expenditure in report year</v>
      </c>
    </row>
    <row r="2241" spans="1:15">
      <c r="A2241" t="s">
        <v>643</v>
      </c>
      <c r="B2241" t="str">
        <f>'4M'!$BO$53</f>
        <v>B0329INC_SD</v>
      </c>
      <c r="D2241" t="str">
        <f>_xlfn.CONCAT('4M'!$B$9, "-", '4M'!$B$53, "-", '4M'!$M$7, "-", '4M'!$K$6, "-", '4M'!$F$5)</f>
        <v>EA/NRW environmental programme (WINEP/NEP)-Investigations-Sludge disposal-Bioresources-Expenditure in report year</v>
      </c>
      <c r="E2241" t="str">
        <f>'4M'!$C$53</f>
        <v>Capex</v>
      </c>
      <c r="F2241" t="s">
        <v>682</v>
      </c>
      <c r="G2241" t="str">
        <f>'4M'!$D$53</f>
        <v>£m</v>
      </c>
      <c r="O2241" t="str">
        <f>_xlfn.CONCAT('4M'!$B$9, "-", '4M'!$B$53, "-", '4M'!$M$7, "-", '4M'!$K$6, "-", '4M'!$F$5)</f>
        <v>EA/NRW environmental programme (WINEP/NEP)-Investigations-Sludge disposal-Bioresources-Expenditure in report year</v>
      </c>
    </row>
    <row r="2242" spans="1:15">
      <c r="A2242" t="s">
        <v>643</v>
      </c>
      <c r="B2242" t="str">
        <f>'4M'!$BP$53</f>
        <v>B0329INC_TOT</v>
      </c>
      <c r="D2242" t="str">
        <f>_xlfn.CONCAT('4M'!$B$9, "-", '4M'!$B$53, "-", '4M'!$N$6, "-", '4M'!$N$6, "-", '4M'!$F$5)</f>
        <v>EA/NRW environmental programme (WINEP/NEP)-Investigations-Total-Total-Expenditure in report year</v>
      </c>
      <c r="E2242" t="str">
        <f>'4M'!$C$53</f>
        <v>Capex</v>
      </c>
      <c r="F2242" t="s">
        <v>682</v>
      </c>
      <c r="G2242" t="str">
        <f>'4M'!$D$53</f>
        <v>£m</v>
      </c>
      <c r="O2242" t="str">
        <f>_xlfn.CONCAT('4M'!$B$9, "-", '4M'!$B$53, "-", '4M'!$N$6, "-", '4M'!$N$6, "-", '4M'!$F$5)</f>
        <v>EA/NRW environmental programme (WINEP/NEP)-Investigations-Total-Total-Expenditure in report year</v>
      </c>
    </row>
    <row r="2243" spans="1:15">
      <c r="A2243" t="s">
        <v>643</v>
      </c>
      <c r="B2243" t="str">
        <f>'4M'!$BH$54</f>
        <v>B0330INO_F</v>
      </c>
      <c r="D2243" t="str">
        <f>_xlfn.CONCAT('4M'!$B$9, "-", '4M'!$B$54, "-", '4M'!$F$7, "-", '4M'!$F$6, "-", '4M'!$F$5)</f>
        <v>EA/NRW environmental programme (WINEP/NEP)-Investigations-Foul-Wastewater network+ -Expenditure in report year</v>
      </c>
      <c r="E2243" t="str">
        <f>'4M'!$C$54</f>
        <v>Opex</v>
      </c>
      <c r="F2243" t="s">
        <v>682</v>
      </c>
      <c r="G2243" t="str">
        <f>'4M'!$D$54</f>
        <v>£m</v>
      </c>
      <c r="O2243" t="str">
        <f>_xlfn.CONCAT('4M'!$B$9, "-", '4M'!$B$54, "-", '4M'!$F$7, "-", '4M'!$F$6, "-", '4M'!$F$5)</f>
        <v>EA/NRW environmental programme (WINEP/NEP)-Investigations-Foul-Wastewater network+ -Expenditure in report year</v>
      </c>
    </row>
    <row r="2244" spans="1:15">
      <c r="A2244" t="s">
        <v>643</v>
      </c>
      <c r="B2244" t="str">
        <f>'4M'!$BI$54</f>
        <v>B0330INO_SWD</v>
      </c>
      <c r="D2244" t="str">
        <f>_xlfn.CONCAT('4M'!$B$9, "-", '4M'!$B$54, "-", '4M'!$G$7, "-", '4M'!$F$6, "-", '4M'!$F$5)</f>
        <v>EA/NRW environmental programme (WINEP/NEP)-Investigations-Surface water drainage-Wastewater network+ -Expenditure in report year</v>
      </c>
      <c r="E2244" t="str">
        <f>'4M'!$C$54</f>
        <v>Opex</v>
      </c>
      <c r="F2244" t="s">
        <v>682</v>
      </c>
      <c r="G2244" t="str">
        <f>'4M'!$D$54</f>
        <v>£m</v>
      </c>
      <c r="O2244" t="str">
        <f>_xlfn.CONCAT('4M'!$B$9, "-", '4M'!$B$54, "-", '4M'!$G$7, "-", '4M'!$F$6, "-", '4M'!$F$5)</f>
        <v>EA/NRW environmental programme (WINEP/NEP)-Investigations-Surface water drainage-Wastewater network+ -Expenditure in report year</v>
      </c>
    </row>
    <row r="2245" spans="1:15">
      <c r="A2245" t="s">
        <v>643</v>
      </c>
      <c r="B2245" t="str">
        <f>'4M'!$BJ$54</f>
        <v>B0330INO_HD</v>
      </c>
      <c r="D2245" t="str">
        <f>_xlfn.CONCAT('4M'!$B$9, "-", '4M'!$B$54, "-", '4M'!$H$7, "-", '4M'!$F$6, "-", '4M'!$F$5)</f>
        <v>EA/NRW environmental programme (WINEP/NEP)-Investigations-Highway drainage-Wastewater network+ -Expenditure in report year</v>
      </c>
      <c r="E2245" t="str">
        <f>'4M'!$C$54</f>
        <v>Opex</v>
      </c>
      <c r="F2245" t="s">
        <v>682</v>
      </c>
      <c r="G2245" t="str">
        <f>'4M'!$D$54</f>
        <v>£m</v>
      </c>
      <c r="O2245" t="str">
        <f>_xlfn.CONCAT('4M'!$B$9, "-", '4M'!$B$54, "-", '4M'!$H$7, "-", '4M'!$F$6, "-", '4M'!$F$5)</f>
        <v>EA/NRW environmental programme (WINEP/NEP)-Investigations-Highway drainage-Wastewater network+ -Expenditure in report year</v>
      </c>
    </row>
    <row r="2246" spans="1:15">
      <c r="A2246" t="s">
        <v>643</v>
      </c>
      <c r="B2246" t="str">
        <f>'4M'!$BK$54</f>
        <v>B0330INO_STD</v>
      </c>
      <c r="D2246" t="str">
        <f>_xlfn.CONCAT('4M'!$B$9, "-", '4M'!$B$54, "-", '4M'!$I$7, "-", '4M'!$F$6, "-", '4M'!$F$5)</f>
        <v>EA/NRW environmental programme (WINEP/NEP)-Investigations-Sewage treatment and disposal-Wastewater network+ -Expenditure in report year</v>
      </c>
      <c r="E2246" t="str">
        <f>'4M'!$C$54</f>
        <v>Opex</v>
      </c>
      <c r="F2246" t="s">
        <v>682</v>
      </c>
      <c r="G2246" t="str">
        <f>'4M'!$D$54</f>
        <v>£m</v>
      </c>
      <c r="O2246" t="str">
        <f>_xlfn.CONCAT('4M'!$B$9, "-", '4M'!$B$54, "-", '4M'!$I$7, "-", '4M'!$F$6, "-", '4M'!$F$5)</f>
        <v>EA/NRW environmental programme (WINEP/NEP)-Investigations-Sewage treatment and disposal-Wastewater network+ -Expenditure in report year</v>
      </c>
    </row>
    <row r="2247" spans="1:15">
      <c r="A2247" t="s">
        <v>643</v>
      </c>
      <c r="B2247" t="str">
        <f>'4M'!$BL$54</f>
        <v>B0330INO_SLT</v>
      </c>
      <c r="D2247" t="str">
        <f>_xlfn.CONCAT('4M'!$B$9, "-", '4M'!$B$54, "-", '4M'!$J$7, "-", '4M'!$F$6, "-", '4M'!$F$5)</f>
        <v>EA/NRW environmental programme (WINEP/NEP)-Investigations-Sludge liquor treatment-Wastewater network+ -Expenditure in report year</v>
      </c>
      <c r="E2247" t="str">
        <f>'4M'!$C$54</f>
        <v>Opex</v>
      </c>
      <c r="F2247" t="s">
        <v>682</v>
      </c>
      <c r="G2247" t="str">
        <f>'4M'!$D$54</f>
        <v>£m</v>
      </c>
      <c r="O2247" t="str">
        <f>_xlfn.CONCAT('4M'!$B$9, "-", '4M'!$B$54, "-", '4M'!$J$7, "-", '4M'!$F$6, "-", '4M'!$F$5)</f>
        <v>EA/NRW environmental programme (WINEP/NEP)-Investigations-Sludge liquor treatment-Wastewater network+ -Expenditure in report year</v>
      </c>
    </row>
    <row r="2248" spans="1:15">
      <c r="A2248" t="s">
        <v>643</v>
      </c>
      <c r="B2248" t="str">
        <f>'4M'!$BM$54</f>
        <v>B0330INO_STP</v>
      </c>
      <c r="D2248" t="str">
        <f>_xlfn.CONCAT('4M'!$B$9, "-", '4M'!$B$54, "-", '4M'!$K$7, "-", '4M'!$K$6, "-", '4M'!$F$5)</f>
        <v>EA/NRW environmental programme (WINEP/NEP)-Investigations-Sludge transport-Bioresources-Expenditure in report year</v>
      </c>
      <c r="E2248" t="str">
        <f>'4M'!$C$54</f>
        <v>Opex</v>
      </c>
      <c r="F2248" t="s">
        <v>682</v>
      </c>
      <c r="G2248" t="str">
        <f>'4M'!$D$54</f>
        <v>£m</v>
      </c>
      <c r="O2248" t="str">
        <f>_xlfn.CONCAT('4M'!$B$9, "-", '4M'!$B$54, "-", '4M'!$K$7, "-", '4M'!$K$6, "-", '4M'!$F$5)</f>
        <v>EA/NRW environmental programme (WINEP/NEP)-Investigations-Sludge transport-Bioresources-Expenditure in report year</v>
      </c>
    </row>
    <row r="2249" spans="1:15">
      <c r="A2249" t="s">
        <v>643</v>
      </c>
      <c r="B2249" t="str">
        <f>'4M'!$BN$54</f>
        <v>B0330INO_SDT</v>
      </c>
      <c r="D2249" t="str">
        <f>_xlfn.CONCAT('4M'!$B$9, "-", '4M'!$B$54, "-", '4M'!$L$7, "-", '4M'!$K$6, "-", '4M'!$F$5)</f>
        <v>EA/NRW environmental programme (WINEP/NEP)-Investigations-Sludge treatment-Bioresources-Expenditure in report year</v>
      </c>
      <c r="E2249" t="str">
        <f>'4M'!$C$54</f>
        <v>Opex</v>
      </c>
      <c r="F2249" t="s">
        <v>682</v>
      </c>
      <c r="G2249" t="str">
        <f>'4M'!$D$54</f>
        <v>£m</v>
      </c>
      <c r="O2249" t="str">
        <f>_xlfn.CONCAT('4M'!$B$9, "-", '4M'!$B$54, "-", '4M'!$L$7, "-", '4M'!$K$6, "-", '4M'!$F$5)</f>
        <v>EA/NRW environmental programme (WINEP/NEP)-Investigations-Sludge treatment-Bioresources-Expenditure in report year</v>
      </c>
    </row>
    <row r="2250" spans="1:15">
      <c r="A2250" t="s">
        <v>643</v>
      </c>
      <c r="B2250" t="str">
        <f>'4M'!$BO$54</f>
        <v>B0330INO_SD</v>
      </c>
      <c r="D2250" t="str">
        <f>_xlfn.CONCAT('4M'!$B$9, "-", '4M'!$B$54, "-", '4M'!$M$7, "-", '4M'!$K$6, "-", '4M'!$F$5)</f>
        <v>EA/NRW environmental programme (WINEP/NEP)-Investigations-Sludge disposal-Bioresources-Expenditure in report year</v>
      </c>
      <c r="E2250" t="str">
        <f>'4M'!$C$54</f>
        <v>Opex</v>
      </c>
      <c r="F2250" t="s">
        <v>682</v>
      </c>
      <c r="G2250" t="str">
        <f>'4M'!$D$54</f>
        <v>£m</v>
      </c>
      <c r="O2250" t="str">
        <f>_xlfn.CONCAT('4M'!$B$9, "-", '4M'!$B$54, "-", '4M'!$M$7, "-", '4M'!$K$6, "-", '4M'!$F$5)</f>
        <v>EA/NRW environmental programme (WINEP/NEP)-Investigations-Sludge disposal-Bioresources-Expenditure in report year</v>
      </c>
    </row>
    <row r="2251" spans="1:15">
      <c r="A2251" t="s">
        <v>643</v>
      </c>
      <c r="B2251" t="str">
        <f>'4M'!$BP$54</f>
        <v>B0330INO_TOT</v>
      </c>
      <c r="D2251" t="str">
        <f>_xlfn.CONCAT('4M'!$B$9, "-", '4M'!$B$54, "-", '4M'!$N$6, "-", '4M'!$N$6, "-", '4M'!$F$5)</f>
        <v>EA/NRW environmental programme (WINEP/NEP)-Investigations-Total-Total-Expenditure in report year</v>
      </c>
      <c r="E2251" t="str">
        <f>'4M'!$C$54</f>
        <v>Opex</v>
      </c>
      <c r="F2251" t="s">
        <v>682</v>
      </c>
      <c r="G2251" t="str">
        <f>'4M'!$D$54</f>
        <v>£m</v>
      </c>
      <c r="O2251" t="str">
        <f>_xlfn.CONCAT('4M'!$B$9, "-", '4M'!$B$54, "-", '4M'!$N$6, "-", '4M'!$N$6, "-", '4M'!$F$5)</f>
        <v>EA/NRW environmental programme (WINEP/NEP)-Investigations-Total-Total-Expenditure in report year</v>
      </c>
    </row>
    <row r="2252" spans="1:15">
      <c r="A2252" t="s">
        <v>643</v>
      </c>
      <c r="B2252" t="str">
        <f>'4M'!$BH$55</f>
        <v>B0331INT_F</v>
      </c>
      <c r="D2252" t="str">
        <f>_xlfn.CONCAT('4M'!$B$9, "-", '4M'!$B$55, "-", '4M'!$F$7, "-", '4M'!$F$6, "-", '4M'!$F$5)</f>
        <v>EA/NRW environmental programme (WINEP/NEP)-Investigations-Foul-Wastewater network+ -Expenditure in report year</v>
      </c>
      <c r="E2252" t="str">
        <f>'4M'!$C$55</f>
        <v>Totex</v>
      </c>
      <c r="F2252" t="s">
        <v>682</v>
      </c>
      <c r="G2252" t="str">
        <f>'4M'!$D$55</f>
        <v>£m</v>
      </c>
      <c r="O2252" t="str">
        <f>_xlfn.CONCAT('4M'!$B$9, "-", '4M'!$B$55, "-", '4M'!$F$7, "-", '4M'!$F$6, "-", '4M'!$F$5)</f>
        <v>EA/NRW environmental programme (WINEP/NEP)-Investigations-Foul-Wastewater network+ -Expenditure in report year</v>
      </c>
    </row>
    <row r="2253" spans="1:15">
      <c r="A2253" t="s">
        <v>643</v>
      </c>
      <c r="B2253" t="str">
        <f>'4M'!$BI$55</f>
        <v>B0331INT_SWD</v>
      </c>
      <c r="D2253" t="str">
        <f>_xlfn.CONCAT('4M'!$B$9, "-", '4M'!$B$55, "-", '4M'!$G$7, "-", '4M'!$F$6, "-", '4M'!$F$5)</f>
        <v>EA/NRW environmental programme (WINEP/NEP)-Investigations-Surface water drainage-Wastewater network+ -Expenditure in report year</v>
      </c>
      <c r="E2253" t="str">
        <f>'4M'!$C$55</f>
        <v>Totex</v>
      </c>
      <c r="F2253" t="s">
        <v>682</v>
      </c>
      <c r="G2253" t="str">
        <f>'4M'!$D$55</f>
        <v>£m</v>
      </c>
      <c r="O2253" t="str">
        <f>_xlfn.CONCAT('4M'!$B$9, "-", '4M'!$B$55, "-", '4M'!$G$7, "-", '4M'!$F$6, "-", '4M'!$F$5)</f>
        <v>EA/NRW environmental programme (WINEP/NEP)-Investigations-Surface water drainage-Wastewater network+ -Expenditure in report year</v>
      </c>
    </row>
    <row r="2254" spans="1:15">
      <c r="A2254" t="s">
        <v>643</v>
      </c>
      <c r="B2254" t="str">
        <f>'4M'!$BJ$55</f>
        <v>B0331INT_HD</v>
      </c>
      <c r="D2254" t="str">
        <f>_xlfn.CONCAT('4M'!$B$9, "-", '4M'!$B$55, "-", '4M'!$H$7, "-", '4M'!$F$6, "-", '4M'!$F$5)</f>
        <v>EA/NRW environmental programme (WINEP/NEP)-Investigations-Highway drainage-Wastewater network+ -Expenditure in report year</v>
      </c>
      <c r="E2254" t="str">
        <f>'4M'!$C$55</f>
        <v>Totex</v>
      </c>
      <c r="F2254" t="s">
        <v>682</v>
      </c>
      <c r="G2254" t="str">
        <f>'4M'!$D$55</f>
        <v>£m</v>
      </c>
      <c r="O2254" t="str">
        <f>_xlfn.CONCAT('4M'!$B$9, "-", '4M'!$B$55, "-", '4M'!$H$7, "-", '4M'!$F$6, "-", '4M'!$F$5)</f>
        <v>EA/NRW environmental programme (WINEP/NEP)-Investigations-Highway drainage-Wastewater network+ -Expenditure in report year</v>
      </c>
    </row>
    <row r="2255" spans="1:15">
      <c r="A2255" t="s">
        <v>643</v>
      </c>
      <c r="B2255" t="str">
        <f>'4M'!$BK$55</f>
        <v>B0331INT_STD</v>
      </c>
      <c r="D2255" t="str">
        <f>_xlfn.CONCAT('4M'!$B$9, "-", '4M'!$B$55, "-", '4M'!$I$7, "-", '4M'!$F$6, "-", '4M'!$F$5)</f>
        <v>EA/NRW environmental programme (WINEP/NEP)-Investigations-Sewage treatment and disposal-Wastewater network+ -Expenditure in report year</v>
      </c>
      <c r="E2255" t="str">
        <f>'4M'!$C$55</f>
        <v>Totex</v>
      </c>
      <c r="F2255" t="s">
        <v>682</v>
      </c>
      <c r="G2255" t="str">
        <f>'4M'!$D$55</f>
        <v>£m</v>
      </c>
      <c r="O2255" t="str">
        <f>_xlfn.CONCAT('4M'!$B$9, "-", '4M'!$B$55, "-", '4M'!$I$7, "-", '4M'!$F$6, "-", '4M'!$F$5)</f>
        <v>EA/NRW environmental programme (WINEP/NEP)-Investigations-Sewage treatment and disposal-Wastewater network+ -Expenditure in report year</v>
      </c>
    </row>
    <row r="2256" spans="1:15">
      <c r="A2256" t="s">
        <v>643</v>
      </c>
      <c r="B2256" t="str">
        <f>'4M'!$BL$55</f>
        <v>B0331INT_SLT</v>
      </c>
      <c r="D2256" t="str">
        <f>_xlfn.CONCAT('4M'!$B$9, "-", '4M'!$B$55, "-", '4M'!$J$7, "-", '4M'!$F$6, "-", '4M'!$F$5)</f>
        <v>EA/NRW environmental programme (WINEP/NEP)-Investigations-Sludge liquor treatment-Wastewater network+ -Expenditure in report year</v>
      </c>
      <c r="E2256" t="str">
        <f>'4M'!$C$55</f>
        <v>Totex</v>
      </c>
      <c r="F2256" t="s">
        <v>682</v>
      </c>
      <c r="G2256" t="str">
        <f>'4M'!$D$55</f>
        <v>£m</v>
      </c>
      <c r="O2256" t="str">
        <f>_xlfn.CONCAT('4M'!$B$9, "-", '4M'!$B$55, "-", '4M'!$J$7, "-", '4M'!$F$6, "-", '4M'!$F$5)</f>
        <v>EA/NRW environmental programme (WINEP/NEP)-Investigations-Sludge liquor treatment-Wastewater network+ -Expenditure in report year</v>
      </c>
    </row>
    <row r="2257" spans="1:15">
      <c r="A2257" t="s">
        <v>643</v>
      </c>
      <c r="B2257" t="str">
        <f>'4M'!$BM$55</f>
        <v>B0331INT_STP</v>
      </c>
      <c r="D2257" t="str">
        <f>_xlfn.CONCAT('4M'!$B$9, "-", '4M'!$B$55, "-", '4M'!$K$7, "-", '4M'!$K$6, "-", '4M'!$F$5)</f>
        <v>EA/NRW environmental programme (WINEP/NEP)-Investigations-Sludge transport-Bioresources-Expenditure in report year</v>
      </c>
      <c r="E2257" t="str">
        <f>'4M'!$C$55</f>
        <v>Totex</v>
      </c>
      <c r="F2257" t="s">
        <v>682</v>
      </c>
      <c r="G2257" t="str">
        <f>'4M'!$D$55</f>
        <v>£m</v>
      </c>
      <c r="O2257" t="str">
        <f>_xlfn.CONCAT('4M'!$B$9, "-", '4M'!$B$55, "-", '4M'!$K$7, "-", '4M'!$K$6, "-", '4M'!$F$5)</f>
        <v>EA/NRW environmental programme (WINEP/NEP)-Investigations-Sludge transport-Bioresources-Expenditure in report year</v>
      </c>
    </row>
    <row r="2258" spans="1:15">
      <c r="A2258" t="s">
        <v>643</v>
      </c>
      <c r="B2258" t="str">
        <f>'4M'!$BN$55</f>
        <v>B0331INT_SDT</v>
      </c>
      <c r="D2258" t="str">
        <f>_xlfn.CONCAT('4M'!$B$9, "-", '4M'!$B$55, "-", '4M'!$L$7, "-", '4M'!$K$6, "-", '4M'!$F$5)</f>
        <v>EA/NRW environmental programme (WINEP/NEP)-Investigations-Sludge treatment-Bioresources-Expenditure in report year</v>
      </c>
      <c r="E2258" t="str">
        <f>'4M'!$C$55</f>
        <v>Totex</v>
      </c>
      <c r="F2258" t="s">
        <v>682</v>
      </c>
      <c r="G2258" t="str">
        <f>'4M'!$D$55</f>
        <v>£m</v>
      </c>
      <c r="O2258" t="str">
        <f>_xlfn.CONCAT('4M'!$B$9, "-", '4M'!$B$55, "-", '4M'!$L$7, "-", '4M'!$K$6, "-", '4M'!$F$5)</f>
        <v>EA/NRW environmental programme (WINEP/NEP)-Investigations-Sludge treatment-Bioresources-Expenditure in report year</v>
      </c>
    </row>
    <row r="2259" spans="1:15">
      <c r="A2259" t="s">
        <v>643</v>
      </c>
      <c r="B2259" t="str">
        <f>'4M'!$BO$55</f>
        <v>B0331INT_SD</v>
      </c>
      <c r="D2259" t="str">
        <f>_xlfn.CONCAT('4M'!$B$9, "-", '4M'!$B$55, "-", '4M'!$M$7, "-", '4M'!$K$6, "-", '4M'!$F$5)</f>
        <v>EA/NRW environmental programme (WINEP/NEP)-Investigations-Sludge disposal-Bioresources-Expenditure in report year</v>
      </c>
      <c r="E2259" t="str">
        <f>'4M'!$C$55</f>
        <v>Totex</v>
      </c>
      <c r="F2259" t="s">
        <v>682</v>
      </c>
      <c r="G2259" t="str">
        <f>'4M'!$D$55</f>
        <v>£m</v>
      </c>
      <c r="O2259" t="str">
        <f>_xlfn.CONCAT('4M'!$B$9, "-", '4M'!$B$55, "-", '4M'!$M$7, "-", '4M'!$K$6, "-", '4M'!$F$5)</f>
        <v>EA/NRW environmental programme (WINEP/NEP)-Investigations-Sludge disposal-Bioresources-Expenditure in report year</v>
      </c>
    </row>
    <row r="2260" spans="1:15">
      <c r="A2260" t="s">
        <v>643</v>
      </c>
      <c r="B2260" t="str">
        <f>'4M'!$BP$55</f>
        <v>B0331INT_TOT</v>
      </c>
      <c r="D2260" t="str">
        <f>_xlfn.CONCAT('4M'!$B$9, "-", '4M'!$B$55, "-", '4M'!$N$6, "-", '4M'!$N$6, "-", '4M'!$F$5)</f>
        <v>EA/NRW environmental programme (WINEP/NEP)-Investigations-Total-Total-Expenditure in report year</v>
      </c>
      <c r="E2260" t="str">
        <f>'4M'!$C$55</f>
        <v>Totex</v>
      </c>
      <c r="F2260" t="s">
        <v>682</v>
      </c>
      <c r="G2260" t="str">
        <f>'4M'!$D$55</f>
        <v>£m</v>
      </c>
      <c r="O2260" t="str">
        <f>_xlfn.CONCAT('4M'!$B$9, "-", '4M'!$B$55, "-", '4M'!$N$6, "-", '4M'!$N$6, "-", '4M'!$F$5)</f>
        <v>EA/NRW environmental programme (WINEP/NEP)-Investigations-Total-Total-Expenditure in report year</v>
      </c>
    </row>
    <row r="2261" spans="1:15">
      <c r="A2261" t="s">
        <v>643</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682</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643</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682</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643</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682</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643</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682</v>
      </c>
      <c r="G2264" t="str">
        <f>'4M'!$D$56</f>
        <v>£m</v>
      </c>
      <c r="O2264" t="str">
        <f>_xlfn.CONCAT('4M'!$B$9, "-", '4M'!$B$56, "-", '4M'!$F$7, "-", '4M'!$F$6, "-", '4M'!$F$5)</f>
        <v>EA/NRW environmental programme (WINEP/NEP)-Total environmental programme expenditure -Foul-Wastewater network+ -Expenditure in report year</v>
      </c>
    </row>
    <row r="2265" spans="1:15">
      <c r="A2265" t="s">
        <v>643</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682</v>
      </c>
      <c r="G2265" t="str">
        <f>'4M'!$D$56</f>
        <v>£m</v>
      </c>
      <c r="O2265" t="str">
        <f>_xlfn.CONCAT('4M'!$B$9, "-", '4M'!$B$56, "-", '4M'!$G$7, "-", '4M'!$F$6, "-", '4M'!$F$5)</f>
        <v>EA/NRW environmental programme (WINEP/NEP)-Total environmental programme expenditure -Surface water drainage-Wastewater network+ -Expenditure in report year</v>
      </c>
    </row>
    <row r="2266" spans="1:15">
      <c r="A2266" t="s">
        <v>643</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682</v>
      </c>
      <c r="G2266" t="str">
        <f>'4M'!$D$56</f>
        <v>£m</v>
      </c>
      <c r="O2266" t="str">
        <f>_xlfn.CONCAT('4M'!$B$9, "-", '4M'!$B$56, "-", '4M'!$H$7, "-", '4M'!$F$6, "-", '4M'!$F$5)</f>
        <v>EA/NRW environmental programme (WINEP/NEP)-Total environmental programme expenditure -Highway drainage-Wastewater network+ -Expenditure in report year</v>
      </c>
    </row>
    <row r="2267" spans="1:15">
      <c r="A2267" t="s">
        <v>643</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682</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643</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682</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643</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682</v>
      </c>
      <c r="G2269" t="str">
        <f>'4M'!$D$56</f>
        <v>£m</v>
      </c>
      <c r="O2269" t="str">
        <f>_xlfn.CONCAT('4M'!$B$9, "-", '4M'!$B$56, "-", '4M'!$K$7, "-", '4M'!$K$6, "-", '4M'!$F$5)</f>
        <v>EA/NRW environmental programme (WINEP/NEP)-Total environmental programme expenditure -Sludge transport-Bioresources-Expenditure in report year</v>
      </c>
    </row>
    <row r="2270" spans="1:15">
      <c r="A2270" t="s">
        <v>643</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682</v>
      </c>
      <c r="G2270" t="str">
        <f>'4M'!$D$56</f>
        <v>£m</v>
      </c>
      <c r="O2270" t="str">
        <f>_xlfn.CONCAT('4M'!$B$9, "-", '4M'!$B$56, "-", '4M'!$L$7, "-", '4M'!$K$6, "-", '4M'!$F$5)</f>
        <v>EA/NRW environmental programme (WINEP/NEP)-Total environmental programme expenditure -Sludge treatment-Bioresources-Expenditure in report year</v>
      </c>
    </row>
    <row r="2271" spans="1:15">
      <c r="A2271" t="s">
        <v>643</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682</v>
      </c>
      <c r="G2271" t="str">
        <f>'4M'!$D$56</f>
        <v>£m</v>
      </c>
      <c r="O2271" t="str">
        <f>_xlfn.CONCAT('4M'!$B$9, "-", '4M'!$B$56, "-", '4M'!$M$7, "-", '4M'!$K$6, "-", '4M'!$F$5)</f>
        <v>EA/NRW environmental programme (WINEP/NEP)-Total environmental programme expenditure -Sludge disposal-Bioresources-Expenditure in report year</v>
      </c>
    </row>
    <row r="2272" spans="1:15">
      <c r="A2272" t="s">
        <v>643</v>
      </c>
      <c r="B2272" t="str">
        <f>'4M'!$BP$56</f>
        <v>B0332TET_TOT</v>
      </c>
      <c r="D2272" t="str">
        <f>_xlfn.CONCAT('4M'!$B$9, "-", '4M'!$B$56, "-", '4M'!$N$6, "-", '4M'!$N$6, "-", '4M'!$F$5)</f>
        <v>EA/NRW environmental programme (WINEP/NEP)-Total environmental programme expenditure -Total-Total-Expenditure in report year</v>
      </c>
      <c r="E2272" t="str">
        <f>'4M'!$C$56</f>
        <v>Totex</v>
      </c>
      <c r="F2272" t="s">
        <v>682</v>
      </c>
      <c r="G2272" t="str">
        <f>'4M'!$D$56</f>
        <v>£m</v>
      </c>
      <c r="O2272" t="str">
        <f>_xlfn.CONCAT('4M'!$B$9, "-", '4M'!$B$56, "-", '4M'!$N$6, "-", '4M'!$N$6, "-", '4M'!$F$5)</f>
        <v>EA/NRW environmental programme (WINEP/NEP)-Total environmental programme expenditure -Total-Total-Expenditure in report year</v>
      </c>
    </row>
    <row r="2273" spans="1:15">
      <c r="A2273" t="s">
        <v>643</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682</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643</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682</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643</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682</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643</v>
      </c>
      <c r="B2276" t="str">
        <f>'4M'!$BH$59</f>
        <v>B0333GSC_F</v>
      </c>
      <c r="D2276" t="str">
        <f>_xlfn.CONCAT('4M'!$B$58, "-", '4M'!$B$59, "-", '4M'!$F$7, "-", '4M'!$F$6, "-", '4M'!$F$5)</f>
        <v>Other enhancement-Growth at sewage treatment works (excluding sludge treatment)-Foul-Wastewater network+ -Expenditure in report year</v>
      </c>
      <c r="E2276" t="str">
        <f>'4M'!$C$59</f>
        <v>Capex</v>
      </c>
      <c r="F2276" t="s">
        <v>682</v>
      </c>
      <c r="G2276" t="str">
        <f>'4M'!$D$59</f>
        <v>£m</v>
      </c>
      <c r="O2276" t="str">
        <f>_xlfn.CONCAT('4M'!$B$58, "-", '4M'!$B$59, "-", '4M'!$F$7, "-", '4M'!$F$6, "-", '4M'!$F$5)</f>
        <v>Other enhancement-Growth at sewage treatment works (excluding sludge treatment)-Foul-Wastewater network+ -Expenditure in report year</v>
      </c>
    </row>
    <row r="2277" spans="1:15">
      <c r="A2277" t="s">
        <v>643</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682</v>
      </c>
      <c r="G2277" t="str">
        <f>'4M'!$D$59</f>
        <v>£m</v>
      </c>
      <c r="O2277" t="str">
        <f>_xlfn.CONCAT('4M'!$B$58, "-", '4M'!$B$59, "-", '4M'!$G$7, "-", '4M'!$F$6, "-", '4M'!$F$5)</f>
        <v>Other enhancement-Growth at sewage treatment works (excluding sludge treatment)-Surface water drainage-Wastewater network+ -Expenditure in report year</v>
      </c>
    </row>
    <row r="2278" spans="1:15">
      <c r="A2278" t="s">
        <v>643</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682</v>
      </c>
      <c r="G2278" t="str">
        <f>'4M'!$D$59</f>
        <v>£m</v>
      </c>
      <c r="O2278" t="str">
        <f>_xlfn.CONCAT('4M'!$B$58, "-", '4M'!$B$59, "-", '4M'!$H$7, "-", '4M'!$F$6, "-", '4M'!$F$5)</f>
        <v>Other enhancement-Growth at sewage treatment works (excluding sludge treatment)-Highway drainage-Wastewater network+ -Expenditure in report year</v>
      </c>
    </row>
    <row r="2279" spans="1:15">
      <c r="A2279" t="s">
        <v>643</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682</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643</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682</v>
      </c>
      <c r="G2280" t="str">
        <f>'4M'!$D$59</f>
        <v>£m</v>
      </c>
      <c r="O2280" t="str">
        <f>_xlfn.CONCAT('4M'!$B$58, "-", '4M'!$B$59, "-", '4M'!$J$7, "-", '4M'!$F$6, "-", '4M'!$F$5)</f>
        <v>Other enhancement-Growth at sewage treatment works (excluding sludge treatment)-Sludge liquor treatment-Wastewater network+ -Expenditure in report year</v>
      </c>
    </row>
    <row r="2281" spans="1:15">
      <c r="A2281" t="s">
        <v>643</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682</v>
      </c>
      <c r="G2281" t="str">
        <f>'4M'!$D$59</f>
        <v>£m</v>
      </c>
      <c r="O2281" t="str">
        <f>_xlfn.CONCAT('4M'!$B$58, "-", '4M'!$B$59, "-", '4M'!$K$7, "-", '4M'!$K$6, "-", '4M'!$F$5)</f>
        <v>Other enhancement-Growth at sewage treatment works (excluding sludge treatment)-Sludge transport-Bioresources-Expenditure in report year</v>
      </c>
    </row>
    <row r="2282" spans="1:15">
      <c r="A2282" t="s">
        <v>643</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682</v>
      </c>
      <c r="G2282" t="str">
        <f>'4M'!$D$59</f>
        <v>£m</v>
      </c>
      <c r="O2282" t="str">
        <f>_xlfn.CONCAT('4M'!$B$58, "-", '4M'!$B$59, "-", '4M'!$L$7, "-", '4M'!$K$6, "-", '4M'!$F$5)</f>
        <v>Other enhancement-Growth at sewage treatment works (excluding sludge treatment)-Sludge treatment-Bioresources-Expenditure in report year</v>
      </c>
    </row>
    <row r="2283" spans="1:15">
      <c r="A2283" t="s">
        <v>643</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682</v>
      </c>
      <c r="G2283" t="str">
        <f>'4M'!$D$59</f>
        <v>£m</v>
      </c>
      <c r="O2283" t="str">
        <f>_xlfn.CONCAT('4M'!$B$58, "-", '4M'!$B$59, "-", '4M'!$M$7, "-", '4M'!$K$6, "-", '4M'!$F$5)</f>
        <v>Other enhancement-Growth at sewage treatment works (excluding sludge treatment)-Sludge disposal-Bioresources-Expenditure in report year</v>
      </c>
    </row>
    <row r="2284" spans="1:15">
      <c r="A2284" t="s">
        <v>643</v>
      </c>
      <c r="B2284" t="str">
        <f>'4M'!$BP$59</f>
        <v>B0333GSC_TOT</v>
      </c>
      <c r="D2284" t="str">
        <f>_xlfn.CONCAT('4M'!$B$58, "-", '4M'!$B$59, "-", '4M'!$N$6, "-", '4M'!$N$6, "-", '4M'!$F$5)</f>
        <v>Other enhancement-Growth at sewage treatment works (excluding sludge treatment)-Total-Total-Expenditure in report year</v>
      </c>
      <c r="E2284" t="str">
        <f>'4M'!$C$59</f>
        <v>Capex</v>
      </c>
      <c r="F2284" t="s">
        <v>682</v>
      </c>
      <c r="G2284" t="str">
        <f>'4M'!$D$59</f>
        <v>£m</v>
      </c>
      <c r="O2284" t="str">
        <f>_xlfn.CONCAT('4M'!$B$58, "-", '4M'!$B$59, "-", '4M'!$N$6, "-", '4M'!$N$6, "-", '4M'!$F$5)</f>
        <v>Other enhancement-Growth at sewage treatment works (excluding sludge treatment)-Total-Total-Expenditure in report year</v>
      </c>
    </row>
    <row r="2285" spans="1:15">
      <c r="A2285" t="s">
        <v>643</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682</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643</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682</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643</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682</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643</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682</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643</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682</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643</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682</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643</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682</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643</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682</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643</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682</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643</v>
      </c>
      <c r="B2294" t="str">
        <f>'4M'!$BH$60</f>
        <v>B0334GSO_F</v>
      </c>
      <c r="D2294" t="str">
        <f>_xlfn.CONCAT('4M'!$B$58, "-", '4M'!$B$60, "-", '4M'!$F$7, "-", '4M'!$F$6, "-", '4M'!$F$5)</f>
        <v>Other enhancement-Growth at sewage treatment works (excluding sludge treatment)-Foul-Wastewater network+ -Expenditure in report year</v>
      </c>
      <c r="E2294" t="str">
        <f>'4M'!$C$60</f>
        <v>Opex</v>
      </c>
      <c r="F2294" t="s">
        <v>682</v>
      </c>
      <c r="G2294" t="str">
        <f>'4M'!$D$60</f>
        <v>£m</v>
      </c>
      <c r="O2294" t="str">
        <f>_xlfn.CONCAT('4M'!$B$58, "-", '4M'!$B$60, "-", '4M'!$F$7, "-", '4M'!$F$6, "-", '4M'!$F$5)</f>
        <v>Other enhancement-Growth at sewage treatment works (excluding sludge treatment)-Foul-Wastewater network+ -Expenditure in report year</v>
      </c>
    </row>
    <row r="2295" spans="1:15">
      <c r="A2295" t="s">
        <v>643</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682</v>
      </c>
      <c r="G2295" t="str">
        <f>'4M'!$D$60</f>
        <v>£m</v>
      </c>
      <c r="O2295" t="str">
        <f>_xlfn.CONCAT('4M'!$B$58, "-", '4M'!$B$60, "-", '4M'!$G$7, "-", '4M'!$F$6, "-", '4M'!$F$5)</f>
        <v>Other enhancement-Growth at sewage treatment works (excluding sludge treatment)-Surface water drainage-Wastewater network+ -Expenditure in report year</v>
      </c>
    </row>
    <row r="2296" spans="1:15">
      <c r="A2296" t="s">
        <v>643</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682</v>
      </c>
      <c r="G2296" t="str">
        <f>'4M'!$D$60</f>
        <v>£m</v>
      </c>
      <c r="O2296" t="str">
        <f>_xlfn.CONCAT('4M'!$B$58, "-", '4M'!$B$60, "-", '4M'!$H$7, "-", '4M'!$F$6, "-", '4M'!$F$5)</f>
        <v>Other enhancement-Growth at sewage treatment works (excluding sludge treatment)-Highway drainage-Wastewater network+ -Expenditure in report year</v>
      </c>
    </row>
    <row r="2297" spans="1:15">
      <c r="A2297" t="s">
        <v>643</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682</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643</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682</v>
      </c>
      <c r="G2298" t="str">
        <f>'4M'!$D$60</f>
        <v>£m</v>
      </c>
      <c r="O2298" t="str">
        <f>_xlfn.CONCAT('4M'!$B$58, "-", '4M'!$B$60, "-", '4M'!$J$7, "-", '4M'!$F$6, "-", '4M'!$F$5)</f>
        <v>Other enhancement-Growth at sewage treatment works (excluding sludge treatment)-Sludge liquor treatment-Wastewater network+ -Expenditure in report year</v>
      </c>
    </row>
    <row r="2299" spans="1:15">
      <c r="A2299" t="s">
        <v>643</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682</v>
      </c>
      <c r="G2299" t="str">
        <f>'4M'!$D$60</f>
        <v>£m</v>
      </c>
      <c r="O2299" t="str">
        <f>_xlfn.CONCAT('4M'!$B$58, "-", '4M'!$B$60, "-", '4M'!$K$7, "-", '4M'!$K$6, "-", '4M'!$F$5)</f>
        <v>Other enhancement-Growth at sewage treatment works (excluding sludge treatment)-Sludge transport-Bioresources-Expenditure in report year</v>
      </c>
    </row>
    <row r="2300" spans="1:15">
      <c r="A2300" t="s">
        <v>643</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682</v>
      </c>
      <c r="G2300" t="str">
        <f>'4M'!$D$60</f>
        <v>£m</v>
      </c>
      <c r="O2300" t="str">
        <f>_xlfn.CONCAT('4M'!$B$58, "-", '4M'!$B$60, "-", '4M'!$L$7, "-", '4M'!$K$6, "-", '4M'!$F$5)</f>
        <v>Other enhancement-Growth at sewage treatment works (excluding sludge treatment)-Sludge treatment-Bioresources-Expenditure in report year</v>
      </c>
    </row>
    <row r="2301" spans="1:15">
      <c r="A2301" t="s">
        <v>643</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682</v>
      </c>
      <c r="G2301" t="str">
        <f>'4M'!$D$60</f>
        <v>£m</v>
      </c>
      <c r="O2301" t="str">
        <f>_xlfn.CONCAT('4M'!$B$58, "-", '4M'!$B$60, "-", '4M'!$M$7, "-", '4M'!$K$6, "-", '4M'!$F$5)</f>
        <v>Other enhancement-Growth at sewage treatment works (excluding sludge treatment)-Sludge disposal-Bioresources-Expenditure in report year</v>
      </c>
    </row>
    <row r="2302" spans="1:15">
      <c r="A2302" t="s">
        <v>643</v>
      </c>
      <c r="B2302" t="str">
        <f>'4M'!$BP$60</f>
        <v>B0334GSO_TOT</v>
      </c>
      <c r="D2302" t="str">
        <f>_xlfn.CONCAT('4M'!$B$58, "-", '4M'!$B$60, "-", '4M'!$N$6, "-", '4M'!$N$6, "-", '4M'!$F$5)</f>
        <v>Other enhancement-Growth at sewage treatment works (excluding sludge treatment)-Total-Total-Expenditure in report year</v>
      </c>
      <c r="E2302" t="str">
        <f>'4M'!$C$60</f>
        <v>Opex</v>
      </c>
      <c r="F2302" t="s">
        <v>682</v>
      </c>
      <c r="G2302" t="str">
        <f>'4M'!$D$60</f>
        <v>£m</v>
      </c>
      <c r="O2302" t="str">
        <f>_xlfn.CONCAT('4M'!$B$58, "-", '4M'!$B$60, "-", '4M'!$N$6, "-", '4M'!$N$6, "-", '4M'!$F$5)</f>
        <v>Other enhancement-Growth at sewage treatment works (excluding sludge treatment)-Total-Total-Expenditure in report year</v>
      </c>
    </row>
    <row r="2303" spans="1:15">
      <c r="A2303" t="s">
        <v>643</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682</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643</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682</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643</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682</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643</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682</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643</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682</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643</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682</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643</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682</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643</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682</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643</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682</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643</v>
      </c>
      <c r="B2312" t="str">
        <f>'4M'!$BH$61</f>
        <v>B0335GST_F</v>
      </c>
      <c r="D2312" t="str">
        <f>_xlfn.CONCAT('4M'!$B$58, "-", '4M'!$B$61, "-", '4M'!$F$7, "-", '4M'!$F$6, "-", '4M'!$F$5)</f>
        <v>Other enhancement-Growth at sewage treatment works (excluding sludge treatment)-Foul-Wastewater network+ -Expenditure in report year</v>
      </c>
      <c r="E2312" t="str">
        <f>'4M'!$C$61</f>
        <v>Totex</v>
      </c>
      <c r="F2312" t="s">
        <v>682</v>
      </c>
      <c r="G2312" t="str">
        <f>'4M'!$D$61</f>
        <v>£m</v>
      </c>
      <c r="O2312" t="str">
        <f>_xlfn.CONCAT('4M'!$B$58, "-", '4M'!$B$61, "-", '4M'!$F$7, "-", '4M'!$F$6, "-", '4M'!$F$5)</f>
        <v>Other enhancement-Growth at sewage treatment works (excluding sludge treatment)-Foul-Wastewater network+ -Expenditure in report year</v>
      </c>
    </row>
    <row r="2313" spans="1:15">
      <c r="A2313" t="s">
        <v>643</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682</v>
      </c>
      <c r="G2313" t="str">
        <f>'4M'!$D$61</f>
        <v>£m</v>
      </c>
      <c r="O2313" t="str">
        <f>_xlfn.CONCAT('4M'!$B$58, "-", '4M'!$B$61, "-", '4M'!$G$7, "-", '4M'!$F$6, "-", '4M'!$F$5)</f>
        <v>Other enhancement-Growth at sewage treatment works (excluding sludge treatment)-Surface water drainage-Wastewater network+ -Expenditure in report year</v>
      </c>
    </row>
    <row r="2314" spans="1:15">
      <c r="A2314" t="s">
        <v>643</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682</v>
      </c>
      <c r="G2314" t="str">
        <f>'4M'!$D$61</f>
        <v>£m</v>
      </c>
      <c r="O2314" t="str">
        <f>_xlfn.CONCAT('4M'!$B$58, "-", '4M'!$B$61, "-", '4M'!$H$7, "-", '4M'!$F$6, "-", '4M'!$F$5)</f>
        <v>Other enhancement-Growth at sewage treatment works (excluding sludge treatment)-Highway drainage-Wastewater network+ -Expenditure in report year</v>
      </c>
    </row>
    <row r="2315" spans="1:15">
      <c r="A2315" t="s">
        <v>643</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682</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643</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682</v>
      </c>
      <c r="G2316" t="str">
        <f>'4M'!$D$61</f>
        <v>£m</v>
      </c>
      <c r="O2316" t="str">
        <f>_xlfn.CONCAT('4M'!$B$58, "-", '4M'!$B$61, "-", '4M'!$J$7, "-", '4M'!$F$6, "-", '4M'!$F$5)</f>
        <v>Other enhancement-Growth at sewage treatment works (excluding sludge treatment)-Sludge liquor treatment-Wastewater network+ -Expenditure in report year</v>
      </c>
    </row>
    <row r="2317" spans="1:15">
      <c r="A2317" t="s">
        <v>643</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682</v>
      </c>
      <c r="G2317" t="str">
        <f>'4M'!$D$61</f>
        <v>£m</v>
      </c>
      <c r="O2317" t="str">
        <f>_xlfn.CONCAT('4M'!$B$58, "-", '4M'!$B$61, "-", '4M'!$K$7, "-", '4M'!$K$6, "-", '4M'!$F$5)</f>
        <v>Other enhancement-Growth at sewage treatment works (excluding sludge treatment)-Sludge transport-Bioresources-Expenditure in report year</v>
      </c>
    </row>
    <row r="2318" spans="1:15">
      <c r="A2318" t="s">
        <v>643</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682</v>
      </c>
      <c r="G2318" t="str">
        <f>'4M'!$D$61</f>
        <v>£m</v>
      </c>
      <c r="O2318" t="str">
        <f>_xlfn.CONCAT('4M'!$B$58, "-", '4M'!$B$61, "-", '4M'!$L$7, "-", '4M'!$K$6, "-", '4M'!$F$5)</f>
        <v>Other enhancement-Growth at sewage treatment works (excluding sludge treatment)-Sludge treatment-Bioresources-Expenditure in report year</v>
      </c>
    </row>
    <row r="2319" spans="1:15">
      <c r="A2319" t="s">
        <v>643</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682</v>
      </c>
      <c r="G2319" t="str">
        <f>'4M'!$D$61</f>
        <v>£m</v>
      </c>
      <c r="O2319" t="str">
        <f>_xlfn.CONCAT('4M'!$B$58, "-", '4M'!$B$61, "-", '4M'!$M$7, "-", '4M'!$K$6, "-", '4M'!$F$5)</f>
        <v>Other enhancement-Growth at sewage treatment works (excluding sludge treatment)-Sludge disposal-Bioresources-Expenditure in report year</v>
      </c>
    </row>
    <row r="2320" spans="1:15">
      <c r="A2320" t="s">
        <v>643</v>
      </c>
      <c r="B2320" t="str">
        <f>'4M'!$BP$61</f>
        <v>B0335GST_TOT</v>
      </c>
      <c r="D2320" t="str">
        <f>_xlfn.CONCAT('4M'!$B$58, "-", '4M'!$B$61, "-", '4M'!$N$6, "-", '4M'!$N$6, "-", '4M'!$F$5)</f>
        <v>Other enhancement-Growth at sewage treatment works (excluding sludge treatment)-Total-Total-Expenditure in report year</v>
      </c>
      <c r="E2320" t="str">
        <f>'4M'!$C$61</f>
        <v>Totex</v>
      </c>
      <c r="F2320" t="s">
        <v>682</v>
      </c>
      <c r="G2320" t="str">
        <f>'4M'!$D$61</f>
        <v>£m</v>
      </c>
      <c r="O2320" t="str">
        <f>_xlfn.CONCAT('4M'!$B$58, "-", '4M'!$B$61, "-", '4M'!$N$6, "-", '4M'!$N$6, "-", '4M'!$F$5)</f>
        <v>Other enhancement-Growth at sewage treatment works (excluding sludge treatment)-Total-Total-Expenditure in report year</v>
      </c>
    </row>
    <row r="2321" spans="1:15">
      <c r="A2321" t="s">
        <v>643</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682</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643</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682</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643</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682</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643</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682</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643</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682</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643</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682</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643</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682</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643</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682</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643</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682</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643</v>
      </c>
      <c r="B2330" t="str">
        <f>'4M'!$BH$62</f>
        <v>B0336RFC_F</v>
      </c>
      <c r="D2330" t="str">
        <f>_xlfn.CONCAT('4M'!$B$58, "-", '4M'!$B$62, "-", '4M'!$F$7, "-", '4M'!$F$6, "-", '4M'!$F$5)</f>
        <v>Other enhancement-Reduce flooding risk for properties-Foul-Wastewater network+ -Expenditure in report year</v>
      </c>
      <c r="E2330" t="str">
        <f>'4M'!$C$62</f>
        <v>Capex</v>
      </c>
      <c r="F2330" t="s">
        <v>682</v>
      </c>
      <c r="G2330" t="str">
        <f>'4M'!$D$62</f>
        <v>£m</v>
      </c>
      <c r="O2330" t="str">
        <f>_xlfn.CONCAT('4M'!$B$58, "-", '4M'!$B$62, "-", '4M'!$F$7, "-", '4M'!$F$6, "-", '4M'!$F$5)</f>
        <v>Other enhancement-Reduce flooding risk for properties-Foul-Wastewater network+ -Expenditure in report year</v>
      </c>
    </row>
    <row r="2331" spans="1:15">
      <c r="A2331" t="s">
        <v>643</v>
      </c>
      <c r="B2331" t="str">
        <f>'4M'!$BI$62</f>
        <v>B0336RFC_SWD</v>
      </c>
      <c r="D2331" t="str">
        <f>_xlfn.CONCAT('4M'!$B$58, "-", '4M'!$B$62, "-", '4M'!$G$7, "-", '4M'!$F$6, "-", '4M'!$F$5)</f>
        <v>Other enhancement-Reduce flooding risk for properties-Surface water drainage-Wastewater network+ -Expenditure in report year</v>
      </c>
      <c r="E2331" t="str">
        <f>'4M'!$C$62</f>
        <v>Capex</v>
      </c>
      <c r="F2331" t="s">
        <v>682</v>
      </c>
      <c r="G2331" t="str">
        <f>'4M'!$D$62</f>
        <v>£m</v>
      </c>
      <c r="O2331" t="str">
        <f>_xlfn.CONCAT('4M'!$B$58, "-", '4M'!$B$62, "-", '4M'!$G$7, "-", '4M'!$F$6, "-", '4M'!$F$5)</f>
        <v>Other enhancement-Reduce flooding risk for properties-Surface water drainage-Wastewater network+ -Expenditure in report year</v>
      </c>
    </row>
    <row r="2332" spans="1:15">
      <c r="A2332" t="s">
        <v>643</v>
      </c>
      <c r="B2332" t="str">
        <f>'4M'!$BJ$62</f>
        <v>B0336RFC_HD</v>
      </c>
      <c r="D2332" t="str">
        <f>_xlfn.CONCAT('4M'!$B$58, "-", '4M'!$B$62, "-", '4M'!$H$7, "-", '4M'!$F$6, "-", '4M'!$F$5)</f>
        <v>Other enhancement-Reduce flooding risk for properties-Highway drainage-Wastewater network+ -Expenditure in report year</v>
      </c>
      <c r="E2332" t="str">
        <f>'4M'!$C$62</f>
        <v>Capex</v>
      </c>
      <c r="F2332" t="s">
        <v>682</v>
      </c>
      <c r="G2332" t="str">
        <f>'4M'!$D$62</f>
        <v>£m</v>
      </c>
      <c r="O2332" t="str">
        <f>_xlfn.CONCAT('4M'!$B$58, "-", '4M'!$B$62, "-", '4M'!$H$7, "-", '4M'!$F$6, "-", '4M'!$F$5)</f>
        <v>Other enhancement-Reduce flooding risk for properties-Highway drainage-Wastewater network+ -Expenditure in report year</v>
      </c>
    </row>
    <row r="2333" spans="1:15">
      <c r="A2333" t="s">
        <v>643</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682</v>
      </c>
      <c r="G2333" t="str">
        <f>'4M'!$D$62</f>
        <v>£m</v>
      </c>
      <c r="O2333" t="str">
        <f>_xlfn.CONCAT('4M'!$B$58, "-", '4M'!$B$62, "-", '4M'!$I$7, "-", '4M'!$F$6, "-", '4M'!$F$5)</f>
        <v>Other enhancement-Reduce flooding risk for properties-Sewage treatment and disposal-Wastewater network+ -Expenditure in report year</v>
      </c>
    </row>
    <row r="2334" spans="1:15">
      <c r="A2334" t="s">
        <v>643</v>
      </c>
      <c r="B2334" t="str">
        <f>'4M'!$BL$62</f>
        <v>B0336RFC_SLT</v>
      </c>
      <c r="D2334" t="str">
        <f>_xlfn.CONCAT('4M'!$B$58, "-", '4M'!$B$62, "-", '4M'!$J$7, "-", '4M'!$F$6, "-", '4M'!$F$5)</f>
        <v>Other enhancement-Reduce flooding risk for properties-Sludge liquor treatment-Wastewater network+ -Expenditure in report year</v>
      </c>
      <c r="E2334" t="str">
        <f>'4M'!$C$62</f>
        <v>Capex</v>
      </c>
      <c r="F2334" t="s">
        <v>682</v>
      </c>
      <c r="G2334" t="str">
        <f>'4M'!$D$62</f>
        <v>£m</v>
      </c>
      <c r="O2334" t="str">
        <f>_xlfn.CONCAT('4M'!$B$58, "-", '4M'!$B$62, "-", '4M'!$J$7, "-", '4M'!$F$6, "-", '4M'!$F$5)</f>
        <v>Other enhancement-Reduce flooding risk for properties-Sludge liquor treatment-Wastewater network+ -Expenditure in report year</v>
      </c>
    </row>
    <row r="2335" spans="1:15">
      <c r="A2335" t="s">
        <v>643</v>
      </c>
      <c r="B2335" t="str">
        <f>'4M'!$BM$62</f>
        <v>B0336RFC_STP</v>
      </c>
      <c r="D2335" t="str">
        <f>_xlfn.CONCAT('4M'!$B$58, "-", '4M'!$B$62, "-", '4M'!$K$7, "-", '4M'!$K$6, "-", '4M'!$F$5)</f>
        <v>Other enhancement-Reduce flooding risk for properties-Sludge transport-Bioresources-Expenditure in report year</v>
      </c>
      <c r="E2335" t="str">
        <f>'4M'!$C$62</f>
        <v>Capex</v>
      </c>
      <c r="F2335" t="s">
        <v>682</v>
      </c>
      <c r="G2335" t="str">
        <f>'4M'!$D$62</f>
        <v>£m</v>
      </c>
      <c r="O2335" t="str">
        <f>_xlfn.CONCAT('4M'!$B$58, "-", '4M'!$B$62, "-", '4M'!$K$7, "-", '4M'!$K$6, "-", '4M'!$F$5)</f>
        <v>Other enhancement-Reduce flooding risk for properties-Sludge transport-Bioresources-Expenditure in report year</v>
      </c>
    </row>
    <row r="2336" spans="1:15">
      <c r="A2336" t="s">
        <v>643</v>
      </c>
      <c r="B2336" t="str">
        <f>'4M'!$BN$62</f>
        <v>B0336RFC_SDT</v>
      </c>
      <c r="D2336" t="str">
        <f>_xlfn.CONCAT('4M'!$B$58, "-", '4M'!$B$62, "-", '4M'!$L$7, "-", '4M'!$K$6, "-", '4M'!$F$5)</f>
        <v>Other enhancement-Reduce flooding risk for properties-Sludge treatment-Bioresources-Expenditure in report year</v>
      </c>
      <c r="E2336" t="str">
        <f>'4M'!$C$62</f>
        <v>Capex</v>
      </c>
      <c r="F2336" t="s">
        <v>682</v>
      </c>
      <c r="G2336" t="str">
        <f>'4M'!$D$62</f>
        <v>£m</v>
      </c>
      <c r="O2336" t="str">
        <f>_xlfn.CONCAT('4M'!$B$58, "-", '4M'!$B$62, "-", '4M'!$L$7, "-", '4M'!$K$6, "-", '4M'!$F$5)</f>
        <v>Other enhancement-Reduce flooding risk for properties-Sludge treatment-Bioresources-Expenditure in report year</v>
      </c>
    </row>
    <row r="2337" spans="1:15">
      <c r="A2337" t="s">
        <v>643</v>
      </c>
      <c r="B2337" t="str">
        <f>'4M'!$BO$62</f>
        <v>B0336RFC_SD</v>
      </c>
      <c r="D2337" t="str">
        <f>_xlfn.CONCAT('4M'!$B$58, "-", '4M'!$B$62, "-", '4M'!$M$7, "-", '4M'!$K$6, "-", '4M'!$F$5)</f>
        <v>Other enhancement-Reduce flooding risk for properties-Sludge disposal-Bioresources-Expenditure in report year</v>
      </c>
      <c r="E2337" t="str">
        <f>'4M'!$C$62</f>
        <v>Capex</v>
      </c>
      <c r="F2337" t="s">
        <v>682</v>
      </c>
      <c r="G2337" t="str">
        <f>'4M'!$D$62</f>
        <v>£m</v>
      </c>
      <c r="O2337" t="str">
        <f>_xlfn.CONCAT('4M'!$B$58, "-", '4M'!$B$62, "-", '4M'!$M$7, "-", '4M'!$K$6, "-", '4M'!$F$5)</f>
        <v>Other enhancement-Reduce flooding risk for properties-Sludge disposal-Bioresources-Expenditure in report year</v>
      </c>
    </row>
    <row r="2338" spans="1:15">
      <c r="A2338" t="s">
        <v>643</v>
      </c>
      <c r="B2338" t="str">
        <f>'4M'!$BP$62</f>
        <v>B0336RFC_TOT</v>
      </c>
      <c r="D2338" t="str">
        <f>_xlfn.CONCAT('4M'!$B$58, "-", '4M'!$B$62, "-", '4M'!$N$6, "-", '4M'!$N$6, "-", '4M'!$F$5)</f>
        <v>Other enhancement-Reduce flooding risk for properties-Total-Total-Expenditure in report year</v>
      </c>
      <c r="E2338" t="str">
        <f>'4M'!$C$62</f>
        <v>Capex</v>
      </c>
      <c r="F2338" t="s">
        <v>682</v>
      </c>
      <c r="G2338" t="str">
        <f>'4M'!$D$62</f>
        <v>£m</v>
      </c>
      <c r="O2338" t="str">
        <f>_xlfn.CONCAT('4M'!$B$58, "-", '4M'!$B$62, "-", '4M'!$N$6, "-", '4M'!$N$6, "-", '4M'!$F$5)</f>
        <v>Other enhancement-Reduce flooding risk for properties-Total-Total-Expenditure in report year</v>
      </c>
    </row>
    <row r="2339" spans="1:15">
      <c r="A2339" t="s">
        <v>643</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682</v>
      </c>
      <c r="G2339" t="str">
        <f>'4M'!$D$62</f>
        <v>£m</v>
      </c>
      <c r="O2339" t="str">
        <f>_xlfn.CONCAT('4M'!$B$58, "-", '4M'!$B$62, "-", '4M'!$O$7, "-", '4M'!$O$6, "-", '4M'!$O$5)</f>
        <v>Other enhancement-Reduce flooding risk for properties-Foul-Wastewater network+ -Cumulative expenditure on schemes completed in the report year</v>
      </c>
    </row>
    <row r="2340" spans="1:15">
      <c r="A2340" t="s">
        <v>643</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682</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643</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682</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643</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682</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643</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682</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643</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682</v>
      </c>
      <c r="G2344" t="str">
        <f>'4M'!$D$62</f>
        <v>£m</v>
      </c>
      <c r="O2344" t="str">
        <f>_xlfn.CONCAT('4M'!$B$58, "-", '4M'!$B$62, "-", '4M'!$T$7, "-", '4M'!$T$6, "-", '4M'!$O$5)</f>
        <v>Other enhancement-Reduce flooding risk for properties-Sludge transport-Bioresources-Cumulative expenditure on schemes completed in the report year</v>
      </c>
    </row>
    <row r="2345" spans="1:15">
      <c r="A2345" t="s">
        <v>643</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682</v>
      </c>
      <c r="G2345" t="str">
        <f>'4M'!$D$62</f>
        <v>£m</v>
      </c>
      <c r="O2345" t="str">
        <f>_xlfn.CONCAT('4M'!$B$58, "-", '4M'!$B$62, "-", '4M'!$U$7, "-", '4M'!$T$6, "-", '4M'!$O$5)</f>
        <v>Other enhancement-Reduce flooding risk for properties-Sludge treatment-Bioresources-Cumulative expenditure on schemes completed in the report year</v>
      </c>
    </row>
    <row r="2346" spans="1:15">
      <c r="A2346" t="s">
        <v>643</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682</v>
      </c>
      <c r="G2346" t="str">
        <f>'4M'!$D$62</f>
        <v>£m</v>
      </c>
      <c r="O2346" t="str">
        <f>_xlfn.CONCAT('4M'!$B$58, "-", '4M'!$B$62, "-", '4M'!$V$7, "-", '4M'!$T$6, "-", '4M'!$O$5)</f>
        <v>Other enhancement-Reduce flooding risk for properties-Sludge disposal-Bioresources-Cumulative expenditure on schemes completed in the report year</v>
      </c>
    </row>
    <row r="2347" spans="1:15">
      <c r="A2347" t="s">
        <v>643</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682</v>
      </c>
      <c r="G2347" t="str">
        <f>'4M'!$D$62</f>
        <v>£m</v>
      </c>
      <c r="O2347" t="str">
        <f>_xlfn.CONCAT('4M'!$B$58, "-", '4M'!$B$62, "-", '4M'!$W$6, "-", '4M'!$W$6, "-", '4M'!$O$5)</f>
        <v>Other enhancement-Reduce flooding risk for properties-Total-Total-Cumulative expenditure on schemes completed in the report year</v>
      </c>
    </row>
    <row r="2348" spans="1:15">
      <c r="A2348" t="s">
        <v>643</v>
      </c>
      <c r="B2348" t="str">
        <f>'4M'!$BH$63</f>
        <v>B0337RFO_F</v>
      </c>
      <c r="D2348" t="str">
        <f>_xlfn.CONCAT('4M'!$B$58, "-", '4M'!$B$63, "-", '4M'!$F$7, "-", '4M'!$F$6, "-", '4M'!$F$5)</f>
        <v>Other enhancement-Reduce flooding risk for properties-Foul-Wastewater network+ -Expenditure in report year</v>
      </c>
      <c r="E2348" t="str">
        <f>'4M'!$C$63</f>
        <v>Opex</v>
      </c>
      <c r="F2348" t="s">
        <v>682</v>
      </c>
      <c r="G2348" t="str">
        <f>'4M'!$D$63</f>
        <v>£m</v>
      </c>
      <c r="O2348" t="str">
        <f>_xlfn.CONCAT('4M'!$B$58, "-", '4M'!$B$63, "-", '4M'!$F$7, "-", '4M'!$F$6, "-", '4M'!$F$5)</f>
        <v>Other enhancement-Reduce flooding risk for properties-Foul-Wastewater network+ -Expenditure in report year</v>
      </c>
    </row>
    <row r="2349" spans="1:15">
      <c r="A2349" t="s">
        <v>643</v>
      </c>
      <c r="B2349" t="str">
        <f>'4M'!$BI$63</f>
        <v>B0337RFO_SWD</v>
      </c>
      <c r="D2349" t="str">
        <f>_xlfn.CONCAT('4M'!$B$58, "-", '4M'!$B$63, "-", '4M'!$G$7, "-", '4M'!$F$6, "-", '4M'!$F$5)</f>
        <v>Other enhancement-Reduce flooding risk for properties-Surface water drainage-Wastewater network+ -Expenditure in report year</v>
      </c>
      <c r="E2349" t="str">
        <f>'4M'!$C$63</f>
        <v>Opex</v>
      </c>
      <c r="F2349" t="s">
        <v>682</v>
      </c>
      <c r="G2349" t="str">
        <f>'4M'!$D$63</f>
        <v>£m</v>
      </c>
      <c r="O2349" t="str">
        <f>_xlfn.CONCAT('4M'!$B$58, "-", '4M'!$B$63, "-", '4M'!$G$7, "-", '4M'!$F$6, "-", '4M'!$F$5)</f>
        <v>Other enhancement-Reduce flooding risk for properties-Surface water drainage-Wastewater network+ -Expenditure in report year</v>
      </c>
    </row>
    <row r="2350" spans="1:15">
      <c r="A2350" t="s">
        <v>643</v>
      </c>
      <c r="B2350" t="str">
        <f>'4M'!$BJ$63</f>
        <v>B0337RFO_HD</v>
      </c>
      <c r="D2350" t="str">
        <f>_xlfn.CONCAT('4M'!$B$58, "-", '4M'!$B$63, "-", '4M'!$H$7, "-", '4M'!$F$6, "-", '4M'!$F$5)</f>
        <v>Other enhancement-Reduce flooding risk for properties-Highway drainage-Wastewater network+ -Expenditure in report year</v>
      </c>
      <c r="E2350" t="str">
        <f>'4M'!$C$63</f>
        <v>Opex</v>
      </c>
      <c r="F2350" t="s">
        <v>682</v>
      </c>
      <c r="G2350" t="str">
        <f>'4M'!$D$63</f>
        <v>£m</v>
      </c>
      <c r="O2350" t="str">
        <f>_xlfn.CONCAT('4M'!$B$58, "-", '4M'!$B$63, "-", '4M'!$H$7, "-", '4M'!$F$6, "-", '4M'!$F$5)</f>
        <v>Other enhancement-Reduce flooding risk for properties-Highway drainage-Wastewater network+ -Expenditure in report year</v>
      </c>
    </row>
    <row r="2351" spans="1:15">
      <c r="A2351" t="s">
        <v>643</v>
      </c>
      <c r="B2351" t="str">
        <f>'4M'!$BK$63</f>
        <v>B0337RFO_STD</v>
      </c>
      <c r="D2351" t="str">
        <f>_xlfn.CONCAT('4M'!$B$58, "-", '4M'!$B$63, "-", '4M'!$I$7, "-", '4M'!$F$6, "-", '4M'!$F$5)</f>
        <v>Other enhancement-Reduce flooding risk for properties-Sewage treatment and disposal-Wastewater network+ -Expenditure in report year</v>
      </c>
      <c r="E2351" t="str">
        <f>'4M'!$C$63</f>
        <v>Opex</v>
      </c>
      <c r="F2351" t="s">
        <v>682</v>
      </c>
      <c r="G2351" t="str">
        <f>'4M'!$D$63</f>
        <v>£m</v>
      </c>
      <c r="O2351" t="str">
        <f>_xlfn.CONCAT('4M'!$B$58, "-", '4M'!$B$63, "-", '4M'!$I$7, "-", '4M'!$F$6, "-", '4M'!$F$5)</f>
        <v>Other enhancement-Reduce flooding risk for properties-Sewage treatment and disposal-Wastewater network+ -Expenditure in report year</v>
      </c>
    </row>
    <row r="2352" spans="1:15">
      <c r="A2352" t="s">
        <v>643</v>
      </c>
      <c r="B2352" t="str">
        <f>'4M'!$BL$63</f>
        <v>B0337RFO_SLT</v>
      </c>
      <c r="D2352" t="str">
        <f>_xlfn.CONCAT('4M'!$B$58, "-", '4M'!$B$63, "-", '4M'!$J$7, "-", '4M'!$F$6, "-", '4M'!$F$5)</f>
        <v>Other enhancement-Reduce flooding risk for properties-Sludge liquor treatment-Wastewater network+ -Expenditure in report year</v>
      </c>
      <c r="E2352" t="str">
        <f>'4M'!$C$63</f>
        <v>Opex</v>
      </c>
      <c r="F2352" t="s">
        <v>682</v>
      </c>
      <c r="G2352" t="str">
        <f>'4M'!$D$63</f>
        <v>£m</v>
      </c>
      <c r="O2352" t="str">
        <f>_xlfn.CONCAT('4M'!$B$58, "-", '4M'!$B$63, "-", '4M'!$J$7, "-", '4M'!$F$6, "-", '4M'!$F$5)</f>
        <v>Other enhancement-Reduce flooding risk for properties-Sludge liquor treatment-Wastewater network+ -Expenditure in report year</v>
      </c>
    </row>
    <row r="2353" spans="1:15">
      <c r="A2353" t="s">
        <v>643</v>
      </c>
      <c r="B2353" t="str">
        <f>'4M'!$BM$63</f>
        <v>B0337RFO_STP</v>
      </c>
      <c r="D2353" t="str">
        <f>_xlfn.CONCAT('4M'!$B$58, "-", '4M'!$B$63, "-", '4M'!$K$7, "-", '4M'!$K$6, "-", '4M'!$F$5)</f>
        <v>Other enhancement-Reduce flooding risk for properties-Sludge transport-Bioresources-Expenditure in report year</v>
      </c>
      <c r="E2353" t="str">
        <f>'4M'!$C$63</f>
        <v>Opex</v>
      </c>
      <c r="F2353" t="s">
        <v>682</v>
      </c>
      <c r="G2353" t="str">
        <f>'4M'!$D$63</f>
        <v>£m</v>
      </c>
      <c r="O2353" t="str">
        <f>_xlfn.CONCAT('4M'!$B$58, "-", '4M'!$B$63, "-", '4M'!$K$7, "-", '4M'!$K$6, "-", '4M'!$F$5)</f>
        <v>Other enhancement-Reduce flooding risk for properties-Sludge transport-Bioresources-Expenditure in report year</v>
      </c>
    </row>
    <row r="2354" spans="1:15">
      <c r="A2354" t="s">
        <v>643</v>
      </c>
      <c r="B2354" t="str">
        <f>'4M'!$BN$63</f>
        <v>B0337RFO_SDT</v>
      </c>
      <c r="D2354" t="str">
        <f>_xlfn.CONCAT('4M'!$B$58, "-", '4M'!$B$63, "-", '4M'!$L$7, "-", '4M'!$K$6, "-", '4M'!$F$5)</f>
        <v>Other enhancement-Reduce flooding risk for properties-Sludge treatment-Bioresources-Expenditure in report year</v>
      </c>
      <c r="E2354" t="str">
        <f>'4M'!$C$63</f>
        <v>Opex</v>
      </c>
      <c r="F2354" t="s">
        <v>682</v>
      </c>
      <c r="G2354" t="str">
        <f>'4M'!$D$63</f>
        <v>£m</v>
      </c>
      <c r="O2354" t="str">
        <f>_xlfn.CONCAT('4M'!$B$58, "-", '4M'!$B$63, "-", '4M'!$L$7, "-", '4M'!$K$6, "-", '4M'!$F$5)</f>
        <v>Other enhancement-Reduce flooding risk for properties-Sludge treatment-Bioresources-Expenditure in report year</v>
      </c>
    </row>
    <row r="2355" spans="1:15">
      <c r="A2355" t="s">
        <v>643</v>
      </c>
      <c r="B2355" t="str">
        <f>'4M'!$BO$63</f>
        <v>B0337RFO_SD</v>
      </c>
      <c r="D2355" t="str">
        <f>_xlfn.CONCAT('4M'!$B$58, "-", '4M'!$B$63, "-", '4M'!$M$7, "-", '4M'!$K$6, "-", '4M'!$F$5)</f>
        <v>Other enhancement-Reduce flooding risk for properties-Sludge disposal-Bioresources-Expenditure in report year</v>
      </c>
      <c r="E2355" t="str">
        <f>'4M'!$C$63</f>
        <v>Opex</v>
      </c>
      <c r="F2355" t="s">
        <v>682</v>
      </c>
      <c r="G2355" t="str">
        <f>'4M'!$D$63</f>
        <v>£m</v>
      </c>
      <c r="O2355" t="str">
        <f>_xlfn.CONCAT('4M'!$B$58, "-", '4M'!$B$63, "-", '4M'!$M$7, "-", '4M'!$K$6, "-", '4M'!$F$5)</f>
        <v>Other enhancement-Reduce flooding risk for properties-Sludge disposal-Bioresources-Expenditure in report year</v>
      </c>
    </row>
    <row r="2356" spans="1:15">
      <c r="A2356" t="s">
        <v>643</v>
      </c>
      <c r="B2356" t="str">
        <f>'4M'!$BP$63</f>
        <v>B0337RFO_TOT</v>
      </c>
      <c r="D2356" t="str">
        <f>_xlfn.CONCAT('4M'!$B$58, "-", '4M'!$B$63, "-", '4M'!$N$6, "-", '4M'!$N$6, "-", '4M'!$F$5)</f>
        <v>Other enhancement-Reduce flooding risk for properties-Total-Total-Expenditure in report year</v>
      </c>
      <c r="E2356" t="str">
        <f>'4M'!$C$63</f>
        <v>Opex</v>
      </c>
      <c r="F2356" t="s">
        <v>682</v>
      </c>
      <c r="G2356" t="str">
        <f>'4M'!$D$63</f>
        <v>£m</v>
      </c>
      <c r="O2356" t="str">
        <f>_xlfn.CONCAT('4M'!$B$58, "-", '4M'!$B$63, "-", '4M'!$N$6, "-", '4M'!$N$6, "-", '4M'!$F$5)</f>
        <v>Other enhancement-Reduce flooding risk for properties-Total-Total-Expenditure in report year</v>
      </c>
    </row>
    <row r="2357" spans="1:15">
      <c r="A2357" t="s">
        <v>643</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682</v>
      </c>
      <c r="G2357" t="str">
        <f>'4M'!$D$63</f>
        <v>£m</v>
      </c>
      <c r="O2357" t="str">
        <f>_xlfn.CONCAT('4M'!$B$58, "-", '4M'!$B$63, "-", '4M'!$O$7, "-", '4M'!$O$6, "-", '4M'!$O$5)</f>
        <v>Other enhancement-Reduce flooding risk for properties-Foul-Wastewater network+ -Cumulative expenditure on schemes completed in the report year</v>
      </c>
    </row>
    <row r="2358" spans="1:15">
      <c r="A2358" t="s">
        <v>643</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682</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643</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682</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643</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682</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643</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682</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643</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682</v>
      </c>
      <c r="G2362" t="str">
        <f>'4M'!$D$63</f>
        <v>£m</v>
      </c>
      <c r="O2362" t="str">
        <f>_xlfn.CONCAT('4M'!$B$58, "-", '4M'!$B$63, "-", '4M'!$T$7, "-", '4M'!$T$6, "-", '4M'!$O$5)</f>
        <v>Other enhancement-Reduce flooding risk for properties-Sludge transport-Bioresources-Cumulative expenditure on schemes completed in the report year</v>
      </c>
    </row>
    <row r="2363" spans="1:15">
      <c r="A2363" t="s">
        <v>643</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682</v>
      </c>
      <c r="G2363" t="str">
        <f>'4M'!$D$63</f>
        <v>£m</v>
      </c>
      <c r="O2363" t="str">
        <f>_xlfn.CONCAT('4M'!$B$58, "-", '4M'!$B$63, "-", '4M'!$U$7, "-", '4M'!$T$6, "-", '4M'!$O$5)</f>
        <v>Other enhancement-Reduce flooding risk for properties-Sludge treatment-Bioresources-Cumulative expenditure on schemes completed in the report year</v>
      </c>
    </row>
    <row r="2364" spans="1:15">
      <c r="A2364" t="s">
        <v>643</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682</v>
      </c>
      <c r="G2364" t="str">
        <f>'4M'!$D$63</f>
        <v>£m</v>
      </c>
      <c r="O2364" t="str">
        <f>_xlfn.CONCAT('4M'!$B$58, "-", '4M'!$B$63, "-", '4M'!$V$7, "-", '4M'!$T$6, "-", '4M'!$O$5)</f>
        <v>Other enhancement-Reduce flooding risk for properties-Sludge disposal-Bioresources-Cumulative expenditure on schemes completed in the report year</v>
      </c>
    </row>
    <row r="2365" spans="1:15">
      <c r="A2365" t="s">
        <v>643</v>
      </c>
      <c r="B2365" t="str">
        <f>'4M'!$BY$63</f>
        <v>B0337RFO_C_TOT</v>
      </c>
      <c r="D2365" t="str">
        <f>_xlfn.CONCAT('4M'!$B$58, "-", '4M'!$B$63, "-", '4M'!$W$6, "-", '4M'!$W$6, "-", '4M'!$O$5)</f>
        <v>Other enhancement-Reduce flooding risk for properties-Total-Total-Cumulative expenditure on schemes completed in the report year</v>
      </c>
      <c r="E2365" t="str">
        <f>'4M'!$C$63</f>
        <v>Opex</v>
      </c>
      <c r="F2365" t="s">
        <v>682</v>
      </c>
      <c r="G2365" t="str">
        <f>'4M'!$D$63</f>
        <v>£m</v>
      </c>
      <c r="O2365" t="str">
        <f>_xlfn.CONCAT('4M'!$B$58, "-", '4M'!$B$63, "-", '4M'!$W$6, "-", '4M'!$W$6, "-", '4M'!$O$5)</f>
        <v>Other enhancement-Reduce flooding risk for properties-Total-Total-Cumulative expenditure on schemes completed in the report year</v>
      </c>
    </row>
    <row r="2366" spans="1:15">
      <c r="A2366" t="s">
        <v>643</v>
      </c>
      <c r="B2366" t="str">
        <f>'4M'!$BH$64</f>
        <v>B0338RFT_F</v>
      </c>
      <c r="D2366" t="str">
        <f>_xlfn.CONCAT('4M'!$B$58, "-", '4M'!$B$64, "-", '4M'!$F$7, "-", '4M'!$F$6, "-", '4M'!$F$5)</f>
        <v>Other enhancement-Reduce flooding risk for properties-Foul-Wastewater network+ -Expenditure in report year</v>
      </c>
      <c r="E2366" t="str">
        <f>'4M'!$C$64</f>
        <v>Totex</v>
      </c>
      <c r="F2366" t="s">
        <v>682</v>
      </c>
      <c r="G2366" t="str">
        <f>'4M'!$D$64</f>
        <v>£m</v>
      </c>
      <c r="O2366" t="str">
        <f>_xlfn.CONCAT('4M'!$B$58, "-", '4M'!$B$64, "-", '4M'!$F$7, "-", '4M'!$F$6, "-", '4M'!$F$5)</f>
        <v>Other enhancement-Reduce flooding risk for properties-Foul-Wastewater network+ -Expenditure in report year</v>
      </c>
    </row>
    <row r="2367" spans="1:15">
      <c r="A2367" t="s">
        <v>643</v>
      </c>
      <c r="B2367" t="str">
        <f>'4M'!$BI$64</f>
        <v>B0338RFT_SWD</v>
      </c>
      <c r="D2367" t="str">
        <f>_xlfn.CONCAT('4M'!$B$58, "-", '4M'!$B$64, "-", '4M'!$G$7, "-", '4M'!$F$6, "-", '4M'!$F$5)</f>
        <v>Other enhancement-Reduce flooding risk for properties-Surface water drainage-Wastewater network+ -Expenditure in report year</v>
      </c>
      <c r="E2367" t="str">
        <f>'4M'!$C$64</f>
        <v>Totex</v>
      </c>
      <c r="F2367" t="s">
        <v>682</v>
      </c>
      <c r="G2367" t="str">
        <f>'4M'!$D$64</f>
        <v>£m</v>
      </c>
      <c r="O2367" t="str">
        <f>_xlfn.CONCAT('4M'!$B$58, "-", '4M'!$B$64, "-", '4M'!$G$7, "-", '4M'!$F$6, "-", '4M'!$F$5)</f>
        <v>Other enhancement-Reduce flooding risk for properties-Surface water drainage-Wastewater network+ -Expenditure in report year</v>
      </c>
    </row>
    <row r="2368" spans="1:15">
      <c r="A2368" t="s">
        <v>643</v>
      </c>
      <c r="B2368" t="str">
        <f>'4M'!$BJ$64</f>
        <v>B0338RFT_HD</v>
      </c>
      <c r="D2368" t="str">
        <f>_xlfn.CONCAT('4M'!$B$58, "-", '4M'!$B$64, "-", '4M'!$H$7, "-", '4M'!$F$6, "-", '4M'!$F$5)</f>
        <v>Other enhancement-Reduce flooding risk for properties-Highway drainage-Wastewater network+ -Expenditure in report year</v>
      </c>
      <c r="E2368" t="str">
        <f>'4M'!$C$64</f>
        <v>Totex</v>
      </c>
      <c r="F2368" t="s">
        <v>682</v>
      </c>
      <c r="G2368" t="str">
        <f>'4M'!$D$64</f>
        <v>£m</v>
      </c>
      <c r="O2368" t="str">
        <f>_xlfn.CONCAT('4M'!$B$58, "-", '4M'!$B$64, "-", '4M'!$H$7, "-", '4M'!$F$6, "-", '4M'!$F$5)</f>
        <v>Other enhancement-Reduce flooding risk for properties-Highway drainage-Wastewater network+ -Expenditure in report year</v>
      </c>
    </row>
    <row r="2369" spans="1:15">
      <c r="A2369" t="s">
        <v>643</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682</v>
      </c>
      <c r="G2369" t="str">
        <f>'4M'!$D$64</f>
        <v>£m</v>
      </c>
      <c r="O2369" t="str">
        <f>_xlfn.CONCAT('4M'!$B$58, "-", '4M'!$B$64, "-", '4M'!$I$7, "-", '4M'!$F$6, "-", '4M'!$F$5)</f>
        <v>Other enhancement-Reduce flooding risk for properties-Sewage treatment and disposal-Wastewater network+ -Expenditure in report year</v>
      </c>
    </row>
    <row r="2370" spans="1:15">
      <c r="A2370" t="s">
        <v>643</v>
      </c>
      <c r="B2370" t="str">
        <f>'4M'!$BL$64</f>
        <v>B0338RFT_SLT</v>
      </c>
      <c r="D2370" t="str">
        <f>_xlfn.CONCAT('4M'!$B$58, "-", '4M'!$B$64, "-", '4M'!$J$7, "-", '4M'!$F$6, "-", '4M'!$F$5)</f>
        <v>Other enhancement-Reduce flooding risk for properties-Sludge liquor treatment-Wastewater network+ -Expenditure in report year</v>
      </c>
      <c r="E2370" t="str">
        <f>'4M'!$C$64</f>
        <v>Totex</v>
      </c>
      <c r="F2370" t="s">
        <v>682</v>
      </c>
      <c r="G2370" t="str">
        <f>'4M'!$D$64</f>
        <v>£m</v>
      </c>
      <c r="O2370" t="str">
        <f>_xlfn.CONCAT('4M'!$B$58, "-", '4M'!$B$64, "-", '4M'!$J$7, "-", '4M'!$F$6, "-", '4M'!$F$5)</f>
        <v>Other enhancement-Reduce flooding risk for properties-Sludge liquor treatment-Wastewater network+ -Expenditure in report year</v>
      </c>
    </row>
    <row r="2371" spans="1:15">
      <c r="A2371" t="s">
        <v>643</v>
      </c>
      <c r="B2371" t="str">
        <f>'4M'!$BM$64</f>
        <v>B0338RFT_STP</v>
      </c>
      <c r="D2371" t="str">
        <f>_xlfn.CONCAT('4M'!$B$58, "-", '4M'!$B$64, "-", '4M'!$K$7, "-", '4M'!$K$6, "-", '4M'!$F$5)</f>
        <v>Other enhancement-Reduce flooding risk for properties-Sludge transport-Bioresources-Expenditure in report year</v>
      </c>
      <c r="E2371" t="str">
        <f>'4M'!$C$64</f>
        <v>Totex</v>
      </c>
      <c r="F2371" t="s">
        <v>682</v>
      </c>
      <c r="G2371" t="str">
        <f>'4M'!$D$64</f>
        <v>£m</v>
      </c>
      <c r="O2371" t="str">
        <f>_xlfn.CONCAT('4M'!$B$58, "-", '4M'!$B$64, "-", '4M'!$K$7, "-", '4M'!$K$6, "-", '4M'!$F$5)</f>
        <v>Other enhancement-Reduce flooding risk for properties-Sludge transport-Bioresources-Expenditure in report year</v>
      </c>
    </row>
    <row r="2372" spans="1:15">
      <c r="A2372" t="s">
        <v>643</v>
      </c>
      <c r="B2372" t="str">
        <f>'4M'!$BN$64</f>
        <v>B0338RFT_SDT</v>
      </c>
      <c r="D2372" t="str">
        <f>_xlfn.CONCAT('4M'!$B$58, "-", '4M'!$B$64, "-", '4M'!$L$7, "-", '4M'!$K$6, "-", '4M'!$F$5)</f>
        <v>Other enhancement-Reduce flooding risk for properties-Sludge treatment-Bioresources-Expenditure in report year</v>
      </c>
      <c r="E2372" t="str">
        <f>'4M'!$C$64</f>
        <v>Totex</v>
      </c>
      <c r="F2372" t="s">
        <v>682</v>
      </c>
      <c r="G2372" t="str">
        <f>'4M'!$D$64</f>
        <v>£m</v>
      </c>
      <c r="O2372" t="str">
        <f>_xlfn.CONCAT('4M'!$B$58, "-", '4M'!$B$64, "-", '4M'!$L$7, "-", '4M'!$K$6, "-", '4M'!$F$5)</f>
        <v>Other enhancement-Reduce flooding risk for properties-Sludge treatment-Bioresources-Expenditure in report year</v>
      </c>
    </row>
    <row r="2373" spans="1:15">
      <c r="A2373" t="s">
        <v>643</v>
      </c>
      <c r="B2373" t="str">
        <f>'4M'!$BO$64</f>
        <v>B0338RFT_SD</v>
      </c>
      <c r="D2373" t="str">
        <f>_xlfn.CONCAT('4M'!$B$58, "-", '4M'!$B$64, "-", '4M'!$M$7, "-", '4M'!$K$6, "-", '4M'!$F$5)</f>
        <v>Other enhancement-Reduce flooding risk for properties-Sludge disposal-Bioresources-Expenditure in report year</v>
      </c>
      <c r="E2373" t="str">
        <f>'4M'!$C$64</f>
        <v>Totex</v>
      </c>
      <c r="F2373" t="s">
        <v>682</v>
      </c>
      <c r="G2373" t="str">
        <f>'4M'!$D$64</f>
        <v>£m</v>
      </c>
      <c r="O2373" t="str">
        <f>_xlfn.CONCAT('4M'!$B$58, "-", '4M'!$B$64, "-", '4M'!$M$7, "-", '4M'!$K$6, "-", '4M'!$F$5)</f>
        <v>Other enhancement-Reduce flooding risk for properties-Sludge disposal-Bioresources-Expenditure in report year</v>
      </c>
    </row>
    <row r="2374" spans="1:15">
      <c r="A2374" t="s">
        <v>643</v>
      </c>
      <c r="B2374" t="str">
        <f>'4M'!$BP$64</f>
        <v>B0338RFT_TOT</v>
      </c>
      <c r="D2374" t="str">
        <f>_xlfn.CONCAT('4M'!$B$58, "-", '4M'!$B$64, "-", '4M'!$N$6, "-", '4M'!$N$6, "-", '4M'!$F$5)</f>
        <v>Other enhancement-Reduce flooding risk for properties-Total-Total-Expenditure in report year</v>
      </c>
      <c r="E2374" t="str">
        <f>'4M'!$C$64</f>
        <v>Totex</v>
      </c>
      <c r="F2374" t="s">
        <v>682</v>
      </c>
      <c r="G2374" t="str">
        <f>'4M'!$D$64</f>
        <v>£m</v>
      </c>
      <c r="O2374" t="str">
        <f>_xlfn.CONCAT('4M'!$B$58, "-", '4M'!$B$64, "-", '4M'!$N$6, "-", '4M'!$N$6, "-", '4M'!$F$5)</f>
        <v>Other enhancement-Reduce flooding risk for properties-Total-Total-Expenditure in report year</v>
      </c>
    </row>
    <row r="2375" spans="1:15">
      <c r="A2375" t="s">
        <v>643</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682</v>
      </c>
      <c r="G2375" t="str">
        <f>'4M'!$D$64</f>
        <v>£m</v>
      </c>
      <c r="O2375" t="str">
        <f>_xlfn.CONCAT('4M'!$B$58, "-", '4M'!$B$64, "-", '4M'!$O$7, "-", '4M'!$O$6, "-", '4M'!$O$5)</f>
        <v>Other enhancement-Reduce flooding risk for properties-Foul-Wastewater network+ -Cumulative expenditure on schemes completed in the report year</v>
      </c>
    </row>
    <row r="2376" spans="1:15">
      <c r="A2376" t="s">
        <v>643</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682</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643</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682</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643</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682</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643</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682</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643</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682</v>
      </c>
      <c r="G2380" t="str">
        <f>'4M'!$D$64</f>
        <v>£m</v>
      </c>
      <c r="O2380" t="str">
        <f>_xlfn.CONCAT('4M'!$B$58, "-", '4M'!$B$64, "-", '4M'!$T$7, "-", '4M'!$T$6, "-", '4M'!$O$5)</f>
        <v>Other enhancement-Reduce flooding risk for properties-Sludge transport-Bioresources-Cumulative expenditure on schemes completed in the report year</v>
      </c>
    </row>
    <row r="2381" spans="1:15">
      <c r="A2381" t="s">
        <v>643</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682</v>
      </c>
      <c r="G2381" t="str">
        <f>'4M'!$D$64</f>
        <v>£m</v>
      </c>
      <c r="O2381" t="str">
        <f>_xlfn.CONCAT('4M'!$B$58, "-", '4M'!$B$64, "-", '4M'!$U$7, "-", '4M'!$T$6, "-", '4M'!$O$5)</f>
        <v>Other enhancement-Reduce flooding risk for properties-Sludge treatment-Bioresources-Cumulative expenditure on schemes completed in the report year</v>
      </c>
    </row>
    <row r="2382" spans="1:15">
      <c r="A2382" t="s">
        <v>643</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682</v>
      </c>
      <c r="G2382" t="str">
        <f>'4M'!$D$64</f>
        <v>£m</v>
      </c>
      <c r="O2382" t="str">
        <f>_xlfn.CONCAT('4M'!$B$58, "-", '4M'!$B$64, "-", '4M'!$V$7, "-", '4M'!$T$6, "-", '4M'!$O$5)</f>
        <v>Other enhancement-Reduce flooding risk for properties-Sludge disposal-Bioresources-Cumulative expenditure on schemes completed in the report year</v>
      </c>
    </row>
    <row r="2383" spans="1:15">
      <c r="A2383" t="s">
        <v>643</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682</v>
      </c>
      <c r="G2383" t="str">
        <f>'4M'!$D$64</f>
        <v>£m</v>
      </c>
      <c r="O2383" t="str">
        <f>_xlfn.CONCAT('4M'!$B$58, "-", '4M'!$B$64, "-", '4M'!$W$6, "-", '4M'!$W$6, "-", '4M'!$O$5)</f>
        <v>Other enhancement-Reduce flooding risk for properties-Total-Total-Cumulative expenditure on schemes completed in the report year</v>
      </c>
    </row>
    <row r="2384" spans="1:15">
      <c r="A2384" t="s">
        <v>643</v>
      </c>
      <c r="B2384" t="str">
        <f>'4M'!$BH$65</f>
        <v>B0339FTC_F</v>
      </c>
      <c r="D2384" t="str">
        <f>_xlfn.CONCAT('4M'!$B$58, "-", '4M'!$B$65, "-", '4M'!$F$7, "-", '4M'!$F$6, "-", '4M'!$F$5)</f>
        <v>Other enhancement-First time sewerage-Foul-Wastewater network+ -Expenditure in report year</v>
      </c>
      <c r="E2384" t="str">
        <f>'4M'!$C$65</f>
        <v>Capex</v>
      </c>
      <c r="F2384" t="s">
        <v>682</v>
      </c>
      <c r="G2384" t="str">
        <f>'4M'!$D$65</f>
        <v>£m</v>
      </c>
      <c r="O2384" t="str">
        <f>_xlfn.CONCAT('4M'!$B$58, "-", '4M'!$B$65, "-", '4M'!$F$7, "-", '4M'!$F$6, "-", '4M'!$F$5)</f>
        <v>Other enhancement-First time sewerage-Foul-Wastewater network+ -Expenditure in report year</v>
      </c>
    </row>
    <row r="2385" spans="1:15">
      <c r="A2385" t="s">
        <v>643</v>
      </c>
      <c r="B2385" t="str">
        <f>'4M'!$BI$65</f>
        <v>B0339FTC_SWD</v>
      </c>
      <c r="D2385" t="str">
        <f>_xlfn.CONCAT('4M'!$B$58, "-", '4M'!$B$65, "-", '4M'!$G$7, "-", '4M'!$F$6, "-", '4M'!$F$5)</f>
        <v>Other enhancement-First time sewerage-Surface water drainage-Wastewater network+ -Expenditure in report year</v>
      </c>
      <c r="E2385" t="str">
        <f>'4M'!$C$65</f>
        <v>Capex</v>
      </c>
      <c r="F2385" t="s">
        <v>682</v>
      </c>
      <c r="G2385" t="str">
        <f>'4M'!$D$65</f>
        <v>£m</v>
      </c>
      <c r="O2385" t="str">
        <f>_xlfn.CONCAT('4M'!$B$58, "-", '4M'!$B$65, "-", '4M'!$G$7, "-", '4M'!$F$6, "-", '4M'!$F$5)</f>
        <v>Other enhancement-First time sewerage-Surface water drainage-Wastewater network+ -Expenditure in report year</v>
      </c>
    </row>
    <row r="2386" spans="1:15">
      <c r="A2386" t="s">
        <v>643</v>
      </c>
      <c r="B2386" t="str">
        <f>'4M'!$BJ$65</f>
        <v>B0339FTC_HD</v>
      </c>
      <c r="D2386" t="str">
        <f>_xlfn.CONCAT('4M'!$B$58, "-", '4M'!$B$65, "-", '4M'!$H$7, "-", '4M'!$F$6, "-", '4M'!$F$5)</f>
        <v>Other enhancement-First time sewerage-Highway drainage-Wastewater network+ -Expenditure in report year</v>
      </c>
      <c r="E2386" t="str">
        <f>'4M'!$C$65</f>
        <v>Capex</v>
      </c>
      <c r="F2386" t="s">
        <v>682</v>
      </c>
      <c r="G2386" t="str">
        <f>'4M'!$D$65</f>
        <v>£m</v>
      </c>
      <c r="O2386" t="str">
        <f>_xlfn.CONCAT('4M'!$B$58, "-", '4M'!$B$65, "-", '4M'!$H$7, "-", '4M'!$F$6, "-", '4M'!$F$5)</f>
        <v>Other enhancement-First time sewerage-Highway drainage-Wastewater network+ -Expenditure in report year</v>
      </c>
    </row>
    <row r="2387" spans="1:15">
      <c r="A2387" t="s">
        <v>643</v>
      </c>
      <c r="B2387" t="str">
        <f>'4M'!$BK$65</f>
        <v>B0339FTC_STD</v>
      </c>
      <c r="D2387" t="str">
        <f>_xlfn.CONCAT('4M'!$B$58, "-", '4M'!$B$65, "-", '4M'!$I$7, "-", '4M'!$F$6, "-", '4M'!$F$5)</f>
        <v>Other enhancement-First time sewerage-Sewage treatment and disposal-Wastewater network+ -Expenditure in report year</v>
      </c>
      <c r="E2387" t="str">
        <f>'4M'!$C$65</f>
        <v>Capex</v>
      </c>
      <c r="F2387" t="s">
        <v>682</v>
      </c>
      <c r="G2387" t="str">
        <f>'4M'!$D$65</f>
        <v>£m</v>
      </c>
      <c r="O2387" t="str">
        <f>_xlfn.CONCAT('4M'!$B$58, "-", '4M'!$B$65, "-", '4M'!$I$7, "-", '4M'!$F$6, "-", '4M'!$F$5)</f>
        <v>Other enhancement-First time sewerage-Sewage treatment and disposal-Wastewater network+ -Expenditure in report year</v>
      </c>
    </row>
    <row r="2388" spans="1:15">
      <c r="A2388" t="s">
        <v>643</v>
      </c>
      <c r="B2388" t="str">
        <f>'4M'!$BL$65</f>
        <v>B0339FTC_SLT</v>
      </c>
      <c r="D2388" t="str">
        <f>_xlfn.CONCAT('4M'!$B$58, "-", '4M'!$B$65, "-", '4M'!$J$7, "-", '4M'!$F$6, "-", '4M'!$F$5)</f>
        <v>Other enhancement-First time sewerage-Sludge liquor treatment-Wastewater network+ -Expenditure in report year</v>
      </c>
      <c r="E2388" t="str">
        <f>'4M'!$C$65</f>
        <v>Capex</v>
      </c>
      <c r="F2388" t="s">
        <v>682</v>
      </c>
      <c r="G2388" t="str">
        <f>'4M'!$D$65</f>
        <v>£m</v>
      </c>
      <c r="O2388" t="str">
        <f>_xlfn.CONCAT('4M'!$B$58, "-", '4M'!$B$65, "-", '4M'!$J$7, "-", '4M'!$F$6, "-", '4M'!$F$5)</f>
        <v>Other enhancement-First time sewerage-Sludge liquor treatment-Wastewater network+ -Expenditure in report year</v>
      </c>
    </row>
    <row r="2389" spans="1:15">
      <c r="A2389" t="s">
        <v>643</v>
      </c>
      <c r="B2389" t="str">
        <f>'4M'!$BM$65</f>
        <v>B0339FTC_STP</v>
      </c>
      <c r="D2389" t="str">
        <f>_xlfn.CONCAT('4M'!$B$58, "-", '4M'!$B$65, "-", '4M'!$K$7, "-", '4M'!$K$6, "-", '4M'!$F$5)</f>
        <v>Other enhancement-First time sewerage-Sludge transport-Bioresources-Expenditure in report year</v>
      </c>
      <c r="E2389" t="str">
        <f>'4M'!$C$65</f>
        <v>Capex</v>
      </c>
      <c r="F2389" t="s">
        <v>682</v>
      </c>
      <c r="G2389" t="str">
        <f>'4M'!$D$65</f>
        <v>£m</v>
      </c>
      <c r="O2389" t="str">
        <f>_xlfn.CONCAT('4M'!$B$58, "-", '4M'!$B$65, "-", '4M'!$K$7, "-", '4M'!$K$6, "-", '4M'!$F$5)</f>
        <v>Other enhancement-First time sewerage-Sludge transport-Bioresources-Expenditure in report year</v>
      </c>
    </row>
    <row r="2390" spans="1:15">
      <c r="A2390" t="s">
        <v>643</v>
      </c>
      <c r="B2390" t="str">
        <f>'4M'!$BN$65</f>
        <v>B0339FTC_SDT</v>
      </c>
      <c r="D2390" t="str">
        <f>_xlfn.CONCAT('4M'!$B$58, "-", '4M'!$B$65, "-", '4M'!$L$7, "-", '4M'!$K$6, "-", '4M'!$F$5)</f>
        <v>Other enhancement-First time sewerage-Sludge treatment-Bioresources-Expenditure in report year</v>
      </c>
      <c r="E2390" t="str">
        <f>'4M'!$C$65</f>
        <v>Capex</v>
      </c>
      <c r="F2390" t="s">
        <v>682</v>
      </c>
      <c r="G2390" t="str">
        <f>'4M'!$D$65</f>
        <v>£m</v>
      </c>
      <c r="O2390" t="str">
        <f>_xlfn.CONCAT('4M'!$B$58, "-", '4M'!$B$65, "-", '4M'!$L$7, "-", '4M'!$K$6, "-", '4M'!$F$5)</f>
        <v>Other enhancement-First time sewerage-Sludge treatment-Bioresources-Expenditure in report year</v>
      </c>
    </row>
    <row r="2391" spans="1:15">
      <c r="A2391" t="s">
        <v>643</v>
      </c>
      <c r="B2391" t="str">
        <f>'4M'!$BO$65</f>
        <v>B0339FTC_SD</v>
      </c>
      <c r="D2391" t="str">
        <f>_xlfn.CONCAT('4M'!$B$58, "-", '4M'!$B$65, "-", '4M'!$M$7, "-", '4M'!$K$6, "-", '4M'!$F$5)</f>
        <v>Other enhancement-First time sewerage-Sludge disposal-Bioresources-Expenditure in report year</v>
      </c>
      <c r="E2391" t="str">
        <f>'4M'!$C$65</f>
        <v>Capex</v>
      </c>
      <c r="F2391" t="s">
        <v>682</v>
      </c>
      <c r="G2391" t="str">
        <f>'4M'!$D$65</f>
        <v>£m</v>
      </c>
      <c r="O2391" t="str">
        <f>_xlfn.CONCAT('4M'!$B$58, "-", '4M'!$B$65, "-", '4M'!$M$7, "-", '4M'!$K$6, "-", '4M'!$F$5)</f>
        <v>Other enhancement-First time sewerage-Sludge disposal-Bioresources-Expenditure in report year</v>
      </c>
    </row>
    <row r="2392" spans="1:15">
      <c r="A2392" t="s">
        <v>643</v>
      </c>
      <c r="B2392" t="str">
        <f>'4M'!$BP$65</f>
        <v>B0339FTC_TOT</v>
      </c>
      <c r="D2392" t="str">
        <f>_xlfn.CONCAT('4M'!$B$58, "-", '4M'!$B$65, "-", '4M'!$N$6, "-", '4M'!$N$6, "-", '4M'!$F$5)</f>
        <v>Other enhancement-First time sewerage-Total-Total-Expenditure in report year</v>
      </c>
      <c r="E2392" t="str">
        <f>'4M'!$C$65</f>
        <v>Capex</v>
      </c>
      <c r="F2392" t="s">
        <v>682</v>
      </c>
      <c r="G2392" t="str">
        <f>'4M'!$D$65</f>
        <v>£m</v>
      </c>
      <c r="O2392" t="str">
        <f>_xlfn.CONCAT('4M'!$B$58, "-", '4M'!$B$65, "-", '4M'!$N$6, "-", '4M'!$N$6, "-", '4M'!$F$5)</f>
        <v>Other enhancement-First time sewerage-Total-Total-Expenditure in report year</v>
      </c>
    </row>
    <row r="2393" spans="1:15">
      <c r="A2393" t="s">
        <v>643</v>
      </c>
      <c r="B2393" t="str">
        <f>'4M'!$BQ$65</f>
        <v>B0339FTC_C_F</v>
      </c>
      <c r="D2393" t="str">
        <f>_xlfn.CONCAT('4M'!$B$58, "-", '4M'!$B$65, "-", '4M'!$O$7, "-", '4M'!$O$6, "-", '4M'!$O$5)</f>
        <v>Other enhancement-First time sewerage-Foul-Wastewater network+ -Cumulative expenditure on schemes completed in the report year</v>
      </c>
      <c r="E2393" t="str">
        <f>'4M'!$C$65</f>
        <v>Capex</v>
      </c>
      <c r="F2393" t="s">
        <v>682</v>
      </c>
      <c r="G2393" t="str">
        <f>'4M'!$D$65</f>
        <v>£m</v>
      </c>
      <c r="O2393" t="str">
        <f>_xlfn.CONCAT('4M'!$B$58, "-", '4M'!$B$65, "-", '4M'!$O$7, "-", '4M'!$O$6, "-", '4M'!$O$5)</f>
        <v>Other enhancement-First time sewerage-Foul-Wastewater network+ -Cumulative expenditure on schemes completed in the report year</v>
      </c>
    </row>
    <row r="2394" spans="1:15">
      <c r="A2394" t="s">
        <v>643</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682</v>
      </c>
      <c r="G2394" t="str">
        <f>'4M'!$D$65</f>
        <v>£m</v>
      </c>
      <c r="O2394" t="str">
        <f>_xlfn.CONCAT('4M'!$B$58, "-", '4M'!$B$65, "-", '4M'!$P$7, "-", '4M'!$O$6, "-", '4M'!$O$5)</f>
        <v>Other enhancement-First time sewerage-Surface water drainage-Wastewater network+ -Cumulative expenditure on schemes completed in the report year</v>
      </c>
    </row>
    <row r="2395" spans="1:15">
      <c r="A2395" t="s">
        <v>643</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682</v>
      </c>
      <c r="G2395" t="str">
        <f>'4M'!$D$65</f>
        <v>£m</v>
      </c>
      <c r="O2395" t="str">
        <f>_xlfn.CONCAT('4M'!$B$58, "-", '4M'!$B$65, "-", '4M'!$Q$7, "-", '4M'!$O$6, "-", '4M'!$O$5)</f>
        <v>Other enhancement-First time sewerage-Highway drainage-Wastewater network+ -Cumulative expenditure on schemes completed in the report year</v>
      </c>
    </row>
    <row r="2396" spans="1:15">
      <c r="A2396" t="s">
        <v>643</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682</v>
      </c>
      <c r="G2396" t="str">
        <f>'4M'!$D$65</f>
        <v>£m</v>
      </c>
      <c r="O2396" t="str">
        <f>_xlfn.CONCAT('4M'!$B$58, "-", '4M'!$B$65, "-", '4M'!$R$7, "-", '4M'!$O$6, "-", '4M'!$O$5)</f>
        <v>Other enhancement-First time sewerage-Sewage treatment and disposal-Wastewater network+ -Cumulative expenditure on schemes completed in the report year</v>
      </c>
    </row>
    <row r="2397" spans="1:15">
      <c r="A2397" t="s">
        <v>643</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682</v>
      </c>
      <c r="G2397" t="str">
        <f>'4M'!$D$65</f>
        <v>£m</v>
      </c>
      <c r="O2397" t="str">
        <f>_xlfn.CONCAT('4M'!$B$58, "-", '4M'!$B$65, "-", '4M'!$S$7, "-", '4M'!$O$6, "-", '4M'!$O$5)</f>
        <v>Other enhancement-First time sewerage-Sludge liquor treatment-Wastewater network+ -Cumulative expenditure on schemes completed in the report year</v>
      </c>
    </row>
    <row r="2398" spans="1:15">
      <c r="A2398" t="s">
        <v>643</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682</v>
      </c>
      <c r="G2398" t="str">
        <f>'4M'!$D$65</f>
        <v>£m</v>
      </c>
      <c r="O2398" t="str">
        <f>_xlfn.CONCAT('4M'!$B$58, "-", '4M'!$B$65, "-", '4M'!$T$7, "-", '4M'!$T$6, "-", '4M'!$O$5)</f>
        <v>Other enhancement-First time sewerage-Sludge transport-Bioresources-Cumulative expenditure on schemes completed in the report year</v>
      </c>
    </row>
    <row r="2399" spans="1:15">
      <c r="A2399" t="s">
        <v>643</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682</v>
      </c>
      <c r="G2399" t="str">
        <f>'4M'!$D$65</f>
        <v>£m</v>
      </c>
      <c r="O2399" t="str">
        <f>_xlfn.CONCAT('4M'!$B$58, "-", '4M'!$B$65, "-", '4M'!$U$7, "-", '4M'!$T$6, "-", '4M'!$O$5)</f>
        <v>Other enhancement-First time sewerage-Sludge treatment-Bioresources-Cumulative expenditure on schemes completed in the report year</v>
      </c>
    </row>
    <row r="2400" spans="1:15">
      <c r="A2400" t="s">
        <v>643</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682</v>
      </c>
      <c r="G2400" t="str">
        <f>'4M'!$D$65</f>
        <v>£m</v>
      </c>
      <c r="O2400" t="str">
        <f>_xlfn.CONCAT('4M'!$B$58, "-", '4M'!$B$65, "-", '4M'!$V$7, "-", '4M'!$T$6, "-", '4M'!$O$5)</f>
        <v>Other enhancement-First time sewerage-Sludge disposal-Bioresources-Cumulative expenditure on schemes completed in the report year</v>
      </c>
    </row>
    <row r="2401" spans="1:15">
      <c r="A2401" t="s">
        <v>643</v>
      </c>
      <c r="B2401" t="str">
        <f>'4M'!$BY$65</f>
        <v>B0339FTC_C_TOT</v>
      </c>
      <c r="D2401" t="str">
        <f>_xlfn.CONCAT('4M'!$B$58, "-", '4M'!$B$65, "-", '4M'!$W$6, "-", '4M'!$W$6, "-", '4M'!$O$5)</f>
        <v>Other enhancement-First time sewerage-Total-Total-Cumulative expenditure on schemes completed in the report year</v>
      </c>
      <c r="E2401" t="str">
        <f>'4M'!$C$65</f>
        <v>Capex</v>
      </c>
      <c r="F2401" t="s">
        <v>682</v>
      </c>
      <c r="G2401" t="str">
        <f>'4M'!$D$65</f>
        <v>£m</v>
      </c>
      <c r="O2401" t="str">
        <f>_xlfn.CONCAT('4M'!$B$58, "-", '4M'!$B$65, "-", '4M'!$W$6, "-", '4M'!$W$6, "-", '4M'!$O$5)</f>
        <v>Other enhancement-First time sewerage-Total-Total-Cumulative expenditure on schemes completed in the report year</v>
      </c>
    </row>
    <row r="2402" spans="1:15">
      <c r="A2402" t="s">
        <v>643</v>
      </c>
      <c r="B2402" t="str">
        <f>'4M'!$BH$66</f>
        <v>B0340FTO_F</v>
      </c>
      <c r="D2402" t="str">
        <f>_xlfn.CONCAT('4M'!$B$58, "-", '4M'!$B$66, "-", '4M'!$F$7, "-", '4M'!$F$6, "-", '4M'!$F$5)</f>
        <v>Other enhancement-First time sewerage-Foul-Wastewater network+ -Expenditure in report year</v>
      </c>
      <c r="E2402" t="str">
        <f>'4M'!$C$66</f>
        <v>Opex</v>
      </c>
      <c r="F2402" t="s">
        <v>682</v>
      </c>
      <c r="G2402" t="str">
        <f>'4M'!$D$66</f>
        <v>£m</v>
      </c>
      <c r="O2402" t="str">
        <f>_xlfn.CONCAT('4M'!$B$58, "-", '4M'!$B$66, "-", '4M'!$F$7, "-", '4M'!$F$6, "-", '4M'!$F$5)</f>
        <v>Other enhancement-First time sewerage-Foul-Wastewater network+ -Expenditure in report year</v>
      </c>
    </row>
    <row r="2403" spans="1:15">
      <c r="A2403" t="s">
        <v>643</v>
      </c>
      <c r="B2403" t="str">
        <f>'4M'!$BI$66</f>
        <v>B0340FTO_SWD</v>
      </c>
      <c r="D2403" t="str">
        <f>_xlfn.CONCAT('4M'!$B$58, "-", '4M'!$B$66, "-", '4M'!$G$7, "-", '4M'!$F$6, "-", '4M'!$F$5)</f>
        <v>Other enhancement-First time sewerage-Surface water drainage-Wastewater network+ -Expenditure in report year</v>
      </c>
      <c r="E2403" t="str">
        <f>'4M'!$C$66</f>
        <v>Opex</v>
      </c>
      <c r="F2403" t="s">
        <v>682</v>
      </c>
      <c r="G2403" t="str">
        <f>'4M'!$D$66</f>
        <v>£m</v>
      </c>
      <c r="O2403" t="str">
        <f>_xlfn.CONCAT('4M'!$B$58, "-", '4M'!$B$66, "-", '4M'!$G$7, "-", '4M'!$F$6, "-", '4M'!$F$5)</f>
        <v>Other enhancement-First time sewerage-Surface water drainage-Wastewater network+ -Expenditure in report year</v>
      </c>
    </row>
    <row r="2404" spans="1:15">
      <c r="A2404" t="s">
        <v>643</v>
      </c>
      <c r="B2404" t="str">
        <f>'4M'!$BJ$66</f>
        <v>B0340FTO_HD</v>
      </c>
      <c r="D2404" t="str">
        <f>_xlfn.CONCAT('4M'!$B$58, "-", '4M'!$B$66, "-", '4M'!$H$7, "-", '4M'!$F$6, "-", '4M'!$F$5)</f>
        <v>Other enhancement-First time sewerage-Highway drainage-Wastewater network+ -Expenditure in report year</v>
      </c>
      <c r="E2404" t="str">
        <f>'4M'!$C$66</f>
        <v>Opex</v>
      </c>
      <c r="F2404" t="s">
        <v>682</v>
      </c>
      <c r="G2404" t="str">
        <f>'4M'!$D$66</f>
        <v>£m</v>
      </c>
      <c r="O2404" t="str">
        <f>_xlfn.CONCAT('4M'!$B$58, "-", '4M'!$B$66, "-", '4M'!$H$7, "-", '4M'!$F$6, "-", '4M'!$F$5)</f>
        <v>Other enhancement-First time sewerage-Highway drainage-Wastewater network+ -Expenditure in report year</v>
      </c>
    </row>
    <row r="2405" spans="1:15">
      <c r="A2405" t="s">
        <v>643</v>
      </c>
      <c r="B2405" t="str">
        <f>'4M'!$BK$66</f>
        <v>B0340FTO_STD</v>
      </c>
      <c r="D2405" t="str">
        <f>_xlfn.CONCAT('4M'!$B$58, "-", '4M'!$B$66, "-", '4M'!$I$7, "-", '4M'!$F$6, "-", '4M'!$F$5)</f>
        <v>Other enhancement-First time sewerage-Sewage treatment and disposal-Wastewater network+ -Expenditure in report year</v>
      </c>
      <c r="E2405" t="str">
        <f>'4M'!$C$66</f>
        <v>Opex</v>
      </c>
      <c r="F2405" t="s">
        <v>682</v>
      </c>
      <c r="G2405" t="str">
        <f>'4M'!$D$66</f>
        <v>£m</v>
      </c>
      <c r="O2405" t="str">
        <f>_xlfn.CONCAT('4M'!$B$58, "-", '4M'!$B$66, "-", '4M'!$I$7, "-", '4M'!$F$6, "-", '4M'!$F$5)</f>
        <v>Other enhancement-First time sewerage-Sewage treatment and disposal-Wastewater network+ -Expenditure in report year</v>
      </c>
    </row>
    <row r="2406" spans="1:15">
      <c r="A2406" t="s">
        <v>643</v>
      </c>
      <c r="B2406" t="str">
        <f>'4M'!$BL$66</f>
        <v>B0340FTO_SLT</v>
      </c>
      <c r="D2406" t="str">
        <f>_xlfn.CONCAT('4M'!$B$58, "-", '4M'!$B$66, "-", '4M'!$J$7, "-", '4M'!$F$6, "-", '4M'!$F$5)</f>
        <v>Other enhancement-First time sewerage-Sludge liquor treatment-Wastewater network+ -Expenditure in report year</v>
      </c>
      <c r="E2406" t="str">
        <f>'4M'!$C$66</f>
        <v>Opex</v>
      </c>
      <c r="F2406" t="s">
        <v>682</v>
      </c>
      <c r="G2406" t="str">
        <f>'4M'!$D$66</f>
        <v>£m</v>
      </c>
      <c r="O2406" t="str">
        <f>_xlfn.CONCAT('4M'!$B$58, "-", '4M'!$B$66, "-", '4M'!$J$7, "-", '4M'!$F$6, "-", '4M'!$F$5)</f>
        <v>Other enhancement-First time sewerage-Sludge liquor treatment-Wastewater network+ -Expenditure in report year</v>
      </c>
    </row>
    <row r="2407" spans="1:15">
      <c r="A2407" t="s">
        <v>643</v>
      </c>
      <c r="B2407" t="str">
        <f>'4M'!$BM$66</f>
        <v>B0340FTO_STP</v>
      </c>
      <c r="D2407" t="str">
        <f>_xlfn.CONCAT('4M'!$B$58, "-", '4M'!$B$66, "-", '4M'!$K$7, "-", '4M'!$K$6, "-", '4M'!$F$5)</f>
        <v>Other enhancement-First time sewerage-Sludge transport-Bioresources-Expenditure in report year</v>
      </c>
      <c r="E2407" t="str">
        <f>'4M'!$C$66</f>
        <v>Opex</v>
      </c>
      <c r="F2407" t="s">
        <v>682</v>
      </c>
      <c r="G2407" t="str">
        <f>'4M'!$D$66</f>
        <v>£m</v>
      </c>
      <c r="O2407" t="str">
        <f>_xlfn.CONCAT('4M'!$B$58, "-", '4M'!$B$66, "-", '4M'!$K$7, "-", '4M'!$K$6, "-", '4M'!$F$5)</f>
        <v>Other enhancement-First time sewerage-Sludge transport-Bioresources-Expenditure in report year</v>
      </c>
    </row>
    <row r="2408" spans="1:15">
      <c r="A2408" t="s">
        <v>643</v>
      </c>
      <c r="B2408" t="str">
        <f>'4M'!$BN$66</f>
        <v>B0340FTO_SDT</v>
      </c>
      <c r="D2408" t="str">
        <f>_xlfn.CONCAT('4M'!$B$58, "-", '4M'!$B$66, "-", '4M'!$L$7, "-", '4M'!$K$6, "-", '4M'!$F$5)</f>
        <v>Other enhancement-First time sewerage-Sludge treatment-Bioresources-Expenditure in report year</v>
      </c>
      <c r="E2408" t="str">
        <f>'4M'!$C$66</f>
        <v>Opex</v>
      </c>
      <c r="F2408" t="s">
        <v>682</v>
      </c>
      <c r="G2408" t="str">
        <f>'4M'!$D$66</f>
        <v>£m</v>
      </c>
      <c r="O2408" t="str">
        <f>_xlfn.CONCAT('4M'!$B$58, "-", '4M'!$B$66, "-", '4M'!$L$7, "-", '4M'!$K$6, "-", '4M'!$F$5)</f>
        <v>Other enhancement-First time sewerage-Sludge treatment-Bioresources-Expenditure in report year</v>
      </c>
    </row>
    <row r="2409" spans="1:15">
      <c r="A2409" t="s">
        <v>643</v>
      </c>
      <c r="B2409" t="str">
        <f>'4M'!$BO$66</f>
        <v>B0340FTO_SD</v>
      </c>
      <c r="D2409" t="str">
        <f>_xlfn.CONCAT('4M'!$B$58, "-", '4M'!$B$66, "-", '4M'!$M$7, "-", '4M'!$K$6, "-", '4M'!$F$5)</f>
        <v>Other enhancement-First time sewerage-Sludge disposal-Bioresources-Expenditure in report year</v>
      </c>
      <c r="E2409" t="str">
        <f>'4M'!$C$66</f>
        <v>Opex</v>
      </c>
      <c r="F2409" t="s">
        <v>682</v>
      </c>
      <c r="G2409" t="str">
        <f>'4M'!$D$66</f>
        <v>£m</v>
      </c>
      <c r="O2409" t="str">
        <f>_xlfn.CONCAT('4M'!$B$58, "-", '4M'!$B$66, "-", '4M'!$M$7, "-", '4M'!$K$6, "-", '4M'!$F$5)</f>
        <v>Other enhancement-First time sewerage-Sludge disposal-Bioresources-Expenditure in report year</v>
      </c>
    </row>
    <row r="2410" spans="1:15">
      <c r="A2410" t="s">
        <v>643</v>
      </c>
      <c r="B2410" t="str">
        <f>'4M'!$BP$66</f>
        <v>B0340FTO_TOT</v>
      </c>
      <c r="D2410" t="str">
        <f>_xlfn.CONCAT('4M'!$B$58, "-", '4M'!$B$66, "-", '4M'!$N$6, "-", '4M'!$N$6, "-", '4M'!$F$5)</f>
        <v>Other enhancement-First time sewerage-Total-Total-Expenditure in report year</v>
      </c>
      <c r="E2410" t="str">
        <f>'4M'!$C$66</f>
        <v>Opex</v>
      </c>
      <c r="F2410" t="s">
        <v>682</v>
      </c>
      <c r="G2410" t="str">
        <f>'4M'!$D$66</f>
        <v>£m</v>
      </c>
      <c r="O2410" t="str">
        <f>_xlfn.CONCAT('4M'!$B$58, "-", '4M'!$B$66, "-", '4M'!$N$6, "-", '4M'!$N$6, "-", '4M'!$F$5)</f>
        <v>Other enhancement-First time sewerage-Total-Total-Expenditure in report year</v>
      </c>
    </row>
    <row r="2411" spans="1:15">
      <c r="A2411" t="s">
        <v>643</v>
      </c>
      <c r="B2411" t="str">
        <f>'4M'!$BQ$66</f>
        <v>B0340FTO_C_F</v>
      </c>
      <c r="D2411" t="str">
        <f>_xlfn.CONCAT('4M'!$B$58, "-", '4M'!$B$66, "-", '4M'!$O$7, "-", '4M'!$O$6, "-", '4M'!$O$5)</f>
        <v>Other enhancement-First time sewerage-Foul-Wastewater network+ -Cumulative expenditure on schemes completed in the report year</v>
      </c>
      <c r="E2411" t="str">
        <f>'4M'!$C$66</f>
        <v>Opex</v>
      </c>
      <c r="F2411" t="s">
        <v>682</v>
      </c>
      <c r="G2411" t="str">
        <f>'4M'!$D$66</f>
        <v>£m</v>
      </c>
      <c r="O2411" t="str">
        <f>_xlfn.CONCAT('4M'!$B$58, "-", '4M'!$B$66, "-", '4M'!$O$7, "-", '4M'!$O$6, "-", '4M'!$O$5)</f>
        <v>Other enhancement-First time sewerage-Foul-Wastewater network+ -Cumulative expenditure on schemes completed in the report year</v>
      </c>
    </row>
    <row r="2412" spans="1:15">
      <c r="A2412" t="s">
        <v>643</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682</v>
      </c>
      <c r="G2412" t="str">
        <f>'4M'!$D$66</f>
        <v>£m</v>
      </c>
      <c r="O2412" t="str">
        <f>_xlfn.CONCAT('4M'!$B$58, "-", '4M'!$B$66, "-", '4M'!$P$7, "-", '4M'!$O$6, "-", '4M'!$O$5)</f>
        <v>Other enhancement-First time sewerage-Surface water drainage-Wastewater network+ -Cumulative expenditure on schemes completed in the report year</v>
      </c>
    </row>
    <row r="2413" spans="1:15">
      <c r="A2413" t="s">
        <v>643</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682</v>
      </c>
      <c r="G2413" t="str">
        <f>'4M'!$D$66</f>
        <v>£m</v>
      </c>
      <c r="O2413" t="str">
        <f>_xlfn.CONCAT('4M'!$B$58, "-", '4M'!$B$66, "-", '4M'!$Q$7, "-", '4M'!$O$6, "-", '4M'!$O$5)</f>
        <v>Other enhancement-First time sewerage-Highway drainage-Wastewater network+ -Cumulative expenditure on schemes completed in the report year</v>
      </c>
    </row>
    <row r="2414" spans="1:15">
      <c r="A2414" t="s">
        <v>643</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682</v>
      </c>
      <c r="G2414" t="str">
        <f>'4M'!$D$66</f>
        <v>£m</v>
      </c>
      <c r="O2414" t="str">
        <f>_xlfn.CONCAT('4M'!$B$58, "-", '4M'!$B$66, "-", '4M'!$R$7, "-", '4M'!$O$6, "-", '4M'!$O$5)</f>
        <v>Other enhancement-First time sewerage-Sewage treatment and disposal-Wastewater network+ -Cumulative expenditure on schemes completed in the report year</v>
      </c>
    </row>
    <row r="2415" spans="1:15">
      <c r="A2415" t="s">
        <v>643</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682</v>
      </c>
      <c r="G2415" t="str">
        <f>'4M'!$D$66</f>
        <v>£m</v>
      </c>
      <c r="O2415" t="str">
        <f>_xlfn.CONCAT('4M'!$B$58, "-", '4M'!$B$66, "-", '4M'!$S$7, "-", '4M'!$O$6, "-", '4M'!$O$5)</f>
        <v>Other enhancement-First time sewerage-Sludge liquor treatment-Wastewater network+ -Cumulative expenditure on schemes completed in the report year</v>
      </c>
    </row>
    <row r="2416" spans="1:15">
      <c r="A2416" t="s">
        <v>643</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682</v>
      </c>
      <c r="G2416" t="str">
        <f>'4M'!$D$66</f>
        <v>£m</v>
      </c>
      <c r="O2416" t="str">
        <f>_xlfn.CONCAT('4M'!$B$58, "-", '4M'!$B$66, "-", '4M'!$T$7, "-", '4M'!$T$6, "-", '4M'!$O$5)</f>
        <v>Other enhancement-First time sewerage-Sludge transport-Bioresources-Cumulative expenditure on schemes completed in the report year</v>
      </c>
    </row>
    <row r="2417" spans="1:15">
      <c r="A2417" t="s">
        <v>643</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682</v>
      </c>
      <c r="G2417" t="str">
        <f>'4M'!$D$66</f>
        <v>£m</v>
      </c>
      <c r="O2417" t="str">
        <f>_xlfn.CONCAT('4M'!$B$58, "-", '4M'!$B$66, "-", '4M'!$U$7, "-", '4M'!$T$6, "-", '4M'!$O$5)</f>
        <v>Other enhancement-First time sewerage-Sludge treatment-Bioresources-Cumulative expenditure on schemes completed in the report year</v>
      </c>
    </row>
    <row r="2418" spans="1:15">
      <c r="A2418" t="s">
        <v>643</v>
      </c>
      <c r="B2418" t="str">
        <f>'4M'!$BX$66</f>
        <v>B0340FTO_C_SD</v>
      </c>
      <c r="D2418" t="str">
        <f>_xlfn.CONCAT('4M'!$B$58, "-", '4M'!$B$66, "-", '4M'!$V$7, "-", '4M'!$T$6, "-", '4M'!$O$5)</f>
        <v>Other enhancement-First time sewerage-Sludge disposal-Bioresources-Cumulative expenditure on schemes completed in the report year</v>
      </c>
      <c r="E2418" t="str">
        <f>'4M'!$C$66</f>
        <v>Opex</v>
      </c>
      <c r="F2418" t="s">
        <v>682</v>
      </c>
      <c r="G2418" t="str">
        <f>'4M'!$D$66</f>
        <v>£m</v>
      </c>
      <c r="O2418" t="str">
        <f>_xlfn.CONCAT('4M'!$B$58, "-", '4M'!$B$66, "-", '4M'!$V$7, "-", '4M'!$T$6, "-", '4M'!$O$5)</f>
        <v>Other enhancement-First time sewerage-Sludge disposal-Bioresources-Cumulative expenditure on schemes completed in the report year</v>
      </c>
    </row>
    <row r="2419" spans="1:15">
      <c r="A2419" t="s">
        <v>643</v>
      </c>
      <c r="B2419" t="str">
        <f>'4M'!$BY$66</f>
        <v>B0340FTO_C_TOT</v>
      </c>
      <c r="D2419" t="str">
        <f>_xlfn.CONCAT('4M'!$B$58, "-", '4M'!$B$66, "-", '4M'!$W$6, "-", '4M'!$W$6, "-", '4M'!$O$5)</f>
        <v>Other enhancement-First time sewerage-Total-Total-Cumulative expenditure on schemes completed in the report year</v>
      </c>
      <c r="E2419" t="str">
        <f>'4M'!$C$66</f>
        <v>Opex</v>
      </c>
      <c r="F2419" t="s">
        <v>682</v>
      </c>
      <c r="G2419" t="str">
        <f>'4M'!$D$66</f>
        <v>£m</v>
      </c>
      <c r="O2419" t="str">
        <f>_xlfn.CONCAT('4M'!$B$58, "-", '4M'!$B$66, "-", '4M'!$W$6, "-", '4M'!$W$6, "-", '4M'!$O$5)</f>
        <v>Other enhancement-First time sewerage-Total-Total-Cumulative expenditure on schemes completed in the report year</v>
      </c>
    </row>
    <row r="2420" spans="1:15">
      <c r="A2420" t="s">
        <v>643</v>
      </c>
      <c r="B2420" t="str">
        <f>'4M'!$BH$67</f>
        <v>B0341FTT_F</v>
      </c>
      <c r="D2420" t="str">
        <f>_xlfn.CONCAT('4M'!$B$58, "-", '4M'!$B$67, "-", '4M'!$F$7, "-", '4M'!$F$6, "-", '4M'!$F$5)</f>
        <v>Other enhancement-First time sewerage-Foul-Wastewater network+ -Expenditure in report year</v>
      </c>
      <c r="E2420" t="str">
        <f>'4M'!$C$67</f>
        <v>Totex</v>
      </c>
      <c r="F2420" t="s">
        <v>682</v>
      </c>
      <c r="G2420" t="str">
        <f>'4M'!$D$67</f>
        <v>£m</v>
      </c>
      <c r="O2420" t="str">
        <f>_xlfn.CONCAT('4M'!$B$58, "-", '4M'!$B$67, "-", '4M'!$F$7, "-", '4M'!$F$6, "-", '4M'!$F$5)</f>
        <v>Other enhancement-First time sewerage-Foul-Wastewater network+ -Expenditure in report year</v>
      </c>
    </row>
    <row r="2421" spans="1:15">
      <c r="A2421" t="s">
        <v>643</v>
      </c>
      <c r="B2421" t="str">
        <f>'4M'!$BI$67</f>
        <v>B0341FTT_SWD</v>
      </c>
      <c r="D2421" t="str">
        <f>_xlfn.CONCAT('4M'!$B$58, "-", '4M'!$B$67, "-", '4M'!$G$7, "-", '4M'!$F$6, "-", '4M'!$F$5)</f>
        <v>Other enhancement-First time sewerage-Surface water drainage-Wastewater network+ -Expenditure in report year</v>
      </c>
      <c r="E2421" t="str">
        <f>'4M'!$C$67</f>
        <v>Totex</v>
      </c>
      <c r="F2421" t="s">
        <v>682</v>
      </c>
      <c r="G2421" t="str">
        <f>'4M'!$D$67</f>
        <v>£m</v>
      </c>
      <c r="O2421" t="str">
        <f>_xlfn.CONCAT('4M'!$B$58, "-", '4M'!$B$67, "-", '4M'!$G$7, "-", '4M'!$F$6, "-", '4M'!$F$5)</f>
        <v>Other enhancement-First time sewerage-Surface water drainage-Wastewater network+ -Expenditure in report year</v>
      </c>
    </row>
    <row r="2422" spans="1:15">
      <c r="A2422" t="s">
        <v>643</v>
      </c>
      <c r="B2422" t="str">
        <f>'4M'!$BJ$67</f>
        <v>B0341FTT_HD</v>
      </c>
      <c r="D2422" t="str">
        <f>_xlfn.CONCAT('4M'!$B$58, "-", '4M'!$B$67, "-", '4M'!$H$7, "-", '4M'!$F$6, "-", '4M'!$F$5)</f>
        <v>Other enhancement-First time sewerage-Highway drainage-Wastewater network+ -Expenditure in report year</v>
      </c>
      <c r="E2422" t="str">
        <f>'4M'!$C$67</f>
        <v>Totex</v>
      </c>
      <c r="F2422" t="s">
        <v>682</v>
      </c>
      <c r="G2422" t="str">
        <f>'4M'!$D$67</f>
        <v>£m</v>
      </c>
      <c r="O2422" t="str">
        <f>_xlfn.CONCAT('4M'!$B$58, "-", '4M'!$B$67, "-", '4M'!$H$7, "-", '4M'!$F$6, "-", '4M'!$F$5)</f>
        <v>Other enhancement-First time sewerage-Highway drainage-Wastewater network+ -Expenditure in report year</v>
      </c>
    </row>
    <row r="2423" spans="1:15">
      <c r="A2423" t="s">
        <v>643</v>
      </c>
      <c r="B2423" t="str">
        <f>'4M'!$BK$67</f>
        <v>B0341FTT_STD</v>
      </c>
      <c r="D2423" t="str">
        <f>_xlfn.CONCAT('4M'!$B$58, "-", '4M'!$B$67, "-", '4M'!$I$7, "-", '4M'!$F$6, "-", '4M'!$F$5)</f>
        <v>Other enhancement-First time sewerage-Sewage treatment and disposal-Wastewater network+ -Expenditure in report year</v>
      </c>
      <c r="E2423" t="str">
        <f>'4M'!$C$67</f>
        <v>Totex</v>
      </c>
      <c r="F2423" t="s">
        <v>682</v>
      </c>
      <c r="G2423" t="str">
        <f>'4M'!$D$67</f>
        <v>£m</v>
      </c>
      <c r="O2423" t="str">
        <f>_xlfn.CONCAT('4M'!$B$58, "-", '4M'!$B$67, "-", '4M'!$I$7, "-", '4M'!$F$6, "-", '4M'!$F$5)</f>
        <v>Other enhancement-First time sewerage-Sewage treatment and disposal-Wastewater network+ -Expenditure in report year</v>
      </c>
    </row>
    <row r="2424" spans="1:15">
      <c r="A2424" t="s">
        <v>643</v>
      </c>
      <c r="B2424" t="str">
        <f>'4M'!$BL$67</f>
        <v>B0341FTT_SLT</v>
      </c>
      <c r="D2424" t="str">
        <f>_xlfn.CONCAT('4M'!$B$58, "-", '4M'!$B$67, "-", '4M'!$J$7, "-", '4M'!$F$6, "-", '4M'!$F$5)</f>
        <v>Other enhancement-First time sewerage-Sludge liquor treatment-Wastewater network+ -Expenditure in report year</v>
      </c>
      <c r="E2424" t="str">
        <f>'4M'!$C$67</f>
        <v>Totex</v>
      </c>
      <c r="F2424" t="s">
        <v>682</v>
      </c>
      <c r="G2424" t="str">
        <f>'4M'!$D$67</f>
        <v>£m</v>
      </c>
      <c r="O2424" t="str">
        <f>_xlfn.CONCAT('4M'!$B$58, "-", '4M'!$B$67, "-", '4M'!$J$7, "-", '4M'!$F$6, "-", '4M'!$F$5)</f>
        <v>Other enhancement-First time sewerage-Sludge liquor treatment-Wastewater network+ -Expenditure in report year</v>
      </c>
    </row>
    <row r="2425" spans="1:15">
      <c r="A2425" t="s">
        <v>643</v>
      </c>
      <c r="B2425" t="str">
        <f>'4M'!$BM$67</f>
        <v>B0341FTT_STP</v>
      </c>
      <c r="D2425" t="str">
        <f>_xlfn.CONCAT('4M'!$B$58, "-", '4M'!$B$67, "-", '4M'!$K$7, "-", '4M'!$K$6, "-", '4M'!$F$5)</f>
        <v>Other enhancement-First time sewerage-Sludge transport-Bioresources-Expenditure in report year</v>
      </c>
      <c r="E2425" t="str">
        <f>'4M'!$C$67</f>
        <v>Totex</v>
      </c>
      <c r="F2425" t="s">
        <v>682</v>
      </c>
      <c r="G2425" t="str">
        <f>'4M'!$D$67</f>
        <v>£m</v>
      </c>
      <c r="O2425" t="str">
        <f>_xlfn.CONCAT('4M'!$B$58, "-", '4M'!$B$67, "-", '4M'!$K$7, "-", '4M'!$K$6, "-", '4M'!$F$5)</f>
        <v>Other enhancement-First time sewerage-Sludge transport-Bioresources-Expenditure in report year</v>
      </c>
    </row>
    <row r="2426" spans="1:15">
      <c r="A2426" t="s">
        <v>643</v>
      </c>
      <c r="B2426" t="str">
        <f>'4M'!$BN$67</f>
        <v>B0341FTT_SDT</v>
      </c>
      <c r="D2426" t="str">
        <f>_xlfn.CONCAT('4M'!$B$58, "-", '4M'!$B$67, "-", '4M'!$L$7, "-", '4M'!$K$6, "-", '4M'!$F$5)</f>
        <v>Other enhancement-First time sewerage-Sludge treatment-Bioresources-Expenditure in report year</v>
      </c>
      <c r="E2426" t="str">
        <f>'4M'!$C$67</f>
        <v>Totex</v>
      </c>
      <c r="F2426" t="s">
        <v>682</v>
      </c>
      <c r="G2426" t="str">
        <f>'4M'!$D$67</f>
        <v>£m</v>
      </c>
      <c r="O2426" t="str">
        <f>_xlfn.CONCAT('4M'!$B$58, "-", '4M'!$B$67, "-", '4M'!$L$7, "-", '4M'!$K$6, "-", '4M'!$F$5)</f>
        <v>Other enhancement-First time sewerage-Sludge treatment-Bioresources-Expenditure in report year</v>
      </c>
    </row>
    <row r="2427" spans="1:15">
      <c r="A2427" t="s">
        <v>643</v>
      </c>
      <c r="B2427" t="str">
        <f>'4M'!$BO$67</f>
        <v>B0341FTT_SD</v>
      </c>
      <c r="D2427" t="str">
        <f>_xlfn.CONCAT('4M'!$B$58, "-", '4M'!$B$67, "-", '4M'!$M$7, "-", '4M'!$K$6, "-", '4M'!$F$5)</f>
        <v>Other enhancement-First time sewerage-Sludge disposal-Bioresources-Expenditure in report year</v>
      </c>
      <c r="E2427" t="str">
        <f>'4M'!$C$67</f>
        <v>Totex</v>
      </c>
      <c r="F2427" t="s">
        <v>682</v>
      </c>
      <c r="G2427" t="str">
        <f>'4M'!$D$67</f>
        <v>£m</v>
      </c>
      <c r="O2427" t="str">
        <f>_xlfn.CONCAT('4M'!$B$58, "-", '4M'!$B$67, "-", '4M'!$M$7, "-", '4M'!$K$6, "-", '4M'!$F$5)</f>
        <v>Other enhancement-First time sewerage-Sludge disposal-Bioresources-Expenditure in report year</v>
      </c>
    </row>
    <row r="2428" spans="1:15">
      <c r="A2428" t="s">
        <v>643</v>
      </c>
      <c r="B2428" t="str">
        <f>'4M'!$BP$67</f>
        <v>B0341FTT_TOT</v>
      </c>
      <c r="D2428" t="str">
        <f>_xlfn.CONCAT('4M'!$B$58, "-", '4M'!$B$67, "-", '4M'!$N$6, "-", '4M'!$N$6, "-", '4M'!$F$5)</f>
        <v>Other enhancement-First time sewerage-Total-Total-Expenditure in report year</v>
      </c>
      <c r="E2428" t="str">
        <f>'4M'!$C$67</f>
        <v>Totex</v>
      </c>
      <c r="F2428" t="s">
        <v>682</v>
      </c>
      <c r="G2428" t="str">
        <f>'4M'!$D$67</f>
        <v>£m</v>
      </c>
      <c r="O2428" t="str">
        <f>_xlfn.CONCAT('4M'!$B$58, "-", '4M'!$B$67, "-", '4M'!$N$6, "-", '4M'!$N$6, "-", '4M'!$F$5)</f>
        <v>Other enhancement-First time sewerage-Total-Total-Expenditure in report year</v>
      </c>
    </row>
    <row r="2429" spans="1:15">
      <c r="A2429" t="s">
        <v>643</v>
      </c>
      <c r="B2429" t="str">
        <f>'4M'!$BQ$67</f>
        <v>B0341FTT_C_F</v>
      </c>
      <c r="D2429" t="str">
        <f>_xlfn.CONCAT('4M'!$B$58, "-", '4M'!$B$67, "-", '4M'!$O$7, "-", '4M'!$O$6, "-", '4M'!$O$5)</f>
        <v>Other enhancement-First time sewerage-Foul-Wastewater network+ -Cumulative expenditure on schemes completed in the report year</v>
      </c>
      <c r="E2429" t="str">
        <f>'4M'!$C$67</f>
        <v>Totex</v>
      </c>
      <c r="F2429" t="s">
        <v>682</v>
      </c>
      <c r="G2429" t="str">
        <f>'4M'!$D$67</f>
        <v>£m</v>
      </c>
      <c r="O2429" t="str">
        <f>_xlfn.CONCAT('4M'!$B$58, "-", '4M'!$B$67, "-", '4M'!$O$7, "-", '4M'!$O$6, "-", '4M'!$O$5)</f>
        <v>Other enhancement-First time sewerage-Foul-Wastewater network+ -Cumulative expenditure on schemes completed in the report year</v>
      </c>
    </row>
    <row r="2430" spans="1:15">
      <c r="A2430" t="s">
        <v>643</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682</v>
      </c>
      <c r="G2430" t="str">
        <f>'4M'!$D$67</f>
        <v>£m</v>
      </c>
      <c r="O2430" t="str">
        <f>_xlfn.CONCAT('4M'!$B$58, "-", '4M'!$B$67, "-", '4M'!$P$7, "-", '4M'!$O$6, "-", '4M'!$O$5)</f>
        <v>Other enhancement-First time sewerage-Surface water drainage-Wastewater network+ -Cumulative expenditure on schemes completed in the report year</v>
      </c>
    </row>
    <row r="2431" spans="1:15">
      <c r="A2431" t="s">
        <v>643</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682</v>
      </c>
      <c r="G2431" t="str">
        <f>'4M'!$D$67</f>
        <v>£m</v>
      </c>
      <c r="O2431" t="str">
        <f>_xlfn.CONCAT('4M'!$B$58, "-", '4M'!$B$67, "-", '4M'!$Q$7, "-", '4M'!$O$6, "-", '4M'!$O$5)</f>
        <v>Other enhancement-First time sewerage-Highway drainage-Wastewater network+ -Cumulative expenditure on schemes completed in the report year</v>
      </c>
    </row>
    <row r="2432" spans="1:15">
      <c r="A2432" t="s">
        <v>643</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682</v>
      </c>
      <c r="G2432" t="str">
        <f>'4M'!$D$67</f>
        <v>£m</v>
      </c>
      <c r="O2432" t="str">
        <f>_xlfn.CONCAT('4M'!$B$58, "-", '4M'!$B$67, "-", '4M'!$R$7, "-", '4M'!$O$6, "-", '4M'!$O$5)</f>
        <v>Other enhancement-First time sewerage-Sewage treatment and disposal-Wastewater network+ -Cumulative expenditure on schemes completed in the report year</v>
      </c>
    </row>
    <row r="2433" spans="1:15">
      <c r="A2433" t="s">
        <v>643</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682</v>
      </c>
      <c r="G2433" t="str">
        <f>'4M'!$D$67</f>
        <v>£m</v>
      </c>
      <c r="O2433" t="str">
        <f>_xlfn.CONCAT('4M'!$B$58, "-", '4M'!$B$67, "-", '4M'!$S$7, "-", '4M'!$O$6, "-", '4M'!$O$5)</f>
        <v>Other enhancement-First time sewerage-Sludge liquor treatment-Wastewater network+ -Cumulative expenditure on schemes completed in the report year</v>
      </c>
    </row>
    <row r="2434" spans="1:15">
      <c r="A2434" t="s">
        <v>643</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682</v>
      </c>
      <c r="G2434" t="str">
        <f>'4M'!$D$67</f>
        <v>£m</v>
      </c>
      <c r="O2434" t="str">
        <f>_xlfn.CONCAT('4M'!$B$58, "-", '4M'!$B$67, "-", '4M'!$T$7, "-", '4M'!$T$6, "-", '4M'!$O$5)</f>
        <v>Other enhancement-First time sewerage-Sludge transport-Bioresources-Cumulative expenditure on schemes completed in the report year</v>
      </c>
    </row>
    <row r="2435" spans="1:15">
      <c r="A2435" t="s">
        <v>643</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682</v>
      </c>
      <c r="G2435" t="str">
        <f>'4M'!$D$67</f>
        <v>£m</v>
      </c>
      <c r="O2435" t="str">
        <f>_xlfn.CONCAT('4M'!$B$58, "-", '4M'!$B$67, "-", '4M'!$U$7, "-", '4M'!$T$6, "-", '4M'!$O$5)</f>
        <v>Other enhancement-First time sewerage-Sludge treatment-Bioresources-Cumulative expenditure on schemes completed in the report year</v>
      </c>
    </row>
    <row r="2436" spans="1:15">
      <c r="A2436" t="s">
        <v>643</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682</v>
      </c>
      <c r="G2436" t="str">
        <f>'4M'!$D$67</f>
        <v>£m</v>
      </c>
      <c r="O2436" t="str">
        <f>_xlfn.CONCAT('4M'!$B$58, "-", '4M'!$B$67, "-", '4M'!$V$7, "-", '4M'!$T$6, "-", '4M'!$O$5)</f>
        <v>Other enhancement-First time sewerage-Sludge disposal-Bioresources-Cumulative expenditure on schemes completed in the report year</v>
      </c>
    </row>
    <row r="2437" spans="1:15">
      <c r="A2437" t="s">
        <v>643</v>
      </c>
      <c r="B2437" t="str">
        <f>'4M'!$BY$67</f>
        <v>B0341FTT_C_TOT</v>
      </c>
      <c r="D2437" t="str">
        <f>_xlfn.CONCAT('4M'!$B$58, "-", '4M'!$B$67, "-", '4M'!$W$6, "-", '4M'!$W$6, "-", '4M'!$O$5)</f>
        <v>Other enhancement-First time sewerage-Total-Total-Cumulative expenditure on schemes completed in the report year</v>
      </c>
      <c r="E2437" t="str">
        <f>'4M'!$C$67</f>
        <v>Totex</v>
      </c>
      <c r="F2437" t="s">
        <v>682</v>
      </c>
      <c r="G2437" t="str">
        <f>'4M'!$D$67</f>
        <v>£m</v>
      </c>
      <c r="O2437" t="str">
        <f>_xlfn.CONCAT('4M'!$B$58, "-", '4M'!$B$67, "-", '4M'!$W$6, "-", '4M'!$W$6, "-", '4M'!$O$5)</f>
        <v>Other enhancement-First time sewerage-Total-Total-Cumulative expenditure on schemes completed in the report year</v>
      </c>
    </row>
    <row r="2438" spans="1:15">
      <c r="A2438" t="s">
        <v>643</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682</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643</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682</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643</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682</v>
      </c>
      <c r="G2440" t="str">
        <f>'4M'!$D$67</f>
        <v>£m</v>
      </c>
      <c r="O2440" t="str">
        <f>_xlfn.CONCAT('4M'!$B$58, "-", '4M'!$B$67, "-", '4M'!$Z$7, "-", '4M'!$Z$5, "-", '4M'!$Z$5)</f>
        <v>Other enhancement-First time sewerage-Total-Cumulative allowed expenditure on all schemes 2020-25-Cumulative allowed expenditure on all schemes 2020-25</v>
      </c>
    </row>
    <row r="2441" spans="1:15">
      <c r="A2441" t="s">
        <v>643</v>
      </c>
      <c r="B2441" t="str">
        <f>'4M'!$BH$68</f>
        <v>B0342SEC_F</v>
      </c>
      <c r="D2441" t="str">
        <f>_xlfn.CONCAT('4M'!$B$58, "-", '4M'!$B$68, "-", '4M'!$F$7, "-", '4M'!$F$6, "-", '4M'!$F$5)</f>
        <v>Other enhancement-Sludge enhancement (quality)-Foul-Wastewater network+ -Expenditure in report year</v>
      </c>
      <c r="E2441" t="str">
        <f>'4M'!$C$68</f>
        <v>Capex</v>
      </c>
      <c r="F2441" t="s">
        <v>682</v>
      </c>
      <c r="G2441" t="str">
        <f>'4M'!$D$68</f>
        <v>£m</v>
      </c>
      <c r="O2441" t="str">
        <f>_xlfn.CONCAT('4M'!$B$58, "-", '4M'!$B$68, "-", '4M'!$F$7, "-", '4M'!$F$6, "-", '4M'!$F$5)</f>
        <v>Other enhancement-Sludge enhancement (quality)-Foul-Wastewater network+ -Expenditure in report year</v>
      </c>
    </row>
    <row r="2442" spans="1:15">
      <c r="A2442" t="s">
        <v>643</v>
      </c>
      <c r="B2442" t="str">
        <f>'4M'!$BI$68</f>
        <v>B0342SEC_SWD</v>
      </c>
      <c r="D2442" t="str">
        <f>_xlfn.CONCAT('4M'!$B$58, "-", '4M'!$B$68, "-", '4M'!$G$7, "-", '4M'!$F$6, "-", '4M'!$F$5)</f>
        <v>Other enhancement-Sludge enhancement (quality)-Surface water drainage-Wastewater network+ -Expenditure in report year</v>
      </c>
      <c r="E2442" t="str">
        <f>'4M'!$C$68</f>
        <v>Capex</v>
      </c>
      <c r="F2442" t="s">
        <v>682</v>
      </c>
      <c r="G2442" t="str">
        <f>'4M'!$D$68</f>
        <v>£m</v>
      </c>
      <c r="O2442" t="str">
        <f>_xlfn.CONCAT('4M'!$B$58, "-", '4M'!$B$68, "-", '4M'!$G$7, "-", '4M'!$F$6, "-", '4M'!$F$5)</f>
        <v>Other enhancement-Sludge enhancement (quality)-Surface water drainage-Wastewater network+ -Expenditure in report year</v>
      </c>
    </row>
    <row r="2443" spans="1:15">
      <c r="A2443" t="s">
        <v>643</v>
      </c>
      <c r="B2443" t="str">
        <f>'4M'!$BJ$68</f>
        <v>B0342SEC_HD</v>
      </c>
      <c r="D2443" t="str">
        <f>_xlfn.CONCAT('4M'!$B$58, "-", '4M'!$B$68, "-", '4M'!$H$7, "-", '4M'!$F$6, "-", '4M'!$F$5)</f>
        <v>Other enhancement-Sludge enhancement (quality)-Highway drainage-Wastewater network+ -Expenditure in report year</v>
      </c>
      <c r="E2443" t="str">
        <f>'4M'!$C$68</f>
        <v>Capex</v>
      </c>
      <c r="F2443" t="s">
        <v>682</v>
      </c>
      <c r="G2443" t="str">
        <f>'4M'!$D$68</f>
        <v>£m</v>
      </c>
      <c r="O2443" t="str">
        <f>_xlfn.CONCAT('4M'!$B$58, "-", '4M'!$B$68, "-", '4M'!$H$7, "-", '4M'!$F$6, "-", '4M'!$F$5)</f>
        <v>Other enhancement-Sludge enhancement (quality)-Highway drainage-Wastewater network+ -Expenditure in report year</v>
      </c>
    </row>
    <row r="2444" spans="1:15">
      <c r="A2444" t="s">
        <v>643</v>
      </c>
      <c r="B2444" t="str">
        <f>'4M'!$BK$68</f>
        <v>B0342SEC_STD</v>
      </c>
      <c r="D2444" t="str">
        <f>_xlfn.CONCAT('4M'!$B$58, "-", '4M'!$B$68, "-", '4M'!$I$7, "-", '4M'!$F$6, "-", '4M'!$F$5)</f>
        <v>Other enhancement-Sludge enhancement (quality)-Sewage treatment and disposal-Wastewater network+ -Expenditure in report year</v>
      </c>
      <c r="E2444" t="str">
        <f>'4M'!$C$68</f>
        <v>Capex</v>
      </c>
      <c r="F2444" t="s">
        <v>682</v>
      </c>
      <c r="G2444" t="str">
        <f>'4M'!$D$68</f>
        <v>£m</v>
      </c>
      <c r="O2444" t="str">
        <f>_xlfn.CONCAT('4M'!$B$58, "-", '4M'!$B$68, "-", '4M'!$I$7, "-", '4M'!$F$6, "-", '4M'!$F$5)</f>
        <v>Other enhancement-Sludge enhancement (quality)-Sewage treatment and disposal-Wastewater network+ -Expenditure in report year</v>
      </c>
    </row>
    <row r="2445" spans="1:15">
      <c r="A2445" t="s">
        <v>643</v>
      </c>
      <c r="B2445" t="str">
        <f>'4M'!$BL$68</f>
        <v>B0342SEC_SLT</v>
      </c>
      <c r="D2445" t="str">
        <f>_xlfn.CONCAT('4M'!$B$58, "-", '4M'!$B$68, "-", '4M'!$J$7, "-", '4M'!$F$6, "-", '4M'!$F$5)</f>
        <v>Other enhancement-Sludge enhancement (quality)-Sludge liquor treatment-Wastewater network+ -Expenditure in report year</v>
      </c>
      <c r="E2445" t="str">
        <f>'4M'!$C$68</f>
        <v>Capex</v>
      </c>
      <c r="F2445" t="s">
        <v>682</v>
      </c>
      <c r="G2445" t="str">
        <f>'4M'!$D$68</f>
        <v>£m</v>
      </c>
      <c r="O2445" t="str">
        <f>_xlfn.CONCAT('4M'!$B$58, "-", '4M'!$B$68, "-", '4M'!$J$7, "-", '4M'!$F$6, "-", '4M'!$F$5)</f>
        <v>Other enhancement-Sludge enhancement (quality)-Sludge liquor treatment-Wastewater network+ -Expenditure in report year</v>
      </c>
    </row>
    <row r="2446" spans="1:15">
      <c r="A2446" t="s">
        <v>643</v>
      </c>
      <c r="B2446" t="str">
        <f>'4M'!$BM$68</f>
        <v>B0342SEC_STP</v>
      </c>
      <c r="D2446" t="str">
        <f>_xlfn.CONCAT('4M'!$B$58, "-", '4M'!$B$68, "-", '4M'!$K$7, "-", '4M'!$K$6, "-", '4M'!$F$5)</f>
        <v>Other enhancement-Sludge enhancement (quality)-Sludge transport-Bioresources-Expenditure in report year</v>
      </c>
      <c r="E2446" t="str">
        <f>'4M'!$C$68</f>
        <v>Capex</v>
      </c>
      <c r="F2446" t="s">
        <v>682</v>
      </c>
      <c r="G2446" t="str">
        <f>'4M'!$D$68</f>
        <v>£m</v>
      </c>
      <c r="O2446" t="str">
        <f>_xlfn.CONCAT('4M'!$B$58, "-", '4M'!$B$68, "-", '4M'!$K$7, "-", '4M'!$K$6, "-", '4M'!$F$5)</f>
        <v>Other enhancement-Sludge enhancement (quality)-Sludge transport-Bioresources-Expenditure in report year</v>
      </c>
    </row>
    <row r="2447" spans="1:15">
      <c r="A2447" t="s">
        <v>643</v>
      </c>
      <c r="B2447" t="str">
        <f>'4M'!$BN$68</f>
        <v>B0342SEC_SDT</v>
      </c>
      <c r="D2447" t="str">
        <f>_xlfn.CONCAT('4M'!$B$58, "-", '4M'!$B$68, "-", '4M'!$L$7, "-", '4M'!$K$6, "-", '4M'!$F$5)</f>
        <v>Other enhancement-Sludge enhancement (quality)-Sludge treatment-Bioresources-Expenditure in report year</v>
      </c>
      <c r="E2447" t="str">
        <f>'4M'!$C$68</f>
        <v>Capex</v>
      </c>
      <c r="F2447" t="s">
        <v>682</v>
      </c>
      <c r="G2447" t="str">
        <f>'4M'!$D$68</f>
        <v>£m</v>
      </c>
      <c r="O2447" t="str">
        <f>_xlfn.CONCAT('4M'!$B$58, "-", '4M'!$B$68, "-", '4M'!$L$7, "-", '4M'!$K$6, "-", '4M'!$F$5)</f>
        <v>Other enhancement-Sludge enhancement (quality)-Sludge treatment-Bioresources-Expenditure in report year</v>
      </c>
    </row>
    <row r="2448" spans="1:15">
      <c r="A2448" t="s">
        <v>643</v>
      </c>
      <c r="B2448" t="str">
        <f>'4M'!$BO$68</f>
        <v>B0342SEC_SD</v>
      </c>
      <c r="D2448" t="str">
        <f>_xlfn.CONCAT('4M'!$B$58, "-", '4M'!$B$68, "-", '4M'!$M$7, "-", '4M'!$K$6, "-", '4M'!$F$5)</f>
        <v>Other enhancement-Sludge enhancement (quality)-Sludge disposal-Bioresources-Expenditure in report year</v>
      </c>
      <c r="E2448" t="str">
        <f>'4M'!$C$68</f>
        <v>Capex</v>
      </c>
      <c r="F2448" t="s">
        <v>682</v>
      </c>
      <c r="G2448" t="str">
        <f>'4M'!$D$68</f>
        <v>£m</v>
      </c>
      <c r="O2448" t="str">
        <f>_xlfn.CONCAT('4M'!$B$58, "-", '4M'!$B$68, "-", '4M'!$M$7, "-", '4M'!$K$6, "-", '4M'!$F$5)</f>
        <v>Other enhancement-Sludge enhancement (quality)-Sludge disposal-Bioresources-Expenditure in report year</v>
      </c>
    </row>
    <row r="2449" spans="1:15">
      <c r="A2449" t="s">
        <v>643</v>
      </c>
      <c r="B2449" t="str">
        <f>'4M'!$BP$68</f>
        <v>B0342SEC_TOT</v>
      </c>
      <c r="D2449" t="str">
        <f>_xlfn.CONCAT('4M'!$B$58, "-", '4M'!$B$68, "-", '4M'!$N$6, "-", '4M'!$N$6, "-", '4M'!$F$5)</f>
        <v>Other enhancement-Sludge enhancement (quality)-Total-Total-Expenditure in report year</v>
      </c>
      <c r="E2449" t="str">
        <f>'4M'!$C$68</f>
        <v>Capex</v>
      </c>
      <c r="F2449" t="s">
        <v>682</v>
      </c>
      <c r="G2449" t="str">
        <f>'4M'!$D$68</f>
        <v>£m</v>
      </c>
      <c r="O2449" t="str">
        <f>_xlfn.CONCAT('4M'!$B$58, "-", '4M'!$B$68, "-", '4M'!$N$6, "-", '4M'!$N$6, "-", '4M'!$F$5)</f>
        <v>Other enhancement-Sludge enhancement (quality)-Total-Total-Expenditure in report year</v>
      </c>
    </row>
    <row r="2450" spans="1:15">
      <c r="A2450" t="s">
        <v>643</v>
      </c>
      <c r="B2450" t="str">
        <f>'4M'!$BH$69</f>
        <v>B0343SEO_F</v>
      </c>
      <c r="D2450" t="str">
        <f>_xlfn.CONCAT('4M'!$B$58, "-", '4M'!$B$69, "-", '4M'!$F$7, "-", '4M'!$F$6, "-", '4M'!$F$5)</f>
        <v>Other enhancement-Sludge enhancement (quality)-Foul-Wastewater network+ -Expenditure in report year</v>
      </c>
      <c r="E2450" t="str">
        <f>'4M'!$C$69</f>
        <v>Opex</v>
      </c>
      <c r="F2450" t="s">
        <v>682</v>
      </c>
      <c r="G2450" t="str">
        <f>'4M'!$D$69</f>
        <v>£m</v>
      </c>
      <c r="O2450" t="str">
        <f>_xlfn.CONCAT('4M'!$B$58, "-", '4M'!$B$69, "-", '4M'!$F$7, "-", '4M'!$F$6, "-", '4M'!$F$5)</f>
        <v>Other enhancement-Sludge enhancement (quality)-Foul-Wastewater network+ -Expenditure in report year</v>
      </c>
    </row>
    <row r="2451" spans="1:15">
      <c r="A2451" t="s">
        <v>643</v>
      </c>
      <c r="B2451" t="str">
        <f>'4M'!$BI$69</f>
        <v>B0343SEO_SWD</v>
      </c>
      <c r="D2451" t="str">
        <f>_xlfn.CONCAT('4M'!$B$58, "-", '4M'!$B$69, "-", '4M'!$G$7, "-", '4M'!$F$6, "-", '4M'!$F$5)</f>
        <v>Other enhancement-Sludge enhancement (quality)-Surface water drainage-Wastewater network+ -Expenditure in report year</v>
      </c>
      <c r="E2451" t="str">
        <f>'4M'!$C$69</f>
        <v>Opex</v>
      </c>
      <c r="F2451" t="s">
        <v>682</v>
      </c>
      <c r="G2451" t="str">
        <f>'4M'!$D$69</f>
        <v>£m</v>
      </c>
      <c r="O2451" t="str">
        <f>_xlfn.CONCAT('4M'!$B$58, "-", '4M'!$B$69, "-", '4M'!$G$7, "-", '4M'!$F$6, "-", '4M'!$F$5)</f>
        <v>Other enhancement-Sludge enhancement (quality)-Surface water drainage-Wastewater network+ -Expenditure in report year</v>
      </c>
    </row>
    <row r="2452" spans="1:15">
      <c r="A2452" t="s">
        <v>643</v>
      </c>
      <c r="B2452" t="str">
        <f>'4M'!$BJ$69</f>
        <v>B0343SEO_HD</v>
      </c>
      <c r="D2452" t="str">
        <f>_xlfn.CONCAT('4M'!$B$58, "-", '4M'!$B$69, "-", '4M'!$H$7, "-", '4M'!$F$6, "-", '4M'!$F$5)</f>
        <v>Other enhancement-Sludge enhancement (quality)-Highway drainage-Wastewater network+ -Expenditure in report year</v>
      </c>
      <c r="E2452" t="str">
        <f>'4M'!$C$69</f>
        <v>Opex</v>
      </c>
      <c r="F2452" t="s">
        <v>682</v>
      </c>
      <c r="G2452" t="str">
        <f>'4M'!$D$69</f>
        <v>£m</v>
      </c>
      <c r="O2452" t="str">
        <f>_xlfn.CONCAT('4M'!$B$58, "-", '4M'!$B$69, "-", '4M'!$H$7, "-", '4M'!$F$6, "-", '4M'!$F$5)</f>
        <v>Other enhancement-Sludge enhancement (quality)-Highway drainage-Wastewater network+ -Expenditure in report year</v>
      </c>
    </row>
    <row r="2453" spans="1:15">
      <c r="A2453" t="s">
        <v>643</v>
      </c>
      <c r="B2453" t="str">
        <f>'4M'!$BK$69</f>
        <v>B0343SEO_STD</v>
      </c>
      <c r="D2453" t="str">
        <f>_xlfn.CONCAT('4M'!$B$58, "-", '4M'!$B$69, "-", '4M'!$I$7, "-", '4M'!$F$6, "-", '4M'!$F$5)</f>
        <v>Other enhancement-Sludge enhancement (quality)-Sewage treatment and disposal-Wastewater network+ -Expenditure in report year</v>
      </c>
      <c r="E2453" t="str">
        <f>'4M'!$C$69</f>
        <v>Opex</v>
      </c>
      <c r="F2453" t="s">
        <v>682</v>
      </c>
      <c r="G2453" t="str">
        <f>'4M'!$D$69</f>
        <v>£m</v>
      </c>
      <c r="O2453" t="str">
        <f>_xlfn.CONCAT('4M'!$B$58, "-", '4M'!$B$69, "-", '4M'!$I$7, "-", '4M'!$F$6, "-", '4M'!$F$5)</f>
        <v>Other enhancement-Sludge enhancement (quality)-Sewage treatment and disposal-Wastewater network+ -Expenditure in report year</v>
      </c>
    </row>
    <row r="2454" spans="1:15">
      <c r="A2454" t="s">
        <v>643</v>
      </c>
      <c r="B2454" t="str">
        <f>'4M'!$BL$69</f>
        <v>B0343SEO_SLT</v>
      </c>
      <c r="D2454" t="str">
        <f>_xlfn.CONCAT('4M'!$B$58, "-", '4M'!$B$69, "-", '4M'!$J$7, "-", '4M'!$F$6, "-", '4M'!$F$5)</f>
        <v>Other enhancement-Sludge enhancement (quality)-Sludge liquor treatment-Wastewater network+ -Expenditure in report year</v>
      </c>
      <c r="E2454" t="str">
        <f>'4M'!$C$69</f>
        <v>Opex</v>
      </c>
      <c r="F2454" t="s">
        <v>682</v>
      </c>
      <c r="G2454" t="str">
        <f>'4M'!$D$69</f>
        <v>£m</v>
      </c>
      <c r="O2454" t="str">
        <f>_xlfn.CONCAT('4M'!$B$58, "-", '4M'!$B$69, "-", '4M'!$J$7, "-", '4M'!$F$6, "-", '4M'!$F$5)</f>
        <v>Other enhancement-Sludge enhancement (quality)-Sludge liquor treatment-Wastewater network+ -Expenditure in report year</v>
      </c>
    </row>
    <row r="2455" spans="1:15">
      <c r="A2455" t="s">
        <v>643</v>
      </c>
      <c r="B2455" t="str">
        <f>'4M'!$BM$69</f>
        <v>B0343SEO_STP</v>
      </c>
      <c r="D2455" t="str">
        <f>_xlfn.CONCAT('4M'!$B$58, "-", '4M'!$B$69, "-", '4M'!$K$7, "-", '4M'!$K$6, "-", '4M'!$F$5)</f>
        <v>Other enhancement-Sludge enhancement (quality)-Sludge transport-Bioresources-Expenditure in report year</v>
      </c>
      <c r="E2455" t="str">
        <f>'4M'!$C$69</f>
        <v>Opex</v>
      </c>
      <c r="F2455" t="s">
        <v>682</v>
      </c>
      <c r="G2455" t="str">
        <f>'4M'!$D$69</f>
        <v>£m</v>
      </c>
      <c r="O2455" t="str">
        <f>_xlfn.CONCAT('4M'!$B$58, "-", '4M'!$B$69, "-", '4M'!$K$7, "-", '4M'!$K$6, "-", '4M'!$F$5)</f>
        <v>Other enhancement-Sludge enhancement (quality)-Sludge transport-Bioresources-Expenditure in report year</v>
      </c>
    </row>
    <row r="2456" spans="1:15">
      <c r="A2456" t="s">
        <v>643</v>
      </c>
      <c r="B2456" t="str">
        <f>'4M'!$BN$69</f>
        <v>B0343SEO_SDT</v>
      </c>
      <c r="D2456" t="str">
        <f>_xlfn.CONCAT('4M'!$B$58, "-", '4M'!$B$69, "-", '4M'!$L$7, "-", '4M'!$K$6, "-", '4M'!$F$5)</f>
        <v>Other enhancement-Sludge enhancement (quality)-Sludge treatment-Bioresources-Expenditure in report year</v>
      </c>
      <c r="E2456" t="str">
        <f>'4M'!$C$69</f>
        <v>Opex</v>
      </c>
      <c r="F2456" t="s">
        <v>682</v>
      </c>
      <c r="G2456" t="str">
        <f>'4M'!$D$69</f>
        <v>£m</v>
      </c>
      <c r="O2456" t="str">
        <f>_xlfn.CONCAT('4M'!$B$58, "-", '4M'!$B$69, "-", '4M'!$L$7, "-", '4M'!$K$6, "-", '4M'!$F$5)</f>
        <v>Other enhancement-Sludge enhancement (quality)-Sludge treatment-Bioresources-Expenditure in report year</v>
      </c>
    </row>
    <row r="2457" spans="1:15">
      <c r="A2457" t="s">
        <v>643</v>
      </c>
      <c r="B2457" t="str">
        <f>'4M'!$BO$69</f>
        <v>B0343SEO_SD</v>
      </c>
      <c r="D2457" t="str">
        <f>_xlfn.CONCAT('4M'!$B$58, "-", '4M'!$B$69, "-", '4M'!$M$7, "-", '4M'!$K$6, "-", '4M'!$F$5)</f>
        <v>Other enhancement-Sludge enhancement (quality)-Sludge disposal-Bioresources-Expenditure in report year</v>
      </c>
      <c r="E2457" t="str">
        <f>'4M'!$C$69</f>
        <v>Opex</v>
      </c>
      <c r="F2457" t="s">
        <v>682</v>
      </c>
      <c r="G2457" t="str">
        <f>'4M'!$D$69</f>
        <v>£m</v>
      </c>
      <c r="O2457" t="str">
        <f>_xlfn.CONCAT('4M'!$B$58, "-", '4M'!$B$69, "-", '4M'!$M$7, "-", '4M'!$K$6, "-", '4M'!$F$5)</f>
        <v>Other enhancement-Sludge enhancement (quality)-Sludge disposal-Bioresources-Expenditure in report year</v>
      </c>
    </row>
    <row r="2458" spans="1:15">
      <c r="A2458" t="s">
        <v>643</v>
      </c>
      <c r="B2458" t="str">
        <f>'4M'!$BP$69</f>
        <v>B0343SEO_TOT</v>
      </c>
      <c r="D2458" t="str">
        <f>_xlfn.CONCAT('4M'!$B$58, "-", '4M'!$B$69, "-", '4M'!$N$6, "-", '4M'!$N$6, "-", '4M'!$F$5)</f>
        <v>Other enhancement-Sludge enhancement (quality)-Total-Total-Expenditure in report year</v>
      </c>
      <c r="E2458" t="str">
        <f>'4M'!$C$69</f>
        <v>Opex</v>
      </c>
      <c r="F2458" t="s">
        <v>682</v>
      </c>
      <c r="G2458" t="str">
        <f>'4M'!$D$69</f>
        <v>£m</v>
      </c>
      <c r="O2458" t="str">
        <f>_xlfn.CONCAT('4M'!$B$58, "-", '4M'!$B$69, "-", '4M'!$N$6, "-", '4M'!$N$6, "-", '4M'!$F$5)</f>
        <v>Other enhancement-Sludge enhancement (quality)-Total-Total-Expenditure in report year</v>
      </c>
    </row>
    <row r="2459" spans="1:15">
      <c r="A2459" t="s">
        <v>643</v>
      </c>
      <c r="B2459" t="str">
        <f>'4M'!$BH$70</f>
        <v>B0344SET_F</v>
      </c>
      <c r="D2459" t="str">
        <f>_xlfn.CONCAT('4M'!$B$58, "-", '4M'!$B$70, "-", '4M'!$F$7, "-", '4M'!$F$6, "-", '4M'!$F$5)</f>
        <v>Other enhancement-Sludge enhancement (quality)-Foul-Wastewater network+ -Expenditure in report year</v>
      </c>
      <c r="E2459" t="str">
        <f>'4M'!$C$70</f>
        <v>Totex</v>
      </c>
      <c r="F2459" t="s">
        <v>682</v>
      </c>
      <c r="G2459" t="str">
        <f>'4M'!$D$70</f>
        <v>£m</v>
      </c>
      <c r="O2459" t="str">
        <f>_xlfn.CONCAT('4M'!$B$58, "-", '4M'!$B$70, "-", '4M'!$F$7, "-", '4M'!$F$6, "-", '4M'!$F$5)</f>
        <v>Other enhancement-Sludge enhancement (quality)-Foul-Wastewater network+ -Expenditure in report year</v>
      </c>
    </row>
    <row r="2460" spans="1:15">
      <c r="A2460" t="s">
        <v>643</v>
      </c>
      <c r="B2460" t="str">
        <f>'4M'!$BI$70</f>
        <v>B0344SET_SWD</v>
      </c>
      <c r="D2460" t="str">
        <f>_xlfn.CONCAT('4M'!$B$58, "-", '4M'!$B$70, "-", '4M'!$G$7, "-", '4M'!$F$6, "-", '4M'!$F$5)</f>
        <v>Other enhancement-Sludge enhancement (quality)-Surface water drainage-Wastewater network+ -Expenditure in report year</v>
      </c>
      <c r="E2460" t="str">
        <f>'4M'!$C$70</f>
        <v>Totex</v>
      </c>
      <c r="F2460" t="s">
        <v>682</v>
      </c>
      <c r="G2460" t="str">
        <f>'4M'!$D$70</f>
        <v>£m</v>
      </c>
      <c r="O2460" t="str">
        <f>_xlfn.CONCAT('4M'!$B$58, "-", '4M'!$B$70, "-", '4M'!$G$7, "-", '4M'!$F$6, "-", '4M'!$F$5)</f>
        <v>Other enhancement-Sludge enhancement (quality)-Surface water drainage-Wastewater network+ -Expenditure in report year</v>
      </c>
    </row>
    <row r="2461" spans="1:15">
      <c r="A2461" t="s">
        <v>643</v>
      </c>
      <c r="B2461" t="str">
        <f>'4M'!$BJ$70</f>
        <v>B0344SET_HD</v>
      </c>
      <c r="D2461" t="str">
        <f>_xlfn.CONCAT('4M'!$B$58, "-", '4M'!$B$70, "-", '4M'!$H$7, "-", '4M'!$F$6, "-", '4M'!$F$5)</f>
        <v>Other enhancement-Sludge enhancement (quality)-Highway drainage-Wastewater network+ -Expenditure in report year</v>
      </c>
      <c r="E2461" t="str">
        <f>'4M'!$C$70</f>
        <v>Totex</v>
      </c>
      <c r="F2461" t="s">
        <v>682</v>
      </c>
      <c r="G2461" t="str">
        <f>'4M'!$D$70</f>
        <v>£m</v>
      </c>
      <c r="O2461" t="str">
        <f>_xlfn.CONCAT('4M'!$B$58, "-", '4M'!$B$70, "-", '4M'!$H$7, "-", '4M'!$F$6, "-", '4M'!$F$5)</f>
        <v>Other enhancement-Sludge enhancement (quality)-Highway drainage-Wastewater network+ -Expenditure in report year</v>
      </c>
    </row>
    <row r="2462" spans="1:15">
      <c r="A2462" t="s">
        <v>643</v>
      </c>
      <c r="B2462" t="str">
        <f>'4M'!$BK$70</f>
        <v>B0344SET_STD</v>
      </c>
      <c r="D2462" t="str">
        <f>_xlfn.CONCAT('4M'!$B$58, "-", '4M'!$B$70, "-", '4M'!$I$7, "-", '4M'!$F$6, "-", '4M'!$F$5)</f>
        <v>Other enhancement-Sludge enhancement (quality)-Sewage treatment and disposal-Wastewater network+ -Expenditure in report year</v>
      </c>
      <c r="E2462" t="str">
        <f>'4M'!$C$70</f>
        <v>Totex</v>
      </c>
      <c r="F2462" t="s">
        <v>682</v>
      </c>
      <c r="G2462" t="str">
        <f>'4M'!$D$70</f>
        <v>£m</v>
      </c>
      <c r="O2462" t="str">
        <f>_xlfn.CONCAT('4M'!$B$58, "-", '4M'!$B$70, "-", '4M'!$I$7, "-", '4M'!$F$6, "-", '4M'!$F$5)</f>
        <v>Other enhancement-Sludge enhancement (quality)-Sewage treatment and disposal-Wastewater network+ -Expenditure in report year</v>
      </c>
    </row>
    <row r="2463" spans="1:15">
      <c r="A2463" t="s">
        <v>643</v>
      </c>
      <c r="B2463" t="str">
        <f>'4M'!$BL$70</f>
        <v>B0344SET_SLT</v>
      </c>
      <c r="D2463" t="str">
        <f>_xlfn.CONCAT('4M'!$B$58, "-", '4M'!$B$70, "-", '4M'!$J$7, "-", '4M'!$F$6, "-", '4M'!$F$5)</f>
        <v>Other enhancement-Sludge enhancement (quality)-Sludge liquor treatment-Wastewater network+ -Expenditure in report year</v>
      </c>
      <c r="E2463" t="str">
        <f>'4M'!$C$70</f>
        <v>Totex</v>
      </c>
      <c r="F2463" t="s">
        <v>682</v>
      </c>
      <c r="G2463" t="str">
        <f>'4M'!$D$70</f>
        <v>£m</v>
      </c>
      <c r="O2463" t="str">
        <f>_xlfn.CONCAT('4M'!$B$58, "-", '4M'!$B$70, "-", '4M'!$J$7, "-", '4M'!$F$6, "-", '4M'!$F$5)</f>
        <v>Other enhancement-Sludge enhancement (quality)-Sludge liquor treatment-Wastewater network+ -Expenditure in report year</v>
      </c>
    </row>
    <row r="2464" spans="1:15">
      <c r="A2464" t="s">
        <v>643</v>
      </c>
      <c r="B2464" t="str">
        <f>'4M'!$BM$70</f>
        <v>B0344SET_STP</v>
      </c>
      <c r="D2464" t="str">
        <f>_xlfn.CONCAT('4M'!$B$58, "-", '4M'!$B$70, "-", '4M'!$K$7, "-", '4M'!$K$6, "-", '4M'!$F$5)</f>
        <v>Other enhancement-Sludge enhancement (quality)-Sludge transport-Bioresources-Expenditure in report year</v>
      </c>
      <c r="E2464" t="str">
        <f>'4M'!$C$70</f>
        <v>Totex</v>
      </c>
      <c r="F2464" t="s">
        <v>682</v>
      </c>
      <c r="G2464" t="str">
        <f>'4M'!$D$70</f>
        <v>£m</v>
      </c>
      <c r="O2464" t="str">
        <f>_xlfn.CONCAT('4M'!$B$58, "-", '4M'!$B$70, "-", '4M'!$K$7, "-", '4M'!$K$6, "-", '4M'!$F$5)</f>
        <v>Other enhancement-Sludge enhancement (quality)-Sludge transport-Bioresources-Expenditure in report year</v>
      </c>
    </row>
    <row r="2465" spans="1:15">
      <c r="A2465" t="s">
        <v>643</v>
      </c>
      <c r="B2465" t="str">
        <f>'4M'!$BN$70</f>
        <v>B0344SET_SDT</v>
      </c>
      <c r="D2465" t="str">
        <f>_xlfn.CONCAT('4M'!$B$58, "-", '4M'!$B$70, "-", '4M'!$L$7, "-", '4M'!$K$6, "-", '4M'!$F$5)</f>
        <v>Other enhancement-Sludge enhancement (quality)-Sludge treatment-Bioresources-Expenditure in report year</v>
      </c>
      <c r="E2465" t="str">
        <f>'4M'!$C$70</f>
        <v>Totex</v>
      </c>
      <c r="F2465" t="s">
        <v>682</v>
      </c>
      <c r="G2465" t="str">
        <f>'4M'!$D$70</f>
        <v>£m</v>
      </c>
      <c r="O2465" t="str">
        <f>_xlfn.CONCAT('4M'!$B$58, "-", '4M'!$B$70, "-", '4M'!$L$7, "-", '4M'!$K$6, "-", '4M'!$F$5)</f>
        <v>Other enhancement-Sludge enhancement (quality)-Sludge treatment-Bioresources-Expenditure in report year</v>
      </c>
    </row>
    <row r="2466" spans="1:15">
      <c r="A2466" t="s">
        <v>643</v>
      </c>
      <c r="B2466" t="str">
        <f>'4M'!$BO$70</f>
        <v>B0344SET_SD</v>
      </c>
      <c r="D2466" t="str">
        <f>_xlfn.CONCAT('4M'!$B$58, "-", '4M'!$B$70, "-", '4M'!$M$7, "-", '4M'!$K$6, "-", '4M'!$F$5)</f>
        <v>Other enhancement-Sludge enhancement (quality)-Sludge disposal-Bioresources-Expenditure in report year</v>
      </c>
      <c r="E2466" t="str">
        <f>'4M'!$C$70</f>
        <v>Totex</v>
      </c>
      <c r="F2466" t="s">
        <v>682</v>
      </c>
      <c r="G2466" t="str">
        <f>'4M'!$D$70</f>
        <v>£m</v>
      </c>
      <c r="O2466" t="str">
        <f>_xlfn.CONCAT('4M'!$B$58, "-", '4M'!$B$70, "-", '4M'!$M$7, "-", '4M'!$K$6, "-", '4M'!$F$5)</f>
        <v>Other enhancement-Sludge enhancement (quality)-Sludge disposal-Bioresources-Expenditure in report year</v>
      </c>
    </row>
    <row r="2467" spans="1:15">
      <c r="A2467" t="s">
        <v>643</v>
      </c>
      <c r="B2467" t="str">
        <f>'4M'!$BP$70</f>
        <v>B0344SET_TOT</v>
      </c>
      <c r="D2467" t="str">
        <f>_xlfn.CONCAT('4M'!$B$58, "-", '4M'!$B$70, "-", '4M'!$N$6, "-", '4M'!$N$6, "-", '4M'!$F$5)</f>
        <v>Other enhancement-Sludge enhancement (quality)-Total-Total-Expenditure in report year</v>
      </c>
      <c r="E2467" t="str">
        <f>'4M'!$C$70</f>
        <v>Totex</v>
      </c>
      <c r="F2467" t="s">
        <v>682</v>
      </c>
      <c r="G2467" t="str">
        <f>'4M'!$D$70</f>
        <v>£m</v>
      </c>
      <c r="O2467" t="str">
        <f>_xlfn.CONCAT('4M'!$B$58, "-", '4M'!$B$70, "-", '4M'!$N$6, "-", '4M'!$N$6, "-", '4M'!$F$5)</f>
        <v>Other enhancement-Sludge enhancement (quality)-Total-Total-Expenditure in report year</v>
      </c>
    </row>
    <row r="2468" spans="1:15">
      <c r="A2468" t="s">
        <v>643</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682</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643</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682</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643</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682</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643</v>
      </c>
      <c r="B2471" t="str">
        <f>'4M'!$BH$71</f>
        <v>B0345SEC_F</v>
      </c>
      <c r="D2471" t="str">
        <f>_xlfn.CONCAT('4M'!$B$58, "-", '4M'!$B$71, "-", '4M'!$F$7, "-", '4M'!$F$6, "-", '4M'!$F$5)</f>
        <v>Other enhancement-Sludge enhancement (growth)-Foul-Wastewater network+ -Expenditure in report year</v>
      </c>
      <c r="E2471" t="str">
        <f>'4M'!$C$71</f>
        <v>Capex</v>
      </c>
      <c r="F2471" t="s">
        <v>682</v>
      </c>
      <c r="G2471" t="str">
        <f>'4M'!$D$71</f>
        <v>£m</v>
      </c>
      <c r="O2471" t="str">
        <f>_xlfn.CONCAT('4M'!$B$58, "-", '4M'!$B$71, "-", '4M'!$F$7, "-", '4M'!$F$6, "-", '4M'!$F$5)</f>
        <v>Other enhancement-Sludge enhancement (growth)-Foul-Wastewater network+ -Expenditure in report year</v>
      </c>
    </row>
    <row r="2472" spans="1:15">
      <c r="A2472" t="s">
        <v>643</v>
      </c>
      <c r="B2472" t="str">
        <f>'4M'!$BI$71</f>
        <v>B0345SEC_SWD</v>
      </c>
      <c r="D2472" t="str">
        <f>_xlfn.CONCAT('4M'!$B$58, "-", '4M'!$B$71, "-", '4M'!$G$7, "-", '4M'!$F$6, "-", '4M'!$F$5)</f>
        <v>Other enhancement-Sludge enhancement (growth)-Surface water drainage-Wastewater network+ -Expenditure in report year</v>
      </c>
      <c r="E2472" t="str">
        <f>'4M'!$C$71</f>
        <v>Capex</v>
      </c>
      <c r="F2472" t="s">
        <v>682</v>
      </c>
      <c r="G2472" t="str">
        <f>'4M'!$D$71</f>
        <v>£m</v>
      </c>
      <c r="O2472" t="str">
        <f>_xlfn.CONCAT('4M'!$B$58, "-", '4M'!$B$71, "-", '4M'!$G$7, "-", '4M'!$F$6, "-", '4M'!$F$5)</f>
        <v>Other enhancement-Sludge enhancement (growth)-Surface water drainage-Wastewater network+ -Expenditure in report year</v>
      </c>
    </row>
    <row r="2473" spans="1:15">
      <c r="A2473" t="s">
        <v>643</v>
      </c>
      <c r="B2473" t="str">
        <f>'4M'!$BJ$71</f>
        <v>B0345SEC_HD</v>
      </c>
      <c r="D2473" t="str">
        <f>_xlfn.CONCAT('4M'!$B$58, "-", '4M'!$B$71, "-", '4M'!$H$7, "-", '4M'!$F$6, "-", '4M'!$F$5)</f>
        <v>Other enhancement-Sludge enhancement (growth)-Highway drainage-Wastewater network+ -Expenditure in report year</v>
      </c>
      <c r="E2473" t="str">
        <f>'4M'!$C$71</f>
        <v>Capex</v>
      </c>
      <c r="F2473" t="s">
        <v>682</v>
      </c>
      <c r="G2473" t="str">
        <f>'4M'!$D$71</f>
        <v>£m</v>
      </c>
      <c r="O2473" t="str">
        <f>_xlfn.CONCAT('4M'!$B$58, "-", '4M'!$B$71, "-", '4M'!$H$7, "-", '4M'!$F$6, "-", '4M'!$F$5)</f>
        <v>Other enhancement-Sludge enhancement (growth)-Highway drainage-Wastewater network+ -Expenditure in report year</v>
      </c>
    </row>
    <row r="2474" spans="1:15">
      <c r="A2474" t="s">
        <v>643</v>
      </c>
      <c r="B2474" t="str">
        <f>'4M'!$BK$71</f>
        <v>B0345SEC_STD</v>
      </c>
      <c r="D2474" t="str">
        <f>_xlfn.CONCAT('4M'!$B$58, "-", '4M'!$B$71, "-", '4M'!$I$7, "-", '4M'!$F$6, "-", '4M'!$F$5)</f>
        <v>Other enhancement-Sludge enhancement (growth)-Sewage treatment and disposal-Wastewater network+ -Expenditure in report year</v>
      </c>
      <c r="E2474" t="str">
        <f>'4M'!$C$71</f>
        <v>Capex</v>
      </c>
      <c r="F2474" t="s">
        <v>682</v>
      </c>
      <c r="G2474" t="str">
        <f>'4M'!$D$71</f>
        <v>£m</v>
      </c>
      <c r="O2474" t="str">
        <f>_xlfn.CONCAT('4M'!$B$58, "-", '4M'!$B$71, "-", '4M'!$I$7, "-", '4M'!$F$6, "-", '4M'!$F$5)</f>
        <v>Other enhancement-Sludge enhancement (growth)-Sewage treatment and disposal-Wastewater network+ -Expenditure in report year</v>
      </c>
    </row>
    <row r="2475" spans="1:15">
      <c r="A2475" t="s">
        <v>643</v>
      </c>
      <c r="B2475" t="str">
        <f>'4M'!$BL$71</f>
        <v>B0345SEC_SLT</v>
      </c>
      <c r="D2475" t="str">
        <f>_xlfn.CONCAT('4M'!$B$58, "-", '4M'!$B$71, "-", '4M'!$J$7, "-", '4M'!$F$6, "-", '4M'!$F$5)</f>
        <v>Other enhancement-Sludge enhancement (growth)-Sludge liquor treatment-Wastewater network+ -Expenditure in report year</v>
      </c>
      <c r="E2475" t="str">
        <f>'4M'!$C$71</f>
        <v>Capex</v>
      </c>
      <c r="F2475" t="s">
        <v>682</v>
      </c>
      <c r="G2475" t="str">
        <f>'4M'!$D$71</f>
        <v>£m</v>
      </c>
      <c r="O2475" t="str">
        <f>_xlfn.CONCAT('4M'!$B$58, "-", '4M'!$B$71, "-", '4M'!$J$7, "-", '4M'!$F$6, "-", '4M'!$F$5)</f>
        <v>Other enhancement-Sludge enhancement (growth)-Sludge liquor treatment-Wastewater network+ -Expenditure in report year</v>
      </c>
    </row>
    <row r="2476" spans="1:15">
      <c r="A2476" t="s">
        <v>643</v>
      </c>
      <c r="B2476" t="str">
        <f>'4M'!$BM$71</f>
        <v>B0345SEC_STP</v>
      </c>
      <c r="D2476" t="str">
        <f>_xlfn.CONCAT('4M'!$B$58, "-", '4M'!$B$71, "-", '4M'!$K$7, "-", '4M'!$K$6, "-", '4M'!$F$5)</f>
        <v>Other enhancement-Sludge enhancement (growth)-Sludge transport-Bioresources-Expenditure in report year</v>
      </c>
      <c r="E2476" t="str">
        <f>'4M'!$C$71</f>
        <v>Capex</v>
      </c>
      <c r="F2476" t="s">
        <v>682</v>
      </c>
      <c r="G2476" t="str">
        <f>'4M'!$D$71</f>
        <v>£m</v>
      </c>
      <c r="O2476" t="str">
        <f>_xlfn.CONCAT('4M'!$B$58, "-", '4M'!$B$71, "-", '4M'!$K$7, "-", '4M'!$K$6, "-", '4M'!$F$5)</f>
        <v>Other enhancement-Sludge enhancement (growth)-Sludge transport-Bioresources-Expenditure in report year</v>
      </c>
    </row>
    <row r="2477" spans="1:15">
      <c r="A2477" t="s">
        <v>643</v>
      </c>
      <c r="B2477" t="str">
        <f>'4M'!$BN$71</f>
        <v>B0345SEC_SDT</v>
      </c>
      <c r="D2477" t="str">
        <f>_xlfn.CONCAT('4M'!$B$58, "-", '4M'!$B$71, "-", '4M'!$L$7, "-", '4M'!$K$6, "-", '4M'!$F$5)</f>
        <v>Other enhancement-Sludge enhancement (growth)-Sludge treatment-Bioresources-Expenditure in report year</v>
      </c>
      <c r="E2477" t="str">
        <f>'4M'!$C$71</f>
        <v>Capex</v>
      </c>
      <c r="F2477" t="s">
        <v>682</v>
      </c>
      <c r="G2477" t="str">
        <f>'4M'!$D$71</f>
        <v>£m</v>
      </c>
      <c r="O2477" t="str">
        <f>_xlfn.CONCAT('4M'!$B$58, "-", '4M'!$B$71, "-", '4M'!$L$7, "-", '4M'!$K$6, "-", '4M'!$F$5)</f>
        <v>Other enhancement-Sludge enhancement (growth)-Sludge treatment-Bioresources-Expenditure in report year</v>
      </c>
    </row>
    <row r="2478" spans="1:15">
      <c r="A2478" t="s">
        <v>643</v>
      </c>
      <c r="B2478" t="str">
        <f>'4M'!$BO$71</f>
        <v>B0345SEC_SD</v>
      </c>
      <c r="D2478" t="str">
        <f>_xlfn.CONCAT('4M'!$B$58, "-", '4M'!$B$71, "-", '4M'!$M$7, "-", '4M'!$K$6, "-", '4M'!$F$5)</f>
        <v>Other enhancement-Sludge enhancement (growth)-Sludge disposal-Bioresources-Expenditure in report year</v>
      </c>
      <c r="E2478" t="str">
        <f>'4M'!$C$71</f>
        <v>Capex</v>
      </c>
      <c r="F2478" t="s">
        <v>682</v>
      </c>
      <c r="G2478" t="str">
        <f>'4M'!$D$71</f>
        <v>£m</v>
      </c>
      <c r="O2478" t="str">
        <f>_xlfn.CONCAT('4M'!$B$58, "-", '4M'!$B$71, "-", '4M'!$M$7, "-", '4M'!$K$6, "-", '4M'!$F$5)</f>
        <v>Other enhancement-Sludge enhancement (growth)-Sludge disposal-Bioresources-Expenditure in report year</v>
      </c>
    </row>
    <row r="2479" spans="1:15">
      <c r="A2479" t="s">
        <v>643</v>
      </c>
      <c r="B2479" t="str">
        <f>'4M'!$BP$71</f>
        <v>B0345SEC_TOT</v>
      </c>
      <c r="D2479" t="str">
        <f>_xlfn.CONCAT('4M'!$B$58, "-", '4M'!$B$71, "-", '4M'!$N$6, "-", '4M'!$N$6, "-", '4M'!$F$5)</f>
        <v>Other enhancement-Sludge enhancement (growth)-Total-Total-Expenditure in report year</v>
      </c>
      <c r="E2479" t="str">
        <f>'4M'!$C$71</f>
        <v>Capex</v>
      </c>
      <c r="F2479" t="s">
        <v>682</v>
      </c>
      <c r="G2479" t="str">
        <f>'4M'!$D$71</f>
        <v>£m</v>
      </c>
      <c r="O2479" t="str">
        <f>_xlfn.CONCAT('4M'!$B$58, "-", '4M'!$B$71, "-", '4M'!$N$6, "-", '4M'!$N$6, "-", '4M'!$F$5)</f>
        <v>Other enhancement-Sludge enhancement (growth)-Total-Total-Expenditure in report year</v>
      </c>
    </row>
    <row r="2480" spans="1:15">
      <c r="A2480" t="s">
        <v>643</v>
      </c>
      <c r="B2480" t="str">
        <f>'4M'!$BH$72</f>
        <v>B0346SEO_F</v>
      </c>
      <c r="D2480" t="str">
        <f>_xlfn.CONCAT('4M'!$B$58, "-", '4M'!$B$72, "-", '4M'!$F$7, "-", '4M'!$F$6, "-", '4M'!$F$5)</f>
        <v>Other enhancement-Sludge enhancement (growth)-Foul-Wastewater network+ -Expenditure in report year</v>
      </c>
      <c r="E2480" t="str">
        <f>'4M'!$C$72</f>
        <v>Opex</v>
      </c>
      <c r="F2480" t="s">
        <v>682</v>
      </c>
      <c r="G2480" t="str">
        <f>'4M'!$D$72</f>
        <v>£m</v>
      </c>
      <c r="O2480" t="str">
        <f>_xlfn.CONCAT('4M'!$B$58, "-", '4M'!$B$72, "-", '4M'!$F$7, "-", '4M'!$F$6, "-", '4M'!$F$5)</f>
        <v>Other enhancement-Sludge enhancement (growth)-Foul-Wastewater network+ -Expenditure in report year</v>
      </c>
    </row>
    <row r="2481" spans="1:15">
      <c r="A2481" t="s">
        <v>643</v>
      </c>
      <c r="B2481" t="str">
        <f>'4M'!$BI$72</f>
        <v>B0346SEO_SWD</v>
      </c>
      <c r="D2481" t="str">
        <f>_xlfn.CONCAT('4M'!$B$58, "-", '4M'!$B$72, "-", '4M'!$G$7, "-", '4M'!$F$6, "-", '4M'!$F$5)</f>
        <v>Other enhancement-Sludge enhancement (growth)-Surface water drainage-Wastewater network+ -Expenditure in report year</v>
      </c>
      <c r="E2481" t="str">
        <f>'4M'!$C$72</f>
        <v>Opex</v>
      </c>
      <c r="F2481" t="s">
        <v>682</v>
      </c>
      <c r="G2481" t="str">
        <f>'4M'!$D$72</f>
        <v>£m</v>
      </c>
      <c r="O2481" t="str">
        <f>_xlfn.CONCAT('4M'!$B$58, "-", '4M'!$B$72, "-", '4M'!$G$7, "-", '4M'!$F$6, "-", '4M'!$F$5)</f>
        <v>Other enhancement-Sludge enhancement (growth)-Surface water drainage-Wastewater network+ -Expenditure in report year</v>
      </c>
    </row>
    <row r="2482" spans="1:15">
      <c r="A2482" t="s">
        <v>643</v>
      </c>
      <c r="B2482" t="str">
        <f>'4M'!$BJ$72</f>
        <v>B0346SEO_HD</v>
      </c>
      <c r="D2482" t="str">
        <f>_xlfn.CONCAT('4M'!$B$58, "-", '4M'!$B$72, "-", '4M'!$H$7, "-", '4M'!$F$6, "-", '4M'!$F$5)</f>
        <v>Other enhancement-Sludge enhancement (growth)-Highway drainage-Wastewater network+ -Expenditure in report year</v>
      </c>
      <c r="E2482" t="str">
        <f>'4M'!$C$72</f>
        <v>Opex</v>
      </c>
      <c r="F2482" t="s">
        <v>682</v>
      </c>
      <c r="G2482" t="str">
        <f>'4M'!$D$72</f>
        <v>£m</v>
      </c>
      <c r="O2482" t="str">
        <f>_xlfn.CONCAT('4M'!$B$58, "-", '4M'!$B$72, "-", '4M'!$H$7, "-", '4M'!$F$6, "-", '4M'!$F$5)</f>
        <v>Other enhancement-Sludge enhancement (growth)-Highway drainage-Wastewater network+ -Expenditure in report year</v>
      </c>
    </row>
    <row r="2483" spans="1:15">
      <c r="A2483" t="s">
        <v>643</v>
      </c>
      <c r="B2483" t="str">
        <f>'4M'!$BK$72</f>
        <v>B0346SEO_STD</v>
      </c>
      <c r="D2483" t="str">
        <f>_xlfn.CONCAT('4M'!$B$58, "-", '4M'!$B$72, "-", '4M'!$I$7, "-", '4M'!$F$6, "-", '4M'!$F$5)</f>
        <v>Other enhancement-Sludge enhancement (growth)-Sewage treatment and disposal-Wastewater network+ -Expenditure in report year</v>
      </c>
      <c r="E2483" t="str">
        <f>'4M'!$C$72</f>
        <v>Opex</v>
      </c>
      <c r="F2483" t="s">
        <v>682</v>
      </c>
      <c r="G2483" t="str">
        <f>'4M'!$D$72</f>
        <v>£m</v>
      </c>
      <c r="O2483" t="str">
        <f>_xlfn.CONCAT('4M'!$B$58, "-", '4M'!$B$72, "-", '4M'!$I$7, "-", '4M'!$F$6, "-", '4M'!$F$5)</f>
        <v>Other enhancement-Sludge enhancement (growth)-Sewage treatment and disposal-Wastewater network+ -Expenditure in report year</v>
      </c>
    </row>
    <row r="2484" spans="1:15">
      <c r="A2484" t="s">
        <v>643</v>
      </c>
      <c r="B2484" t="str">
        <f>'4M'!$BL$72</f>
        <v>B0346SEO_SLT</v>
      </c>
      <c r="D2484" t="str">
        <f>_xlfn.CONCAT('4M'!$B$58, "-", '4M'!$B$72, "-", '4M'!$J$7, "-", '4M'!$F$6, "-", '4M'!$F$5)</f>
        <v>Other enhancement-Sludge enhancement (growth)-Sludge liquor treatment-Wastewater network+ -Expenditure in report year</v>
      </c>
      <c r="E2484" t="str">
        <f>'4M'!$C$72</f>
        <v>Opex</v>
      </c>
      <c r="F2484" t="s">
        <v>682</v>
      </c>
      <c r="G2484" t="str">
        <f>'4M'!$D$72</f>
        <v>£m</v>
      </c>
      <c r="O2484" t="str">
        <f>_xlfn.CONCAT('4M'!$B$58, "-", '4M'!$B$72, "-", '4M'!$J$7, "-", '4M'!$F$6, "-", '4M'!$F$5)</f>
        <v>Other enhancement-Sludge enhancement (growth)-Sludge liquor treatment-Wastewater network+ -Expenditure in report year</v>
      </c>
    </row>
    <row r="2485" spans="1:15">
      <c r="A2485" t="s">
        <v>643</v>
      </c>
      <c r="B2485" t="str">
        <f>'4M'!$BM$72</f>
        <v>B0346SEO_STP</v>
      </c>
      <c r="D2485" t="str">
        <f>_xlfn.CONCAT('4M'!$B$58, "-", '4M'!$B$72, "-", '4M'!$K$7, "-", '4M'!$K$6, "-", '4M'!$F$5)</f>
        <v>Other enhancement-Sludge enhancement (growth)-Sludge transport-Bioresources-Expenditure in report year</v>
      </c>
      <c r="E2485" t="str">
        <f>'4M'!$C$72</f>
        <v>Opex</v>
      </c>
      <c r="F2485" t="s">
        <v>682</v>
      </c>
      <c r="G2485" t="str">
        <f>'4M'!$D$72</f>
        <v>£m</v>
      </c>
      <c r="O2485" t="str">
        <f>_xlfn.CONCAT('4M'!$B$58, "-", '4M'!$B$72, "-", '4M'!$K$7, "-", '4M'!$K$6, "-", '4M'!$F$5)</f>
        <v>Other enhancement-Sludge enhancement (growth)-Sludge transport-Bioresources-Expenditure in report year</v>
      </c>
    </row>
    <row r="2486" spans="1:15">
      <c r="A2486" t="s">
        <v>643</v>
      </c>
      <c r="B2486" t="str">
        <f>'4M'!$BN$72</f>
        <v>B0346SEO_SDT</v>
      </c>
      <c r="D2486" t="str">
        <f>_xlfn.CONCAT('4M'!$B$58, "-", '4M'!$B$72, "-", '4M'!$L$7, "-", '4M'!$K$6, "-", '4M'!$F$5)</f>
        <v>Other enhancement-Sludge enhancement (growth)-Sludge treatment-Bioresources-Expenditure in report year</v>
      </c>
      <c r="E2486" t="str">
        <f>'4M'!$C$72</f>
        <v>Opex</v>
      </c>
      <c r="F2486" t="s">
        <v>682</v>
      </c>
      <c r="G2486" t="str">
        <f>'4M'!$D$72</f>
        <v>£m</v>
      </c>
      <c r="O2486" t="str">
        <f>_xlfn.CONCAT('4M'!$B$58, "-", '4M'!$B$72, "-", '4M'!$L$7, "-", '4M'!$K$6, "-", '4M'!$F$5)</f>
        <v>Other enhancement-Sludge enhancement (growth)-Sludge treatment-Bioresources-Expenditure in report year</v>
      </c>
    </row>
    <row r="2487" spans="1:15">
      <c r="A2487" t="s">
        <v>643</v>
      </c>
      <c r="B2487" t="str">
        <f>'4M'!$BO$72</f>
        <v>B0346SEO_SD</v>
      </c>
      <c r="D2487" t="str">
        <f>_xlfn.CONCAT('4M'!$B$58, "-", '4M'!$B$72, "-", '4M'!$M$7, "-", '4M'!$K$6, "-", '4M'!$F$5)</f>
        <v>Other enhancement-Sludge enhancement (growth)-Sludge disposal-Bioresources-Expenditure in report year</v>
      </c>
      <c r="E2487" t="str">
        <f>'4M'!$C$72</f>
        <v>Opex</v>
      </c>
      <c r="F2487" t="s">
        <v>682</v>
      </c>
      <c r="G2487" t="str">
        <f>'4M'!$D$72</f>
        <v>£m</v>
      </c>
      <c r="O2487" t="str">
        <f>_xlfn.CONCAT('4M'!$B$58, "-", '4M'!$B$72, "-", '4M'!$M$7, "-", '4M'!$K$6, "-", '4M'!$F$5)</f>
        <v>Other enhancement-Sludge enhancement (growth)-Sludge disposal-Bioresources-Expenditure in report year</v>
      </c>
    </row>
    <row r="2488" spans="1:15">
      <c r="A2488" t="s">
        <v>643</v>
      </c>
      <c r="B2488" t="str">
        <f>'4M'!$BP$72</f>
        <v>B0346SEO_TOT</v>
      </c>
      <c r="D2488" t="str">
        <f>_xlfn.CONCAT('4M'!$B$58, "-", '4M'!$B$72, "-", '4M'!$N$6, "-", '4M'!$N$6, "-", '4M'!$F$5)</f>
        <v>Other enhancement-Sludge enhancement (growth)-Total-Total-Expenditure in report year</v>
      </c>
      <c r="E2488" t="str">
        <f>'4M'!$C$72</f>
        <v>Opex</v>
      </c>
      <c r="F2488" t="s">
        <v>682</v>
      </c>
      <c r="G2488" t="str">
        <f>'4M'!$D$72</f>
        <v>£m</v>
      </c>
      <c r="O2488" t="str">
        <f>_xlfn.CONCAT('4M'!$B$58, "-", '4M'!$B$72, "-", '4M'!$N$6, "-", '4M'!$N$6, "-", '4M'!$F$5)</f>
        <v>Other enhancement-Sludge enhancement (growth)-Total-Total-Expenditure in report year</v>
      </c>
    </row>
    <row r="2489" spans="1:15">
      <c r="A2489" t="s">
        <v>643</v>
      </c>
      <c r="B2489" t="str">
        <f>'4M'!$BH$73</f>
        <v>B0347SET_F</v>
      </c>
      <c r="D2489" t="str">
        <f>_xlfn.CONCAT('4M'!$B$58, "-", '4M'!$B$73, "-", '4M'!$F$7, "-", '4M'!$F$6, "-", '4M'!$F$5)</f>
        <v>Other enhancement-Sludge enhancement (growth)-Foul-Wastewater network+ -Expenditure in report year</v>
      </c>
      <c r="E2489" t="str">
        <f>'4M'!$C$73</f>
        <v>Totex</v>
      </c>
      <c r="F2489" t="s">
        <v>682</v>
      </c>
      <c r="G2489" t="str">
        <f>'4M'!$D$73</f>
        <v>£m</v>
      </c>
      <c r="O2489" t="str">
        <f>_xlfn.CONCAT('4M'!$B$58, "-", '4M'!$B$73, "-", '4M'!$F$7, "-", '4M'!$F$6, "-", '4M'!$F$5)</f>
        <v>Other enhancement-Sludge enhancement (growth)-Foul-Wastewater network+ -Expenditure in report year</v>
      </c>
    </row>
    <row r="2490" spans="1:15">
      <c r="A2490" t="s">
        <v>643</v>
      </c>
      <c r="B2490" t="str">
        <f>'4M'!$BI$73</f>
        <v>B0347SET_SWD</v>
      </c>
      <c r="D2490" t="str">
        <f>_xlfn.CONCAT('4M'!$B$58, "-", '4M'!$B$73, "-", '4M'!$G$7, "-", '4M'!$F$6, "-", '4M'!$F$5)</f>
        <v>Other enhancement-Sludge enhancement (growth)-Surface water drainage-Wastewater network+ -Expenditure in report year</v>
      </c>
      <c r="E2490" t="str">
        <f>'4M'!$C$73</f>
        <v>Totex</v>
      </c>
      <c r="F2490" t="s">
        <v>682</v>
      </c>
      <c r="G2490" t="str">
        <f>'4M'!$D$73</f>
        <v>£m</v>
      </c>
      <c r="O2490" t="str">
        <f>_xlfn.CONCAT('4M'!$B$58, "-", '4M'!$B$73, "-", '4M'!$G$7, "-", '4M'!$F$6, "-", '4M'!$F$5)</f>
        <v>Other enhancement-Sludge enhancement (growth)-Surface water drainage-Wastewater network+ -Expenditure in report year</v>
      </c>
    </row>
    <row r="2491" spans="1:15">
      <c r="A2491" t="s">
        <v>643</v>
      </c>
      <c r="B2491" t="str">
        <f>'4M'!$BJ$73</f>
        <v>B0347SET_HD</v>
      </c>
      <c r="D2491" t="str">
        <f>_xlfn.CONCAT('4M'!$B$58, "-", '4M'!$B$73, "-", '4M'!$H$7, "-", '4M'!$F$6, "-", '4M'!$F$5)</f>
        <v>Other enhancement-Sludge enhancement (growth)-Highway drainage-Wastewater network+ -Expenditure in report year</v>
      </c>
      <c r="E2491" t="str">
        <f>'4M'!$C$73</f>
        <v>Totex</v>
      </c>
      <c r="F2491" t="s">
        <v>682</v>
      </c>
      <c r="G2491" t="str">
        <f>'4M'!$D$73</f>
        <v>£m</v>
      </c>
      <c r="O2491" t="str">
        <f>_xlfn.CONCAT('4M'!$B$58, "-", '4M'!$B$73, "-", '4M'!$H$7, "-", '4M'!$F$6, "-", '4M'!$F$5)</f>
        <v>Other enhancement-Sludge enhancement (growth)-Highway drainage-Wastewater network+ -Expenditure in report year</v>
      </c>
    </row>
    <row r="2492" spans="1:15">
      <c r="A2492" t="s">
        <v>643</v>
      </c>
      <c r="B2492" t="str">
        <f>'4M'!$BK$73</f>
        <v>B0347SET_STD</v>
      </c>
      <c r="D2492" t="str">
        <f>_xlfn.CONCAT('4M'!$B$58, "-", '4M'!$B$73, "-", '4M'!$I$7, "-", '4M'!$F$6, "-", '4M'!$F$5)</f>
        <v>Other enhancement-Sludge enhancement (growth)-Sewage treatment and disposal-Wastewater network+ -Expenditure in report year</v>
      </c>
      <c r="E2492" t="str">
        <f>'4M'!$C$73</f>
        <v>Totex</v>
      </c>
      <c r="F2492" t="s">
        <v>682</v>
      </c>
      <c r="G2492" t="str">
        <f>'4M'!$D$73</f>
        <v>£m</v>
      </c>
      <c r="O2492" t="str">
        <f>_xlfn.CONCAT('4M'!$B$58, "-", '4M'!$B$73, "-", '4M'!$I$7, "-", '4M'!$F$6, "-", '4M'!$F$5)</f>
        <v>Other enhancement-Sludge enhancement (growth)-Sewage treatment and disposal-Wastewater network+ -Expenditure in report year</v>
      </c>
    </row>
    <row r="2493" spans="1:15">
      <c r="A2493" t="s">
        <v>643</v>
      </c>
      <c r="B2493" t="str">
        <f>'4M'!$BL$73</f>
        <v>B0347SET_SLT</v>
      </c>
      <c r="D2493" t="str">
        <f>_xlfn.CONCAT('4M'!$B$58, "-", '4M'!$B$73, "-", '4M'!$J$7, "-", '4M'!$F$6, "-", '4M'!$F$5)</f>
        <v>Other enhancement-Sludge enhancement (growth)-Sludge liquor treatment-Wastewater network+ -Expenditure in report year</v>
      </c>
      <c r="E2493" t="str">
        <f>'4M'!$C$73</f>
        <v>Totex</v>
      </c>
      <c r="F2493" t="s">
        <v>682</v>
      </c>
      <c r="G2493" t="str">
        <f>'4M'!$D$73</f>
        <v>£m</v>
      </c>
      <c r="O2493" t="str">
        <f>_xlfn.CONCAT('4M'!$B$58, "-", '4M'!$B$73, "-", '4M'!$J$7, "-", '4M'!$F$6, "-", '4M'!$F$5)</f>
        <v>Other enhancement-Sludge enhancement (growth)-Sludge liquor treatment-Wastewater network+ -Expenditure in report year</v>
      </c>
    </row>
    <row r="2494" spans="1:15">
      <c r="A2494" t="s">
        <v>643</v>
      </c>
      <c r="B2494" t="str">
        <f>'4M'!$BM$73</f>
        <v>B0347SET_STP</v>
      </c>
      <c r="D2494" t="str">
        <f>_xlfn.CONCAT('4M'!$B$58, "-", '4M'!$B$73, "-", '4M'!$K$7, "-", '4M'!$K$6, "-", '4M'!$F$5)</f>
        <v>Other enhancement-Sludge enhancement (growth)-Sludge transport-Bioresources-Expenditure in report year</v>
      </c>
      <c r="E2494" t="str">
        <f>'4M'!$C$73</f>
        <v>Totex</v>
      </c>
      <c r="F2494" t="s">
        <v>682</v>
      </c>
      <c r="G2494" t="str">
        <f>'4M'!$D$73</f>
        <v>£m</v>
      </c>
      <c r="O2494" t="str">
        <f>_xlfn.CONCAT('4M'!$B$58, "-", '4M'!$B$73, "-", '4M'!$K$7, "-", '4M'!$K$6, "-", '4M'!$F$5)</f>
        <v>Other enhancement-Sludge enhancement (growth)-Sludge transport-Bioresources-Expenditure in report year</v>
      </c>
    </row>
    <row r="2495" spans="1:15">
      <c r="A2495" t="s">
        <v>643</v>
      </c>
      <c r="B2495" t="str">
        <f>'4M'!$BN$73</f>
        <v>B0347SET_SDT</v>
      </c>
      <c r="D2495" t="str">
        <f>_xlfn.CONCAT('4M'!$B$58, "-", '4M'!$B$73, "-", '4M'!$L$7, "-", '4M'!$K$6, "-", '4M'!$F$5)</f>
        <v>Other enhancement-Sludge enhancement (growth)-Sludge treatment-Bioresources-Expenditure in report year</v>
      </c>
      <c r="E2495" t="str">
        <f>'4M'!$C$73</f>
        <v>Totex</v>
      </c>
      <c r="F2495" t="s">
        <v>682</v>
      </c>
      <c r="G2495" t="str">
        <f>'4M'!$D$73</f>
        <v>£m</v>
      </c>
      <c r="O2495" t="str">
        <f>_xlfn.CONCAT('4M'!$B$58, "-", '4M'!$B$73, "-", '4M'!$L$7, "-", '4M'!$K$6, "-", '4M'!$F$5)</f>
        <v>Other enhancement-Sludge enhancement (growth)-Sludge treatment-Bioresources-Expenditure in report year</v>
      </c>
    </row>
    <row r="2496" spans="1:15">
      <c r="A2496" t="s">
        <v>643</v>
      </c>
      <c r="B2496" t="str">
        <f>'4M'!$BO$73</f>
        <v>B0347SET_SD</v>
      </c>
      <c r="D2496" t="str">
        <f>_xlfn.CONCAT('4M'!$B$58, "-", '4M'!$B$73, "-", '4M'!$M$7, "-", '4M'!$K$6, "-", '4M'!$F$5)</f>
        <v>Other enhancement-Sludge enhancement (growth)-Sludge disposal-Bioresources-Expenditure in report year</v>
      </c>
      <c r="E2496" t="str">
        <f>'4M'!$C$73</f>
        <v>Totex</v>
      </c>
      <c r="F2496" t="s">
        <v>682</v>
      </c>
      <c r="G2496" t="str">
        <f>'4M'!$D$73</f>
        <v>£m</v>
      </c>
      <c r="O2496" t="str">
        <f>_xlfn.CONCAT('4M'!$B$58, "-", '4M'!$B$73, "-", '4M'!$M$7, "-", '4M'!$K$6, "-", '4M'!$F$5)</f>
        <v>Other enhancement-Sludge enhancement (growth)-Sludge disposal-Bioresources-Expenditure in report year</v>
      </c>
    </row>
    <row r="2497" spans="1:15">
      <c r="A2497" t="s">
        <v>643</v>
      </c>
      <c r="B2497" t="str">
        <f>'4M'!$BP$73</f>
        <v>B0347SET_TOT</v>
      </c>
      <c r="D2497" t="str">
        <f>_xlfn.CONCAT('4M'!$B$58, "-", '4M'!$B$73, "-", '4M'!$N$6, "-", '4M'!$N$6, "-", '4M'!$F$5)</f>
        <v>Other enhancement-Sludge enhancement (growth)-Total-Total-Expenditure in report year</v>
      </c>
      <c r="E2497" t="str">
        <f>'4M'!$C$73</f>
        <v>Totex</v>
      </c>
      <c r="F2497" t="s">
        <v>682</v>
      </c>
      <c r="G2497" t="str">
        <f>'4M'!$D$73</f>
        <v>£m</v>
      </c>
      <c r="O2497" t="str">
        <f>_xlfn.CONCAT('4M'!$B$58, "-", '4M'!$B$73, "-", '4M'!$N$6, "-", '4M'!$N$6, "-", '4M'!$F$5)</f>
        <v>Other enhancement-Sludge enhancement (growth)-Total-Total-Expenditure in report year</v>
      </c>
    </row>
    <row r="2498" spans="1:15">
      <c r="A2498" t="s">
        <v>643</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682</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643</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682</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643</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682</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643</v>
      </c>
      <c r="B2501" t="str">
        <f>'4M'!$BH$74</f>
        <v>B0348ODC_F</v>
      </c>
      <c r="D2501" t="str">
        <f>_xlfn.CONCAT('4M'!$B$58, "-", '4M'!$B$74, "-", '4M'!$F$7, "-", '4M'!$F$6, "-", '4M'!$F$5)</f>
        <v>Other enhancement-Odour-Foul-Wastewater network+ -Expenditure in report year</v>
      </c>
      <c r="E2501" t="str">
        <f>'4M'!$C$74</f>
        <v>Capex</v>
      </c>
      <c r="F2501" t="s">
        <v>682</v>
      </c>
      <c r="G2501" t="str">
        <f>'4M'!$D$74</f>
        <v>£m</v>
      </c>
      <c r="O2501" t="str">
        <f>_xlfn.CONCAT('4M'!$B$58, "-", '4M'!$B$74, "-", '4M'!$F$7, "-", '4M'!$F$6, "-", '4M'!$F$5)</f>
        <v>Other enhancement-Odour-Foul-Wastewater network+ -Expenditure in report year</v>
      </c>
    </row>
    <row r="2502" spans="1:15">
      <c r="A2502" t="s">
        <v>643</v>
      </c>
      <c r="B2502" t="str">
        <f>'4M'!$BI$74</f>
        <v>B0348ODC_SWD</v>
      </c>
      <c r="D2502" t="str">
        <f>_xlfn.CONCAT('4M'!$B$58, "-", '4M'!$B$74, "-", '4M'!$G$7, "-", '4M'!$F$6, "-", '4M'!$F$5)</f>
        <v>Other enhancement-Odour-Surface water drainage-Wastewater network+ -Expenditure in report year</v>
      </c>
      <c r="E2502" t="str">
        <f>'4M'!$C$74</f>
        <v>Capex</v>
      </c>
      <c r="F2502" t="s">
        <v>682</v>
      </c>
      <c r="G2502" t="str">
        <f>'4M'!$D$74</f>
        <v>£m</v>
      </c>
      <c r="O2502" t="str">
        <f>_xlfn.CONCAT('4M'!$B$58, "-", '4M'!$B$74, "-", '4M'!$G$7, "-", '4M'!$F$6, "-", '4M'!$F$5)</f>
        <v>Other enhancement-Odour-Surface water drainage-Wastewater network+ -Expenditure in report year</v>
      </c>
    </row>
    <row r="2503" spans="1:15">
      <c r="A2503" t="s">
        <v>643</v>
      </c>
      <c r="B2503" t="str">
        <f>'4M'!$BJ$74</f>
        <v>B0348ODC_HD</v>
      </c>
      <c r="D2503" t="str">
        <f>_xlfn.CONCAT('4M'!$B$58, "-", '4M'!$B$74, "-", '4M'!$H$7, "-", '4M'!$F$6, "-", '4M'!$F$5)</f>
        <v>Other enhancement-Odour-Highway drainage-Wastewater network+ -Expenditure in report year</v>
      </c>
      <c r="E2503" t="str">
        <f>'4M'!$C$74</f>
        <v>Capex</v>
      </c>
      <c r="F2503" t="s">
        <v>682</v>
      </c>
      <c r="G2503" t="str">
        <f>'4M'!$D$74</f>
        <v>£m</v>
      </c>
      <c r="O2503" t="str">
        <f>_xlfn.CONCAT('4M'!$B$58, "-", '4M'!$B$74, "-", '4M'!$H$7, "-", '4M'!$F$6, "-", '4M'!$F$5)</f>
        <v>Other enhancement-Odour-Highway drainage-Wastewater network+ -Expenditure in report year</v>
      </c>
    </row>
    <row r="2504" spans="1:15">
      <c r="A2504" t="s">
        <v>643</v>
      </c>
      <c r="B2504" t="str">
        <f>'4M'!$BK$74</f>
        <v>B0348ODC_STD</v>
      </c>
      <c r="D2504" t="str">
        <f>_xlfn.CONCAT('4M'!$B$58, "-", '4M'!$B$74, "-", '4M'!$I$7, "-", '4M'!$F$6, "-", '4M'!$F$5)</f>
        <v>Other enhancement-Odour-Sewage treatment and disposal-Wastewater network+ -Expenditure in report year</v>
      </c>
      <c r="E2504" t="str">
        <f>'4M'!$C$74</f>
        <v>Capex</v>
      </c>
      <c r="F2504" t="s">
        <v>682</v>
      </c>
      <c r="G2504" t="str">
        <f>'4M'!$D$74</f>
        <v>£m</v>
      </c>
      <c r="O2504" t="str">
        <f>_xlfn.CONCAT('4M'!$B$58, "-", '4M'!$B$74, "-", '4M'!$I$7, "-", '4M'!$F$6, "-", '4M'!$F$5)</f>
        <v>Other enhancement-Odour-Sewage treatment and disposal-Wastewater network+ -Expenditure in report year</v>
      </c>
    </row>
    <row r="2505" spans="1:15">
      <c r="A2505" t="s">
        <v>643</v>
      </c>
      <c r="B2505" t="str">
        <f>'4M'!$BL$74</f>
        <v>B0348ODC_SLT</v>
      </c>
      <c r="D2505" t="str">
        <f>_xlfn.CONCAT('4M'!$B$58, "-", '4M'!$B$74, "-", '4M'!$J$7, "-", '4M'!$F$6, "-", '4M'!$F$5)</f>
        <v>Other enhancement-Odour-Sludge liquor treatment-Wastewater network+ -Expenditure in report year</v>
      </c>
      <c r="E2505" t="str">
        <f>'4M'!$C$74</f>
        <v>Capex</v>
      </c>
      <c r="F2505" t="s">
        <v>682</v>
      </c>
      <c r="G2505" t="str">
        <f>'4M'!$D$74</f>
        <v>£m</v>
      </c>
      <c r="O2505" t="str">
        <f>_xlfn.CONCAT('4M'!$B$58, "-", '4M'!$B$74, "-", '4M'!$J$7, "-", '4M'!$F$6, "-", '4M'!$F$5)</f>
        <v>Other enhancement-Odour-Sludge liquor treatment-Wastewater network+ -Expenditure in report year</v>
      </c>
    </row>
    <row r="2506" spans="1:15">
      <c r="A2506" t="s">
        <v>643</v>
      </c>
      <c r="B2506" t="str">
        <f>'4M'!$BM$74</f>
        <v>B0348ODC_STP</v>
      </c>
      <c r="D2506" t="str">
        <f>_xlfn.CONCAT('4M'!$B$58, "-", '4M'!$B$74, "-", '4M'!$K$7, "-", '4M'!$K$6, "-", '4M'!$F$5)</f>
        <v>Other enhancement-Odour-Sludge transport-Bioresources-Expenditure in report year</v>
      </c>
      <c r="E2506" t="str">
        <f>'4M'!$C$74</f>
        <v>Capex</v>
      </c>
      <c r="F2506" t="s">
        <v>682</v>
      </c>
      <c r="G2506" t="str">
        <f>'4M'!$D$74</f>
        <v>£m</v>
      </c>
      <c r="O2506" t="str">
        <f>_xlfn.CONCAT('4M'!$B$58, "-", '4M'!$B$74, "-", '4M'!$K$7, "-", '4M'!$K$6, "-", '4M'!$F$5)</f>
        <v>Other enhancement-Odour-Sludge transport-Bioresources-Expenditure in report year</v>
      </c>
    </row>
    <row r="2507" spans="1:15">
      <c r="A2507" t="s">
        <v>643</v>
      </c>
      <c r="B2507" t="str">
        <f>'4M'!$BN$74</f>
        <v>B0348ODC_SDT</v>
      </c>
      <c r="D2507" t="str">
        <f>_xlfn.CONCAT('4M'!$B$58, "-", '4M'!$B$74, "-", '4M'!$L$7, "-", '4M'!$K$6, "-", '4M'!$F$5)</f>
        <v>Other enhancement-Odour-Sludge treatment-Bioresources-Expenditure in report year</v>
      </c>
      <c r="E2507" t="str">
        <f>'4M'!$C$74</f>
        <v>Capex</v>
      </c>
      <c r="F2507" t="s">
        <v>682</v>
      </c>
      <c r="G2507" t="str">
        <f>'4M'!$D$74</f>
        <v>£m</v>
      </c>
      <c r="O2507" t="str">
        <f>_xlfn.CONCAT('4M'!$B$58, "-", '4M'!$B$74, "-", '4M'!$L$7, "-", '4M'!$K$6, "-", '4M'!$F$5)</f>
        <v>Other enhancement-Odour-Sludge treatment-Bioresources-Expenditure in report year</v>
      </c>
    </row>
    <row r="2508" spans="1:15">
      <c r="A2508" t="s">
        <v>643</v>
      </c>
      <c r="B2508" t="str">
        <f>'4M'!$BO$74</f>
        <v>B0348ODC_SD</v>
      </c>
      <c r="D2508" t="str">
        <f>_xlfn.CONCAT('4M'!$B$58, "-", '4M'!$B$74, "-", '4M'!$M$7, "-", '4M'!$K$6, "-", '4M'!$F$5)</f>
        <v>Other enhancement-Odour-Sludge disposal-Bioresources-Expenditure in report year</v>
      </c>
      <c r="E2508" t="str">
        <f>'4M'!$C$74</f>
        <v>Capex</v>
      </c>
      <c r="F2508" t="s">
        <v>682</v>
      </c>
      <c r="G2508" t="str">
        <f>'4M'!$D$74</f>
        <v>£m</v>
      </c>
      <c r="O2508" t="str">
        <f>_xlfn.CONCAT('4M'!$B$58, "-", '4M'!$B$74, "-", '4M'!$M$7, "-", '4M'!$K$6, "-", '4M'!$F$5)</f>
        <v>Other enhancement-Odour-Sludge disposal-Bioresources-Expenditure in report year</v>
      </c>
    </row>
    <row r="2509" spans="1:15">
      <c r="A2509" t="s">
        <v>643</v>
      </c>
      <c r="B2509" t="str">
        <f>'4M'!$BP$74</f>
        <v>B0348ODC_TOT</v>
      </c>
      <c r="D2509" t="str">
        <f>_xlfn.CONCAT('4M'!$B$58, "-", '4M'!$B$74, "-", '4M'!$N$6, "-", '4M'!$N$6, "-", '4M'!$F$5)</f>
        <v>Other enhancement-Odour-Total-Total-Expenditure in report year</v>
      </c>
      <c r="E2509" t="str">
        <f>'4M'!$C$74</f>
        <v>Capex</v>
      </c>
      <c r="F2509" t="s">
        <v>682</v>
      </c>
      <c r="G2509" t="str">
        <f>'4M'!$D$74</f>
        <v>£m</v>
      </c>
      <c r="O2509" t="str">
        <f>_xlfn.CONCAT('4M'!$B$58, "-", '4M'!$B$74, "-", '4M'!$N$6, "-", '4M'!$N$6, "-", '4M'!$F$5)</f>
        <v>Other enhancement-Odour-Total-Total-Expenditure in report year</v>
      </c>
    </row>
    <row r="2510" spans="1:15">
      <c r="A2510" t="s">
        <v>643</v>
      </c>
      <c r="B2510" t="str">
        <f>'4M'!$BH$75</f>
        <v>B0349ODO_F</v>
      </c>
      <c r="D2510" t="str">
        <f>_xlfn.CONCAT('4M'!$B$58, "-", '4M'!$B$75, "-", '4M'!$F$7, "-", '4M'!$F$6, "-", '4M'!$F$5)</f>
        <v>Other enhancement-Odour-Foul-Wastewater network+ -Expenditure in report year</v>
      </c>
      <c r="E2510" t="str">
        <f>'4M'!$C$75</f>
        <v>Opex</v>
      </c>
      <c r="F2510" t="s">
        <v>682</v>
      </c>
      <c r="G2510" t="str">
        <f>'4M'!$D$75</f>
        <v>£m</v>
      </c>
      <c r="O2510" t="str">
        <f>_xlfn.CONCAT('4M'!$B$58, "-", '4M'!$B$75, "-", '4M'!$F$7, "-", '4M'!$F$6, "-", '4M'!$F$5)</f>
        <v>Other enhancement-Odour-Foul-Wastewater network+ -Expenditure in report year</v>
      </c>
    </row>
    <row r="2511" spans="1:15">
      <c r="A2511" t="s">
        <v>643</v>
      </c>
      <c r="B2511" t="str">
        <f>'4M'!$BI$75</f>
        <v>B0349ODO_SWD</v>
      </c>
      <c r="D2511" t="str">
        <f>_xlfn.CONCAT('4M'!$B$58, "-", '4M'!$B$75, "-", '4M'!$G$7, "-", '4M'!$F$6, "-", '4M'!$F$5)</f>
        <v>Other enhancement-Odour-Surface water drainage-Wastewater network+ -Expenditure in report year</v>
      </c>
      <c r="E2511" t="str">
        <f>'4M'!$C$75</f>
        <v>Opex</v>
      </c>
      <c r="F2511" t="s">
        <v>682</v>
      </c>
      <c r="G2511" t="str">
        <f>'4M'!$D$75</f>
        <v>£m</v>
      </c>
      <c r="O2511" t="str">
        <f>_xlfn.CONCAT('4M'!$B$58, "-", '4M'!$B$75, "-", '4M'!$G$7, "-", '4M'!$F$6, "-", '4M'!$F$5)</f>
        <v>Other enhancement-Odour-Surface water drainage-Wastewater network+ -Expenditure in report year</v>
      </c>
    </row>
    <row r="2512" spans="1:15">
      <c r="A2512" t="s">
        <v>643</v>
      </c>
      <c r="B2512" t="str">
        <f>'4M'!$BJ$75</f>
        <v>B0349ODO_HD</v>
      </c>
      <c r="D2512" t="str">
        <f>_xlfn.CONCAT('4M'!$B$58, "-", '4M'!$B$75, "-", '4M'!$H$7, "-", '4M'!$F$6, "-", '4M'!$F$5)</f>
        <v>Other enhancement-Odour-Highway drainage-Wastewater network+ -Expenditure in report year</v>
      </c>
      <c r="E2512" t="str">
        <f>'4M'!$C$75</f>
        <v>Opex</v>
      </c>
      <c r="F2512" t="s">
        <v>682</v>
      </c>
      <c r="G2512" t="str">
        <f>'4M'!$D$75</f>
        <v>£m</v>
      </c>
      <c r="O2512" t="str">
        <f>_xlfn.CONCAT('4M'!$B$58, "-", '4M'!$B$75, "-", '4M'!$H$7, "-", '4M'!$F$6, "-", '4M'!$F$5)</f>
        <v>Other enhancement-Odour-Highway drainage-Wastewater network+ -Expenditure in report year</v>
      </c>
    </row>
    <row r="2513" spans="1:15">
      <c r="A2513" t="s">
        <v>643</v>
      </c>
      <c r="B2513" t="str">
        <f>'4M'!$BK$75</f>
        <v>B0349ODO_STD</v>
      </c>
      <c r="D2513" t="str">
        <f>_xlfn.CONCAT('4M'!$B$58, "-", '4M'!$B$75, "-", '4M'!$I$7, "-", '4M'!$F$6, "-", '4M'!$F$5)</f>
        <v>Other enhancement-Odour-Sewage treatment and disposal-Wastewater network+ -Expenditure in report year</v>
      </c>
      <c r="E2513" t="str">
        <f>'4M'!$C$75</f>
        <v>Opex</v>
      </c>
      <c r="F2513" t="s">
        <v>682</v>
      </c>
      <c r="G2513" t="str">
        <f>'4M'!$D$75</f>
        <v>£m</v>
      </c>
      <c r="O2513" t="str">
        <f>_xlfn.CONCAT('4M'!$B$58, "-", '4M'!$B$75, "-", '4M'!$I$7, "-", '4M'!$F$6, "-", '4M'!$F$5)</f>
        <v>Other enhancement-Odour-Sewage treatment and disposal-Wastewater network+ -Expenditure in report year</v>
      </c>
    </row>
    <row r="2514" spans="1:15">
      <c r="A2514" t="s">
        <v>643</v>
      </c>
      <c r="B2514" t="str">
        <f>'4M'!$BL$75</f>
        <v>B0349ODO_SLT</v>
      </c>
      <c r="D2514" t="str">
        <f>_xlfn.CONCAT('4M'!$B$58, "-", '4M'!$B$75, "-", '4M'!$J$7, "-", '4M'!$F$6, "-", '4M'!$F$5)</f>
        <v>Other enhancement-Odour-Sludge liquor treatment-Wastewater network+ -Expenditure in report year</v>
      </c>
      <c r="E2514" t="str">
        <f>'4M'!$C$75</f>
        <v>Opex</v>
      </c>
      <c r="F2514" t="s">
        <v>682</v>
      </c>
      <c r="G2514" t="str">
        <f>'4M'!$D$75</f>
        <v>£m</v>
      </c>
      <c r="O2514" t="str">
        <f>_xlfn.CONCAT('4M'!$B$58, "-", '4M'!$B$75, "-", '4M'!$J$7, "-", '4M'!$F$6, "-", '4M'!$F$5)</f>
        <v>Other enhancement-Odour-Sludge liquor treatment-Wastewater network+ -Expenditure in report year</v>
      </c>
    </row>
    <row r="2515" spans="1:15">
      <c r="A2515" t="s">
        <v>643</v>
      </c>
      <c r="B2515" t="str">
        <f>'4M'!$BM$75</f>
        <v>B0349ODO_STP</v>
      </c>
      <c r="D2515" t="str">
        <f>_xlfn.CONCAT('4M'!$B$58, "-", '4M'!$B$75, "-", '4M'!$K$7, "-", '4M'!$K$6, "-", '4M'!$F$5)</f>
        <v>Other enhancement-Odour-Sludge transport-Bioresources-Expenditure in report year</v>
      </c>
      <c r="E2515" t="str">
        <f>'4M'!$C$75</f>
        <v>Opex</v>
      </c>
      <c r="F2515" t="s">
        <v>682</v>
      </c>
      <c r="G2515" t="str">
        <f>'4M'!$D$75</f>
        <v>£m</v>
      </c>
      <c r="O2515" t="str">
        <f>_xlfn.CONCAT('4M'!$B$58, "-", '4M'!$B$75, "-", '4M'!$K$7, "-", '4M'!$K$6, "-", '4M'!$F$5)</f>
        <v>Other enhancement-Odour-Sludge transport-Bioresources-Expenditure in report year</v>
      </c>
    </row>
    <row r="2516" spans="1:15">
      <c r="A2516" t="s">
        <v>643</v>
      </c>
      <c r="B2516" t="str">
        <f>'4M'!$BN$75</f>
        <v>B0349ODO_SDT</v>
      </c>
      <c r="D2516" t="str">
        <f>_xlfn.CONCAT('4M'!$B$58, "-", '4M'!$B$75, "-", '4M'!$L$7, "-", '4M'!$K$6, "-", '4M'!$F$5)</f>
        <v>Other enhancement-Odour-Sludge treatment-Bioresources-Expenditure in report year</v>
      </c>
      <c r="E2516" t="str">
        <f>'4M'!$C$75</f>
        <v>Opex</v>
      </c>
      <c r="F2516" t="s">
        <v>682</v>
      </c>
      <c r="G2516" t="str">
        <f>'4M'!$D$75</f>
        <v>£m</v>
      </c>
      <c r="O2516" t="str">
        <f>_xlfn.CONCAT('4M'!$B$58, "-", '4M'!$B$75, "-", '4M'!$L$7, "-", '4M'!$K$6, "-", '4M'!$F$5)</f>
        <v>Other enhancement-Odour-Sludge treatment-Bioresources-Expenditure in report year</v>
      </c>
    </row>
    <row r="2517" spans="1:15">
      <c r="A2517" t="s">
        <v>643</v>
      </c>
      <c r="B2517" t="str">
        <f>'4M'!$BO$75</f>
        <v>B0349ODO_SD</v>
      </c>
      <c r="D2517" t="str">
        <f>_xlfn.CONCAT('4M'!$B$58, "-", '4M'!$B$75, "-", '4M'!$M$7, "-", '4M'!$K$6, "-", '4M'!$F$5)</f>
        <v>Other enhancement-Odour-Sludge disposal-Bioresources-Expenditure in report year</v>
      </c>
      <c r="E2517" t="str">
        <f>'4M'!$C$75</f>
        <v>Opex</v>
      </c>
      <c r="F2517" t="s">
        <v>682</v>
      </c>
      <c r="G2517" t="str">
        <f>'4M'!$D$75</f>
        <v>£m</v>
      </c>
      <c r="O2517" t="str">
        <f>_xlfn.CONCAT('4M'!$B$58, "-", '4M'!$B$75, "-", '4M'!$M$7, "-", '4M'!$K$6, "-", '4M'!$F$5)</f>
        <v>Other enhancement-Odour-Sludge disposal-Bioresources-Expenditure in report year</v>
      </c>
    </row>
    <row r="2518" spans="1:15">
      <c r="A2518" t="s">
        <v>643</v>
      </c>
      <c r="B2518" t="str">
        <f>'4M'!$BP$75</f>
        <v>B0349ODO_TOT</v>
      </c>
      <c r="D2518" t="str">
        <f>_xlfn.CONCAT('4M'!$B$58, "-", '4M'!$B$75, "-", '4M'!$N$6, "-", '4M'!$N$6, "-", '4M'!$F$5)</f>
        <v>Other enhancement-Odour-Total-Total-Expenditure in report year</v>
      </c>
      <c r="E2518" t="str">
        <f>'4M'!$C$75</f>
        <v>Opex</v>
      </c>
      <c r="F2518" t="s">
        <v>682</v>
      </c>
      <c r="G2518" t="str">
        <f>'4M'!$D$75</f>
        <v>£m</v>
      </c>
      <c r="O2518" t="str">
        <f>_xlfn.CONCAT('4M'!$B$58, "-", '4M'!$B$75, "-", '4M'!$N$6, "-", '4M'!$N$6, "-", '4M'!$F$5)</f>
        <v>Other enhancement-Odour-Total-Total-Expenditure in report year</v>
      </c>
    </row>
    <row r="2519" spans="1:15">
      <c r="A2519" t="s">
        <v>643</v>
      </c>
      <c r="B2519" t="str">
        <f>'4M'!$BH$76</f>
        <v>B0350ODT_F</v>
      </c>
      <c r="D2519" t="str">
        <f>_xlfn.CONCAT('4M'!$B$58, "-", '4M'!$B$76, "-", '4M'!$F$7, "-", '4M'!$F$6, "-", '4M'!$F$5)</f>
        <v>Other enhancement-Odour-Foul-Wastewater network+ -Expenditure in report year</v>
      </c>
      <c r="E2519" t="str">
        <f>'4M'!$C$76</f>
        <v>Totex</v>
      </c>
      <c r="F2519" t="s">
        <v>682</v>
      </c>
      <c r="G2519" t="str">
        <f>'4M'!$D$76</f>
        <v>£m</v>
      </c>
      <c r="O2519" t="str">
        <f>_xlfn.CONCAT('4M'!$B$58, "-", '4M'!$B$76, "-", '4M'!$F$7, "-", '4M'!$F$6, "-", '4M'!$F$5)</f>
        <v>Other enhancement-Odour-Foul-Wastewater network+ -Expenditure in report year</v>
      </c>
    </row>
    <row r="2520" spans="1:15">
      <c r="A2520" t="s">
        <v>643</v>
      </c>
      <c r="B2520" t="str">
        <f>'4M'!$BI$76</f>
        <v>B0350ODT_SWD</v>
      </c>
      <c r="D2520" t="str">
        <f>_xlfn.CONCAT('4M'!$B$58, "-", '4M'!$B$76, "-", '4M'!$G$7, "-", '4M'!$F$6, "-", '4M'!$F$5)</f>
        <v>Other enhancement-Odour-Surface water drainage-Wastewater network+ -Expenditure in report year</v>
      </c>
      <c r="E2520" t="str">
        <f>'4M'!$C$76</f>
        <v>Totex</v>
      </c>
      <c r="F2520" t="s">
        <v>682</v>
      </c>
      <c r="G2520" t="str">
        <f>'4M'!$D$76</f>
        <v>£m</v>
      </c>
      <c r="O2520" t="str">
        <f>_xlfn.CONCAT('4M'!$B$58, "-", '4M'!$B$76, "-", '4M'!$G$7, "-", '4M'!$F$6, "-", '4M'!$F$5)</f>
        <v>Other enhancement-Odour-Surface water drainage-Wastewater network+ -Expenditure in report year</v>
      </c>
    </row>
    <row r="2521" spans="1:15">
      <c r="A2521" t="s">
        <v>643</v>
      </c>
      <c r="B2521" t="str">
        <f>'4M'!$BJ$76</f>
        <v>B0350ODT_HD</v>
      </c>
      <c r="D2521" t="str">
        <f>_xlfn.CONCAT('4M'!$B$58, "-", '4M'!$B$76, "-", '4M'!$H$7, "-", '4M'!$F$6, "-", '4M'!$F$5)</f>
        <v>Other enhancement-Odour-Highway drainage-Wastewater network+ -Expenditure in report year</v>
      </c>
      <c r="E2521" t="str">
        <f>'4M'!$C$76</f>
        <v>Totex</v>
      </c>
      <c r="F2521" t="s">
        <v>682</v>
      </c>
      <c r="G2521" t="str">
        <f>'4M'!$D$76</f>
        <v>£m</v>
      </c>
      <c r="O2521" t="str">
        <f>_xlfn.CONCAT('4M'!$B$58, "-", '4M'!$B$76, "-", '4M'!$H$7, "-", '4M'!$F$6, "-", '4M'!$F$5)</f>
        <v>Other enhancement-Odour-Highway drainage-Wastewater network+ -Expenditure in report year</v>
      </c>
    </row>
    <row r="2522" spans="1:15">
      <c r="A2522" t="s">
        <v>643</v>
      </c>
      <c r="B2522" t="str">
        <f>'4M'!$BK$76</f>
        <v>B0350ODT_STD</v>
      </c>
      <c r="D2522" t="str">
        <f>_xlfn.CONCAT('4M'!$B$58, "-", '4M'!$B$76, "-", '4M'!$I$7, "-", '4M'!$F$6, "-", '4M'!$F$5)</f>
        <v>Other enhancement-Odour-Sewage treatment and disposal-Wastewater network+ -Expenditure in report year</v>
      </c>
      <c r="E2522" t="str">
        <f>'4M'!$C$76</f>
        <v>Totex</v>
      </c>
      <c r="F2522" t="s">
        <v>682</v>
      </c>
      <c r="G2522" t="str">
        <f>'4M'!$D$76</f>
        <v>£m</v>
      </c>
      <c r="O2522" t="str">
        <f>_xlfn.CONCAT('4M'!$B$58, "-", '4M'!$B$76, "-", '4M'!$I$7, "-", '4M'!$F$6, "-", '4M'!$F$5)</f>
        <v>Other enhancement-Odour-Sewage treatment and disposal-Wastewater network+ -Expenditure in report year</v>
      </c>
    </row>
    <row r="2523" spans="1:15">
      <c r="A2523" t="s">
        <v>643</v>
      </c>
      <c r="B2523" t="str">
        <f>'4M'!$BL$76</f>
        <v>B0350ODT_SLT</v>
      </c>
      <c r="D2523" t="str">
        <f>_xlfn.CONCAT('4M'!$B$58, "-", '4M'!$B$76, "-", '4M'!$J$7, "-", '4M'!$F$6, "-", '4M'!$F$5)</f>
        <v>Other enhancement-Odour-Sludge liquor treatment-Wastewater network+ -Expenditure in report year</v>
      </c>
      <c r="E2523" t="str">
        <f>'4M'!$C$76</f>
        <v>Totex</v>
      </c>
      <c r="F2523" t="s">
        <v>682</v>
      </c>
      <c r="G2523" t="str">
        <f>'4M'!$D$76</f>
        <v>£m</v>
      </c>
      <c r="O2523" t="str">
        <f>_xlfn.CONCAT('4M'!$B$58, "-", '4M'!$B$76, "-", '4M'!$J$7, "-", '4M'!$F$6, "-", '4M'!$F$5)</f>
        <v>Other enhancement-Odour-Sludge liquor treatment-Wastewater network+ -Expenditure in report year</v>
      </c>
    </row>
    <row r="2524" spans="1:15">
      <c r="A2524" t="s">
        <v>643</v>
      </c>
      <c r="B2524" t="str">
        <f>'4M'!$BM$76</f>
        <v>B0350ODT_STP</v>
      </c>
      <c r="D2524" t="str">
        <f>_xlfn.CONCAT('4M'!$B$58, "-", '4M'!$B$76, "-", '4M'!$K$7, "-", '4M'!$K$6, "-", '4M'!$F$5)</f>
        <v>Other enhancement-Odour-Sludge transport-Bioresources-Expenditure in report year</v>
      </c>
      <c r="E2524" t="str">
        <f>'4M'!$C$76</f>
        <v>Totex</v>
      </c>
      <c r="F2524" t="s">
        <v>682</v>
      </c>
      <c r="G2524" t="str">
        <f>'4M'!$D$76</f>
        <v>£m</v>
      </c>
      <c r="O2524" t="str">
        <f>_xlfn.CONCAT('4M'!$B$58, "-", '4M'!$B$76, "-", '4M'!$K$7, "-", '4M'!$K$6, "-", '4M'!$F$5)</f>
        <v>Other enhancement-Odour-Sludge transport-Bioresources-Expenditure in report year</v>
      </c>
    </row>
    <row r="2525" spans="1:15">
      <c r="A2525" t="s">
        <v>643</v>
      </c>
      <c r="B2525" t="str">
        <f>'4M'!$BN$76</f>
        <v>B0350ODT_SDT</v>
      </c>
      <c r="D2525" t="str">
        <f>_xlfn.CONCAT('4M'!$B$58, "-", '4M'!$B$76, "-", '4M'!$L$7, "-", '4M'!$K$6, "-", '4M'!$F$5)</f>
        <v>Other enhancement-Odour-Sludge treatment-Bioresources-Expenditure in report year</v>
      </c>
      <c r="E2525" t="str">
        <f>'4M'!$C$76</f>
        <v>Totex</v>
      </c>
      <c r="F2525" t="s">
        <v>682</v>
      </c>
      <c r="G2525" t="str">
        <f>'4M'!$D$76</f>
        <v>£m</v>
      </c>
      <c r="O2525" t="str">
        <f>_xlfn.CONCAT('4M'!$B$58, "-", '4M'!$B$76, "-", '4M'!$L$7, "-", '4M'!$K$6, "-", '4M'!$F$5)</f>
        <v>Other enhancement-Odour-Sludge treatment-Bioresources-Expenditure in report year</v>
      </c>
    </row>
    <row r="2526" spans="1:15">
      <c r="A2526" t="s">
        <v>643</v>
      </c>
      <c r="B2526" t="str">
        <f>'4M'!$BO$76</f>
        <v>B0350ODT_SD</v>
      </c>
      <c r="D2526" t="str">
        <f>_xlfn.CONCAT('4M'!$B$58, "-", '4M'!$B$76, "-", '4M'!$M$7, "-", '4M'!$K$6, "-", '4M'!$F$5)</f>
        <v>Other enhancement-Odour-Sludge disposal-Bioresources-Expenditure in report year</v>
      </c>
      <c r="E2526" t="str">
        <f>'4M'!$C$76</f>
        <v>Totex</v>
      </c>
      <c r="F2526" t="s">
        <v>682</v>
      </c>
      <c r="G2526" t="str">
        <f>'4M'!$D$76</f>
        <v>£m</v>
      </c>
      <c r="O2526" t="str">
        <f>_xlfn.CONCAT('4M'!$B$58, "-", '4M'!$B$76, "-", '4M'!$M$7, "-", '4M'!$K$6, "-", '4M'!$F$5)</f>
        <v>Other enhancement-Odour-Sludge disposal-Bioresources-Expenditure in report year</v>
      </c>
    </row>
    <row r="2527" spans="1:15">
      <c r="A2527" t="s">
        <v>643</v>
      </c>
      <c r="B2527" t="str">
        <f>'4M'!$BP$76</f>
        <v>B0350ODT_TOT</v>
      </c>
      <c r="D2527" t="str">
        <f>_xlfn.CONCAT('4M'!$B$58, "-", '4M'!$B$76, "-", '4M'!$N$6, "-", '4M'!$N$6, "-", '4M'!$F$5)</f>
        <v>Other enhancement-Odour-Total-Total-Expenditure in report year</v>
      </c>
      <c r="E2527" t="str">
        <f>'4M'!$C$76</f>
        <v>Totex</v>
      </c>
      <c r="F2527" t="s">
        <v>682</v>
      </c>
      <c r="G2527" t="str">
        <f>'4M'!$D$76</f>
        <v>£m</v>
      </c>
      <c r="O2527" t="str">
        <f>_xlfn.CONCAT('4M'!$B$58, "-", '4M'!$B$76, "-", '4M'!$N$6, "-", '4M'!$N$6, "-", '4M'!$F$5)</f>
        <v>Other enhancement-Odour-Total-Total-Expenditure in report year</v>
      </c>
    </row>
    <row r="2528" spans="1:15">
      <c r="A2528" t="s">
        <v>643</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682</v>
      </c>
      <c r="G2528" t="str">
        <f>'4M'!$D$76</f>
        <v>£m</v>
      </c>
      <c r="O2528" t="str">
        <f>_xlfn.CONCAT('4M'!$B$58, "-", '4M'!$B$76, "-", '4M'!$X$7, "-", '4M'!$X$5, "-", '4M'!$X$5)</f>
        <v>Other enhancement-Odour-Total-Cumulative expenditure on all schemes to reporting year end-Cumulative expenditure on all schemes to reporting year end</v>
      </c>
    </row>
    <row r="2529" spans="1:15">
      <c r="A2529" t="s">
        <v>643</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682</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643</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682</v>
      </c>
      <c r="G2530" t="str">
        <f>'4M'!$D$76</f>
        <v>£m</v>
      </c>
      <c r="O2530" t="str">
        <f>_xlfn.CONCAT('4M'!$B$58, "-", '4M'!$B$76, "-", '4M'!$Z$7, "-", '4M'!$Z$5, "-", '4M'!$Z$5)</f>
        <v>Other enhancement-Odour-Total-Cumulative allowed expenditure on all schemes 2020-25-Cumulative allowed expenditure on all schemes 2020-25</v>
      </c>
    </row>
    <row r="2531" spans="1:15">
      <c r="A2531" t="s">
        <v>643</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682</v>
      </c>
      <c r="G2531" t="str">
        <f>'4M'!$D$77</f>
        <v>£m</v>
      </c>
      <c r="O2531" t="str">
        <f>_xlfn.CONCAT('4M'!$B$58, "-", '4M'!$B$77, "-", '4M'!$F$7, "-", '4M'!$F$6, "-", '4M'!$F$5)</f>
        <v>Other enhancement-Enhancing resilience to low probability high consequence events-Foul-Wastewater network+ -Expenditure in report year</v>
      </c>
    </row>
    <row r="2532" spans="1:15">
      <c r="A2532" t="s">
        <v>643</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682</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643</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682</v>
      </c>
      <c r="G2533" t="str">
        <f>'4M'!$D$77</f>
        <v>£m</v>
      </c>
      <c r="O2533" t="str">
        <f>_xlfn.CONCAT('4M'!$B$58, "-", '4M'!$B$77, "-", '4M'!$H$7, "-", '4M'!$F$6, "-", '4M'!$F$5)</f>
        <v>Other enhancement-Enhancing resilience to low probability high consequence events-Highway drainage-Wastewater network+ -Expenditure in report year</v>
      </c>
    </row>
    <row r="2534" spans="1:15">
      <c r="A2534" t="s">
        <v>643</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682</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643</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682</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643</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682</v>
      </c>
      <c r="G2536" t="str">
        <f>'4M'!$D$77</f>
        <v>£m</v>
      </c>
      <c r="O2536" t="str">
        <f>_xlfn.CONCAT('4M'!$B$58, "-", '4M'!$B$77, "-", '4M'!$K$7, "-", '4M'!$K$6, "-", '4M'!$F$5)</f>
        <v>Other enhancement-Enhancing resilience to low probability high consequence events-Sludge transport-Bioresources-Expenditure in report year</v>
      </c>
    </row>
    <row r="2537" spans="1:15">
      <c r="A2537" t="s">
        <v>643</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682</v>
      </c>
      <c r="G2537" t="str">
        <f>'4M'!$D$77</f>
        <v>£m</v>
      </c>
      <c r="O2537" t="str">
        <f>_xlfn.CONCAT('4M'!$B$58, "-", '4M'!$B$77, "-", '4M'!$L$7, "-", '4M'!$K$6, "-", '4M'!$F$5)</f>
        <v>Other enhancement-Enhancing resilience to low probability high consequence events-Sludge treatment-Bioresources-Expenditure in report year</v>
      </c>
    </row>
    <row r="2538" spans="1:15">
      <c r="A2538" t="s">
        <v>643</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682</v>
      </c>
      <c r="G2538" t="str">
        <f>'4M'!$D$77</f>
        <v>£m</v>
      </c>
      <c r="O2538" t="str">
        <f>_xlfn.CONCAT('4M'!$B$58, "-", '4M'!$B$77, "-", '4M'!$M$7, "-", '4M'!$K$6, "-", '4M'!$F$5)</f>
        <v>Other enhancement-Enhancing resilience to low probability high consequence events-Sludge disposal-Bioresources-Expenditure in report year</v>
      </c>
    </row>
    <row r="2539" spans="1:15">
      <c r="A2539" t="s">
        <v>643</v>
      </c>
      <c r="B2539" t="str">
        <f>'4M'!$BP$77</f>
        <v>B0351ERC_TOT</v>
      </c>
      <c r="D2539" t="str">
        <f>_xlfn.CONCAT('4M'!$B$58, "-", '4M'!$B$77, "-", '4M'!$N$6, "-", '4M'!$N$6, "-", '4M'!$F$5)</f>
        <v>Other enhancement-Enhancing resilience to low probability high consequence events-Total-Total-Expenditure in report year</v>
      </c>
      <c r="E2539" t="str">
        <f>'4M'!$C$77</f>
        <v>Capex</v>
      </c>
      <c r="F2539" t="s">
        <v>682</v>
      </c>
      <c r="G2539" t="str">
        <f>'4M'!$D$77</f>
        <v>£m</v>
      </c>
      <c r="O2539" t="str">
        <f>_xlfn.CONCAT('4M'!$B$58, "-", '4M'!$B$77, "-", '4M'!$N$6, "-", '4M'!$N$6, "-", '4M'!$F$5)</f>
        <v>Other enhancement-Enhancing resilience to low probability high consequence events-Total-Total-Expenditure in report year</v>
      </c>
    </row>
    <row r="2540" spans="1:15">
      <c r="A2540" t="s">
        <v>643</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682</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643</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682</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643</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682</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643</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682</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643</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682</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643</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682</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643</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682</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643</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682</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643</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682</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643</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682</v>
      </c>
      <c r="G2549" t="str">
        <f>'4M'!$D$78</f>
        <v>£m</v>
      </c>
      <c r="O2549" t="str">
        <f>_xlfn.CONCAT('4M'!$B$58, "-", '4M'!$B$78, "-", '4M'!$F$7, "-", '4M'!$F$6, "-", '4M'!$F$5)</f>
        <v>Other enhancement-Enhancing resilience to low probability high consequence events-Foul-Wastewater network+ -Expenditure in report year</v>
      </c>
    </row>
    <row r="2550" spans="1:15">
      <c r="A2550" t="s">
        <v>643</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682</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643</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682</v>
      </c>
      <c r="G2551" t="str">
        <f>'4M'!$D$78</f>
        <v>£m</v>
      </c>
      <c r="O2551" t="str">
        <f>_xlfn.CONCAT('4M'!$B$58, "-", '4M'!$B$78, "-", '4M'!$H$7, "-", '4M'!$F$6, "-", '4M'!$F$5)</f>
        <v>Other enhancement-Enhancing resilience to low probability high consequence events-Highway drainage-Wastewater network+ -Expenditure in report year</v>
      </c>
    </row>
    <row r="2552" spans="1:15">
      <c r="A2552" t="s">
        <v>643</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682</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643</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682</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643</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682</v>
      </c>
      <c r="G2554" t="str">
        <f>'4M'!$D$78</f>
        <v>£m</v>
      </c>
      <c r="O2554" t="str">
        <f>_xlfn.CONCAT('4M'!$B$58, "-", '4M'!$B$78, "-", '4M'!$K$7, "-", '4M'!$K$6, "-", '4M'!$F$5)</f>
        <v>Other enhancement-Enhancing resilience to low probability high consequence events-Sludge transport-Bioresources-Expenditure in report year</v>
      </c>
    </row>
    <row r="2555" spans="1:15">
      <c r="A2555" t="s">
        <v>643</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682</v>
      </c>
      <c r="G2555" t="str">
        <f>'4M'!$D$78</f>
        <v>£m</v>
      </c>
      <c r="O2555" t="str">
        <f>_xlfn.CONCAT('4M'!$B$58, "-", '4M'!$B$78, "-", '4M'!$L$7, "-", '4M'!$K$6, "-", '4M'!$F$5)</f>
        <v>Other enhancement-Enhancing resilience to low probability high consequence events-Sludge treatment-Bioresources-Expenditure in report year</v>
      </c>
    </row>
    <row r="2556" spans="1:15">
      <c r="A2556" t="s">
        <v>643</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682</v>
      </c>
      <c r="G2556" t="str">
        <f>'4M'!$D$78</f>
        <v>£m</v>
      </c>
      <c r="O2556" t="str">
        <f>_xlfn.CONCAT('4M'!$B$58, "-", '4M'!$B$78, "-", '4M'!$M$7, "-", '4M'!$K$6, "-", '4M'!$F$5)</f>
        <v>Other enhancement-Enhancing resilience to low probability high consequence events-Sludge disposal-Bioresources-Expenditure in report year</v>
      </c>
    </row>
    <row r="2557" spans="1:15">
      <c r="A2557" t="s">
        <v>643</v>
      </c>
      <c r="B2557" t="str">
        <f>'4M'!$BP$78</f>
        <v>B0352ERO_TOT</v>
      </c>
      <c r="D2557" t="str">
        <f>_xlfn.CONCAT('4M'!$B$58, "-", '4M'!$B$78, "-", '4M'!$N$6, "-", '4M'!$N$6, "-", '4M'!$F$5)</f>
        <v>Other enhancement-Enhancing resilience to low probability high consequence events-Total-Total-Expenditure in report year</v>
      </c>
      <c r="E2557" t="str">
        <f>'4M'!$C$78</f>
        <v>Opex</v>
      </c>
      <c r="F2557" t="s">
        <v>682</v>
      </c>
      <c r="G2557" t="str">
        <f>'4M'!$D$78</f>
        <v>£m</v>
      </c>
      <c r="O2557" t="str">
        <f>_xlfn.CONCAT('4M'!$B$58, "-", '4M'!$B$78, "-", '4M'!$N$6, "-", '4M'!$N$6, "-", '4M'!$F$5)</f>
        <v>Other enhancement-Enhancing resilience to low probability high consequence events-Total-Total-Expenditure in report year</v>
      </c>
    </row>
    <row r="2558" spans="1:15">
      <c r="A2558" t="s">
        <v>643</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682</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643</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682</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643</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682</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643</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682</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643</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682</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643</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682</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643</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682</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643</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682</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643</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682</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643</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682</v>
      </c>
      <c r="G2567" t="str">
        <f>'4M'!$D$79</f>
        <v>£m</v>
      </c>
      <c r="O2567" t="str">
        <f>_xlfn.CONCAT('4M'!$B$58, "-", '4M'!$B$79, "-", '4M'!$F$7, "-", '4M'!$F$6, "-", '4M'!$F$5)</f>
        <v>Other enhancement-Enhancing resilience to low probability high consequence events-Foul-Wastewater network+ -Expenditure in report year</v>
      </c>
    </row>
    <row r="2568" spans="1:15">
      <c r="A2568" t="s">
        <v>643</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682</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643</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682</v>
      </c>
      <c r="G2569" t="str">
        <f>'4M'!$D$79</f>
        <v>£m</v>
      </c>
      <c r="O2569" t="str">
        <f>_xlfn.CONCAT('4M'!$B$58, "-", '4M'!$B$79, "-", '4M'!$H$7, "-", '4M'!$F$6, "-", '4M'!$F$5)</f>
        <v>Other enhancement-Enhancing resilience to low probability high consequence events-Highway drainage-Wastewater network+ -Expenditure in report year</v>
      </c>
    </row>
    <row r="2570" spans="1:15">
      <c r="A2570" t="s">
        <v>643</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682</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643</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682</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643</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682</v>
      </c>
      <c r="G2572" t="str">
        <f>'4M'!$D$79</f>
        <v>£m</v>
      </c>
      <c r="O2572" t="str">
        <f>_xlfn.CONCAT('4M'!$B$58, "-", '4M'!$B$79, "-", '4M'!$K$7, "-", '4M'!$K$6, "-", '4M'!$F$5)</f>
        <v>Other enhancement-Enhancing resilience to low probability high consequence events-Sludge transport-Bioresources-Expenditure in report year</v>
      </c>
    </row>
    <row r="2573" spans="1:15">
      <c r="A2573" t="s">
        <v>643</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682</v>
      </c>
      <c r="G2573" t="str">
        <f>'4M'!$D$79</f>
        <v>£m</v>
      </c>
      <c r="O2573" t="str">
        <f>_xlfn.CONCAT('4M'!$B$58, "-", '4M'!$B$79, "-", '4M'!$L$7, "-", '4M'!$K$6, "-", '4M'!$F$5)</f>
        <v>Other enhancement-Enhancing resilience to low probability high consequence events-Sludge treatment-Bioresources-Expenditure in report year</v>
      </c>
    </row>
    <row r="2574" spans="1:15">
      <c r="A2574" t="s">
        <v>643</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682</v>
      </c>
      <c r="G2574" t="str">
        <f>'4M'!$D$79</f>
        <v>£m</v>
      </c>
      <c r="O2574" t="str">
        <f>_xlfn.CONCAT('4M'!$B$58, "-", '4M'!$B$79, "-", '4M'!$M$7, "-", '4M'!$K$6, "-", '4M'!$F$5)</f>
        <v>Other enhancement-Enhancing resilience to low probability high consequence events-Sludge disposal-Bioresources-Expenditure in report year</v>
      </c>
    </row>
    <row r="2575" spans="1:15">
      <c r="A2575" t="s">
        <v>643</v>
      </c>
      <c r="B2575" t="str">
        <f>'4M'!$BP$79</f>
        <v>B0353ERT_TOT</v>
      </c>
      <c r="D2575" t="str">
        <f>_xlfn.CONCAT('4M'!$B$58, "-", '4M'!$B$79, "-", '4M'!$N$6, "-", '4M'!$N$6, "-", '4M'!$F$5)</f>
        <v>Other enhancement-Enhancing resilience to low probability high consequence events-Total-Total-Expenditure in report year</v>
      </c>
      <c r="E2575" t="str">
        <f>'4M'!$C$79</f>
        <v>Totex</v>
      </c>
      <c r="F2575" t="s">
        <v>682</v>
      </c>
      <c r="G2575" t="str">
        <f>'4M'!$D$79</f>
        <v>£m</v>
      </c>
      <c r="O2575" t="str">
        <f>_xlfn.CONCAT('4M'!$B$58, "-", '4M'!$B$79, "-", '4M'!$N$6, "-", '4M'!$N$6, "-", '4M'!$F$5)</f>
        <v>Other enhancement-Enhancing resilience to low probability high consequence events-Total-Total-Expenditure in report year</v>
      </c>
    </row>
    <row r="2576" spans="1:15">
      <c r="A2576" t="s">
        <v>643</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682</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643</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682</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643</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682</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643</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682</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643</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682</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643</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682</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643</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682</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643</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682</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643</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682</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643</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682</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643</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682</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643</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682</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643</v>
      </c>
      <c r="B2588" t="str">
        <f>'4M'!$BH$80</f>
        <v>B0354SSC_F</v>
      </c>
      <c r="D2588" t="str">
        <f>_xlfn.CONCAT('4M'!$B$58, "-", '4M'!$B$80, "-", '4M'!$F$7, "-", '4M'!$F$6, "-", '4M'!$F$5)</f>
        <v>Other enhancement-Security - SEMD-Foul-Wastewater network+ -Expenditure in report year</v>
      </c>
      <c r="E2588" t="str">
        <f>'4M'!$C$80</f>
        <v>Capex</v>
      </c>
      <c r="F2588" t="s">
        <v>682</v>
      </c>
      <c r="G2588" t="str">
        <f>'4M'!$D$80</f>
        <v>£m</v>
      </c>
      <c r="O2588" t="str">
        <f>_xlfn.CONCAT('4M'!$B$58, "-", '4M'!$B$80, "-", '4M'!$F$7, "-", '4M'!$F$6, "-", '4M'!$F$5)</f>
        <v>Other enhancement-Security - SEMD-Foul-Wastewater network+ -Expenditure in report year</v>
      </c>
    </row>
    <row r="2589" spans="1:15">
      <c r="A2589" t="s">
        <v>643</v>
      </c>
      <c r="B2589" t="str">
        <f>'4M'!$BI$80</f>
        <v>B0354SSC_SWD</v>
      </c>
      <c r="D2589" t="str">
        <f>_xlfn.CONCAT('4M'!$B$58, "-", '4M'!$B$80, "-", '4M'!$G$7, "-", '4M'!$F$6, "-", '4M'!$F$5)</f>
        <v>Other enhancement-Security - SEMD-Surface water drainage-Wastewater network+ -Expenditure in report year</v>
      </c>
      <c r="E2589" t="str">
        <f>'4M'!$C$80</f>
        <v>Capex</v>
      </c>
      <c r="F2589" t="s">
        <v>682</v>
      </c>
      <c r="G2589" t="str">
        <f>'4M'!$D$80</f>
        <v>£m</v>
      </c>
      <c r="O2589" t="str">
        <f>_xlfn.CONCAT('4M'!$B$58, "-", '4M'!$B$80, "-", '4M'!$G$7, "-", '4M'!$F$6, "-", '4M'!$F$5)</f>
        <v>Other enhancement-Security - SEMD-Surface water drainage-Wastewater network+ -Expenditure in report year</v>
      </c>
    </row>
    <row r="2590" spans="1:15">
      <c r="A2590" t="s">
        <v>643</v>
      </c>
      <c r="B2590" t="str">
        <f>'4M'!$BJ$80</f>
        <v>B0354SSC_HD</v>
      </c>
      <c r="D2590" t="str">
        <f>_xlfn.CONCAT('4M'!$B$58, "-", '4M'!$B$80, "-", '4M'!$H$7, "-", '4M'!$F$6, "-", '4M'!$F$5)</f>
        <v>Other enhancement-Security - SEMD-Highway drainage-Wastewater network+ -Expenditure in report year</v>
      </c>
      <c r="E2590" t="str">
        <f>'4M'!$C$80</f>
        <v>Capex</v>
      </c>
      <c r="F2590" t="s">
        <v>682</v>
      </c>
      <c r="G2590" t="str">
        <f>'4M'!$D$80</f>
        <v>£m</v>
      </c>
      <c r="O2590" t="str">
        <f>_xlfn.CONCAT('4M'!$B$58, "-", '4M'!$B$80, "-", '4M'!$H$7, "-", '4M'!$F$6, "-", '4M'!$F$5)</f>
        <v>Other enhancement-Security - SEMD-Highway drainage-Wastewater network+ -Expenditure in report year</v>
      </c>
    </row>
    <row r="2591" spans="1:15">
      <c r="A2591" t="s">
        <v>643</v>
      </c>
      <c r="B2591" t="str">
        <f>'4M'!$BK$80</f>
        <v>B0354SSC_STD</v>
      </c>
      <c r="D2591" t="str">
        <f>_xlfn.CONCAT('4M'!$B$58, "-", '4M'!$B$80, "-", '4M'!$I$7, "-", '4M'!$F$6, "-", '4M'!$F$5)</f>
        <v>Other enhancement-Security - SEMD-Sewage treatment and disposal-Wastewater network+ -Expenditure in report year</v>
      </c>
      <c r="E2591" t="str">
        <f>'4M'!$C$80</f>
        <v>Capex</v>
      </c>
      <c r="F2591" t="s">
        <v>682</v>
      </c>
      <c r="G2591" t="str">
        <f>'4M'!$D$80</f>
        <v>£m</v>
      </c>
      <c r="O2591" t="str">
        <f>_xlfn.CONCAT('4M'!$B$58, "-", '4M'!$B$80, "-", '4M'!$I$7, "-", '4M'!$F$6, "-", '4M'!$F$5)</f>
        <v>Other enhancement-Security - SEMD-Sewage treatment and disposal-Wastewater network+ -Expenditure in report year</v>
      </c>
    </row>
    <row r="2592" spans="1:15">
      <c r="A2592" t="s">
        <v>643</v>
      </c>
      <c r="B2592" t="str">
        <f>'4M'!$BL$80</f>
        <v>B0354SSC_SLT</v>
      </c>
      <c r="D2592" t="str">
        <f>_xlfn.CONCAT('4M'!$B$58, "-", '4M'!$B$80, "-", '4M'!$J$7, "-", '4M'!$F$6, "-", '4M'!$F$5)</f>
        <v>Other enhancement-Security - SEMD-Sludge liquor treatment-Wastewater network+ -Expenditure in report year</v>
      </c>
      <c r="E2592" t="str">
        <f>'4M'!$C$80</f>
        <v>Capex</v>
      </c>
      <c r="F2592" t="s">
        <v>682</v>
      </c>
      <c r="G2592" t="str">
        <f>'4M'!$D$80</f>
        <v>£m</v>
      </c>
      <c r="O2592" t="str">
        <f>_xlfn.CONCAT('4M'!$B$58, "-", '4M'!$B$80, "-", '4M'!$J$7, "-", '4M'!$F$6, "-", '4M'!$F$5)</f>
        <v>Other enhancement-Security - SEMD-Sludge liquor treatment-Wastewater network+ -Expenditure in report year</v>
      </c>
    </row>
    <row r="2593" spans="1:15">
      <c r="A2593" t="s">
        <v>643</v>
      </c>
      <c r="B2593" t="str">
        <f>'4M'!$BM$80</f>
        <v>B0354SSC_STP</v>
      </c>
      <c r="D2593" t="str">
        <f>_xlfn.CONCAT('4M'!$B$58, "-", '4M'!$B$80, "-", '4M'!$K$7, "-", '4M'!$K$6, "-", '4M'!$F$5)</f>
        <v>Other enhancement-Security - SEMD-Sludge transport-Bioresources-Expenditure in report year</v>
      </c>
      <c r="E2593" t="str">
        <f>'4M'!$C$80</f>
        <v>Capex</v>
      </c>
      <c r="F2593" t="s">
        <v>682</v>
      </c>
      <c r="G2593" t="str">
        <f>'4M'!$D$80</f>
        <v>£m</v>
      </c>
      <c r="O2593" t="str">
        <f>_xlfn.CONCAT('4M'!$B$58, "-", '4M'!$B$80, "-", '4M'!$K$7, "-", '4M'!$K$6, "-", '4M'!$F$5)</f>
        <v>Other enhancement-Security - SEMD-Sludge transport-Bioresources-Expenditure in report year</v>
      </c>
    </row>
    <row r="2594" spans="1:15">
      <c r="A2594" t="s">
        <v>643</v>
      </c>
      <c r="B2594" t="str">
        <f>'4M'!$BN$80</f>
        <v>B0354SSC_SDT</v>
      </c>
      <c r="D2594" t="str">
        <f>_xlfn.CONCAT('4M'!$B$58, "-", '4M'!$B$80, "-", '4M'!$L$7, "-", '4M'!$K$6, "-", '4M'!$F$5)</f>
        <v>Other enhancement-Security - SEMD-Sludge treatment-Bioresources-Expenditure in report year</v>
      </c>
      <c r="E2594" t="str">
        <f>'4M'!$C$80</f>
        <v>Capex</v>
      </c>
      <c r="F2594" t="s">
        <v>682</v>
      </c>
      <c r="G2594" t="str">
        <f>'4M'!$D$80</f>
        <v>£m</v>
      </c>
      <c r="O2594" t="str">
        <f>_xlfn.CONCAT('4M'!$B$58, "-", '4M'!$B$80, "-", '4M'!$L$7, "-", '4M'!$K$6, "-", '4M'!$F$5)</f>
        <v>Other enhancement-Security - SEMD-Sludge treatment-Bioresources-Expenditure in report year</v>
      </c>
    </row>
    <row r="2595" spans="1:15">
      <c r="A2595" t="s">
        <v>643</v>
      </c>
      <c r="B2595" t="str">
        <f>'4M'!$BO$80</f>
        <v>B0354SSC_SD</v>
      </c>
      <c r="D2595" t="str">
        <f>_xlfn.CONCAT('4M'!$B$58, "-", '4M'!$B$80, "-", '4M'!$M$7, "-", '4M'!$K$6, "-", '4M'!$F$5)</f>
        <v>Other enhancement-Security - SEMD-Sludge disposal-Bioresources-Expenditure in report year</v>
      </c>
      <c r="E2595" t="str">
        <f>'4M'!$C$80</f>
        <v>Capex</v>
      </c>
      <c r="F2595" t="s">
        <v>682</v>
      </c>
      <c r="G2595" t="str">
        <f>'4M'!$D$80</f>
        <v>£m</v>
      </c>
      <c r="O2595" t="str">
        <f>_xlfn.CONCAT('4M'!$B$58, "-", '4M'!$B$80, "-", '4M'!$M$7, "-", '4M'!$K$6, "-", '4M'!$F$5)</f>
        <v>Other enhancement-Security - SEMD-Sludge disposal-Bioresources-Expenditure in report year</v>
      </c>
    </row>
    <row r="2596" spans="1:15">
      <c r="A2596" t="s">
        <v>643</v>
      </c>
      <c r="B2596" t="str">
        <f>'4M'!$BP$80</f>
        <v>B0354SSC_TOT</v>
      </c>
      <c r="D2596" t="str">
        <f>_xlfn.CONCAT('4M'!$B$58, "-", '4M'!$B$80, "-", '4M'!$N$6, "-", '4M'!$N$6, "-", '4M'!$F$5)</f>
        <v>Other enhancement-Security - SEMD-Total-Total-Expenditure in report year</v>
      </c>
      <c r="E2596" t="str">
        <f>'4M'!$C$80</f>
        <v>Capex</v>
      </c>
      <c r="F2596" t="s">
        <v>682</v>
      </c>
      <c r="G2596" t="str">
        <f>'4M'!$D$80</f>
        <v>£m</v>
      </c>
      <c r="O2596" t="str">
        <f>_xlfn.CONCAT('4M'!$B$58, "-", '4M'!$B$80, "-", '4M'!$N$6, "-", '4M'!$N$6, "-", '4M'!$F$5)</f>
        <v>Other enhancement-Security - SEMD-Total-Total-Expenditure in report year</v>
      </c>
    </row>
    <row r="2597" spans="1:15">
      <c r="A2597" t="s">
        <v>643</v>
      </c>
      <c r="B2597" t="str">
        <f>'4M'!$BQ$80</f>
        <v>B0354SSC_C_F</v>
      </c>
      <c r="D2597" t="str">
        <f>_xlfn.CONCAT('4M'!$B$58, "-", '4M'!$B$80, "-", '4M'!$O$7, "-", '4M'!$O$6, "-", '4M'!$O$5)</f>
        <v>Other enhancement-Security - SEMD-Foul-Wastewater network+ -Cumulative expenditure on schemes completed in the report year</v>
      </c>
      <c r="E2597" t="str">
        <f>'4M'!$C$80</f>
        <v>Capex</v>
      </c>
      <c r="F2597" t="s">
        <v>682</v>
      </c>
      <c r="G2597" t="str">
        <f>'4M'!$D$80</f>
        <v>£m</v>
      </c>
      <c r="O2597" t="str">
        <f>_xlfn.CONCAT('4M'!$B$58, "-", '4M'!$B$80, "-", '4M'!$O$7, "-", '4M'!$O$6, "-", '4M'!$O$5)</f>
        <v>Other enhancement-Security - SEMD-Foul-Wastewater network+ -Cumulative expenditure on schemes completed in the report year</v>
      </c>
    </row>
    <row r="2598" spans="1:15">
      <c r="A2598" t="s">
        <v>643</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682</v>
      </c>
      <c r="G2598" t="str">
        <f>'4M'!$D$80</f>
        <v>£m</v>
      </c>
      <c r="O2598" t="str">
        <f>_xlfn.CONCAT('4M'!$B$58, "-", '4M'!$B$80, "-", '4M'!$P$7, "-", '4M'!$O$6, "-", '4M'!$O$5)</f>
        <v>Other enhancement-Security - SEMD-Surface water drainage-Wastewater network+ -Cumulative expenditure on schemes completed in the report year</v>
      </c>
    </row>
    <row r="2599" spans="1:15">
      <c r="A2599" t="s">
        <v>643</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682</v>
      </c>
      <c r="G2599" t="str">
        <f>'4M'!$D$80</f>
        <v>£m</v>
      </c>
      <c r="O2599" t="str">
        <f>_xlfn.CONCAT('4M'!$B$58, "-", '4M'!$B$80, "-", '4M'!$Q$7, "-", '4M'!$O$6, "-", '4M'!$O$5)</f>
        <v>Other enhancement-Security - SEMD-Highway drainage-Wastewater network+ -Cumulative expenditure on schemes completed in the report year</v>
      </c>
    </row>
    <row r="2600" spans="1:15">
      <c r="A2600" t="s">
        <v>643</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682</v>
      </c>
      <c r="G2600" t="str">
        <f>'4M'!$D$80</f>
        <v>£m</v>
      </c>
      <c r="O2600" t="str">
        <f>_xlfn.CONCAT('4M'!$B$58, "-", '4M'!$B$80, "-", '4M'!$R$7, "-", '4M'!$O$6, "-", '4M'!$O$5)</f>
        <v>Other enhancement-Security - SEMD-Sewage treatment and disposal-Wastewater network+ -Cumulative expenditure on schemes completed in the report year</v>
      </c>
    </row>
    <row r="2601" spans="1:15">
      <c r="A2601" t="s">
        <v>643</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682</v>
      </c>
      <c r="G2601" t="str">
        <f>'4M'!$D$80</f>
        <v>£m</v>
      </c>
      <c r="O2601" t="str">
        <f>_xlfn.CONCAT('4M'!$B$58, "-", '4M'!$B$80, "-", '4M'!$S$7, "-", '4M'!$O$6, "-", '4M'!$O$5)</f>
        <v>Other enhancement-Security - SEMD-Sludge liquor treatment-Wastewater network+ -Cumulative expenditure on schemes completed in the report year</v>
      </c>
    </row>
    <row r="2602" spans="1:15">
      <c r="A2602" t="s">
        <v>643</v>
      </c>
      <c r="B2602" t="str">
        <f>'4M'!$BV$80</f>
        <v>B0354SSC_C_STP</v>
      </c>
      <c r="D2602" t="str">
        <f>_xlfn.CONCAT('4M'!$B$58, "-", '4M'!$B$80, "-", '4M'!$T$7, "-", '4M'!$T$6, "-", '4M'!$O$5)</f>
        <v>Other enhancement-Security - SEMD-Sludge transport-Bioresources-Cumulative expenditure on schemes completed in the report year</v>
      </c>
      <c r="E2602" t="str">
        <f>'4M'!$C$80</f>
        <v>Capex</v>
      </c>
      <c r="F2602" t="s">
        <v>682</v>
      </c>
      <c r="G2602" t="str">
        <f>'4M'!$D$80</f>
        <v>£m</v>
      </c>
      <c r="O2602" t="str">
        <f>_xlfn.CONCAT('4M'!$B$58, "-", '4M'!$B$80, "-", '4M'!$T$7, "-", '4M'!$T$6, "-", '4M'!$O$5)</f>
        <v>Other enhancement-Security - SEMD-Sludge transport-Bioresources-Cumulative expenditure on schemes completed in the report year</v>
      </c>
    </row>
    <row r="2603" spans="1:15">
      <c r="A2603" t="s">
        <v>643</v>
      </c>
      <c r="B2603" t="str">
        <f>'4M'!$BW$80</f>
        <v>B0354SSC_C_SDT</v>
      </c>
      <c r="D2603" t="str">
        <f>_xlfn.CONCAT('4M'!$B$58, "-", '4M'!$B$80, "-", '4M'!$U$7, "-", '4M'!$T$6, "-", '4M'!$O$5)</f>
        <v>Other enhancement-Security - SEMD-Sludge treatment-Bioresources-Cumulative expenditure on schemes completed in the report year</v>
      </c>
      <c r="E2603" t="str">
        <f>'4M'!$C$80</f>
        <v>Capex</v>
      </c>
      <c r="F2603" t="s">
        <v>682</v>
      </c>
      <c r="G2603" t="str">
        <f>'4M'!$D$80</f>
        <v>£m</v>
      </c>
      <c r="O2603" t="str">
        <f>_xlfn.CONCAT('4M'!$B$58, "-", '4M'!$B$80, "-", '4M'!$U$7, "-", '4M'!$T$6, "-", '4M'!$O$5)</f>
        <v>Other enhancement-Security - SEMD-Sludge treatment-Bioresources-Cumulative expenditure on schemes completed in the report year</v>
      </c>
    </row>
    <row r="2604" spans="1:15">
      <c r="A2604" t="s">
        <v>643</v>
      </c>
      <c r="B2604" t="str">
        <f>'4M'!$BX$80</f>
        <v>B0354SSC_C_SD</v>
      </c>
      <c r="D2604" t="str">
        <f>_xlfn.CONCAT('4M'!$B$58, "-", '4M'!$B$80, "-", '4M'!$V$7, "-", '4M'!$T$6, "-", '4M'!$O$5)</f>
        <v>Other enhancement-Security - SEMD-Sludge disposal-Bioresources-Cumulative expenditure on schemes completed in the report year</v>
      </c>
      <c r="E2604" t="str">
        <f>'4M'!$C$80</f>
        <v>Capex</v>
      </c>
      <c r="F2604" t="s">
        <v>682</v>
      </c>
      <c r="G2604" t="str">
        <f>'4M'!$D$80</f>
        <v>£m</v>
      </c>
      <c r="O2604" t="str">
        <f>_xlfn.CONCAT('4M'!$B$58, "-", '4M'!$B$80, "-", '4M'!$V$7, "-", '4M'!$T$6, "-", '4M'!$O$5)</f>
        <v>Other enhancement-Security - SEMD-Sludge disposal-Bioresources-Cumulative expenditure on schemes completed in the report year</v>
      </c>
    </row>
    <row r="2605" spans="1:15">
      <c r="A2605" t="s">
        <v>643</v>
      </c>
      <c r="B2605" t="str">
        <f>'4M'!$BY$80</f>
        <v>B0354SSC_C_TOT</v>
      </c>
      <c r="D2605" t="str">
        <f>_xlfn.CONCAT('4M'!$B$58, "-", '4M'!$B$80, "-", '4M'!$W$6, "-", '4M'!$W$6, "-", '4M'!$O$5)</f>
        <v>Other enhancement-Security - SEMD-Total-Total-Cumulative expenditure on schemes completed in the report year</v>
      </c>
      <c r="E2605" t="str">
        <f>'4M'!$C$80</f>
        <v>Capex</v>
      </c>
      <c r="F2605" t="s">
        <v>682</v>
      </c>
      <c r="G2605" t="str">
        <f>'4M'!$D$80</f>
        <v>£m</v>
      </c>
      <c r="O2605" t="str">
        <f>_xlfn.CONCAT('4M'!$B$58, "-", '4M'!$B$80, "-", '4M'!$W$6, "-", '4M'!$W$6, "-", '4M'!$O$5)</f>
        <v>Other enhancement-Security - SEMD-Total-Total-Cumulative expenditure on schemes completed in the report year</v>
      </c>
    </row>
    <row r="2606" spans="1:15">
      <c r="A2606" t="s">
        <v>643</v>
      </c>
      <c r="B2606" t="str">
        <f>'4M'!$BH$81</f>
        <v>B0355SSO_F</v>
      </c>
      <c r="D2606" t="str">
        <f>_xlfn.CONCAT('4M'!$B$58, "-", '4M'!$B$81, "-", '4M'!$F$7, "-", '4M'!$F$6, "-", '4M'!$F$5)</f>
        <v>Other enhancement-Security - SEMD-Foul-Wastewater network+ -Expenditure in report year</v>
      </c>
      <c r="E2606" t="str">
        <f>'4M'!$C$81</f>
        <v>Opex</v>
      </c>
      <c r="F2606" t="s">
        <v>682</v>
      </c>
      <c r="G2606" t="str">
        <f>'4M'!$D$81</f>
        <v>£m</v>
      </c>
      <c r="O2606" t="str">
        <f>_xlfn.CONCAT('4M'!$B$58, "-", '4M'!$B$81, "-", '4M'!$F$7, "-", '4M'!$F$6, "-", '4M'!$F$5)</f>
        <v>Other enhancement-Security - SEMD-Foul-Wastewater network+ -Expenditure in report year</v>
      </c>
    </row>
    <row r="2607" spans="1:15">
      <c r="A2607" t="s">
        <v>643</v>
      </c>
      <c r="B2607" t="str">
        <f>'4M'!$BI$81</f>
        <v>B0355SSO_SWD</v>
      </c>
      <c r="D2607" t="str">
        <f>_xlfn.CONCAT('4M'!$B$58, "-", '4M'!$B$81, "-", '4M'!$G$7, "-", '4M'!$F$6, "-", '4M'!$F$5)</f>
        <v>Other enhancement-Security - SEMD-Surface water drainage-Wastewater network+ -Expenditure in report year</v>
      </c>
      <c r="E2607" t="str">
        <f>'4M'!$C$81</f>
        <v>Opex</v>
      </c>
      <c r="F2607" t="s">
        <v>682</v>
      </c>
      <c r="G2607" t="str">
        <f>'4M'!$D$81</f>
        <v>£m</v>
      </c>
      <c r="O2607" t="str">
        <f>_xlfn.CONCAT('4M'!$B$58, "-", '4M'!$B$81, "-", '4M'!$G$7, "-", '4M'!$F$6, "-", '4M'!$F$5)</f>
        <v>Other enhancement-Security - SEMD-Surface water drainage-Wastewater network+ -Expenditure in report year</v>
      </c>
    </row>
    <row r="2608" spans="1:15">
      <c r="A2608" t="s">
        <v>643</v>
      </c>
      <c r="B2608" t="str">
        <f>'4M'!$BJ$81</f>
        <v>B0355SSO_HD</v>
      </c>
      <c r="D2608" t="str">
        <f>_xlfn.CONCAT('4M'!$B$58, "-", '4M'!$B$81, "-", '4M'!$H$7, "-", '4M'!$F$6, "-", '4M'!$F$5)</f>
        <v>Other enhancement-Security - SEMD-Highway drainage-Wastewater network+ -Expenditure in report year</v>
      </c>
      <c r="E2608" t="str">
        <f>'4M'!$C$81</f>
        <v>Opex</v>
      </c>
      <c r="F2608" t="s">
        <v>682</v>
      </c>
      <c r="G2608" t="str">
        <f>'4M'!$D$81</f>
        <v>£m</v>
      </c>
      <c r="O2608" t="str">
        <f>_xlfn.CONCAT('4M'!$B$58, "-", '4M'!$B$81, "-", '4M'!$H$7, "-", '4M'!$F$6, "-", '4M'!$F$5)</f>
        <v>Other enhancement-Security - SEMD-Highway drainage-Wastewater network+ -Expenditure in report year</v>
      </c>
    </row>
    <row r="2609" spans="1:15">
      <c r="A2609" t="s">
        <v>643</v>
      </c>
      <c r="B2609" t="str">
        <f>'4M'!$BK$81</f>
        <v>B0355SSO_STD</v>
      </c>
      <c r="D2609" t="str">
        <f>_xlfn.CONCAT('4M'!$B$58, "-", '4M'!$B$81, "-", '4M'!$I$7, "-", '4M'!$F$6, "-", '4M'!$F$5)</f>
        <v>Other enhancement-Security - SEMD-Sewage treatment and disposal-Wastewater network+ -Expenditure in report year</v>
      </c>
      <c r="E2609" t="str">
        <f>'4M'!$C$81</f>
        <v>Opex</v>
      </c>
      <c r="F2609" t="s">
        <v>682</v>
      </c>
      <c r="G2609" t="str">
        <f>'4M'!$D$81</f>
        <v>£m</v>
      </c>
      <c r="O2609" t="str">
        <f>_xlfn.CONCAT('4M'!$B$58, "-", '4M'!$B$81, "-", '4M'!$I$7, "-", '4M'!$F$6, "-", '4M'!$F$5)</f>
        <v>Other enhancement-Security - SEMD-Sewage treatment and disposal-Wastewater network+ -Expenditure in report year</v>
      </c>
    </row>
    <row r="2610" spans="1:15">
      <c r="A2610" t="s">
        <v>643</v>
      </c>
      <c r="B2610" t="str">
        <f>'4M'!$BL$81</f>
        <v>B0355SSO_SLT</v>
      </c>
      <c r="D2610" t="str">
        <f>_xlfn.CONCAT('4M'!$B$58, "-", '4M'!$B$81, "-", '4M'!$J$7, "-", '4M'!$F$6, "-", '4M'!$F$5)</f>
        <v>Other enhancement-Security - SEMD-Sludge liquor treatment-Wastewater network+ -Expenditure in report year</v>
      </c>
      <c r="E2610" t="str">
        <f>'4M'!$C$81</f>
        <v>Opex</v>
      </c>
      <c r="F2610" t="s">
        <v>682</v>
      </c>
      <c r="G2610" t="str">
        <f>'4M'!$D$81</f>
        <v>£m</v>
      </c>
      <c r="O2610" t="str">
        <f>_xlfn.CONCAT('4M'!$B$58, "-", '4M'!$B$81, "-", '4M'!$J$7, "-", '4M'!$F$6, "-", '4M'!$F$5)</f>
        <v>Other enhancement-Security - SEMD-Sludge liquor treatment-Wastewater network+ -Expenditure in report year</v>
      </c>
    </row>
    <row r="2611" spans="1:15">
      <c r="A2611" t="s">
        <v>643</v>
      </c>
      <c r="B2611" t="str">
        <f>'4M'!$BM$81</f>
        <v>B0355SSO_STP</v>
      </c>
      <c r="D2611" t="str">
        <f>_xlfn.CONCAT('4M'!$B$58, "-", '4M'!$B$81, "-", '4M'!$K$7, "-", '4M'!$K$6, "-", '4M'!$F$5)</f>
        <v>Other enhancement-Security - SEMD-Sludge transport-Bioresources-Expenditure in report year</v>
      </c>
      <c r="E2611" t="str">
        <f>'4M'!$C$81</f>
        <v>Opex</v>
      </c>
      <c r="F2611" t="s">
        <v>682</v>
      </c>
      <c r="G2611" t="str">
        <f>'4M'!$D$81</f>
        <v>£m</v>
      </c>
      <c r="O2611" t="str">
        <f>_xlfn.CONCAT('4M'!$B$58, "-", '4M'!$B$81, "-", '4M'!$K$7, "-", '4M'!$K$6, "-", '4M'!$F$5)</f>
        <v>Other enhancement-Security - SEMD-Sludge transport-Bioresources-Expenditure in report year</v>
      </c>
    </row>
    <row r="2612" spans="1:15">
      <c r="A2612" t="s">
        <v>643</v>
      </c>
      <c r="B2612" t="str">
        <f>'4M'!$BN$81</f>
        <v>B0355SSO_SDT</v>
      </c>
      <c r="D2612" t="str">
        <f>_xlfn.CONCAT('4M'!$B$58, "-", '4M'!$B$81, "-", '4M'!$L$7, "-", '4M'!$K$6, "-", '4M'!$F$5)</f>
        <v>Other enhancement-Security - SEMD-Sludge treatment-Bioresources-Expenditure in report year</v>
      </c>
      <c r="E2612" t="str">
        <f>'4M'!$C$81</f>
        <v>Opex</v>
      </c>
      <c r="F2612" t="s">
        <v>682</v>
      </c>
      <c r="G2612" t="str">
        <f>'4M'!$D$81</f>
        <v>£m</v>
      </c>
      <c r="O2612" t="str">
        <f>_xlfn.CONCAT('4M'!$B$58, "-", '4M'!$B$81, "-", '4M'!$L$7, "-", '4M'!$K$6, "-", '4M'!$F$5)</f>
        <v>Other enhancement-Security - SEMD-Sludge treatment-Bioresources-Expenditure in report year</v>
      </c>
    </row>
    <row r="2613" spans="1:15">
      <c r="A2613" t="s">
        <v>643</v>
      </c>
      <c r="B2613" t="str">
        <f>'4M'!$BO$81</f>
        <v>B0355SSO_SD</v>
      </c>
      <c r="D2613" t="str">
        <f>_xlfn.CONCAT('4M'!$B$58, "-", '4M'!$B$81, "-", '4M'!$M$7, "-", '4M'!$K$6, "-", '4M'!$F$5)</f>
        <v>Other enhancement-Security - SEMD-Sludge disposal-Bioresources-Expenditure in report year</v>
      </c>
      <c r="E2613" t="str">
        <f>'4M'!$C$81</f>
        <v>Opex</v>
      </c>
      <c r="F2613" t="s">
        <v>682</v>
      </c>
      <c r="G2613" t="str">
        <f>'4M'!$D$81</f>
        <v>£m</v>
      </c>
      <c r="O2613" t="str">
        <f>_xlfn.CONCAT('4M'!$B$58, "-", '4M'!$B$81, "-", '4M'!$M$7, "-", '4M'!$K$6, "-", '4M'!$F$5)</f>
        <v>Other enhancement-Security - SEMD-Sludge disposal-Bioresources-Expenditure in report year</v>
      </c>
    </row>
    <row r="2614" spans="1:15">
      <c r="A2614" t="s">
        <v>643</v>
      </c>
      <c r="B2614" t="str">
        <f>'4M'!$BP$81</f>
        <v>B0355SSO_TOT</v>
      </c>
      <c r="D2614" t="str">
        <f>_xlfn.CONCAT('4M'!$B$58, "-", '4M'!$B$81, "-", '4M'!$N$6, "-", '4M'!$N$6, "-", '4M'!$F$5)</f>
        <v>Other enhancement-Security - SEMD-Total-Total-Expenditure in report year</v>
      </c>
      <c r="E2614" t="str">
        <f>'4M'!$C$81</f>
        <v>Opex</v>
      </c>
      <c r="F2614" t="s">
        <v>682</v>
      </c>
      <c r="G2614" t="str">
        <f>'4M'!$D$81</f>
        <v>£m</v>
      </c>
      <c r="O2614" t="str">
        <f>_xlfn.CONCAT('4M'!$B$58, "-", '4M'!$B$81, "-", '4M'!$N$6, "-", '4M'!$N$6, "-", '4M'!$F$5)</f>
        <v>Other enhancement-Security - SEMD-Total-Total-Expenditure in report year</v>
      </c>
    </row>
    <row r="2615" spans="1:15">
      <c r="A2615" t="s">
        <v>643</v>
      </c>
      <c r="B2615" t="str">
        <f>'4M'!$BQ$81</f>
        <v>B0355SSO_C_F</v>
      </c>
      <c r="D2615" t="str">
        <f>_xlfn.CONCAT('4M'!$B$58, "-", '4M'!$B$81, "-", '4M'!$O$7, "-", '4M'!$O$6, "-", '4M'!$O$5)</f>
        <v>Other enhancement-Security - SEMD-Foul-Wastewater network+ -Cumulative expenditure on schemes completed in the report year</v>
      </c>
      <c r="E2615" t="str">
        <f>'4M'!$C$81</f>
        <v>Opex</v>
      </c>
      <c r="F2615" t="s">
        <v>682</v>
      </c>
      <c r="G2615" t="str">
        <f>'4M'!$D$81</f>
        <v>£m</v>
      </c>
      <c r="O2615" t="str">
        <f>_xlfn.CONCAT('4M'!$B$58, "-", '4M'!$B$81, "-", '4M'!$O$7, "-", '4M'!$O$6, "-", '4M'!$O$5)</f>
        <v>Other enhancement-Security - SEMD-Foul-Wastewater network+ -Cumulative expenditure on schemes completed in the report year</v>
      </c>
    </row>
    <row r="2616" spans="1:15">
      <c r="A2616" t="s">
        <v>643</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682</v>
      </c>
      <c r="G2616" t="str">
        <f>'4M'!$D$81</f>
        <v>£m</v>
      </c>
      <c r="O2616" t="str">
        <f>_xlfn.CONCAT('4M'!$B$58, "-", '4M'!$B$81, "-", '4M'!$P$7, "-", '4M'!$O$6, "-", '4M'!$O$5)</f>
        <v>Other enhancement-Security - SEMD-Surface water drainage-Wastewater network+ -Cumulative expenditure on schemes completed in the report year</v>
      </c>
    </row>
    <row r="2617" spans="1:15">
      <c r="A2617" t="s">
        <v>643</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682</v>
      </c>
      <c r="G2617" t="str">
        <f>'4M'!$D$81</f>
        <v>£m</v>
      </c>
      <c r="O2617" t="str">
        <f>_xlfn.CONCAT('4M'!$B$58, "-", '4M'!$B$81, "-", '4M'!$Q$7, "-", '4M'!$O$6, "-", '4M'!$O$5)</f>
        <v>Other enhancement-Security - SEMD-Highway drainage-Wastewater network+ -Cumulative expenditure on schemes completed in the report year</v>
      </c>
    </row>
    <row r="2618" spans="1:15">
      <c r="A2618" t="s">
        <v>643</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682</v>
      </c>
      <c r="G2618" t="str">
        <f>'4M'!$D$81</f>
        <v>£m</v>
      </c>
      <c r="O2618" t="str">
        <f>_xlfn.CONCAT('4M'!$B$58, "-", '4M'!$B$81, "-", '4M'!$R$7, "-", '4M'!$O$6, "-", '4M'!$O$5)</f>
        <v>Other enhancement-Security - SEMD-Sewage treatment and disposal-Wastewater network+ -Cumulative expenditure on schemes completed in the report year</v>
      </c>
    </row>
    <row r="2619" spans="1:15">
      <c r="A2619" t="s">
        <v>643</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682</v>
      </c>
      <c r="G2619" t="str">
        <f>'4M'!$D$81</f>
        <v>£m</v>
      </c>
      <c r="O2619" t="str">
        <f>_xlfn.CONCAT('4M'!$B$58, "-", '4M'!$B$81, "-", '4M'!$S$7, "-", '4M'!$O$6, "-", '4M'!$O$5)</f>
        <v>Other enhancement-Security - SEMD-Sludge liquor treatment-Wastewater network+ -Cumulative expenditure on schemes completed in the report year</v>
      </c>
    </row>
    <row r="2620" spans="1:15">
      <c r="A2620" t="s">
        <v>643</v>
      </c>
      <c r="B2620" t="str">
        <f>'4M'!$BV$81</f>
        <v>B0355SSO_C_STP</v>
      </c>
      <c r="D2620" t="str">
        <f>_xlfn.CONCAT('4M'!$B$58, "-", '4M'!$B$81, "-", '4M'!$T$7, "-", '4M'!$T$6, "-", '4M'!$O$5)</f>
        <v>Other enhancement-Security - SEMD-Sludge transport-Bioresources-Cumulative expenditure on schemes completed in the report year</v>
      </c>
      <c r="E2620" t="str">
        <f>'4M'!$C$81</f>
        <v>Opex</v>
      </c>
      <c r="F2620" t="s">
        <v>682</v>
      </c>
      <c r="G2620" t="str">
        <f>'4M'!$D$81</f>
        <v>£m</v>
      </c>
      <c r="O2620" t="str">
        <f>_xlfn.CONCAT('4M'!$B$58, "-", '4M'!$B$81, "-", '4M'!$T$7, "-", '4M'!$T$6, "-", '4M'!$O$5)</f>
        <v>Other enhancement-Security - SEMD-Sludge transport-Bioresources-Cumulative expenditure on schemes completed in the report year</v>
      </c>
    </row>
    <row r="2621" spans="1:15">
      <c r="A2621" t="s">
        <v>643</v>
      </c>
      <c r="B2621" t="str">
        <f>'4M'!$BW$81</f>
        <v>B0355SSO_C_SDT</v>
      </c>
      <c r="D2621" t="str">
        <f>_xlfn.CONCAT('4M'!$B$58, "-", '4M'!$B$81, "-", '4M'!$U$7, "-", '4M'!$T$6, "-", '4M'!$O$5)</f>
        <v>Other enhancement-Security - SEMD-Sludge treatment-Bioresources-Cumulative expenditure on schemes completed in the report year</v>
      </c>
      <c r="E2621" t="str">
        <f>'4M'!$C$81</f>
        <v>Opex</v>
      </c>
      <c r="F2621" t="s">
        <v>682</v>
      </c>
      <c r="G2621" t="str">
        <f>'4M'!$D$81</f>
        <v>£m</v>
      </c>
      <c r="O2621" t="str">
        <f>_xlfn.CONCAT('4M'!$B$58, "-", '4M'!$B$81, "-", '4M'!$U$7, "-", '4M'!$T$6, "-", '4M'!$O$5)</f>
        <v>Other enhancement-Security - SEMD-Sludge treatment-Bioresources-Cumulative expenditure on schemes completed in the report year</v>
      </c>
    </row>
    <row r="2622" spans="1:15">
      <c r="A2622" t="s">
        <v>643</v>
      </c>
      <c r="B2622" t="str">
        <f>'4M'!$BX$81</f>
        <v>B0355SSO_C_SD</v>
      </c>
      <c r="D2622" t="str">
        <f>_xlfn.CONCAT('4M'!$B$58, "-", '4M'!$B$81, "-", '4M'!$V$7, "-", '4M'!$T$6, "-", '4M'!$O$5)</f>
        <v>Other enhancement-Security - SEMD-Sludge disposal-Bioresources-Cumulative expenditure on schemes completed in the report year</v>
      </c>
      <c r="E2622" t="str">
        <f>'4M'!$C$81</f>
        <v>Opex</v>
      </c>
      <c r="F2622" t="s">
        <v>682</v>
      </c>
      <c r="G2622" t="str">
        <f>'4M'!$D$81</f>
        <v>£m</v>
      </c>
      <c r="O2622" t="str">
        <f>_xlfn.CONCAT('4M'!$B$58, "-", '4M'!$B$81, "-", '4M'!$V$7, "-", '4M'!$T$6, "-", '4M'!$O$5)</f>
        <v>Other enhancement-Security - SEMD-Sludge disposal-Bioresources-Cumulative expenditure on schemes completed in the report year</v>
      </c>
    </row>
    <row r="2623" spans="1:15">
      <c r="A2623" t="s">
        <v>643</v>
      </c>
      <c r="B2623" t="str">
        <f>'4M'!$BY$81</f>
        <v>B0355SSO_C_TOT</v>
      </c>
      <c r="D2623" t="str">
        <f>_xlfn.CONCAT('4M'!$B$58, "-", '4M'!$B$81, "-", '4M'!$W$6, "-", '4M'!$W$6, "-", '4M'!$O$5)</f>
        <v>Other enhancement-Security - SEMD-Total-Total-Cumulative expenditure on schemes completed in the report year</v>
      </c>
      <c r="E2623" t="str">
        <f>'4M'!$C$81</f>
        <v>Opex</v>
      </c>
      <c r="F2623" t="s">
        <v>682</v>
      </c>
      <c r="G2623" t="str">
        <f>'4M'!$D$81</f>
        <v>£m</v>
      </c>
      <c r="O2623" t="str">
        <f>_xlfn.CONCAT('4M'!$B$58, "-", '4M'!$B$81, "-", '4M'!$W$6, "-", '4M'!$W$6, "-", '4M'!$O$5)</f>
        <v>Other enhancement-Security - SEMD-Total-Total-Cumulative expenditure on schemes completed in the report year</v>
      </c>
    </row>
    <row r="2624" spans="1:15">
      <c r="A2624" t="s">
        <v>643</v>
      </c>
      <c r="B2624" t="str">
        <f>'4M'!$BH$82</f>
        <v>B0356SST_F</v>
      </c>
      <c r="D2624" t="str">
        <f>_xlfn.CONCAT('4M'!$B$58, "-", '4M'!$B$82, "-", '4M'!$F$7, "-", '4M'!$F$6, "-", '4M'!$F$5)</f>
        <v>Other enhancement-Security - SEMD-Foul-Wastewater network+ -Expenditure in report year</v>
      </c>
      <c r="E2624" t="str">
        <f>'4M'!$C$82</f>
        <v>Totex</v>
      </c>
      <c r="F2624" t="s">
        <v>682</v>
      </c>
      <c r="G2624" t="str">
        <f>'4M'!$D$82</f>
        <v>£m</v>
      </c>
      <c r="O2624" t="str">
        <f>_xlfn.CONCAT('4M'!$B$58, "-", '4M'!$B$82, "-", '4M'!$F$7, "-", '4M'!$F$6, "-", '4M'!$F$5)</f>
        <v>Other enhancement-Security - SEMD-Foul-Wastewater network+ -Expenditure in report year</v>
      </c>
    </row>
    <row r="2625" spans="1:15">
      <c r="A2625" t="s">
        <v>643</v>
      </c>
      <c r="B2625" t="str">
        <f>'4M'!$BI$82</f>
        <v>B0356SST_SWD</v>
      </c>
      <c r="D2625" t="str">
        <f>_xlfn.CONCAT('4M'!$B$58, "-", '4M'!$B$82, "-", '4M'!$G$7, "-", '4M'!$F$6, "-", '4M'!$F$5)</f>
        <v>Other enhancement-Security - SEMD-Surface water drainage-Wastewater network+ -Expenditure in report year</v>
      </c>
      <c r="E2625" t="str">
        <f>'4M'!$C$82</f>
        <v>Totex</v>
      </c>
      <c r="F2625" t="s">
        <v>682</v>
      </c>
      <c r="G2625" t="str">
        <f>'4M'!$D$82</f>
        <v>£m</v>
      </c>
      <c r="O2625" t="str">
        <f>_xlfn.CONCAT('4M'!$B$58, "-", '4M'!$B$82, "-", '4M'!$G$7, "-", '4M'!$F$6, "-", '4M'!$F$5)</f>
        <v>Other enhancement-Security - SEMD-Surface water drainage-Wastewater network+ -Expenditure in report year</v>
      </c>
    </row>
    <row r="2626" spans="1:15">
      <c r="A2626" t="s">
        <v>643</v>
      </c>
      <c r="B2626" t="str">
        <f>'4M'!$BJ$82</f>
        <v>B0356SST_HD</v>
      </c>
      <c r="D2626" t="str">
        <f>_xlfn.CONCAT('4M'!$B$58, "-", '4M'!$B$82, "-", '4M'!$H$7, "-", '4M'!$F$6, "-", '4M'!$F$5)</f>
        <v>Other enhancement-Security - SEMD-Highway drainage-Wastewater network+ -Expenditure in report year</v>
      </c>
      <c r="E2626" t="str">
        <f>'4M'!$C$82</f>
        <v>Totex</v>
      </c>
      <c r="F2626" t="s">
        <v>682</v>
      </c>
      <c r="G2626" t="str">
        <f>'4M'!$D$82</f>
        <v>£m</v>
      </c>
      <c r="O2626" t="str">
        <f>_xlfn.CONCAT('4M'!$B$58, "-", '4M'!$B$82, "-", '4M'!$H$7, "-", '4M'!$F$6, "-", '4M'!$F$5)</f>
        <v>Other enhancement-Security - SEMD-Highway drainage-Wastewater network+ -Expenditure in report year</v>
      </c>
    </row>
    <row r="2627" spans="1:15">
      <c r="A2627" t="s">
        <v>643</v>
      </c>
      <c r="B2627" t="str">
        <f>'4M'!$BK$82</f>
        <v>B0356SST_STD</v>
      </c>
      <c r="D2627" t="str">
        <f>_xlfn.CONCAT('4M'!$B$58, "-", '4M'!$B$82, "-", '4M'!$I$7, "-", '4M'!$F$6, "-", '4M'!$F$5)</f>
        <v>Other enhancement-Security - SEMD-Sewage treatment and disposal-Wastewater network+ -Expenditure in report year</v>
      </c>
      <c r="E2627" t="str">
        <f>'4M'!$C$82</f>
        <v>Totex</v>
      </c>
      <c r="F2627" t="s">
        <v>682</v>
      </c>
      <c r="G2627" t="str">
        <f>'4M'!$D$82</f>
        <v>£m</v>
      </c>
      <c r="O2627" t="str">
        <f>_xlfn.CONCAT('4M'!$B$58, "-", '4M'!$B$82, "-", '4M'!$I$7, "-", '4M'!$F$6, "-", '4M'!$F$5)</f>
        <v>Other enhancement-Security - SEMD-Sewage treatment and disposal-Wastewater network+ -Expenditure in report year</v>
      </c>
    </row>
    <row r="2628" spans="1:15">
      <c r="A2628" t="s">
        <v>643</v>
      </c>
      <c r="B2628" t="str">
        <f>'4M'!$BL$82</f>
        <v>B0356SST_SLT</v>
      </c>
      <c r="D2628" t="str">
        <f>_xlfn.CONCAT('4M'!$B$58, "-", '4M'!$B$82, "-", '4M'!$J$7, "-", '4M'!$F$6, "-", '4M'!$F$5)</f>
        <v>Other enhancement-Security - SEMD-Sludge liquor treatment-Wastewater network+ -Expenditure in report year</v>
      </c>
      <c r="E2628" t="str">
        <f>'4M'!$C$82</f>
        <v>Totex</v>
      </c>
      <c r="F2628" t="s">
        <v>682</v>
      </c>
      <c r="G2628" t="str">
        <f>'4M'!$D$82</f>
        <v>£m</v>
      </c>
      <c r="O2628" t="str">
        <f>_xlfn.CONCAT('4M'!$B$58, "-", '4M'!$B$82, "-", '4M'!$J$7, "-", '4M'!$F$6, "-", '4M'!$F$5)</f>
        <v>Other enhancement-Security - SEMD-Sludge liquor treatment-Wastewater network+ -Expenditure in report year</v>
      </c>
    </row>
    <row r="2629" spans="1:15">
      <c r="A2629" t="s">
        <v>643</v>
      </c>
      <c r="B2629" t="str">
        <f>'4M'!$BM$82</f>
        <v>B0356SST_STP</v>
      </c>
      <c r="D2629" t="str">
        <f>_xlfn.CONCAT('4M'!$B$58, "-", '4M'!$B$82, "-", '4M'!$K$7, "-", '4M'!$K$6, "-", '4M'!$F$5)</f>
        <v>Other enhancement-Security - SEMD-Sludge transport-Bioresources-Expenditure in report year</v>
      </c>
      <c r="E2629" t="str">
        <f>'4M'!$C$82</f>
        <v>Totex</v>
      </c>
      <c r="F2629" t="s">
        <v>682</v>
      </c>
      <c r="G2629" t="str">
        <f>'4M'!$D$82</f>
        <v>£m</v>
      </c>
      <c r="O2629" t="str">
        <f>_xlfn.CONCAT('4M'!$B$58, "-", '4M'!$B$82, "-", '4M'!$K$7, "-", '4M'!$K$6, "-", '4M'!$F$5)</f>
        <v>Other enhancement-Security - SEMD-Sludge transport-Bioresources-Expenditure in report year</v>
      </c>
    </row>
    <row r="2630" spans="1:15">
      <c r="A2630" t="s">
        <v>643</v>
      </c>
      <c r="B2630" t="str">
        <f>'4M'!$BN$82</f>
        <v>B0356SST_SDT</v>
      </c>
      <c r="D2630" t="str">
        <f>_xlfn.CONCAT('4M'!$B$58, "-", '4M'!$B$82, "-", '4M'!$L$7, "-", '4M'!$K$6, "-", '4M'!$F$5)</f>
        <v>Other enhancement-Security - SEMD-Sludge treatment-Bioresources-Expenditure in report year</v>
      </c>
      <c r="E2630" t="str">
        <f>'4M'!$C$82</f>
        <v>Totex</v>
      </c>
      <c r="F2630" t="s">
        <v>682</v>
      </c>
      <c r="G2630" t="str">
        <f>'4M'!$D$82</f>
        <v>£m</v>
      </c>
      <c r="O2630" t="str">
        <f>_xlfn.CONCAT('4M'!$B$58, "-", '4M'!$B$82, "-", '4M'!$L$7, "-", '4M'!$K$6, "-", '4M'!$F$5)</f>
        <v>Other enhancement-Security - SEMD-Sludge treatment-Bioresources-Expenditure in report year</v>
      </c>
    </row>
    <row r="2631" spans="1:15">
      <c r="A2631" t="s">
        <v>643</v>
      </c>
      <c r="B2631" t="str">
        <f>'4M'!$BO$82</f>
        <v>B0356SST_SD</v>
      </c>
      <c r="D2631" t="str">
        <f>_xlfn.CONCAT('4M'!$B$58, "-", '4M'!$B$82, "-", '4M'!$M$7, "-", '4M'!$K$6, "-", '4M'!$F$5)</f>
        <v>Other enhancement-Security - SEMD-Sludge disposal-Bioresources-Expenditure in report year</v>
      </c>
      <c r="E2631" t="str">
        <f>'4M'!$C$82</f>
        <v>Totex</v>
      </c>
      <c r="F2631" t="s">
        <v>682</v>
      </c>
      <c r="G2631" t="str">
        <f>'4M'!$D$82</f>
        <v>£m</v>
      </c>
      <c r="O2631" t="str">
        <f>_xlfn.CONCAT('4M'!$B$58, "-", '4M'!$B$82, "-", '4M'!$M$7, "-", '4M'!$K$6, "-", '4M'!$F$5)</f>
        <v>Other enhancement-Security - SEMD-Sludge disposal-Bioresources-Expenditure in report year</v>
      </c>
    </row>
    <row r="2632" spans="1:15">
      <c r="A2632" t="s">
        <v>643</v>
      </c>
      <c r="B2632" t="str">
        <f>'4M'!$BP$82</f>
        <v>B0356SST_TOT</v>
      </c>
      <c r="D2632" t="str">
        <f>_xlfn.CONCAT('4M'!$B$58, "-", '4M'!$B$82, "-", '4M'!$N$6, "-", '4M'!$N$6, "-", '4M'!$F$5)</f>
        <v>Other enhancement-Security - SEMD-Total-Total-Expenditure in report year</v>
      </c>
      <c r="E2632" t="str">
        <f>'4M'!$C$82</f>
        <v>Totex</v>
      </c>
      <c r="F2632" t="s">
        <v>682</v>
      </c>
      <c r="G2632" t="str">
        <f>'4M'!$D$82</f>
        <v>£m</v>
      </c>
      <c r="O2632" t="str">
        <f>_xlfn.CONCAT('4M'!$B$58, "-", '4M'!$B$82, "-", '4M'!$N$6, "-", '4M'!$N$6, "-", '4M'!$F$5)</f>
        <v>Other enhancement-Security - SEMD-Total-Total-Expenditure in report year</v>
      </c>
    </row>
    <row r="2633" spans="1:15">
      <c r="A2633" t="s">
        <v>643</v>
      </c>
      <c r="B2633" t="str">
        <f>'4M'!$BQ$82</f>
        <v>B0356SST_C_F</v>
      </c>
      <c r="D2633" t="str">
        <f>_xlfn.CONCAT('4M'!$B$58, "-", '4M'!$B$82, "-", '4M'!$O$7, "-", '4M'!$O$6, "-", '4M'!$O$5)</f>
        <v>Other enhancement-Security - SEMD-Foul-Wastewater network+ -Cumulative expenditure on schemes completed in the report year</v>
      </c>
      <c r="E2633" t="str">
        <f>'4M'!$C$82</f>
        <v>Totex</v>
      </c>
      <c r="F2633" t="s">
        <v>682</v>
      </c>
      <c r="G2633" t="str">
        <f>'4M'!$D$82</f>
        <v>£m</v>
      </c>
      <c r="O2633" t="str">
        <f>_xlfn.CONCAT('4M'!$B$58, "-", '4M'!$B$82, "-", '4M'!$O$7, "-", '4M'!$O$6, "-", '4M'!$O$5)</f>
        <v>Other enhancement-Security - SEMD-Foul-Wastewater network+ -Cumulative expenditure on schemes completed in the report year</v>
      </c>
    </row>
    <row r="2634" spans="1:15">
      <c r="A2634" t="s">
        <v>643</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682</v>
      </c>
      <c r="G2634" t="str">
        <f>'4M'!$D$82</f>
        <v>£m</v>
      </c>
      <c r="O2634" t="str">
        <f>_xlfn.CONCAT('4M'!$B$58, "-", '4M'!$B$82, "-", '4M'!$P$7, "-", '4M'!$O$6, "-", '4M'!$O$5)</f>
        <v>Other enhancement-Security - SEMD-Surface water drainage-Wastewater network+ -Cumulative expenditure on schemes completed in the report year</v>
      </c>
    </row>
    <row r="2635" spans="1:15">
      <c r="A2635" t="s">
        <v>643</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682</v>
      </c>
      <c r="G2635" t="str">
        <f>'4M'!$D$82</f>
        <v>£m</v>
      </c>
      <c r="O2635" t="str">
        <f>_xlfn.CONCAT('4M'!$B$58, "-", '4M'!$B$82, "-", '4M'!$Q$7, "-", '4M'!$O$6, "-", '4M'!$O$5)</f>
        <v>Other enhancement-Security - SEMD-Highway drainage-Wastewater network+ -Cumulative expenditure on schemes completed in the report year</v>
      </c>
    </row>
    <row r="2636" spans="1:15">
      <c r="A2636" t="s">
        <v>643</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682</v>
      </c>
      <c r="G2636" t="str">
        <f>'4M'!$D$82</f>
        <v>£m</v>
      </c>
      <c r="O2636" t="str">
        <f>_xlfn.CONCAT('4M'!$B$58, "-", '4M'!$B$82, "-", '4M'!$R$7, "-", '4M'!$O$6, "-", '4M'!$O$5)</f>
        <v>Other enhancement-Security - SEMD-Sewage treatment and disposal-Wastewater network+ -Cumulative expenditure on schemes completed in the report year</v>
      </c>
    </row>
    <row r="2637" spans="1:15">
      <c r="A2637" t="s">
        <v>643</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682</v>
      </c>
      <c r="G2637" t="str">
        <f>'4M'!$D$82</f>
        <v>£m</v>
      </c>
      <c r="O2637" t="str">
        <f>_xlfn.CONCAT('4M'!$B$58, "-", '4M'!$B$82, "-", '4M'!$S$7, "-", '4M'!$O$6, "-", '4M'!$O$5)</f>
        <v>Other enhancement-Security - SEMD-Sludge liquor treatment-Wastewater network+ -Cumulative expenditure on schemes completed in the report year</v>
      </c>
    </row>
    <row r="2638" spans="1:15">
      <c r="A2638" t="s">
        <v>643</v>
      </c>
      <c r="B2638" t="str">
        <f>'4M'!$BV$82</f>
        <v>B0356SST_C_STP</v>
      </c>
      <c r="D2638" t="str">
        <f>_xlfn.CONCAT('4M'!$B$58, "-", '4M'!$B$82, "-", '4M'!$T$7, "-", '4M'!$T$6, "-", '4M'!$O$5)</f>
        <v>Other enhancement-Security - SEMD-Sludge transport-Bioresources-Cumulative expenditure on schemes completed in the report year</v>
      </c>
      <c r="E2638" t="str">
        <f>'4M'!$C$82</f>
        <v>Totex</v>
      </c>
      <c r="F2638" t="s">
        <v>682</v>
      </c>
      <c r="G2638" t="str">
        <f>'4M'!$D$82</f>
        <v>£m</v>
      </c>
      <c r="O2638" t="str">
        <f>_xlfn.CONCAT('4M'!$B$58, "-", '4M'!$B$82, "-", '4M'!$T$7, "-", '4M'!$T$6, "-", '4M'!$O$5)</f>
        <v>Other enhancement-Security - SEMD-Sludge transport-Bioresources-Cumulative expenditure on schemes completed in the report year</v>
      </c>
    </row>
    <row r="2639" spans="1:15">
      <c r="A2639" t="s">
        <v>643</v>
      </c>
      <c r="B2639" t="str">
        <f>'4M'!$BW$82</f>
        <v>B0356SST_C_SDT</v>
      </c>
      <c r="D2639" t="str">
        <f>_xlfn.CONCAT('4M'!$B$58, "-", '4M'!$B$82, "-", '4M'!$U$7, "-", '4M'!$T$6, "-", '4M'!$O$5)</f>
        <v>Other enhancement-Security - SEMD-Sludge treatment-Bioresources-Cumulative expenditure on schemes completed in the report year</v>
      </c>
      <c r="E2639" t="str">
        <f>'4M'!$C$82</f>
        <v>Totex</v>
      </c>
      <c r="F2639" t="s">
        <v>682</v>
      </c>
      <c r="G2639" t="str">
        <f>'4M'!$D$82</f>
        <v>£m</v>
      </c>
      <c r="O2639" t="str">
        <f>_xlfn.CONCAT('4M'!$B$58, "-", '4M'!$B$82, "-", '4M'!$U$7, "-", '4M'!$T$6, "-", '4M'!$O$5)</f>
        <v>Other enhancement-Security - SEMD-Sludge treatment-Bioresources-Cumulative expenditure on schemes completed in the report year</v>
      </c>
    </row>
    <row r="2640" spans="1:15">
      <c r="A2640" t="s">
        <v>643</v>
      </c>
      <c r="B2640" t="str">
        <f>'4M'!$BX$82</f>
        <v>B0356SST_C_SD</v>
      </c>
      <c r="D2640" t="str">
        <f>_xlfn.CONCAT('4M'!$B$58, "-", '4M'!$B$82, "-", '4M'!$V$7, "-", '4M'!$T$6, "-", '4M'!$O$5)</f>
        <v>Other enhancement-Security - SEMD-Sludge disposal-Bioresources-Cumulative expenditure on schemes completed in the report year</v>
      </c>
      <c r="E2640" t="str">
        <f>'4M'!$C$82</f>
        <v>Totex</v>
      </c>
      <c r="F2640" t="s">
        <v>682</v>
      </c>
      <c r="G2640" t="str">
        <f>'4M'!$D$82</f>
        <v>£m</v>
      </c>
      <c r="O2640" t="str">
        <f>_xlfn.CONCAT('4M'!$B$58, "-", '4M'!$B$82, "-", '4M'!$V$7, "-", '4M'!$T$6, "-", '4M'!$O$5)</f>
        <v>Other enhancement-Security - SEMD-Sludge disposal-Bioresources-Cumulative expenditure on schemes completed in the report year</v>
      </c>
    </row>
    <row r="2641" spans="1:15">
      <c r="A2641" t="s">
        <v>643</v>
      </c>
      <c r="B2641" t="str">
        <f>'4M'!$BY$82</f>
        <v>B0356SST_C_TOT</v>
      </c>
      <c r="D2641" t="str">
        <f>_xlfn.CONCAT('4M'!$B$58, "-", '4M'!$B$82, "-", '4M'!$W$6, "-", '4M'!$W$6, "-", '4M'!$O$5)</f>
        <v>Other enhancement-Security - SEMD-Total-Total-Cumulative expenditure on schemes completed in the report year</v>
      </c>
      <c r="E2641" t="str">
        <f>'4M'!$C$82</f>
        <v>Totex</v>
      </c>
      <c r="F2641" t="s">
        <v>682</v>
      </c>
      <c r="G2641" t="str">
        <f>'4M'!$D$82</f>
        <v>£m</v>
      </c>
      <c r="O2641" t="str">
        <f>_xlfn.CONCAT('4M'!$B$58, "-", '4M'!$B$82, "-", '4M'!$W$6, "-", '4M'!$W$6, "-", '4M'!$O$5)</f>
        <v>Other enhancement-Security - SEMD-Total-Total-Cumulative expenditure on schemes completed in the report year</v>
      </c>
    </row>
    <row r="2642" spans="1:15">
      <c r="A2642" t="s">
        <v>643</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682</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643</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682</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643</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682</v>
      </c>
      <c r="G2644" t="str">
        <f>'4M'!$D$82</f>
        <v>£m</v>
      </c>
      <c r="O2644" t="str">
        <f>_xlfn.CONCAT('4M'!$B$58, "-", '4M'!$B$82, "-", '4M'!$Z$7, "-", '4M'!$Z$5, "-", '4M'!$Z$5)</f>
        <v>Other enhancement-Security - SEMD-Total-Cumulative allowed expenditure on all schemes 2020-25-Cumulative allowed expenditure on all schemes 2020-25</v>
      </c>
    </row>
    <row r="2645" spans="1:15">
      <c r="A2645" t="s">
        <v>643</v>
      </c>
      <c r="B2645" t="str">
        <f>'4M'!$BH$83</f>
        <v>B0357SNC_F</v>
      </c>
      <c r="D2645" t="str">
        <f>_xlfn.CONCAT('4M'!$B$58, "-", '4M'!$B$83, "-", '4M'!$F$7, "-", '4M'!$F$6, "-", '4M'!$F$5)</f>
        <v>Other enhancement-Security - Non-SEMD-Foul-Wastewater network+ -Expenditure in report year</v>
      </c>
      <c r="E2645" t="str">
        <f>'4M'!$C$83</f>
        <v>Capex</v>
      </c>
      <c r="F2645" t="s">
        <v>682</v>
      </c>
      <c r="G2645" t="str">
        <f>'4M'!$D$83</f>
        <v>£m</v>
      </c>
      <c r="O2645" t="str">
        <f>_xlfn.CONCAT('4M'!$B$58, "-", '4M'!$B$83, "-", '4M'!$F$7, "-", '4M'!$F$6, "-", '4M'!$F$5)</f>
        <v>Other enhancement-Security - Non-SEMD-Foul-Wastewater network+ -Expenditure in report year</v>
      </c>
    </row>
    <row r="2646" spans="1:15">
      <c r="A2646" t="s">
        <v>643</v>
      </c>
      <c r="B2646" t="str">
        <f>'4M'!$BI$83</f>
        <v>B0357SNC_SWD</v>
      </c>
      <c r="D2646" t="str">
        <f>_xlfn.CONCAT('4M'!$B$58, "-", '4M'!$B$83, "-", '4M'!$G$7, "-", '4M'!$F$6, "-", '4M'!$F$5)</f>
        <v>Other enhancement-Security - Non-SEMD-Surface water drainage-Wastewater network+ -Expenditure in report year</v>
      </c>
      <c r="E2646" t="str">
        <f>'4M'!$C$83</f>
        <v>Capex</v>
      </c>
      <c r="F2646" t="s">
        <v>682</v>
      </c>
      <c r="G2646" t="str">
        <f>'4M'!$D$83</f>
        <v>£m</v>
      </c>
      <c r="O2646" t="str">
        <f>_xlfn.CONCAT('4M'!$B$58, "-", '4M'!$B$83, "-", '4M'!$G$7, "-", '4M'!$F$6, "-", '4M'!$F$5)</f>
        <v>Other enhancement-Security - Non-SEMD-Surface water drainage-Wastewater network+ -Expenditure in report year</v>
      </c>
    </row>
    <row r="2647" spans="1:15">
      <c r="A2647" t="s">
        <v>643</v>
      </c>
      <c r="B2647" t="str">
        <f>'4M'!$BJ$83</f>
        <v>B0357SNC_HD</v>
      </c>
      <c r="D2647" t="str">
        <f>_xlfn.CONCAT('4M'!$B$58, "-", '4M'!$B$83, "-", '4M'!$H$7, "-", '4M'!$F$6, "-", '4M'!$F$5)</f>
        <v>Other enhancement-Security - Non-SEMD-Highway drainage-Wastewater network+ -Expenditure in report year</v>
      </c>
      <c r="E2647" t="str">
        <f>'4M'!$C$83</f>
        <v>Capex</v>
      </c>
      <c r="F2647" t="s">
        <v>682</v>
      </c>
      <c r="G2647" t="str">
        <f>'4M'!$D$83</f>
        <v>£m</v>
      </c>
      <c r="O2647" t="str">
        <f>_xlfn.CONCAT('4M'!$B$58, "-", '4M'!$B$83, "-", '4M'!$H$7, "-", '4M'!$F$6, "-", '4M'!$F$5)</f>
        <v>Other enhancement-Security - Non-SEMD-Highway drainage-Wastewater network+ -Expenditure in report year</v>
      </c>
    </row>
    <row r="2648" spans="1:15">
      <c r="A2648" t="s">
        <v>643</v>
      </c>
      <c r="B2648" t="str">
        <f>'4M'!$BK$83</f>
        <v>B0357SNC_STD</v>
      </c>
      <c r="D2648" t="str">
        <f>_xlfn.CONCAT('4M'!$B$58, "-", '4M'!$B$83, "-", '4M'!$I$7, "-", '4M'!$F$6, "-", '4M'!$F$5)</f>
        <v>Other enhancement-Security - Non-SEMD-Sewage treatment and disposal-Wastewater network+ -Expenditure in report year</v>
      </c>
      <c r="E2648" t="str">
        <f>'4M'!$C$83</f>
        <v>Capex</v>
      </c>
      <c r="F2648" t="s">
        <v>682</v>
      </c>
      <c r="G2648" t="str">
        <f>'4M'!$D$83</f>
        <v>£m</v>
      </c>
      <c r="O2648" t="str">
        <f>_xlfn.CONCAT('4M'!$B$58, "-", '4M'!$B$83, "-", '4M'!$I$7, "-", '4M'!$F$6, "-", '4M'!$F$5)</f>
        <v>Other enhancement-Security - Non-SEMD-Sewage treatment and disposal-Wastewater network+ -Expenditure in report year</v>
      </c>
    </row>
    <row r="2649" spans="1:15">
      <c r="A2649" t="s">
        <v>643</v>
      </c>
      <c r="B2649" t="str">
        <f>'4M'!$BL$83</f>
        <v>B0357SNC_SLT</v>
      </c>
      <c r="D2649" t="str">
        <f>_xlfn.CONCAT('4M'!$B$58, "-", '4M'!$B$83, "-", '4M'!$J$7, "-", '4M'!$F$6, "-", '4M'!$F$5)</f>
        <v>Other enhancement-Security - Non-SEMD-Sludge liquor treatment-Wastewater network+ -Expenditure in report year</v>
      </c>
      <c r="E2649" t="str">
        <f>'4M'!$C$83</f>
        <v>Capex</v>
      </c>
      <c r="F2649" t="s">
        <v>682</v>
      </c>
      <c r="G2649" t="str">
        <f>'4M'!$D$83</f>
        <v>£m</v>
      </c>
      <c r="O2649" t="str">
        <f>_xlfn.CONCAT('4M'!$B$58, "-", '4M'!$B$83, "-", '4M'!$J$7, "-", '4M'!$F$6, "-", '4M'!$F$5)</f>
        <v>Other enhancement-Security - Non-SEMD-Sludge liquor treatment-Wastewater network+ -Expenditure in report year</v>
      </c>
    </row>
    <row r="2650" spans="1:15">
      <c r="A2650" t="s">
        <v>643</v>
      </c>
      <c r="B2650" t="str">
        <f>'4M'!$BM$83</f>
        <v>B0357SNC_STP</v>
      </c>
      <c r="D2650" t="str">
        <f>_xlfn.CONCAT('4M'!$B$58, "-", '4M'!$B$83, "-", '4M'!$K$7, "-", '4M'!$K$6, "-", '4M'!$F$5)</f>
        <v>Other enhancement-Security - Non-SEMD-Sludge transport-Bioresources-Expenditure in report year</v>
      </c>
      <c r="E2650" t="str">
        <f>'4M'!$C$83</f>
        <v>Capex</v>
      </c>
      <c r="F2650" t="s">
        <v>682</v>
      </c>
      <c r="G2650" t="str">
        <f>'4M'!$D$83</f>
        <v>£m</v>
      </c>
      <c r="O2650" t="str">
        <f>_xlfn.CONCAT('4M'!$B$58, "-", '4M'!$B$83, "-", '4M'!$K$7, "-", '4M'!$K$6, "-", '4M'!$F$5)</f>
        <v>Other enhancement-Security - Non-SEMD-Sludge transport-Bioresources-Expenditure in report year</v>
      </c>
    </row>
    <row r="2651" spans="1:15">
      <c r="A2651" t="s">
        <v>643</v>
      </c>
      <c r="B2651" t="str">
        <f>'4M'!$BN$83</f>
        <v>B0357SNC_SDT</v>
      </c>
      <c r="D2651" t="str">
        <f>_xlfn.CONCAT('4M'!$B$58, "-", '4M'!$B$83, "-", '4M'!$L$7, "-", '4M'!$K$6, "-", '4M'!$F$5)</f>
        <v>Other enhancement-Security - Non-SEMD-Sludge treatment-Bioresources-Expenditure in report year</v>
      </c>
      <c r="E2651" t="str">
        <f>'4M'!$C$83</f>
        <v>Capex</v>
      </c>
      <c r="F2651" t="s">
        <v>682</v>
      </c>
      <c r="G2651" t="str">
        <f>'4M'!$D$83</f>
        <v>£m</v>
      </c>
      <c r="O2651" t="str">
        <f>_xlfn.CONCAT('4M'!$B$58, "-", '4M'!$B$83, "-", '4M'!$L$7, "-", '4M'!$K$6, "-", '4M'!$F$5)</f>
        <v>Other enhancement-Security - Non-SEMD-Sludge treatment-Bioresources-Expenditure in report year</v>
      </c>
    </row>
    <row r="2652" spans="1:15">
      <c r="A2652" t="s">
        <v>643</v>
      </c>
      <c r="B2652" t="str">
        <f>'4M'!$BO$83</f>
        <v>B0357SNC_SD</v>
      </c>
      <c r="D2652" t="str">
        <f>_xlfn.CONCAT('4M'!$B$58, "-", '4M'!$B$83, "-", '4M'!$M$7, "-", '4M'!$K$6, "-", '4M'!$F$5)</f>
        <v>Other enhancement-Security - Non-SEMD-Sludge disposal-Bioresources-Expenditure in report year</v>
      </c>
      <c r="E2652" t="str">
        <f>'4M'!$C$83</f>
        <v>Capex</v>
      </c>
      <c r="F2652" t="s">
        <v>682</v>
      </c>
      <c r="G2652" t="str">
        <f>'4M'!$D$83</f>
        <v>£m</v>
      </c>
      <c r="O2652" t="str">
        <f>_xlfn.CONCAT('4M'!$B$58, "-", '4M'!$B$83, "-", '4M'!$M$7, "-", '4M'!$K$6, "-", '4M'!$F$5)</f>
        <v>Other enhancement-Security - Non-SEMD-Sludge disposal-Bioresources-Expenditure in report year</v>
      </c>
    </row>
    <row r="2653" spans="1:15">
      <c r="A2653" t="s">
        <v>643</v>
      </c>
      <c r="B2653" t="str">
        <f>'4M'!$BP$83</f>
        <v>B0357SNC_TOT</v>
      </c>
      <c r="D2653" t="str">
        <f>_xlfn.CONCAT('4M'!$B$58, "-", '4M'!$B$83, "-", '4M'!$N$6, "-", '4M'!$N$6, "-", '4M'!$F$5)</f>
        <v>Other enhancement-Security - Non-SEMD-Total-Total-Expenditure in report year</v>
      </c>
      <c r="E2653" t="str">
        <f>'4M'!$C$83</f>
        <v>Capex</v>
      </c>
      <c r="F2653" t="s">
        <v>682</v>
      </c>
      <c r="G2653" t="str">
        <f>'4M'!$D$83</f>
        <v>£m</v>
      </c>
      <c r="O2653" t="str">
        <f>_xlfn.CONCAT('4M'!$B$58, "-", '4M'!$B$83, "-", '4M'!$N$6, "-", '4M'!$N$6, "-", '4M'!$F$5)</f>
        <v>Other enhancement-Security - Non-SEMD-Total-Total-Expenditure in report year</v>
      </c>
    </row>
    <row r="2654" spans="1:15">
      <c r="A2654" t="s">
        <v>643</v>
      </c>
      <c r="B2654" t="str">
        <f>'4M'!$BQ$83</f>
        <v>B0357SNC_C_F</v>
      </c>
      <c r="D2654" t="str">
        <f>_xlfn.CONCAT('4M'!$B$58, "-", '4M'!$B$83, "-", '4M'!$O$7, "-", '4M'!$O$6, "-", '4M'!$O$5)</f>
        <v>Other enhancement-Security - Non-SEMD-Foul-Wastewater network+ -Cumulative expenditure on schemes completed in the report year</v>
      </c>
      <c r="E2654" t="str">
        <f>'4M'!$C$83</f>
        <v>Capex</v>
      </c>
      <c r="F2654" t="s">
        <v>682</v>
      </c>
      <c r="G2654" t="str">
        <f>'4M'!$D$83</f>
        <v>£m</v>
      </c>
      <c r="O2654" t="str">
        <f>_xlfn.CONCAT('4M'!$B$58, "-", '4M'!$B$83, "-", '4M'!$O$7, "-", '4M'!$O$6, "-", '4M'!$O$5)</f>
        <v>Other enhancement-Security - Non-SEMD-Foul-Wastewater network+ -Cumulative expenditure on schemes completed in the report year</v>
      </c>
    </row>
    <row r="2655" spans="1:15">
      <c r="A2655" t="s">
        <v>643</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682</v>
      </c>
      <c r="G2655" t="str">
        <f>'4M'!$D$83</f>
        <v>£m</v>
      </c>
      <c r="O2655" t="str">
        <f>_xlfn.CONCAT('4M'!$B$58, "-", '4M'!$B$83, "-", '4M'!$P$7, "-", '4M'!$O$6, "-", '4M'!$O$5)</f>
        <v>Other enhancement-Security - Non-SEMD-Surface water drainage-Wastewater network+ -Cumulative expenditure on schemes completed in the report year</v>
      </c>
    </row>
    <row r="2656" spans="1:15">
      <c r="A2656" t="s">
        <v>643</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682</v>
      </c>
      <c r="G2656" t="str">
        <f>'4M'!$D$83</f>
        <v>£m</v>
      </c>
      <c r="O2656" t="str">
        <f>_xlfn.CONCAT('4M'!$B$58, "-", '4M'!$B$83, "-", '4M'!$Q$7, "-", '4M'!$O$6, "-", '4M'!$O$5)</f>
        <v>Other enhancement-Security - Non-SEMD-Highway drainage-Wastewater network+ -Cumulative expenditure on schemes completed in the report year</v>
      </c>
    </row>
    <row r="2657" spans="1:15">
      <c r="A2657" t="s">
        <v>643</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682</v>
      </c>
      <c r="G2657" t="str">
        <f>'4M'!$D$83</f>
        <v>£m</v>
      </c>
      <c r="O2657" t="str">
        <f>_xlfn.CONCAT('4M'!$B$58, "-", '4M'!$B$83, "-", '4M'!$R$7, "-", '4M'!$O$6, "-", '4M'!$O$5)</f>
        <v>Other enhancement-Security - Non-SEMD-Sewage treatment and disposal-Wastewater network+ -Cumulative expenditure on schemes completed in the report year</v>
      </c>
    </row>
    <row r="2658" spans="1:15">
      <c r="A2658" t="s">
        <v>643</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682</v>
      </c>
      <c r="G2658" t="str">
        <f>'4M'!$D$83</f>
        <v>£m</v>
      </c>
      <c r="O2658" t="str">
        <f>_xlfn.CONCAT('4M'!$B$58, "-", '4M'!$B$83, "-", '4M'!$S$7, "-", '4M'!$O$6, "-", '4M'!$O$5)</f>
        <v>Other enhancement-Security - Non-SEMD-Sludge liquor treatment-Wastewater network+ -Cumulative expenditure on schemes completed in the report year</v>
      </c>
    </row>
    <row r="2659" spans="1:15">
      <c r="A2659" t="s">
        <v>643</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682</v>
      </c>
      <c r="G2659" t="str">
        <f>'4M'!$D$83</f>
        <v>£m</v>
      </c>
      <c r="O2659" t="str">
        <f>_xlfn.CONCAT('4M'!$B$58, "-", '4M'!$B$83, "-", '4M'!$T$7, "-", '4M'!$T$6, "-", '4M'!$O$5)</f>
        <v>Other enhancement-Security - Non-SEMD-Sludge transport-Bioresources-Cumulative expenditure on schemes completed in the report year</v>
      </c>
    </row>
    <row r="2660" spans="1:15">
      <c r="A2660" t="s">
        <v>643</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682</v>
      </c>
      <c r="G2660" t="str">
        <f>'4M'!$D$83</f>
        <v>£m</v>
      </c>
      <c r="O2660" t="str">
        <f>_xlfn.CONCAT('4M'!$B$58, "-", '4M'!$B$83, "-", '4M'!$U$7, "-", '4M'!$T$6, "-", '4M'!$O$5)</f>
        <v>Other enhancement-Security - Non-SEMD-Sludge treatment-Bioresources-Cumulative expenditure on schemes completed in the report year</v>
      </c>
    </row>
    <row r="2661" spans="1:15">
      <c r="A2661" t="s">
        <v>643</v>
      </c>
      <c r="B2661" t="str">
        <f>'4M'!$BX$83</f>
        <v>B0357SNC_C_SD</v>
      </c>
      <c r="D2661" t="str">
        <f>_xlfn.CONCAT('4M'!$B$58, "-", '4M'!$B$83, "-", '4M'!$V$7, "-", '4M'!$T$6, "-", '4M'!$O$5)</f>
        <v>Other enhancement-Security - Non-SEMD-Sludge disposal-Bioresources-Cumulative expenditure on schemes completed in the report year</v>
      </c>
      <c r="E2661" t="str">
        <f>'4M'!$C$83</f>
        <v>Capex</v>
      </c>
      <c r="F2661" t="s">
        <v>682</v>
      </c>
      <c r="G2661" t="str">
        <f>'4M'!$D$83</f>
        <v>£m</v>
      </c>
      <c r="O2661" t="str">
        <f>_xlfn.CONCAT('4M'!$B$58, "-", '4M'!$B$83, "-", '4M'!$V$7, "-", '4M'!$T$6, "-", '4M'!$O$5)</f>
        <v>Other enhancement-Security - Non-SEMD-Sludge disposal-Bioresources-Cumulative expenditure on schemes completed in the report year</v>
      </c>
    </row>
    <row r="2662" spans="1:15">
      <c r="A2662" t="s">
        <v>643</v>
      </c>
      <c r="B2662" t="str">
        <f>'4M'!$BY$83</f>
        <v>B0357SNC_C_TOT</v>
      </c>
      <c r="D2662" t="str">
        <f>_xlfn.CONCAT('4M'!$B$58, "-", '4M'!$B$83, "-", '4M'!$W$6, "-", '4M'!$W$6, "-", '4M'!$O$5)</f>
        <v>Other enhancement-Security - Non-SEMD-Total-Total-Cumulative expenditure on schemes completed in the report year</v>
      </c>
      <c r="E2662" t="str">
        <f>'4M'!$C$83</f>
        <v>Capex</v>
      </c>
      <c r="F2662" t="s">
        <v>682</v>
      </c>
      <c r="G2662" t="str">
        <f>'4M'!$D$83</f>
        <v>£m</v>
      </c>
      <c r="O2662" t="str">
        <f>_xlfn.CONCAT('4M'!$B$58, "-", '4M'!$B$83, "-", '4M'!$W$6, "-", '4M'!$W$6, "-", '4M'!$O$5)</f>
        <v>Other enhancement-Security - Non-SEMD-Total-Total-Cumulative expenditure on schemes completed in the report year</v>
      </c>
    </row>
    <row r="2663" spans="1:15">
      <c r="A2663" t="s">
        <v>643</v>
      </c>
      <c r="B2663" t="str">
        <f>'4M'!$BH$84</f>
        <v>B0358SNO_F</v>
      </c>
      <c r="D2663" t="str">
        <f>_xlfn.CONCAT('4M'!$B$58, "-", '4M'!$B$84, "-", '4M'!$F$7, "-", '4M'!$F$6, "-", '4M'!$F$5)</f>
        <v>Other enhancement-Security - Non-SEMD-Foul-Wastewater network+ -Expenditure in report year</v>
      </c>
      <c r="E2663" t="str">
        <f>'4M'!$C$84</f>
        <v>Opex</v>
      </c>
      <c r="F2663" t="s">
        <v>682</v>
      </c>
      <c r="G2663" t="str">
        <f>'4M'!$D$84</f>
        <v>£m</v>
      </c>
      <c r="O2663" t="str">
        <f>_xlfn.CONCAT('4M'!$B$58, "-", '4M'!$B$84, "-", '4M'!$F$7, "-", '4M'!$F$6, "-", '4M'!$F$5)</f>
        <v>Other enhancement-Security - Non-SEMD-Foul-Wastewater network+ -Expenditure in report year</v>
      </c>
    </row>
    <row r="2664" spans="1:15">
      <c r="A2664" t="s">
        <v>643</v>
      </c>
      <c r="B2664" t="str">
        <f>'4M'!$BI$84</f>
        <v>B0358SNO_SWD</v>
      </c>
      <c r="D2664" t="str">
        <f>_xlfn.CONCAT('4M'!$B$58, "-", '4M'!$B$84, "-", '4M'!$G$7, "-", '4M'!$F$6, "-", '4M'!$F$5)</f>
        <v>Other enhancement-Security - Non-SEMD-Surface water drainage-Wastewater network+ -Expenditure in report year</v>
      </c>
      <c r="E2664" t="str">
        <f>'4M'!$C$84</f>
        <v>Opex</v>
      </c>
      <c r="F2664" t="s">
        <v>682</v>
      </c>
      <c r="G2664" t="str">
        <f>'4M'!$D$84</f>
        <v>£m</v>
      </c>
      <c r="O2664" t="str">
        <f>_xlfn.CONCAT('4M'!$B$58, "-", '4M'!$B$84, "-", '4M'!$G$7, "-", '4M'!$F$6, "-", '4M'!$F$5)</f>
        <v>Other enhancement-Security - Non-SEMD-Surface water drainage-Wastewater network+ -Expenditure in report year</v>
      </c>
    </row>
    <row r="2665" spans="1:15">
      <c r="A2665" t="s">
        <v>643</v>
      </c>
      <c r="B2665" t="str">
        <f>'4M'!$BJ$84</f>
        <v>B0358SNO_HD</v>
      </c>
      <c r="D2665" t="str">
        <f>_xlfn.CONCAT('4M'!$B$58, "-", '4M'!$B$84, "-", '4M'!$H$7, "-", '4M'!$F$6, "-", '4M'!$F$5)</f>
        <v>Other enhancement-Security - Non-SEMD-Highway drainage-Wastewater network+ -Expenditure in report year</v>
      </c>
      <c r="E2665" t="str">
        <f>'4M'!$C$84</f>
        <v>Opex</v>
      </c>
      <c r="F2665" t="s">
        <v>682</v>
      </c>
      <c r="G2665" t="str">
        <f>'4M'!$D$84</f>
        <v>£m</v>
      </c>
      <c r="O2665" t="str">
        <f>_xlfn.CONCAT('4M'!$B$58, "-", '4M'!$B$84, "-", '4M'!$H$7, "-", '4M'!$F$6, "-", '4M'!$F$5)</f>
        <v>Other enhancement-Security - Non-SEMD-Highway drainage-Wastewater network+ -Expenditure in report year</v>
      </c>
    </row>
    <row r="2666" spans="1:15">
      <c r="A2666" t="s">
        <v>643</v>
      </c>
      <c r="B2666" t="str">
        <f>'4M'!$BK$84</f>
        <v>B0358SNO_STD</v>
      </c>
      <c r="D2666" t="str">
        <f>_xlfn.CONCAT('4M'!$B$58, "-", '4M'!$B$84, "-", '4M'!$I$7, "-", '4M'!$F$6, "-", '4M'!$F$5)</f>
        <v>Other enhancement-Security - Non-SEMD-Sewage treatment and disposal-Wastewater network+ -Expenditure in report year</v>
      </c>
      <c r="E2666" t="str">
        <f>'4M'!$C$84</f>
        <v>Opex</v>
      </c>
      <c r="F2666" t="s">
        <v>682</v>
      </c>
      <c r="G2666" t="str">
        <f>'4M'!$D$84</f>
        <v>£m</v>
      </c>
      <c r="O2666" t="str">
        <f>_xlfn.CONCAT('4M'!$B$58, "-", '4M'!$B$84, "-", '4M'!$I$7, "-", '4M'!$F$6, "-", '4M'!$F$5)</f>
        <v>Other enhancement-Security - Non-SEMD-Sewage treatment and disposal-Wastewater network+ -Expenditure in report year</v>
      </c>
    </row>
    <row r="2667" spans="1:15">
      <c r="A2667" t="s">
        <v>643</v>
      </c>
      <c r="B2667" t="str">
        <f>'4M'!$BL$84</f>
        <v>B0358SNO_SLT</v>
      </c>
      <c r="D2667" t="str">
        <f>_xlfn.CONCAT('4M'!$B$58, "-", '4M'!$B$84, "-", '4M'!$J$7, "-", '4M'!$F$6, "-", '4M'!$F$5)</f>
        <v>Other enhancement-Security - Non-SEMD-Sludge liquor treatment-Wastewater network+ -Expenditure in report year</v>
      </c>
      <c r="E2667" t="str">
        <f>'4M'!$C$84</f>
        <v>Opex</v>
      </c>
      <c r="F2667" t="s">
        <v>682</v>
      </c>
      <c r="G2667" t="str">
        <f>'4M'!$D$84</f>
        <v>£m</v>
      </c>
      <c r="O2667" t="str">
        <f>_xlfn.CONCAT('4M'!$B$58, "-", '4M'!$B$84, "-", '4M'!$J$7, "-", '4M'!$F$6, "-", '4M'!$F$5)</f>
        <v>Other enhancement-Security - Non-SEMD-Sludge liquor treatment-Wastewater network+ -Expenditure in report year</v>
      </c>
    </row>
    <row r="2668" spans="1:15">
      <c r="A2668" t="s">
        <v>643</v>
      </c>
      <c r="B2668" t="str">
        <f>'4M'!$BM$84</f>
        <v>B0358SNO_STP</v>
      </c>
      <c r="D2668" t="str">
        <f>_xlfn.CONCAT('4M'!$B$58, "-", '4M'!$B$84, "-", '4M'!$K$7, "-", '4M'!$K$6, "-", '4M'!$F$5)</f>
        <v>Other enhancement-Security - Non-SEMD-Sludge transport-Bioresources-Expenditure in report year</v>
      </c>
      <c r="E2668" t="str">
        <f>'4M'!$C$84</f>
        <v>Opex</v>
      </c>
      <c r="F2668" t="s">
        <v>682</v>
      </c>
      <c r="G2668" t="str">
        <f>'4M'!$D$84</f>
        <v>£m</v>
      </c>
      <c r="O2668" t="str">
        <f>_xlfn.CONCAT('4M'!$B$58, "-", '4M'!$B$84, "-", '4M'!$K$7, "-", '4M'!$K$6, "-", '4M'!$F$5)</f>
        <v>Other enhancement-Security - Non-SEMD-Sludge transport-Bioresources-Expenditure in report year</v>
      </c>
    </row>
    <row r="2669" spans="1:15">
      <c r="A2669" t="s">
        <v>643</v>
      </c>
      <c r="B2669" t="str">
        <f>'4M'!$BN$84</f>
        <v>B0358SNO_SDT</v>
      </c>
      <c r="D2669" t="str">
        <f>_xlfn.CONCAT('4M'!$B$58, "-", '4M'!$B$84, "-", '4M'!$L$7, "-", '4M'!$K$6, "-", '4M'!$F$5)</f>
        <v>Other enhancement-Security - Non-SEMD-Sludge treatment-Bioresources-Expenditure in report year</v>
      </c>
      <c r="E2669" t="str">
        <f>'4M'!$C$84</f>
        <v>Opex</v>
      </c>
      <c r="F2669" t="s">
        <v>682</v>
      </c>
      <c r="G2669" t="str">
        <f>'4M'!$D$84</f>
        <v>£m</v>
      </c>
      <c r="O2669" t="str">
        <f>_xlfn.CONCAT('4M'!$B$58, "-", '4M'!$B$84, "-", '4M'!$L$7, "-", '4M'!$K$6, "-", '4M'!$F$5)</f>
        <v>Other enhancement-Security - Non-SEMD-Sludge treatment-Bioresources-Expenditure in report year</v>
      </c>
    </row>
    <row r="2670" spans="1:15">
      <c r="A2670" t="s">
        <v>643</v>
      </c>
      <c r="B2670" t="str">
        <f>'4M'!$BO$84</f>
        <v>B0358SNO_SD</v>
      </c>
      <c r="D2670" t="str">
        <f>_xlfn.CONCAT('4M'!$B$58, "-", '4M'!$B$84, "-", '4M'!$M$7, "-", '4M'!$K$6, "-", '4M'!$F$5)</f>
        <v>Other enhancement-Security - Non-SEMD-Sludge disposal-Bioresources-Expenditure in report year</v>
      </c>
      <c r="E2670" t="str">
        <f>'4M'!$C$84</f>
        <v>Opex</v>
      </c>
      <c r="F2670" t="s">
        <v>682</v>
      </c>
      <c r="G2670" t="str">
        <f>'4M'!$D$84</f>
        <v>£m</v>
      </c>
      <c r="O2670" t="str">
        <f>_xlfn.CONCAT('4M'!$B$58, "-", '4M'!$B$84, "-", '4M'!$M$7, "-", '4M'!$K$6, "-", '4M'!$F$5)</f>
        <v>Other enhancement-Security - Non-SEMD-Sludge disposal-Bioresources-Expenditure in report year</v>
      </c>
    </row>
    <row r="2671" spans="1:15">
      <c r="A2671" t="s">
        <v>643</v>
      </c>
      <c r="B2671" t="str">
        <f>'4M'!$BP$84</f>
        <v>B0358SNO_TOT</v>
      </c>
      <c r="D2671" t="str">
        <f>_xlfn.CONCAT('4M'!$B$58, "-", '4M'!$B$84, "-", '4M'!$N$6, "-", '4M'!$N$6, "-", '4M'!$F$5)</f>
        <v>Other enhancement-Security - Non-SEMD-Total-Total-Expenditure in report year</v>
      </c>
      <c r="E2671" t="str">
        <f>'4M'!$C$84</f>
        <v>Opex</v>
      </c>
      <c r="F2671" t="s">
        <v>682</v>
      </c>
      <c r="G2671" t="str">
        <f>'4M'!$D$84</f>
        <v>£m</v>
      </c>
      <c r="O2671" t="str">
        <f>_xlfn.CONCAT('4M'!$B$58, "-", '4M'!$B$84, "-", '4M'!$N$6, "-", '4M'!$N$6, "-", '4M'!$F$5)</f>
        <v>Other enhancement-Security - Non-SEMD-Total-Total-Expenditure in report year</v>
      </c>
    </row>
    <row r="2672" spans="1:15">
      <c r="A2672" t="s">
        <v>643</v>
      </c>
      <c r="B2672" t="str">
        <f>'4M'!$BQ$84</f>
        <v>B0358SNO_C_F</v>
      </c>
      <c r="D2672" t="str">
        <f>_xlfn.CONCAT('4M'!$B$58, "-", '4M'!$B$84, "-", '4M'!$O$7, "-", '4M'!$O$6, "-", '4M'!$O$5)</f>
        <v>Other enhancement-Security - Non-SEMD-Foul-Wastewater network+ -Cumulative expenditure on schemes completed in the report year</v>
      </c>
      <c r="E2672" t="str">
        <f>'4M'!$C$84</f>
        <v>Opex</v>
      </c>
      <c r="F2672" t="s">
        <v>682</v>
      </c>
      <c r="G2672" t="str">
        <f>'4M'!$D$84</f>
        <v>£m</v>
      </c>
      <c r="O2672" t="str">
        <f>_xlfn.CONCAT('4M'!$B$58, "-", '4M'!$B$84, "-", '4M'!$O$7, "-", '4M'!$O$6, "-", '4M'!$O$5)</f>
        <v>Other enhancement-Security - Non-SEMD-Foul-Wastewater network+ -Cumulative expenditure on schemes completed in the report year</v>
      </c>
    </row>
    <row r="2673" spans="1:15">
      <c r="A2673" t="s">
        <v>643</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682</v>
      </c>
      <c r="G2673" t="str">
        <f>'4M'!$D$84</f>
        <v>£m</v>
      </c>
      <c r="O2673" t="str">
        <f>_xlfn.CONCAT('4M'!$B$58, "-", '4M'!$B$84, "-", '4M'!$P$7, "-", '4M'!$O$6, "-", '4M'!$O$5)</f>
        <v>Other enhancement-Security - Non-SEMD-Surface water drainage-Wastewater network+ -Cumulative expenditure on schemes completed in the report year</v>
      </c>
    </row>
    <row r="2674" spans="1:15">
      <c r="A2674" t="s">
        <v>643</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682</v>
      </c>
      <c r="G2674" t="str">
        <f>'4M'!$D$84</f>
        <v>£m</v>
      </c>
      <c r="O2674" t="str">
        <f>_xlfn.CONCAT('4M'!$B$58, "-", '4M'!$B$84, "-", '4M'!$Q$7, "-", '4M'!$O$6, "-", '4M'!$O$5)</f>
        <v>Other enhancement-Security - Non-SEMD-Highway drainage-Wastewater network+ -Cumulative expenditure on schemes completed in the report year</v>
      </c>
    </row>
    <row r="2675" spans="1:15">
      <c r="A2675" t="s">
        <v>643</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682</v>
      </c>
      <c r="G2675" t="str">
        <f>'4M'!$D$84</f>
        <v>£m</v>
      </c>
      <c r="O2675" t="str">
        <f>_xlfn.CONCAT('4M'!$B$58, "-", '4M'!$B$84, "-", '4M'!$R$7, "-", '4M'!$O$6, "-", '4M'!$O$5)</f>
        <v>Other enhancement-Security - Non-SEMD-Sewage treatment and disposal-Wastewater network+ -Cumulative expenditure on schemes completed in the report year</v>
      </c>
    </row>
    <row r="2676" spans="1:15">
      <c r="A2676" t="s">
        <v>643</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682</v>
      </c>
      <c r="G2676" t="str">
        <f>'4M'!$D$84</f>
        <v>£m</v>
      </c>
      <c r="O2676" t="str">
        <f>_xlfn.CONCAT('4M'!$B$58, "-", '4M'!$B$84, "-", '4M'!$S$7, "-", '4M'!$O$6, "-", '4M'!$O$5)</f>
        <v>Other enhancement-Security - Non-SEMD-Sludge liquor treatment-Wastewater network+ -Cumulative expenditure on schemes completed in the report year</v>
      </c>
    </row>
    <row r="2677" spans="1:15">
      <c r="A2677" t="s">
        <v>643</v>
      </c>
      <c r="B2677" t="str">
        <f>'4M'!$BV$84</f>
        <v>B0358SNO_C_STP</v>
      </c>
      <c r="D2677" t="str">
        <f>_xlfn.CONCAT('4M'!$B$58, "-", '4M'!$B$84, "-", '4M'!$T$7, "-", '4M'!$T$6, "-", '4M'!$O$5)</f>
        <v>Other enhancement-Security - Non-SEMD-Sludge transport-Bioresources-Cumulative expenditure on schemes completed in the report year</v>
      </c>
      <c r="E2677" t="str">
        <f>'4M'!$C$84</f>
        <v>Opex</v>
      </c>
      <c r="F2677" t="s">
        <v>682</v>
      </c>
      <c r="G2677" t="str">
        <f>'4M'!$D$84</f>
        <v>£m</v>
      </c>
      <c r="O2677" t="str">
        <f>_xlfn.CONCAT('4M'!$B$58, "-", '4M'!$B$84, "-", '4M'!$T$7, "-", '4M'!$T$6, "-", '4M'!$O$5)</f>
        <v>Other enhancement-Security - Non-SEMD-Sludge transport-Bioresources-Cumulative expenditure on schemes completed in the report year</v>
      </c>
    </row>
    <row r="2678" spans="1:15">
      <c r="A2678" t="s">
        <v>643</v>
      </c>
      <c r="B2678" t="str">
        <f>'4M'!$BW$84</f>
        <v>B0358SNO_C_SDT</v>
      </c>
      <c r="D2678" t="str">
        <f>_xlfn.CONCAT('4M'!$B$58, "-", '4M'!$B$84, "-", '4M'!$U$7, "-", '4M'!$T$6, "-", '4M'!$O$5)</f>
        <v>Other enhancement-Security - Non-SEMD-Sludge treatment-Bioresources-Cumulative expenditure on schemes completed in the report year</v>
      </c>
      <c r="E2678" t="str">
        <f>'4M'!$C$84</f>
        <v>Opex</v>
      </c>
      <c r="F2678" t="s">
        <v>682</v>
      </c>
      <c r="G2678" t="str">
        <f>'4M'!$D$84</f>
        <v>£m</v>
      </c>
      <c r="O2678" t="str">
        <f>_xlfn.CONCAT('4M'!$B$58, "-", '4M'!$B$84, "-", '4M'!$U$7, "-", '4M'!$T$6, "-", '4M'!$O$5)</f>
        <v>Other enhancement-Security - Non-SEMD-Sludge treatment-Bioresources-Cumulative expenditure on schemes completed in the report year</v>
      </c>
    </row>
    <row r="2679" spans="1:15">
      <c r="A2679" t="s">
        <v>643</v>
      </c>
      <c r="B2679" t="str">
        <f>'4M'!$BX$84</f>
        <v>B0358SNO_C_SD</v>
      </c>
      <c r="D2679" t="str">
        <f>_xlfn.CONCAT('4M'!$B$58, "-", '4M'!$B$84, "-", '4M'!$V$7, "-", '4M'!$T$6, "-", '4M'!$O$5)</f>
        <v>Other enhancement-Security - Non-SEMD-Sludge disposal-Bioresources-Cumulative expenditure on schemes completed in the report year</v>
      </c>
      <c r="E2679" t="str">
        <f>'4M'!$C$84</f>
        <v>Opex</v>
      </c>
      <c r="F2679" t="s">
        <v>682</v>
      </c>
      <c r="G2679" t="str">
        <f>'4M'!$D$84</f>
        <v>£m</v>
      </c>
      <c r="O2679" t="str">
        <f>_xlfn.CONCAT('4M'!$B$58, "-", '4M'!$B$84, "-", '4M'!$V$7, "-", '4M'!$T$6, "-", '4M'!$O$5)</f>
        <v>Other enhancement-Security - Non-SEMD-Sludge disposal-Bioresources-Cumulative expenditure on schemes completed in the report year</v>
      </c>
    </row>
    <row r="2680" spans="1:15">
      <c r="A2680" t="s">
        <v>643</v>
      </c>
      <c r="B2680" t="str">
        <f>'4M'!$BY$84</f>
        <v>B0358SNO_C_TOT</v>
      </c>
      <c r="D2680" t="str">
        <f>_xlfn.CONCAT('4M'!$B$58, "-", '4M'!$B$84, "-", '4M'!$W$6, "-", '4M'!$W$6, "-", '4M'!$O$5)</f>
        <v>Other enhancement-Security - Non-SEMD-Total-Total-Cumulative expenditure on schemes completed in the report year</v>
      </c>
      <c r="E2680" t="str">
        <f>'4M'!$C$84</f>
        <v>Opex</v>
      </c>
      <c r="F2680" t="s">
        <v>682</v>
      </c>
      <c r="G2680" t="str">
        <f>'4M'!$D$84</f>
        <v>£m</v>
      </c>
      <c r="O2680" t="str">
        <f>_xlfn.CONCAT('4M'!$B$58, "-", '4M'!$B$84, "-", '4M'!$W$6, "-", '4M'!$W$6, "-", '4M'!$O$5)</f>
        <v>Other enhancement-Security - Non-SEMD-Total-Total-Cumulative expenditure on schemes completed in the report year</v>
      </c>
    </row>
    <row r="2681" spans="1:15">
      <c r="A2681" t="s">
        <v>643</v>
      </c>
      <c r="B2681" t="str">
        <f>'4M'!$BH$85</f>
        <v>B0359SNT_F</v>
      </c>
      <c r="D2681" t="str">
        <f>_xlfn.CONCAT('4M'!$B$58, "-", '4M'!$B$85, "-", '4M'!$F$7, "-", '4M'!$F$6, "-", '4M'!$F$5)</f>
        <v>Other enhancement-Security - Non-SEMD-Foul-Wastewater network+ -Expenditure in report year</v>
      </c>
      <c r="E2681" t="str">
        <f>'4M'!$C$85</f>
        <v>Totex</v>
      </c>
      <c r="F2681" t="s">
        <v>682</v>
      </c>
      <c r="G2681" t="str">
        <f>'4M'!$D$85</f>
        <v>£m</v>
      </c>
      <c r="O2681" t="str">
        <f>_xlfn.CONCAT('4M'!$B$58, "-", '4M'!$B$85, "-", '4M'!$F$7, "-", '4M'!$F$6, "-", '4M'!$F$5)</f>
        <v>Other enhancement-Security - Non-SEMD-Foul-Wastewater network+ -Expenditure in report year</v>
      </c>
    </row>
    <row r="2682" spans="1:15">
      <c r="A2682" t="s">
        <v>643</v>
      </c>
      <c r="B2682" t="str">
        <f>'4M'!$BI$85</f>
        <v>B0359SNT_SWD</v>
      </c>
      <c r="D2682" t="str">
        <f>_xlfn.CONCAT('4M'!$B$58, "-", '4M'!$B$85, "-", '4M'!$G$7, "-", '4M'!$F$6, "-", '4M'!$F$5)</f>
        <v>Other enhancement-Security - Non-SEMD-Surface water drainage-Wastewater network+ -Expenditure in report year</v>
      </c>
      <c r="E2682" t="str">
        <f>'4M'!$C$85</f>
        <v>Totex</v>
      </c>
      <c r="F2682" t="s">
        <v>682</v>
      </c>
      <c r="G2682" t="str">
        <f>'4M'!$D$85</f>
        <v>£m</v>
      </c>
      <c r="O2682" t="str">
        <f>_xlfn.CONCAT('4M'!$B$58, "-", '4M'!$B$85, "-", '4M'!$G$7, "-", '4M'!$F$6, "-", '4M'!$F$5)</f>
        <v>Other enhancement-Security - Non-SEMD-Surface water drainage-Wastewater network+ -Expenditure in report year</v>
      </c>
    </row>
    <row r="2683" spans="1:15">
      <c r="A2683" t="s">
        <v>643</v>
      </c>
      <c r="B2683" t="str">
        <f>'4M'!$BJ$85</f>
        <v>B0359SNT_HD</v>
      </c>
      <c r="D2683" t="str">
        <f>_xlfn.CONCAT('4M'!$B$58, "-", '4M'!$B$85, "-", '4M'!$H$7, "-", '4M'!$F$6, "-", '4M'!$F$5)</f>
        <v>Other enhancement-Security - Non-SEMD-Highway drainage-Wastewater network+ -Expenditure in report year</v>
      </c>
      <c r="E2683" t="str">
        <f>'4M'!$C$85</f>
        <v>Totex</v>
      </c>
      <c r="F2683" t="s">
        <v>682</v>
      </c>
      <c r="G2683" t="str">
        <f>'4M'!$D$85</f>
        <v>£m</v>
      </c>
      <c r="O2683" t="str">
        <f>_xlfn.CONCAT('4M'!$B$58, "-", '4M'!$B$85, "-", '4M'!$H$7, "-", '4M'!$F$6, "-", '4M'!$F$5)</f>
        <v>Other enhancement-Security - Non-SEMD-Highway drainage-Wastewater network+ -Expenditure in report year</v>
      </c>
    </row>
    <row r="2684" spans="1:15">
      <c r="A2684" t="s">
        <v>643</v>
      </c>
      <c r="B2684" t="str">
        <f>'4M'!$BK$85</f>
        <v>B0359SNT_STD</v>
      </c>
      <c r="D2684" t="str">
        <f>_xlfn.CONCAT('4M'!$B$58, "-", '4M'!$B$85, "-", '4M'!$I$7, "-", '4M'!$F$6, "-", '4M'!$F$5)</f>
        <v>Other enhancement-Security - Non-SEMD-Sewage treatment and disposal-Wastewater network+ -Expenditure in report year</v>
      </c>
      <c r="E2684" t="str">
        <f>'4M'!$C$85</f>
        <v>Totex</v>
      </c>
      <c r="F2684" t="s">
        <v>682</v>
      </c>
      <c r="G2684" t="str">
        <f>'4M'!$D$85</f>
        <v>£m</v>
      </c>
      <c r="O2684" t="str">
        <f>_xlfn.CONCAT('4M'!$B$58, "-", '4M'!$B$85, "-", '4M'!$I$7, "-", '4M'!$F$6, "-", '4M'!$F$5)</f>
        <v>Other enhancement-Security - Non-SEMD-Sewage treatment and disposal-Wastewater network+ -Expenditure in report year</v>
      </c>
    </row>
    <row r="2685" spans="1:15">
      <c r="A2685" t="s">
        <v>643</v>
      </c>
      <c r="B2685" t="str">
        <f>'4M'!$BL$85</f>
        <v>B0359SNT_SLT</v>
      </c>
      <c r="D2685" t="str">
        <f>_xlfn.CONCAT('4M'!$B$58, "-", '4M'!$B$85, "-", '4M'!$J$7, "-", '4M'!$F$6, "-", '4M'!$F$5)</f>
        <v>Other enhancement-Security - Non-SEMD-Sludge liquor treatment-Wastewater network+ -Expenditure in report year</v>
      </c>
      <c r="E2685" t="str">
        <f>'4M'!$C$85</f>
        <v>Totex</v>
      </c>
      <c r="F2685" t="s">
        <v>682</v>
      </c>
      <c r="G2685" t="str">
        <f>'4M'!$D$85</f>
        <v>£m</v>
      </c>
      <c r="O2685" t="str">
        <f>_xlfn.CONCAT('4M'!$B$58, "-", '4M'!$B$85, "-", '4M'!$J$7, "-", '4M'!$F$6, "-", '4M'!$F$5)</f>
        <v>Other enhancement-Security - Non-SEMD-Sludge liquor treatment-Wastewater network+ -Expenditure in report year</v>
      </c>
    </row>
    <row r="2686" spans="1:15">
      <c r="A2686" t="s">
        <v>643</v>
      </c>
      <c r="B2686" t="str">
        <f>'4M'!$BM$85</f>
        <v>B0359SNT_STP</v>
      </c>
      <c r="D2686" t="str">
        <f>_xlfn.CONCAT('4M'!$B$58, "-", '4M'!$B$85, "-", '4M'!$K$7, "-", '4M'!$K$6, "-", '4M'!$F$5)</f>
        <v>Other enhancement-Security - Non-SEMD-Sludge transport-Bioresources-Expenditure in report year</v>
      </c>
      <c r="E2686" t="str">
        <f>'4M'!$C$85</f>
        <v>Totex</v>
      </c>
      <c r="F2686" t="s">
        <v>682</v>
      </c>
      <c r="G2686" t="str">
        <f>'4M'!$D$85</f>
        <v>£m</v>
      </c>
      <c r="O2686" t="str">
        <f>_xlfn.CONCAT('4M'!$B$58, "-", '4M'!$B$85, "-", '4M'!$K$7, "-", '4M'!$K$6, "-", '4M'!$F$5)</f>
        <v>Other enhancement-Security - Non-SEMD-Sludge transport-Bioresources-Expenditure in report year</v>
      </c>
    </row>
    <row r="2687" spans="1:15">
      <c r="A2687" t="s">
        <v>643</v>
      </c>
      <c r="B2687" t="str">
        <f>'4M'!$BN$85</f>
        <v>B0359SNT_SDT</v>
      </c>
      <c r="D2687" t="str">
        <f>_xlfn.CONCAT('4M'!$B$58, "-", '4M'!$B$85, "-", '4M'!$L$7, "-", '4M'!$K$6, "-", '4M'!$F$5)</f>
        <v>Other enhancement-Security - Non-SEMD-Sludge treatment-Bioresources-Expenditure in report year</v>
      </c>
      <c r="E2687" t="str">
        <f>'4M'!$C$85</f>
        <v>Totex</v>
      </c>
      <c r="F2687" t="s">
        <v>682</v>
      </c>
      <c r="G2687" t="str">
        <f>'4M'!$D$85</f>
        <v>£m</v>
      </c>
      <c r="O2687" t="str">
        <f>_xlfn.CONCAT('4M'!$B$58, "-", '4M'!$B$85, "-", '4M'!$L$7, "-", '4M'!$K$6, "-", '4M'!$F$5)</f>
        <v>Other enhancement-Security - Non-SEMD-Sludge treatment-Bioresources-Expenditure in report year</v>
      </c>
    </row>
    <row r="2688" spans="1:15">
      <c r="A2688" t="s">
        <v>643</v>
      </c>
      <c r="B2688" t="str">
        <f>'4M'!$BO$85</f>
        <v>B0359SNT_SD</v>
      </c>
      <c r="D2688" t="str">
        <f>_xlfn.CONCAT('4M'!$B$58, "-", '4M'!$B$85, "-", '4M'!$M$7, "-", '4M'!$K$6, "-", '4M'!$F$5)</f>
        <v>Other enhancement-Security - Non-SEMD-Sludge disposal-Bioresources-Expenditure in report year</v>
      </c>
      <c r="E2688" t="str">
        <f>'4M'!$C$85</f>
        <v>Totex</v>
      </c>
      <c r="F2688" t="s">
        <v>682</v>
      </c>
      <c r="G2688" t="str">
        <f>'4M'!$D$85</f>
        <v>£m</v>
      </c>
      <c r="O2688" t="str">
        <f>_xlfn.CONCAT('4M'!$B$58, "-", '4M'!$B$85, "-", '4M'!$M$7, "-", '4M'!$K$6, "-", '4M'!$F$5)</f>
        <v>Other enhancement-Security - Non-SEMD-Sludge disposal-Bioresources-Expenditure in report year</v>
      </c>
    </row>
    <row r="2689" spans="1:15">
      <c r="A2689" t="s">
        <v>643</v>
      </c>
      <c r="B2689" t="str">
        <f>'4M'!$BP$85</f>
        <v>B0359SNT_TOT</v>
      </c>
      <c r="D2689" t="str">
        <f>_xlfn.CONCAT('4M'!$B$58, "-", '4M'!$B$85, "-", '4M'!$N$6, "-", '4M'!$N$6, "-", '4M'!$F$5)</f>
        <v>Other enhancement-Security - Non-SEMD-Total-Total-Expenditure in report year</v>
      </c>
      <c r="E2689" t="str">
        <f>'4M'!$C$85</f>
        <v>Totex</v>
      </c>
      <c r="F2689" t="s">
        <v>682</v>
      </c>
      <c r="G2689" t="str">
        <f>'4M'!$D$85</f>
        <v>£m</v>
      </c>
      <c r="O2689" t="str">
        <f>_xlfn.CONCAT('4M'!$B$58, "-", '4M'!$B$85, "-", '4M'!$N$6, "-", '4M'!$N$6, "-", '4M'!$F$5)</f>
        <v>Other enhancement-Security - Non-SEMD-Total-Total-Expenditure in report year</v>
      </c>
    </row>
    <row r="2690" spans="1:15">
      <c r="A2690" t="s">
        <v>643</v>
      </c>
      <c r="B2690" t="str">
        <f>'4M'!$BQ$85</f>
        <v>B0359SNT_C_F</v>
      </c>
      <c r="D2690" t="str">
        <f>_xlfn.CONCAT('4M'!$B$58, "-", '4M'!$B$85, "-", '4M'!$O$7, "-", '4M'!$O$6, "-", '4M'!$O$5)</f>
        <v>Other enhancement-Security - Non-SEMD-Foul-Wastewater network+ -Cumulative expenditure on schemes completed in the report year</v>
      </c>
      <c r="E2690" t="str">
        <f>'4M'!$C$85</f>
        <v>Totex</v>
      </c>
      <c r="F2690" t="s">
        <v>682</v>
      </c>
      <c r="G2690" t="str">
        <f>'4M'!$D$85</f>
        <v>£m</v>
      </c>
      <c r="O2690" t="str">
        <f>_xlfn.CONCAT('4M'!$B$58, "-", '4M'!$B$85, "-", '4M'!$O$7, "-", '4M'!$O$6, "-", '4M'!$O$5)</f>
        <v>Other enhancement-Security - Non-SEMD-Foul-Wastewater network+ -Cumulative expenditure on schemes completed in the report year</v>
      </c>
    </row>
    <row r="2691" spans="1:15">
      <c r="A2691" t="s">
        <v>643</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682</v>
      </c>
      <c r="G2691" t="str">
        <f>'4M'!$D$85</f>
        <v>£m</v>
      </c>
      <c r="O2691" t="str">
        <f>_xlfn.CONCAT('4M'!$B$58, "-", '4M'!$B$85, "-", '4M'!$P$7, "-", '4M'!$O$6, "-", '4M'!$O$5)</f>
        <v>Other enhancement-Security - Non-SEMD-Surface water drainage-Wastewater network+ -Cumulative expenditure on schemes completed in the report year</v>
      </c>
    </row>
    <row r="2692" spans="1:15">
      <c r="A2692" t="s">
        <v>643</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682</v>
      </c>
      <c r="G2692" t="str">
        <f>'4M'!$D$85</f>
        <v>£m</v>
      </c>
      <c r="O2692" t="str">
        <f>_xlfn.CONCAT('4M'!$B$58, "-", '4M'!$B$85, "-", '4M'!$Q$7, "-", '4M'!$O$6, "-", '4M'!$O$5)</f>
        <v>Other enhancement-Security - Non-SEMD-Highway drainage-Wastewater network+ -Cumulative expenditure on schemes completed in the report year</v>
      </c>
    </row>
    <row r="2693" spans="1:15">
      <c r="A2693" t="s">
        <v>643</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682</v>
      </c>
      <c r="G2693" t="str">
        <f>'4M'!$D$85</f>
        <v>£m</v>
      </c>
      <c r="O2693" t="str">
        <f>_xlfn.CONCAT('4M'!$B$58, "-", '4M'!$B$85, "-", '4M'!$R$7, "-", '4M'!$O$6, "-", '4M'!$O$5)</f>
        <v>Other enhancement-Security - Non-SEMD-Sewage treatment and disposal-Wastewater network+ -Cumulative expenditure on schemes completed in the report year</v>
      </c>
    </row>
    <row r="2694" spans="1:15">
      <c r="A2694" t="s">
        <v>643</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682</v>
      </c>
      <c r="G2694" t="str">
        <f>'4M'!$D$85</f>
        <v>£m</v>
      </c>
      <c r="O2694" t="str">
        <f>_xlfn.CONCAT('4M'!$B$58, "-", '4M'!$B$85, "-", '4M'!$S$7, "-", '4M'!$O$6, "-", '4M'!$O$5)</f>
        <v>Other enhancement-Security - Non-SEMD-Sludge liquor treatment-Wastewater network+ -Cumulative expenditure on schemes completed in the report year</v>
      </c>
    </row>
    <row r="2695" spans="1:15">
      <c r="A2695" t="s">
        <v>643</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682</v>
      </c>
      <c r="G2695" t="str">
        <f>'4M'!$D$85</f>
        <v>£m</v>
      </c>
      <c r="O2695" t="str">
        <f>_xlfn.CONCAT('4M'!$B$58, "-", '4M'!$B$85, "-", '4M'!$T$7, "-", '4M'!$T$6, "-", '4M'!$O$5)</f>
        <v>Other enhancement-Security - Non-SEMD-Sludge transport-Bioresources-Cumulative expenditure on schemes completed in the report year</v>
      </c>
    </row>
    <row r="2696" spans="1:15">
      <c r="A2696" t="s">
        <v>643</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682</v>
      </c>
      <c r="G2696" t="str">
        <f>'4M'!$D$85</f>
        <v>£m</v>
      </c>
      <c r="O2696" t="str">
        <f>_xlfn.CONCAT('4M'!$B$58, "-", '4M'!$B$85, "-", '4M'!$U$7, "-", '4M'!$T$6, "-", '4M'!$O$5)</f>
        <v>Other enhancement-Security - Non-SEMD-Sludge treatment-Bioresources-Cumulative expenditure on schemes completed in the report year</v>
      </c>
    </row>
    <row r="2697" spans="1:15">
      <c r="A2697" t="s">
        <v>643</v>
      </c>
      <c r="B2697" t="str">
        <f>'4M'!$BX$85</f>
        <v>B0359SNT_C_SD</v>
      </c>
      <c r="D2697" t="str">
        <f>_xlfn.CONCAT('4M'!$B$58, "-", '4M'!$B$85, "-", '4M'!$V$7, "-", '4M'!$T$6, "-", '4M'!$O$5)</f>
        <v>Other enhancement-Security - Non-SEMD-Sludge disposal-Bioresources-Cumulative expenditure on schemes completed in the report year</v>
      </c>
      <c r="E2697" t="str">
        <f>'4M'!$C$85</f>
        <v>Totex</v>
      </c>
      <c r="F2697" t="s">
        <v>682</v>
      </c>
      <c r="G2697" t="str">
        <f>'4M'!$D$85</f>
        <v>£m</v>
      </c>
      <c r="O2697" t="str">
        <f>_xlfn.CONCAT('4M'!$B$58, "-", '4M'!$B$85, "-", '4M'!$V$7, "-", '4M'!$T$6, "-", '4M'!$O$5)</f>
        <v>Other enhancement-Security - Non-SEMD-Sludge disposal-Bioresources-Cumulative expenditure on schemes completed in the report year</v>
      </c>
    </row>
    <row r="2698" spans="1:15">
      <c r="A2698" t="s">
        <v>643</v>
      </c>
      <c r="B2698" t="str">
        <f>'4M'!$BY$85</f>
        <v>B0359SNT_C_TOT</v>
      </c>
      <c r="D2698" t="str">
        <f>_xlfn.CONCAT('4M'!$B$58, "-", '4M'!$B$85, "-", '4M'!$W$6, "-", '4M'!$W$6, "-", '4M'!$O$5)</f>
        <v>Other enhancement-Security - Non-SEMD-Total-Total-Cumulative expenditure on schemes completed in the report year</v>
      </c>
      <c r="E2698" t="str">
        <f>'4M'!$C$85</f>
        <v>Totex</v>
      </c>
      <c r="F2698" t="s">
        <v>682</v>
      </c>
      <c r="G2698" t="str">
        <f>'4M'!$D$85</f>
        <v>£m</v>
      </c>
      <c r="O2698" t="str">
        <f>_xlfn.CONCAT('4M'!$B$58, "-", '4M'!$B$85, "-", '4M'!$W$6, "-", '4M'!$W$6, "-", '4M'!$O$5)</f>
        <v>Other enhancement-Security - Non-SEMD-Total-Total-Cumulative expenditure on schemes completed in the report year</v>
      </c>
    </row>
    <row r="2699" spans="1:15">
      <c r="A2699" t="s">
        <v>643</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682</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643</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682</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643</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682</v>
      </c>
      <c r="G2701" t="str">
        <f>'4M'!$D$85</f>
        <v>£m</v>
      </c>
      <c r="O2701" t="str">
        <f>_xlfn.CONCAT('4M'!$B$58, "-", '4M'!$B$85, "-", '4M'!$Z$7, "-", '4M'!$Z$5, "-", '4M'!$Z$5)</f>
        <v>Other enhancement-Security - Non-SEMD-Total-Cumulative allowed expenditure on all schemes 2020-25-Cumulative allowed expenditure on all schemes 2020-25</v>
      </c>
    </row>
    <row r="2702" spans="1:15">
      <c r="A2702" t="s">
        <v>643</v>
      </c>
      <c r="B2702" t="str">
        <f>'4M'!$BH$86</f>
        <v>B0360ADC_F</v>
      </c>
      <c r="D2702" t="str">
        <f>_xlfn.CONCAT('4M'!$B$58, "-", '4M'!$B$86, "-", '4M'!$F$7, "-", '4M'!$F$6, "-", '4M'!$F$5)</f>
        <v>Other enhancement-Additional line 1-Foul-Wastewater network+ -Expenditure in report year</v>
      </c>
      <c r="E2702" t="str">
        <f>'4M'!$C$86</f>
        <v>Capex</v>
      </c>
      <c r="F2702" t="s">
        <v>682</v>
      </c>
      <c r="G2702" t="str">
        <f>'4M'!$D$86</f>
        <v>£m</v>
      </c>
      <c r="O2702" t="str">
        <f>_xlfn.CONCAT('4M'!$B$58, "-", '4M'!$B$86, "-", '4M'!$F$7, "-", '4M'!$F$6, "-", '4M'!$F$5)</f>
        <v>Other enhancement-Additional line 1-Foul-Wastewater network+ -Expenditure in report year</v>
      </c>
    </row>
    <row r="2703" spans="1:15">
      <c r="A2703" t="s">
        <v>643</v>
      </c>
      <c r="B2703" t="str">
        <f>'4M'!$BI$86</f>
        <v>B0360ADC_SWD</v>
      </c>
      <c r="D2703" t="str">
        <f>_xlfn.CONCAT('4M'!$B$58, "-", '4M'!$B$86, "-", '4M'!$G$7, "-", '4M'!$F$6, "-", '4M'!$F$5)</f>
        <v>Other enhancement-Additional line 1-Surface water drainage-Wastewater network+ -Expenditure in report year</v>
      </c>
      <c r="E2703" t="str">
        <f>'4M'!$C$86</f>
        <v>Capex</v>
      </c>
      <c r="F2703" t="s">
        <v>682</v>
      </c>
      <c r="G2703" t="str">
        <f>'4M'!$D$86</f>
        <v>£m</v>
      </c>
      <c r="O2703" t="str">
        <f>_xlfn.CONCAT('4M'!$B$58, "-", '4M'!$B$86, "-", '4M'!$G$7, "-", '4M'!$F$6, "-", '4M'!$F$5)</f>
        <v>Other enhancement-Additional line 1-Surface water drainage-Wastewater network+ -Expenditure in report year</v>
      </c>
    </row>
    <row r="2704" spans="1:15">
      <c r="A2704" t="s">
        <v>643</v>
      </c>
      <c r="B2704" t="str">
        <f>'4M'!$BJ$86</f>
        <v>B0360ADC_HD</v>
      </c>
      <c r="D2704" t="str">
        <f>_xlfn.CONCAT('4M'!$B$58, "-", '4M'!$B$86, "-", '4M'!$H$7, "-", '4M'!$F$6, "-", '4M'!$F$5)</f>
        <v>Other enhancement-Additional line 1-Highway drainage-Wastewater network+ -Expenditure in report year</v>
      </c>
      <c r="E2704" t="str">
        <f>'4M'!$C$86</f>
        <v>Capex</v>
      </c>
      <c r="F2704" t="s">
        <v>682</v>
      </c>
      <c r="G2704" t="str">
        <f>'4M'!$D$86</f>
        <v>£m</v>
      </c>
      <c r="O2704" t="str">
        <f>_xlfn.CONCAT('4M'!$B$58, "-", '4M'!$B$86, "-", '4M'!$H$7, "-", '4M'!$F$6, "-", '4M'!$F$5)</f>
        <v>Other enhancement-Additional line 1-Highway drainage-Wastewater network+ -Expenditure in report year</v>
      </c>
    </row>
    <row r="2705" spans="1:15">
      <c r="A2705" t="s">
        <v>643</v>
      </c>
      <c r="B2705" t="str">
        <f>'4M'!$BK$86</f>
        <v>B0360ADC_STD</v>
      </c>
      <c r="D2705" t="str">
        <f>_xlfn.CONCAT('4M'!$B$58, "-", '4M'!$B$86, "-", '4M'!$I$7, "-", '4M'!$F$6, "-", '4M'!$F$5)</f>
        <v>Other enhancement-Additional line 1-Sewage treatment and disposal-Wastewater network+ -Expenditure in report year</v>
      </c>
      <c r="E2705" t="str">
        <f>'4M'!$C$86</f>
        <v>Capex</v>
      </c>
      <c r="F2705" t="s">
        <v>682</v>
      </c>
      <c r="G2705" t="str">
        <f>'4M'!$D$86</f>
        <v>£m</v>
      </c>
      <c r="O2705" t="str">
        <f>_xlfn.CONCAT('4M'!$B$58, "-", '4M'!$B$86, "-", '4M'!$I$7, "-", '4M'!$F$6, "-", '4M'!$F$5)</f>
        <v>Other enhancement-Additional line 1-Sewage treatment and disposal-Wastewater network+ -Expenditure in report year</v>
      </c>
    </row>
    <row r="2706" spans="1:15">
      <c r="A2706" t="s">
        <v>643</v>
      </c>
      <c r="B2706" t="str">
        <f>'4M'!$BL$86</f>
        <v>B0360ADC_SLT</v>
      </c>
      <c r="D2706" t="str">
        <f>_xlfn.CONCAT('4M'!$B$58, "-", '4M'!$B$86, "-", '4M'!$J$7, "-", '4M'!$F$6, "-", '4M'!$F$5)</f>
        <v>Other enhancement-Additional line 1-Sludge liquor treatment-Wastewater network+ -Expenditure in report year</v>
      </c>
      <c r="E2706" t="str">
        <f>'4M'!$C$86</f>
        <v>Capex</v>
      </c>
      <c r="F2706" t="s">
        <v>682</v>
      </c>
      <c r="G2706" t="str">
        <f>'4M'!$D$86</f>
        <v>£m</v>
      </c>
      <c r="O2706" t="str">
        <f>_xlfn.CONCAT('4M'!$B$58, "-", '4M'!$B$86, "-", '4M'!$J$7, "-", '4M'!$F$6, "-", '4M'!$F$5)</f>
        <v>Other enhancement-Additional line 1-Sludge liquor treatment-Wastewater network+ -Expenditure in report year</v>
      </c>
    </row>
    <row r="2707" spans="1:15">
      <c r="A2707" t="s">
        <v>643</v>
      </c>
      <c r="B2707" t="str">
        <f>'4M'!$BM$86</f>
        <v>B0360ADC_STP</v>
      </c>
      <c r="D2707" t="str">
        <f>_xlfn.CONCAT('4M'!$B$58, "-", '4M'!$B$86, "-", '4M'!$K$7, "-", '4M'!$K$6, "-", '4M'!$F$5)</f>
        <v>Other enhancement-Additional line 1-Sludge transport-Bioresources-Expenditure in report year</v>
      </c>
      <c r="E2707" t="str">
        <f>'4M'!$C$86</f>
        <v>Capex</v>
      </c>
      <c r="F2707" t="s">
        <v>682</v>
      </c>
      <c r="G2707" t="str">
        <f>'4M'!$D$86</f>
        <v>£m</v>
      </c>
      <c r="O2707" t="str">
        <f>_xlfn.CONCAT('4M'!$B$58, "-", '4M'!$B$86, "-", '4M'!$K$7, "-", '4M'!$K$6, "-", '4M'!$F$5)</f>
        <v>Other enhancement-Additional line 1-Sludge transport-Bioresources-Expenditure in report year</v>
      </c>
    </row>
    <row r="2708" spans="1:15">
      <c r="A2708" t="s">
        <v>643</v>
      </c>
      <c r="B2708" t="str">
        <f>'4M'!$BN$86</f>
        <v>B0360ADC_SDT</v>
      </c>
      <c r="D2708" t="str">
        <f>_xlfn.CONCAT('4M'!$B$58, "-", '4M'!$B$86, "-", '4M'!$L$7, "-", '4M'!$K$6, "-", '4M'!$F$5)</f>
        <v>Other enhancement-Additional line 1-Sludge treatment-Bioresources-Expenditure in report year</v>
      </c>
      <c r="E2708" t="str">
        <f>'4M'!$C$86</f>
        <v>Capex</v>
      </c>
      <c r="F2708" t="s">
        <v>682</v>
      </c>
      <c r="G2708" t="str">
        <f>'4M'!$D$86</f>
        <v>£m</v>
      </c>
      <c r="O2708" t="str">
        <f>_xlfn.CONCAT('4M'!$B$58, "-", '4M'!$B$86, "-", '4M'!$L$7, "-", '4M'!$K$6, "-", '4M'!$F$5)</f>
        <v>Other enhancement-Additional line 1-Sludge treatment-Bioresources-Expenditure in report year</v>
      </c>
    </row>
    <row r="2709" spans="1:15">
      <c r="A2709" t="s">
        <v>643</v>
      </c>
      <c r="B2709" t="str">
        <f>'4M'!$BO$86</f>
        <v>B0360ADC_SD</v>
      </c>
      <c r="D2709" t="str">
        <f>_xlfn.CONCAT('4M'!$B$58, "-", '4M'!$B$86, "-", '4M'!$M$7, "-", '4M'!$K$6, "-", '4M'!$F$5)</f>
        <v>Other enhancement-Additional line 1-Sludge disposal-Bioresources-Expenditure in report year</v>
      </c>
      <c r="E2709" t="str">
        <f>'4M'!$C$86</f>
        <v>Capex</v>
      </c>
      <c r="F2709" t="s">
        <v>682</v>
      </c>
      <c r="G2709" t="str">
        <f>'4M'!$D$86</f>
        <v>£m</v>
      </c>
      <c r="O2709" t="str">
        <f>_xlfn.CONCAT('4M'!$B$58, "-", '4M'!$B$86, "-", '4M'!$M$7, "-", '4M'!$K$6, "-", '4M'!$F$5)</f>
        <v>Other enhancement-Additional line 1-Sludge disposal-Bioresources-Expenditure in report year</v>
      </c>
    </row>
    <row r="2710" spans="1:15">
      <c r="A2710" t="s">
        <v>643</v>
      </c>
      <c r="B2710" t="str">
        <f>'4M'!$BP$86</f>
        <v>B0360ADC_TOT</v>
      </c>
      <c r="D2710" t="str">
        <f>_xlfn.CONCAT('4M'!$B$58, "-", '4M'!$B$86, "-", '4M'!$N$6, "-", '4M'!$N$6, "-", '4M'!$F$5)</f>
        <v>Other enhancement-Additional line 1-Total-Total-Expenditure in report year</v>
      </c>
      <c r="E2710" t="str">
        <f>'4M'!$C$86</f>
        <v>Capex</v>
      </c>
      <c r="F2710" t="s">
        <v>682</v>
      </c>
      <c r="G2710" t="str">
        <f>'4M'!$D$86</f>
        <v>£m</v>
      </c>
      <c r="O2710" t="str">
        <f>_xlfn.CONCAT('4M'!$B$58, "-", '4M'!$B$86, "-", '4M'!$N$6, "-", '4M'!$N$6, "-", '4M'!$F$5)</f>
        <v>Other enhancement-Additional line 1-Total-Total-Expenditure in report year</v>
      </c>
    </row>
    <row r="2711" spans="1:15">
      <c r="A2711" t="s">
        <v>643</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682</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643</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682</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643</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682</v>
      </c>
      <c r="G2713" t="str">
        <f>'4M'!$D$86</f>
        <v>£m</v>
      </c>
      <c r="O2713" t="str">
        <f>_xlfn.CONCAT('4M'!$B$58, "-", '4M'!$B$86, "-", '4M'!$Z$7, "-", '4M'!$Z$5, "-", '4M'!$Z$5)</f>
        <v>Other enhancement-Additional line 1-Total-Cumulative allowed expenditure on all schemes 2020-25-Cumulative allowed expenditure on all schemes 2020-25</v>
      </c>
    </row>
    <row r="2714" spans="1:15">
      <c r="A2714" t="s">
        <v>643</v>
      </c>
      <c r="B2714" t="str">
        <f>'4M'!$BH$87</f>
        <v>B0361ADO_F</v>
      </c>
      <c r="D2714" t="str">
        <f>_xlfn.CONCAT('4M'!$B$58, "-", '4M'!$B$87, "-", '4M'!$F$7, "-", '4M'!$F$6, "-", '4M'!$F$5)</f>
        <v>Other enhancement-Additional line 1-Foul-Wastewater network+ -Expenditure in report year</v>
      </c>
      <c r="E2714" t="str">
        <f>'4M'!$C$87</f>
        <v>Opex</v>
      </c>
      <c r="F2714" t="s">
        <v>682</v>
      </c>
      <c r="G2714" t="str">
        <f>'4M'!$D$87</f>
        <v>£m</v>
      </c>
      <c r="O2714" t="str">
        <f>_xlfn.CONCAT('4M'!$B$58, "-", '4M'!$B$87, "-", '4M'!$F$7, "-", '4M'!$F$6, "-", '4M'!$F$5)</f>
        <v>Other enhancement-Additional line 1-Foul-Wastewater network+ -Expenditure in report year</v>
      </c>
    </row>
    <row r="2715" spans="1:15">
      <c r="A2715" t="s">
        <v>643</v>
      </c>
      <c r="B2715" t="str">
        <f>'4M'!$BI$87</f>
        <v>B0361ADO_SWD</v>
      </c>
      <c r="D2715" t="str">
        <f>_xlfn.CONCAT('4M'!$B$58, "-", '4M'!$B$87, "-", '4M'!$G$7, "-", '4M'!$F$6, "-", '4M'!$F$5)</f>
        <v>Other enhancement-Additional line 1-Surface water drainage-Wastewater network+ -Expenditure in report year</v>
      </c>
      <c r="E2715" t="str">
        <f>'4M'!$C$87</f>
        <v>Opex</v>
      </c>
      <c r="F2715" t="s">
        <v>682</v>
      </c>
      <c r="G2715" t="str">
        <f>'4M'!$D$87</f>
        <v>£m</v>
      </c>
      <c r="O2715" t="str">
        <f>_xlfn.CONCAT('4M'!$B$58, "-", '4M'!$B$87, "-", '4M'!$G$7, "-", '4M'!$F$6, "-", '4M'!$F$5)</f>
        <v>Other enhancement-Additional line 1-Surface water drainage-Wastewater network+ -Expenditure in report year</v>
      </c>
    </row>
    <row r="2716" spans="1:15">
      <c r="A2716" t="s">
        <v>643</v>
      </c>
      <c r="B2716" t="str">
        <f>'4M'!$BJ$87</f>
        <v>B0361ADO_HD</v>
      </c>
      <c r="D2716" t="str">
        <f>_xlfn.CONCAT('4M'!$B$58, "-", '4M'!$B$87, "-", '4M'!$H$7, "-", '4M'!$F$6, "-", '4M'!$F$5)</f>
        <v>Other enhancement-Additional line 1-Highway drainage-Wastewater network+ -Expenditure in report year</v>
      </c>
      <c r="E2716" t="str">
        <f>'4M'!$C$87</f>
        <v>Opex</v>
      </c>
      <c r="F2716" t="s">
        <v>682</v>
      </c>
      <c r="G2716" t="str">
        <f>'4M'!$D$87</f>
        <v>£m</v>
      </c>
      <c r="O2716" t="str">
        <f>_xlfn.CONCAT('4M'!$B$58, "-", '4M'!$B$87, "-", '4M'!$H$7, "-", '4M'!$F$6, "-", '4M'!$F$5)</f>
        <v>Other enhancement-Additional line 1-Highway drainage-Wastewater network+ -Expenditure in report year</v>
      </c>
    </row>
    <row r="2717" spans="1:15">
      <c r="A2717" t="s">
        <v>643</v>
      </c>
      <c r="B2717" t="str">
        <f>'4M'!$BK$87</f>
        <v>B0361ADO_STD</v>
      </c>
      <c r="D2717" t="str">
        <f>_xlfn.CONCAT('4M'!$B$58, "-", '4M'!$B$87, "-", '4M'!$I$7, "-", '4M'!$F$6, "-", '4M'!$F$5)</f>
        <v>Other enhancement-Additional line 1-Sewage treatment and disposal-Wastewater network+ -Expenditure in report year</v>
      </c>
      <c r="E2717" t="str">
        <f>'4M'!$C$87</f>
        <v>Opex</v>
      </c>
      <c r="F2717" t="s">
        <v>682</v>
      </c>
      <c r="G2717" t="str">
        <f>'4M'!$D$87</f>
        <v>£m</v>
      </c>
      <c r="O2717" t="str">
        <f>_xlfn.CONCAT('4M'!$B$58, "-", '4M'!$B$87, "-", '4M'!$I$7, "-", '4M'!$F$6, "-", '4M'!$F$5)</f>
        <v>Other enhancement-Additional line 1-Sewage treatment and disposal-Wastewater network+ -Expenditure in report year</v>
      </c>
    </row>
    <row r="2718" spans="1:15">
      <c r="A2718" t="s">
        <v>643</v>
      </c>
      <c r="B2718" t="str">
        <f>'4M'!$BL$87</f>
        <v>B0361ADO_SLT</v>
      </c>
      <c r="D2718" t="str">
        <f>_xlfn.CONCAT('4M'!$B$58, "-", '4M'!$B$87, "-", '4M'!$J$7, "-", '4M'!$F$6, "-", '4M'!$F$5)</f>
        <v>Other enhancement-Additional line 1-Sludge liquor treatment-Wastewater network+ -Expenditure in report year</v>
      </c>
      <c r="E2718" t="str">
        <f>'4M'!$C$87</f>
        <v>Opex</v>
      </c>
      <c r="F2718" t="s">
        <v>682</v>
      </c>
      <c r="G2718" t="str">
        <f>'4M'!$D$87</f>
        <v>£m</v>
      </c>
      <c r="O2718" t="str">
        <f>_xlfn.CONCAT('4M'!$B$58, "-", '4M'!$B$87, "-", '4M'!$J$7, "-", '4M'!$F$6, "-", '4M'!$F$5)</f>
        <v>Other enhancement-Additional line 1-Sludge liquor treatment-Wastewater network+ -Expenditure in report year</v>
      </c>
    </row>
    <row r="2719" spans="1:15">
      <c r="A2719" t="s">
        <v>643</v>
      </c>
      <c r="B2719" t="str">
        <f>'4M'!$BM$87</f>
        <v>B0361ADO_STP</v>
      </c>
      <c r="D2719" t="str">
        <f>_xlfn.CONCAT('4M'!$B$58, "-", '4M'!$B$87, "-", '4M'!$K$7, "-", '4M'!$K$6, "-", '4M'!$F$5)</f>
        <v>Other enhancement-Additional line 1-Sludge transport-Bioresources-Expenditure in report year</v>
      </c>
      <c r="E2719" t="str">
        <f>'4M'!$C$87</f>
        <v>Opex</v>
      </c>
      <c r="F2719" t="s">
        <v>682</v>
      </c>
      <c r="G2719" t="str">
        <f>'4M'!$D$87</f>
        <v>£m</v>
      </c>
      <c r="O2719" t="str">
        <f>_xlfn.CONCAT('4M'!$B$58, "-", '4M'!$B$87, "-", '4M'!$K$7, "-", '4M'!$K$6, "-", '4M'!$F$5)</f>
        <v>Other enhancement-Additional line 1-Sludge transport-Bioresources-Expenditure in report year</v>
      </c>
    </row>
    <row r="2720" spans="1:15">
      <c r="A2720" t="s">
        <v>643</v>
      </c>
      <c r="B2720" t="str">
        <f>'4M'!$BN$87</f>
        <v>B0361ADO_SDT</v>
      </c>
      <c r="D2720" t="str">
        <f>_xlfn.CONCAT('4M'!$B$58, "-", '4M'!$B$87, "-", '4M'!$L$7, "-", '4M'!$K$6, "-", '4M'!$F$5)</f>
        <v>Other enhancement-Additional line 1-Sludge treatment-Bioresources-Expenditure in report year</v>
      </c>
      <c r="E2720" t="str">
        <f>'4M'!$C$87</f>
        <v>Opex</v>
      </c>
      <c r="F2720" t="s">
        <v>682</v>
      </c>
      <c r="G2720" t="str">
        <f>'4M'!$D$87</f>
        <v>£m</v>
      </c>
      <c r="O2720" t="str">
        <f>_xlfn.CONCAT('4M'!$B$58, "-", '4M'!$B$87, "-", '4M'!$L$7, "-", '4M'!$K$6, "-", '4M'!$F$5)</f>
        <v>Other enhancement-Additional line 1-Sludge treatment-Bioresources-Expenditure in report year</v>
      </c>
    </row>
    <row r="2721" spans="1:15">
      <c r="A2721" t="s">
        <v>643</v>
      </c>
      <c r="B2721" t="str">
        <f>'4M'!$BO$87</f>
        <v>B0361ADO_SD</v>
      </c>
      <c r="D2721" t="str">
        <f>_xlfn.CONCAT('4M'!$B$58, "-", '4M'!$B$87, "-", '4M'!$M$7, "-", '4M'!$K$6, "-", '4M'!$F$5)</f>
        <v>Other enhancement-Additional line 1-Sludge disposal-Bioresources-Expenditure in report year</v>
      </c>
      <c r="E2721" t="str">
        <f>'4M'!$C$87</f>
        <v>Opex</v>
      </c>
      <c r="F2721" t="s">
        <v>682</v>
      </c>
      <c r="G2721" t="str">
        <f>'4M'!$D$87</f>
        <v>£m</v>
      </c>
      <c r="O2721" t="str">
        <f>_xlfn.CONCAT('4M'!$B$58, "-", '4M'!$B$87, "-", '4M'!$M$7, "-", '4M'!$K$6, "-", '4M'!$F$5)</f>
        <v>Other enhancement-Additional line 1-Sludge disposal-Bioresources-Expenditure in report year</v>
      </c>
    </row>
    <row r="2722" spans="1:15">
      <c r="A2722" t="s">
        <v>643</v>
      </c>
      <c r="B2722" t="str">
        <f>'4M'!$BP$87</f>
        <v>B0361ADO_TOT</v>
      </c>
      <c r="D2722" t="str">
        <f>_xlfn.CONCAT('4M'!$B$58, "-", '4M'!$B$87, "-", '4M'!$N$6, "-", '4M'!$N$6, "-", '4M'!$F$5)</f>
        <v>Other enhancement-Additional line 1-Total-Total-Expenditure in report year</v>
      </c>
      <c r="E2722" t="str">
        <f>'4M'!$C$87</f>
        <v>Opex</v>
      </c>
      <c r="F2722" t="s">
        <v>682</v>
      </c>
      <c r="G2722" t="str">
        <f>'4M'!$D$87</f>
        <v>£m</v>
      </c>
      <c r="O2722" t="str">
        <f>_xlfn.CONCAT('4M'!$B$58, "-", '4M'!$B$87, "-", '4M'!$N$6, "-", '4M'!$N$6, "-", '4M'!$F$5)</f>
        <v>Other enhancement-Additional line 1-Total-Total-Expenditure in report year</v>
      </c>
    </row>
    <row r="2723" spans="1:15">
      <c r="A2723" t="s">
        <v>643</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682</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643</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682</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643</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682</v>
      </c>
      <c r="G2725" t="str">
        <f>'4M'!$D$87</f>
        <v>£m</v>
      </c>
      <c r="O2725" t="str">
        <f>_xlfn.CONCAT('4M'!$B$58, "-", '4M'!$B$87, "-", '4M'!$Z$7, "-", '4M'!$Z$5, "-", '4M'!$Z$5)</f>
        <v>Other enhancement-Additional line 1-Total-Cumulative allowed expenditure on all schemes 2020-25-Cumulative allowed expenditure on all schemes 2020-25</v>
      </c>
    </row>
    <row r="2726" spans="1:15">
      <c r="A2726" t="s">
        <v>643</v>
      </c>
      <c r="B2726" t="str">
        <f>'4M'!$BH$88</f>
        <v>B0362ADC_F</v>
      </c>
      <c r="D2726" t="str">
        <f>_xlfn.CONCAT('4M'!$B$58, "-", '4M'!$B$88, "-", '4M'!$F$7, "-", '4M'!$F$6, "-", '4M'!$F$5)</f>
        <v>Other enhancement-Additional line 2-Foul-Wastewater network+ -Expenditure in report year</v>
      </c>
      <c r="E2726" t="str">
        <f>'4M'!$C$88</f>
        <v>Capex</v>
      </c>
      <c r="F2726" t="s">
        <v>682</v>
      </c>
      <c r="G2726" t="str">
        <f>'4M'!$D$88</f>
        <v>£m</v>
      </c>
      <c r="O2726" t="str">
        <f>_xlfn.CONCAT('4M'!$B$58, "-", '4M'!$B$88, "-", '4M'!$F$7, "-", '4M'!$F$6, "-", '4M'!$F$5)</f>
        <v>Other enhancement-Additional line 2-Foul-Wastewater network+ -Expenditure in report year</v>
      </c>
    </row>
    <row r="2727" spans="1:15">
      <c r="A2727" t="s">
        <v>643</v>
      </c>
      <c r="B2727" t="str">
        <f>'4M'!$BI$88</f>
        <v>B0362ADC_SWD</v>
      </c>
      <c r="D2727" t="str">
        <f>_xlfn.CONCAT('4M'!$B$58, "-", '4M'!$B$88, "-", '4M'!$G$7, "-", '4M'!$F$6, "-", '4M'!$F$5)</f>
        <v>Other enhancement-Additional line 2-Surface water drainage-Wastewater network+ -Expenditure in report year</v>
      </c>
      <c r="E2727" t="str">
        <f>'4M'!$C$88</f>
        <v>Capex</v>
      </c>
      <c r="F2727" t="s">
        <v>682</v>
      </c>
      <c r="G2727" t="str">
        <f>'4M'!$D$88</f>
        <v>£m</v>
      </c>
      <c r="O2727" t="str">
        <f>_xlfn.CONCAT('4M'!$B$58, "-", '4M'!$B$88, "-", '4M'!$G$7, "-", '4M'!$F$6, "-", '4M'!$F$5)</f>
        <v>Other enhancement-Additional line 2-Surface water drainage-Wastewater network+ -Expenditure in report year</v>
      </c>
    </row>
    <row r="2728" spans="1:15">
      <c r="A2728" t="s">
        <v>643</v>
      </c>
      <c r="B2728" t="str">
        <f>'4M'!$BJ$88</f>
        <v>B0362ADC_HD</v>
      </c>
      <c r="D2728" t="str">
        <f>_xlfn.CONCAT('4M'!$B$58, "-", '4M'!$B$88, "-", '4M'!$H$7, "-", '4M'!$F$6, "-", '4M'!$F$5)</f>
        <v>Other enhancement-Additional line 2-Highway drainage-Wastewater network+ -Expenditure in report year</v>
      </c>
      <c r="E2728" t="str">
        <f>'4M'!$C$88</f>
        <v>Capex</v>
      </c>
      <c r="F2728" t="s">
        <v>682</v>
      </c>
      <c r="G2728" t="str">
        <f>'4M'!$D$88</f>
        <v>£m</v>
      </c>
      <c r="O2728" t="str">
        <f>_xlfn.CONCAT('4M'!$B$58, "-", '4M'!$B$88, "-", '4M'!$H$7, "-", '4M'!$F$6, "-", '4M'!$F$5)</f>
        <v>Other enhancement-Additional line 2-Highway drainage-Wastewater network+ -Expenditure in report year</v>
      </c>
    </row>
    <row r="2729" spans="1:15">
      <c r="A2729" t="s">
        <v>643</v>
      </c>
      <c r="B2729" t="str">
        <f>'4M'!$BK$88</f>
        <v>B0362ADC_STD</v>
      </c>
      <c r="D2729" t="str">
        <f>_xlfn.CONCAT('4M'!$B$58, "-", '4M'!$B$88, "-", '4M'!$I$7, "-", '4M'!$F$6, "-", '4M'!$F$5)</f>
        <v>Other enhancement-Additional line 2-Sewage treatment and disposal-Wastewater network+ -Expenditure in report year</v>
      </c>
      <c r="E2729" t="str">
        <f>'4M'!$C$88</f>
        <v>Capex</v>
      </c>
      <c r="F2729" t="s">
        <v>682</v>
      </c>
      <c r="G2729" t="str">
        <f>'4M'!$D$88</f>
        <v>£m</v>
      </c>
      <c r="O2729" t="str">
        <f>_xlfn.CONCAT('4M'!$B$58, "-", '4M'!$B$88, "-", '4M'!$I$7, "-", '4M'!$F$6, "-", '4M'!$F$5)</f>
        <v>Other enhancement-Additional line 2-Sewage treatment and disposal-Wastewater network+ -Expenditure in report year</v>
      </c>
    </row>
    <row r="2730" spans="1:15">
      <c r="A2730" t="s">
        <v>643</v>
      </c>
      <c r="B2730" t="str">
        <f>'4M'!$BL$88</f>
        <v>B0362ADC_SLT</v>
      </c>
      <c r="D2730" t="str">
        <f>_xlfn.CONCAT('4M'!$B$58, "-", '4M'!$B$88, "-", '4M'!$J$7, "-", '4M'!$F$6, "-", '4M'!$F$5)</f>
        <v>Other enhancement-Additional line 2-Sludge liquor treatment-Wastewater network+ -Expenditure in report year</v>
      </c>
      <c r="E2730" t="str">
        <f>'4M'!$C$88</f>
        <v>Capex</v>
      </c>
      <c r="F2730" t="s">
        <v>682</v>
      </c>
      <c r="G2730" t="str">
        <f>'4M'!$D$88</f>
        <v>£m</v>
      </c>
      <c r="O2730" t="str">
        <f>_xlfn.CONCAT('4M'!$B$58, "-", '4M'!$B$88, "-", '4M'!$J$7, "-", '4M'!$F$6, "-", '4M'!$F$5)</f>
        <v>Other enhancement-Additional line 2-Sludge liquor treatment-Wastewater network+ -Expenditure in report year</v>
      </c>
    </row>
    <row r="2731" spans="1:15">
      <c r="A2731" t="s">
        <v>643</v>
      </c>
      <c r="B2731" t="str">
        <f>'4M'!$BM$88</f>
        <v>B0362ADC_STP</v>
      </c>
      <c r="D2731" t="str">
        <f>_xlfn.CONCAT('4M'!$B$58, "-", '4M'!$B$88, "-", '4M'!$K$7, "-", '4M'!$K$6, "-", '4M'!$F$5)</f>
        <v>Other enhancement-Additional line 2-Sludge transport-Bioresources-Expenditure in report year</v>
      </c>
      <c r="E2731" t="str">
        <f>'4M'!$C$88</f>
        <v>Capex</v>
      </c>
      <c r="F2731" t="s">
        <v>682</v>
      </c>
      <c r="G2731" t="str">
        <f>'4M'!$D$88</f>
        <v>£m</v>
      </c>
      <c r="O2731" t="str">
        <f>_xlfn.CONCAT('4M'!$B$58, "-", '4M'!$B$88, "-", '4M'!$K$7, "-", '4M'!$K$6, "-", '4M'!$F$5)</f>
        <v>Other enhancement-Additional line 2-Sludge transport-Bioresources-Expenditure in report year</v>
      </c>
    </row>
    <row r="2732" spans="1:15">
      <c r="A2732" t="s">
        <v>643</v>
      </c>
      <c r="B2732" t="str">
        <f>'4M'!$BN$88</f>
        <v>B0362ADC_SDT</v>
      </c>
      <c r="D2732" t="str">
        <f>_xlfn.CONCAT('4M'!$B$58, "-", '4M'!$B$88, "-", '4M'!$L$7, "-", '4M'!$K$6, "-", '4M'!$F$5)</f>
        <v>Other enhancement-Additional line 2-Sludge treatment-Bioresources-Expenditure in report year</v>
      </c>
      <c r="E2732" t="str">
        <f>'4M'!$C$88</f>
        <v>Capex</v>
      </c>
      <c r="F2732" t="s">
        <v>682</v>
      </c>
      <c r="G2732" t="str">
        <f>'4M'!$D$88</f>
        <v>£m</v>
      </c>
      <c r="O2732" t="str">
        <f>_xlfn.CONCAT('4M'!$B$58, "-", '4M'!$B$88, "-", '4M'!$L$7, "-", '4M'!$K$6, "-", '4M'!$F$5)</f>
        <v>Other enhancement-Additional line 2-Sludge treatment-Bioresources-Expenditure in report year</v>
      </c>
    </row>
    <row r="2733" spans="1:15">
      <c r="A2733" t="s">
        <v>643</v>
      </c>
      <c r="B2733" t="str">
        <f>'4M'!$BO$88</f>
        <v>B0362ADC_SD</v>
      </c>
      <c r="D2733" t="str">
        <f>_xlfn.CONCAT('4M'!$B$58, "-", '4M'!$B$88, "-", '4M'!$M$7, "-", '4M'!$K$6, "-", '4M'!$F$5)</f>
        <v>Other enhancement-Additional line 2-Sludge disposal-Bioresources-Expenditure in report year</v>
      </c>
      <c r="E2733" t="str">
        <f>'4M'!$C$88</f>
        <v>Capex</v>
      </c>
      <c r="F2733" t="s">
        <v>682</v>
      </c>
      <c r="G2733" t="str">
        <f>'4M'!$D$88</f>
        <v>£m</v>
      </c>
      <c r="O2733" t="str">
        <f>_xlfn.CONCAT('4M'!$B$58, "-", '4M'!$B$88, "-", '4M'!$M$7, "-", '4M'!$K$6, "-", '4M'!$F$5)</f>
        <v>Other enhancement-Additional line 2-Sludge disposal-Bioresources-Expenditure in report year</v>
      </c>
    </row>
    <row r="2734" spans="1:15">
      <c r="A2734" t="s">
        <v>643</v>
      </c>
      <c r="B2734" t="str">
        <f>'4M'!$BP$88</f>
        <v>B0362ADC_TOT</v>
      </c>
      <c r="D2734" t="str">
        <f>_xlfn.CONCAT('4M'!$B$58, "-", '4M'!$B$88, "-", '4M'!$N$6, "-", '4M'!$N$6, "-", '4M'!$F$5)</f>
        <v>Other enhancement-Additional line 2-Total-Total-Expenditure in report year</v>
      </c>
      <c r="E2734" t="str">
        <f>'4M'!$C$88</f>
        <v>Capex</v>
      </c>
      <c r="F2734" t="s">
        <v>682</v>
      </c>
      <c r="G2734" t="str">
        <f>'4M'!$D$88</f>
        <v>£m</v>
      </c>
      <c r="O2734" t="str">
        <f>_xlfn.CONCAT('4M'!$B$58, "-", '4M'!$B$88, "-", '4M'!$N$6, "-", '4M'!$N$6, "-", '4M'!$F$5)</f>
        <v>Other enhancement-Additional line 2-Total-Total-Expenditure in report year</v>
      </c>
    </row>
    <row r="2735" spans="1:15">
      <c r="A2735" t="s">
        <v>643</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682</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643</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682</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643</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682</v>
      </c>
      <c r="G2737" t="str">
        <f>'4M'!$D$88</f>
        <v>£m</v>
      </c>
      <c r="O2737" t="str">
        <f>_xlfn.CONCAT('4M'!$B$58, "-", '4M'!$B$88, "-", '4M'!$Z$7, "-", '4M'!$Z$5, "-", '4M'!$Z$5)</f>
        <v>Other enhancement-Additional line 2-Total-Cumulative allowed expenditure on all schemes 2020-25-Cumulative allowed expenditure on all schemes 2020-25</v>
      </c>
    </row>
    <row r="2738" spans="1:15">
      <c r="A2738" t="s">
        <v>643</v>
      </c>
      <c r="B2738" t="str">
        <f>'4M'!$BH$89</f>
        <v>B0363ADO_F</v>
      </c>
      <c r="D2738" t="str">
        <f>_xlfn.CONCAT('4M'!$B$58, "-", '4M'!$B$89, "-", '4M'!$F$7, "-", '4M'!$F$6, "-", '4M'!$F$5)</f>
        <v>Other enhancement-Additional line 2-Foul-Wastewater network+ -Expenditure in report year</v>
      </c>
      <c r="E2738" t="str">
        <f>'4M'!$C$89</f>
        <v>Opex</v>
      </c>
      <c r="F2738" t="s">
        <v>682</v>
      </c>
      <c r="G2738" t="str">
        <f>'4M'!$D$89</f>
        <v>£m</v>
      </c>
      <c r="O2738" t="str">
        <f>_xlfn.CONCAT('4M'!$B$58, "-", '4M'!$B$89, "-", '4M'!$F$7, "-", '4M'!$F$6, "-", '4M'!$F$5)</f>
        <v>Other enhancement-Additional line 2-Foul-Wastewater network+ -Expenditure in report year</v>
      </c>
    </row>
    <row r="2739" spans="1:15">
      <c r="A2739" t="s">
        <v>643</v>
      </c>
      <c r="B2739" t="str">
        <f>'4M'!$BI$89</f>
        <v>B0363ADO_SWD</v>
      </c>
      <c r="D2739" t="str">
        <f>_xlfn.CONCAT('4M'!$B$58, "-", '4M'!$B$89, "-", '4M'!$G$7, "-", '4M'!$F$6, "-", '4M'!$F$5)</f>
        <v>Other enhancement-Additional line 2-Surface water drainage-Wastewater network+ -Expenditure in report year</v>
      </c>
      <c r="E2739" t="str">
        <f>'4M'!$C$89</f>
        <v>Opex</v>
      </c>
      <c r="F2739" t="s">
        <v>682</v>
      </c>
      <c r="G2739" t="str">
        <f>'4M'!$D$89</f>
        <v>£m</v>
      </c>
      <c r="O2739" t="str">
        <f>_xlfn.CONCAT('4M'!$B$58, "-", '4M'!$B$89, "-", '4M'!$G$7, "-", '4M'!$F$6, "-", '4M'!$F$5)</f>
        <v>Other enhancement-Additional line 2-Surface water drainage-Wastewater network+ -Expenditure in report year</v>
      </c>
    </row>
    <row r="2740" spans="1:15">
      <c r="A2740" t="s">
        <v>643</v>
      </c>
      <c r="B2740" t="str">
        <f>'4M'!$BJ$89</f>
        <v>B0363ADO_HD</v>
      </c>
      <c r="D2740" t="str">
        <f>_xlfn.CONCAT('4M'!$B$58, "-", '4M'!$B$89, "-", '4M'!$H$7, "-", '4M'!$F$6, "-", '4M'!$F$5)</f>
        <v>Other enhancement-Additional line 2-Highway drainage-Wastewater network+ -Expenditure in report year</v>
      </c>
      <c r="E2740" t="str">
        <f>'4M'!$C$89</f>
        <v>Opex</v>
      </c>
      <c r="F2740" t="s">
        <v>682</v>
      </c>
      <c r="G2740" t="str">
        <f>'4M'!$D$89</f>
        <v>£m</v>
      </c>
      <c r="O2740" t="str">
        <f>_xlfn.CONCAT('4M'!$B$58, "-", '4M'!$B$89, "-", '4M'!$H$7, "-", '4M'!$F$6, "-", '4M'!$F$5)</f>
        <v>Other enhancement-Additional line 2-Highway drainage-Wastewater network+ -Expenditure in report year</v>
      </c>
    </row>
    <row r="2741" spans="1:15">
      <c r="A2741" t="s">
        <v>643</v>
      </c>
      <c r="B2741" t="str">
        <f>'4M'!$BK$89</f>
        <v>B0363ADO_STD</v>
      </c>
      <c r="D2741" t="str">
        <f>_xlfn.CONCAT('4M'!$B$58, "-", '4M'!$B$89, "-", '4M'!$I$7, "-", '4M'!$F$6, "-", '4M'!$F$5)</f>
        <v>Other enhancement-Additional line 2-Sewage treatment and disposal-Wastewater network+ -Expenditure in report year</v>
      </c>
      <c r="E2741" t="str">
        <f>'4M'!$C$89</f>
        <v>Opex</v>
      </c>
      <c r="F2741" t="s">
        <v>682</v>
      </c>
      <c r="G2741" t="str">
        <f>'4M'!$D$89</f>
        <v>£m</v>
      </c>
      <c r="O2741" t="str">
        <f>_xlfn.CONCAT('4M'!$B$58, "-", '4M'!$B$89, "-", '4M'!$I$7, "-", '4M'!$F$6, "-", '4M'!$F$5)</f>
        <v>Other enhancement-Additional line 2-Sewage treatment and disposal-Wastewater network+ -Expenditure in report year</v>
      </c>
    </row>
    <row r="2742" spans="1:15">
      <c r="A2742" t="s">
        <v>643</v>
      </c>
      <c r="B2742" t="str">
        <f>'4M'!$BL$89</f>
        <v>B0363ADO_SLT</v>
      </c>
      <c r="D2742" t="str">
        <f>_xlfn.CONCAT('4M'!$B$58, "-", '4M'!$B$89, "-", '4M'!$J$7, "-", '4M'!$F$6, "-", '4M'!$F$5)</f>
        <v>Other enhancement-Additional line 2-Sludge liquor treatment-Wastewater network+ -Expenditure in report year</v>
      </c>
      <c r="E2742" t="str">
        <f>'4M'!$C$89</f>
        <v>Opex</v>
      </c>
      <c r="F2742" t="s">
        <v>682</v>
      </c>
      <c r="G2742" t="str">
        <f>'4M'!$D$89</f>
        <v>£m</v>
      </c>
      <c r="O2742" t="str">
        <f>_xlfn.CONCAT('4M'!$B$58, "-", '4M'!$B$89, "-", '4M'!$J$7, "-", '4M'!$F$6, "-", '4M'!$F$5)</f>
        <v>Other enhancement-Additional line 2-Sludge liquor treatment-Wastewater network+ -Expenditure in report year</v>
      </c>
    </row>
    <row r="2743" spans="1:15">
      <c r="A2743" t="s">
        <v>643</v>
      </c>
      <c r="B2743" t="str">
        <f>'4M'!$BM$89</f>
        <v>B0363ADO_STP</v>
      </c>
      <c r="D2743" t="str">
        <f>_xlfn.CONCAT('4M'!$B$58, "-", '4M'!$B$89, "-", '4M'!$K$7, "-", '4M'!$K$6, "-", '4M'!$F$5)</f>
        <v>Other enhancement-Additional line 2-Sludge transport-Bioresources-Expenditure in report year</v>
      </c>
      <c r="E2743" t="str">
        <f>'4M'!$C$89</f>
        <v>Opex</v>
      </c>
      <c r="F2743" t="s">
        <v>682</v>
      </c>
      <c r="G2743" t="str">
        <f>'4M'!$D$89</f>
        <v>£m</v>
      </c>
      <c r="O2743" t="str">
        <f>_xlfn.CONCAT('4M'!$B$58, "-", '4M'!$B$89, "-", '4M'!$K$7, "-", '4M'!$K$6, "-", '4M'!$F$5)</f>
        <v>Other enhancement-Additional line 2-Sludge transport-Bioresources-Expenditure in report year</v>
      </c>
    </row>
    <row r="2744" spans="1:15">
      <c r="A2744" t="s">
        <v>643</v>
      </c>
      <c r="B2744" t="str">
        <f>'4M'!$BN$89</f>
        <v>B0363ADO_SDT</v>
      </c>
      <c r="D2744" t="str">
        <f>_xlfn.CONCAT('4M'!$B$58, "-", '4M'!$B$89, "-", '4M'!$L$7, "-", '4M'!$K$6, "-", '4M'!$F$5)</f>
        <v>Other enhancement-Additional line 2-Sludge treatment-Bioresources-Expenditure in report year</v>
      </c>
      <c r="E2744" t="str">
        <f>'4M'!$C$89</f>
        <v>Opex</v>
      </c>
      <c r="F2744" t="s">
        <v>682</v>
      </c>
      <c r="G2744" t="str">
        <f>'4M'!$D$89</f>
        <v>£m</v>
      </c>
      <c r="O2744" t="str">
        <f>_xlfn.CONCAT('4M'!$B$58, "-", '4M'!$B$89, "-", '4M'!$L$7, "-", '4M'!$K$6, "-", '4M'!$F$5)</f>
        <v>Other enhancement-Additional line 2-Sludge treatment-Bioresources-Expenditure in report year</v>
      </c>
    </row>
    <row r="2745" spans="1:15">
      <c r="A2745" t="s">
        <v>643</v>
      </c>
      <c r="B2745" t="str">
        <f>'4M'!$BO$89</f>
        <v>B0363ADO_SD</v>
      </c>
      <c r="D2745" t="str">
        <f>_xlfn.CONCAT('4M'!$B$58, "-", '4M'!$B$89, "-", '4M'!$M$7, "-", '4M'!$K$6, "-", '4M'!$F$5)</f>
        <v>Other enhancement-Additional line 2-Sludge disposal-Bioresources-Expenditure in report year</v>
      </c>
      <c r="E2745" t="str">
        <f>'4M'!$C$89</f>
        <v>Opex</v>
      </c>
      <c r="F2745" t="s">
        <v>682</v>
      </c>
      <c r="G2745" t="str">
        <f>'4M'!$D$89</f>
        <v>£m</v>
      </c>
      <c r="O2745" t="str">
        <f>_xlfn.CONCAT('4M'!$B$58, "-", '4M'!$B$89, "-", '4M'!$M$7, "-", '4M'!$K$6, "-", '4M'!$F$5)</f>
        <v>Other enhancement-Additional line 2-Sludge disposal-Bioresources-Expenditure in report year</v>
      </c>
    </row>
    <row r="2746" spans="1:15">
      <c r="A2746" t="s">
        <v>643</v>
      </c>
      <c r="B2746" t="str">
        <f>'4M'!$BP$89</f>
        <v>B0363ADO_TOT</v>
      </c>
      <c r="D2746" t="str">
        <f>_xlfn.CONCAT('4M'!$B$58, "-", '4M'!$B$89, "-", '4M'!$N$6, "-", '4M'!$N$6, "-", '4M'!$F$5)</f>
        <v>Other enhancement-Additional line 2-Total-Total-Expenditure in report year</v>
      </c>
      <c r="E2746" t="str">
        <f>'4M'!$C$89</f>
        <v>Opex</v>
      </c>
      <c r="F2746" t="s">
        <v>682</v>
      </c>
      <c r="G2746" t="str">
        <f>'4M'!$D$89</f>
        <v>£m</v>
      </c>
      <c r="O2746" t="str">
        <f>_xlfn.CONCAT('4M'!$B$58, "-", '4M'!$B$89, "-", '4M'!$N$6, "-", '4M'!$N$6, "-", '4M'!$F$5)</f>
        <v>Other enhancement-Additional line 2-Total-Total-Expenditure in report year</v>
      </c>
    </row>
    <row r="2747" spans="1:15">
      <c r="A2747" t="s">
        <v>643</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682</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643</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682</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643</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682</v>
      </c>
      <c r="G2749" t="str">
        <f>'4M'!$D$89</f>
        <v>£m</v>
      </c>
      <c r="O2749" t="str">
        <f>_xlfn.CONCAT('4M'!$B$58, "-", '4M'!$B$89, "-", '4M'!$Z$7, "-", '4M'!$Z$5, "-", '4M'!$Z$5)</f>
        <v>Other enhancement-Additional line 2-Total-Cumulative allowed expenditure on all schemes 2020-25-Cumulative allowed expenditure on all schemes 2020-25</v>
      </c>
    </row>
    <row r="2750" spans="1:15">
      <c r="A2750" t="s">
        <v>643</v>
      </c>
      <c r="B2750" t="str">
        <f>'4M'!$BH$90</f>
        <v>B0364ADC_F</v>
      </c>
      <c r="D2750" t="str">
        <f>_xlfn.CONCAT('4M'!$B$58, "-", '4M'!$B$90, "-", '4M'!$F$7, "-", '4M'!$F$6, "-", '4M'!$F$5)</f>
        <v>Other enhancement-Additional line 3-Foul-Wastewater network+ -Expenditure in report year</v>
      </c>
      <c r="E2750" t="str">
        <f>'4M'!$C$90</f>
        <v>Capex</v>
      </c>
      <c r="F2750" t="s">
        <v>682</v>
      </c>
      <c r="G2750" t="str">
        <f>'4M'!$D$90</f>
        <v>£m</v>
      </c>
      <c r="O2750" t="str">
        <f>_xlfn.CONCAT('4M'!$B$58, "-", '4M'!$B$90, "-", '4M'!$F$7, "-", '4M'!$F$6, "-", '4M'!$F$5)</f>
        <v>Other enhancement-Additional line 3-Foul-Wastewater network+ -Expenditure in report year</v>
      </c>
    </row>
    <row r="2751" spans="1:15">
      <c r="A2751" t="s">
        <v>643</v>
      </c>
      <c r="B2751" t="str">
        <f>'4M'!$BI$90</f>
        <v>B0364ADC_SWD</v>
      </c>
      <c r="D2751" t="str">
        <f>_xlfn.CONCAT('4M'!$B$58, "-", '4M'!$B$90, "-", '4M'!$G$7, "-", '4M'!$F$6, "-", '4M'!$F$5)</f>
        <v>Other enhancement-Additional line 3-Surface water drainage-Wastewater network+ -Expenditure in report year</v>
      </c>
      <c r="E2751" t="str">
        <f>'4M'!$C$90</f>
        <v>Capex</v>
      </c>
      <c r="F2751" t="s">
        <v>682</v>
      </c>
      <c r="G2751" t="str">
        <f>'4M'!$D$90</f>
        <v>£m</v>
      </c>
      <c r="O2751" t="str">
        <f>_xlfn.CONCAT('4M'!$B$58, "-", '4M'!$B$90, "-", '4M'!$G$7, "-", '4M'!$F$6, "-", '4M'!$F$5)</f>
        <v>Other enhancement-Additional line 3-Surface water drainage-Wastewater network+ -Expenditure in report year</v>
      </c>
    </row>
    <row r="2752" spans="1:15">
      <c r="A2752" t="s">
        <v>643</v>
      </c>
      <c r="B2752" t="str">
        <f>'4M'!$BJ$90</f>
        <v>B0364ADC_HD</v>
      </c>
      <c r="D2752" t="str">
        <f>_xlfn.CONCAT('4M'!$B$58, "-", '4M'!$B$90, "-", '4M'!$H$7, "-", '4M'!$F$6, "-", '4M'!$F$5)</f>
        <v>Other enhancement-Additional line 3-Highway drainage-Wastewater network+ -Expenditure in report year</v>
      </c>
      <c r="E2752" t="str">
        <f>'4M'!$C$90</f>
        <v>Capex</v>
      </c>
      <c r="F2752" t="s">
        <v>682</v>
      </c>
      <c r="G2752" t="str">
        <f>'4M'!$D$90</f>
        <v>£m</v>
      </c>
      <c r="O2752" t="str">
        <f>_xlfn.CONCAT('4M'!$B$58, "-", '4M'!$B$90, "-", '4M'!$H$7, "-", '4M'!$F$6, "-", '4M'!$F$5)</f>
        <v>Other enhancement-Additional line 3-Highway drainage-Wastewater network+ -Expenditure in report year</v>
      </c>
    </row>
    <row r="2753" spans="1:15">
      <c r="A2753" t="s">
        <v>643</v>
      </c>
      <c r="B2753" t="str">
        <f>'4M'!$BK$90</f>
        <v>B0364ADC_STD</v>
      </c>
      <c r="D2753" t="str">
        <f>_xlfn.CONCAT('4M'!$B$58, "-", '4M'!$B$90, "-", '4M'!$I$7, "-", '4M'!$F$6, "-", '4M'!$F$5)</f>
        <v>Other enhancement-Additional line 3-Sewage treatment and disposal-Wastewater network+ -Expenditure in report year</v>
      </c>
      <c r="E2753" t="str">
        <f>'4M'!$C$90</f>
        <v>Capex</v>
      </c>
      <c r="F2753" t="s">
        <v>682</v>
      </c>
      <c r="G2753" t="str">
        <f>'4M'!$D$90</f>
        <v>£m</v>
      </c>
      <c r="O2753" t="str">
        <f>_xlfn.CONCAT('4M'!$B$58, "-", '4M'!$B$90, "-", '4M'!$I$7, "-", '4M'!$F$6, "-", '4M'!$F$5)</f>
        <v>Other enhancement-Additional line 3-Sewage treatment and disposal-Wastewater network+ -Expenditure in report year</v>
      </c>
    </row>
    <row r="2754" spans="1:15">
      <c r="A2754" t="s">
        <v>643</v>
      </c>
      <c r="B2754" t="str">
        <f>'4M'!$BL$90</f>
        <v>B0364ADC_SLT</v>
      </c>
      <c r="D2754" t="str">
        <f>_xlfn.CONCAT('4M'!$B$58, "-", '4M'!$B$90, "-", '4M'!$J$7, "-", '4M'!$F$6, "-", '4M'!$F$5)</f>
        <v>Other enhancement-Additional line 3-Sludge liquor treatment-Wastewater network+ -Expenditure in report year</v>
      </c>
      <c r="E2754" t="str">
        <f>'4M'!$C$90</f>
        <v>Capex</v>
      </c>
      <c r="F2754" t="s">
        <v>682</v>
      </c>
      <c r="G2754" t="str">
        <f>'4M'!$D$90</f>
        <v>£m</v>
      </c>
      <c r="O2754" t="str">
        <f>_xlfn.CONCAT('4M'!$B$58, "-", '4M'!$B$90, "-", '4M'!$J$7, "-", '4M'!$F$6, "-", '4M'!$F$5)</f>
        <v>Other enhancement-Additional line 3-Sludge liquor treatment-Wastewater network+ -Expenditure in report year</v>
      </c>
    </row>
    <row r="2755" spans="1:15">
      <c r="A2755" t="s">
        <v>643</v>
      </c>
      <c r="B2755" t="str">
        <f>'4M'!$BM$90</f>
        <v>B0364ADC_STP</v>
      </c>
      <c r="D2755" t="str">
        <f>_xlfn.CONCAT('4M'!$B$58, "-", '4M'!$B$90, "-", '4M'!$K$7, "-", '4M'!$K$6, "-", '4M'!$F$5)</f>
        <v>Other enhancement-Additional line 3-Sludge transport-Bioresources-Expenditure in report year</v>
      </c>
      <c r="E2755" t="str">
        <f>'4M'!$C$90</f>
        <v>Capex</v>
      </c>
      <c r="F2755" t="s">
        <v>682</v>
      </c>
      <c r="G2755" t="str">
        <f>'4M'!$D$90</f>
        <v>£m</v>
      </c>
      <c r="O2755" t="str">
        <f>_xlfn.CONCAT('4M'!$B$58, "-", '4M'!$B$90, "-", '4M'!$K$7, "-", '4M'!$K$6, "-", '4M'!$F$5)</f>
        <v>Other enhancement-Additional line 3-Sludge transport-Bioresources-Expenditure in report year</v>
      </c>
    </row>
    <row r="2756" spans="1:15">
      <c r="A2756" t="s">
        <v>643</v>
      </c>
      <c r="B2756" t="str">
        <f>'4M'!$BN$90</f>
        <v>B0364ADC_SDT</v>
      </c>
      <c r="D2756" t="str">
        <f>_xlfn.CONCAT('4M'!$B$58, "-", '4M'!$B$90, "-", '4M'!$L$7, "-", '4M'!$K$6, "-", '4M'!$F$5)</f>
        <v>Other enhancement-Additional line 3-Sludge treatment-Bioresources-Expenditure in report year</v>
      </c>
      <c r="E2756" t="str">
        <f>'4M'!$C$90</f>
        <v>Capex</v>
      </c>
      <c r="F2756" t="s">
        <v>682</v>
      </c>
      <c r="G2756" t="str">
        <f>'4M'!$D$90</f>
        <v>£m</v>
      </c>
      <c r="O2756" t="str">
        <f>_xlfn.CONCAT('4M'!$B$58, "-", '4M'!$B$90, "-", '4M'!$L$7, "-", '4M'!$K$6, "-", '4M'!$F$5)</f>
        <v>Other enhancement-Additional line 3-Sludge treatment-Bioresources-Expenditure in report year</v>
      </c>
    </row>
    <row r="2757" spans="1:15">
      <c r="A2757" t="s">
        <v>643</v>
      </c>
      <c r="B2757" t="str">
        <f>'4M'!$BO$90</f>
        <v>B0364ADC_SD</v>
      </c>
      <c r="D2757" t="str">
        <f>_xlfn.CONCAT('4M'!$B$58, "-", '4M'!$B$90, "-", '4M'!$M$7, "-", '4M'!$K$6, "-", '4M'!$F$5)</f>
        <v>Other enhancement-Additional line 3-Sludge disposal-Bioresources-Expenditure in report year</v>
      </c>
      <c r="E2757" t="str">
        <f>'4M'!$C$90</f>
        <v>Capex</v>
      </c>
      <c r="F2757" t="s">
        <v>682</v>
      </c>
      <c r="G2757" t="str">
        <f>'4M'!$D$90</f>
        <v>£m</v>
      </c>
      <c r="O2757" t="str">
        <f>_xlfn.CONCAT('4M'!$B$58, "-", '4M'!$B$90, "-", '4M'!$M$7, "-", '4M'!$K$6, "-", '4M'!$F$5)</f>
        <v>Other enhancement-Additional line 3-Sludge disposal-Bioresources-Expenditure in report year</v>
      </c>
    </row>
    <row r="2758" spans="1:15">
      <c r="A2758" t="s">
        <v>643</v>
      </c>
      <c r="B2758" t="str">
        <f>'4M'!$BP$90</f>
        <v>B0364ADC_TOT</v>
      </c>
      <c r="D2758" t="str">
        <f>_xlfn.CONCAT('4M'!$B$58, "-", '4M'!$B$90, "-", '4M'!$N$6, "-", '4M'!$N$6, "-", '4M'!$F$5)</f>
        <v>Other enhancement-Additional line 3-Total-Total-Expenditure in report year</v>
      </c>
      <c r="E2758" t="str">
        <f>'4M'!$C$90</f>
        <v>Capex</v>
      </c>
      <c r="F2758" t="s">
        <v>682</v>
      </c>
      <c r="G2758" t="str">
        <f>'4M'!$D$90</f>
        <v>£m</v>
      </c>
      <c r="O2758" t="str">
        <f>_xlfn.CONCAT('4M'!$B$58, "-", '4M'!$B$90, "-", '4M'!$N$6, "-", '4M'!$N$6, "-", '4M'!$F$5)</f>
        <v>Other enhancement-Additional line 3-Total-Total-Expenditure in report year</v>
      </c>
    </row>
    <row r="2759" spans="1:15">
      <c r="A2759" t="s">
        <v>643</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682</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643</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682</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643</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682</v>
      </c>
      <c r="G2761" t="str">
        <f>'4M'!$D$90</f>
        <v>£m</v>
      </c>
      <c r="O2761" t="str">
        <f>_xlfn.CONCAT('4M'!$B$58, "-", '4M'!$B$90, "-", '4M'!$Z$7, "-", '4M'!$Z$5, "-", '4M'!$Z$5)</f>
        <v>Other enhancement-Additional line 3-Total-Cumulative allowed expenditure on all schemes 2020-25-Cumulative allowed expenditure on all schemes 2020-25</v>
      </c>
    </row>
    <row r="2762" spans="1:15">
      <c r="A2762" t="s">
        <v>643</v>
      </c>
      <c r="B2762" t="str">
        <f>'4M'!$BH$91</f>
        <v>B0365ADO_F</v>
      </c>
      <c r="D2762" t="str">
        <f>_xlfn.CONCAT('4M'!$B$58, "-", '4M'!$B$91, "-", '4M'!$F$7, "-", '4M'!$F$6, "-", '4M'!$F$5)</f>
        <v>Other enhancement-Additional line 3-Foul-Wastewater network+ -Expenditure in report year</v>
      </c>
      <c r="E2762" t="str">
        <f>'4M'!$C$91</f>
        <v>Opex</v>
      </c>
      <c r="F2762" t="s">
        <v>682</v>
      </c>
      <c r="G2762" t="str">
        <f>'4M'!$D$91</f>
        <v>£m</v>
      </c>
      <c r="O2762" t="str">
        <f>_xlfn.CONCAT('4M'!$B$58, "-", '4M'!$B$91, "-", '4M'!$F$7, "-", '4M'!$F$6, "-", '4M'!$F$5)</f>
        <v>Other enhancement-Additional line 3-Foul-Wastewater network+ -Expenditure in report year</v>
      </c>
    </row>
    <row r="2763" spans="1:15">
      <c r="A2763" t="s">
        <v>643</v>
      </c>
      <c r="B2763" t="str">
        <f>'4M'!$BI$91</f>
        <v>B0365ADO_SWD</v>
      </c>
      <c r="D2763" t="str">
        <f>_xlfn.CONCAT('4M'!$B$58, "-", '4M'!$B$91, "-", '4M'!$G$7, "-", '4M'!$F$6, "-", '4M'!$F$5)</f>
        <v>Other enhancement-Additional line 3-Surface water drainage-Wastewater network+ -Expenditure in report year</v>
      </c>
      <c r="E2763" t="str">
        <f>'4M'!$C$91</f>
        <v>Opex</v>
      </c>
      <c r="F2763" t="s">
        <v>682</v>
      </c>
      <c r="G2763" t="str">
        <f>'4M'!$D$91</f>
        <v>£m</v>
      </c>
      <c r="O2763" t="str">
        <f>_xlfn.CONCAT('4M'!$B$58, "-", '4M'!$B$91, "-", '4M'!$G$7, "-", '4M'!$F$6, "-", '4M'!$F$5)</f>
        <v>Other enhancement-Additional line 3-Surface water drainage-Wastewater network+ -Expenditure in report year</v>
      </c>
    </row>
    <row r="2764" spans="1:15">
      <c r="A2764" t="s">
        <v>643</v>
      </c>
      <c r="B2764" t="str">
        <f>'4M'!$BJ$91</f>
        <v>B0365ADO_HD</v>
      </c>
      <c r="D2764" t="str">
        <f>_xlfn.CONCAT('4M'!$B$58, "-", '4M'!$B$91, "-", '4M'!$H$7, "-", '4M'!$F$6, "-", '4M'!$F$5)</f>
        <v>Other enhancement-Additional line 3-Highway drainage-Wastewater network+ -Expenditure in report year</v>
      </c>
      <c r="E2764" t="str">
        <f>'4M'!$C$91</f>
        <v>Opex</v>
      </c>
      <c r="F2764" t="s">
        <v>682</v>
      </c>
      <c r="G2764" t="str">
        <f>'4M'!$D$91</f>
        <v>£m</v>
      </c>
      <c r="O2764" t="str">
        <f>_xlfn.CONCAT('4M'!$B$58, "-", '4M'!$B$91, "-", '4M'!$H$7, "-", '4M'!$F$6, "-", '4M'!$F$5)</f>
        <v>Other enhancement-Additional line 3-Highway drainage-Wastewater network+ -Expenditure in report year</v>
      </c>
    </row>
    <row r="2765" spans="1:15">
      <c r="A2765" t="s">
        <v>643</v>
      </c>
      <c r="B2765" t="str">
        <f>'4M'!$BK$91</f>
        <v>B0365ADO_STD</v>
      </c>
      <c r="D2765" t="str">
        <f>_xlfn.CONCAT('4M'!$B$58, "-", '4M'!$B$91, "-", '4M'!$I$7, "-", '4M'!$F$6, "-", '4M'!$F$5)</f>
        <v>Other enhancement-Additional line 3-Sewage treatment and disposal-Wastewater network+ -Expenditure in report year</v>
      </c>
      <c r="E2765" t="str">
        <f>'4M'!$C$91</f>
        <v>Opex</v>
      </c>
      <c r="F2765" t="s">
        <v>682</v>
      </c>
      <c r="G2765" t="str">
        <f>'4M'!$D$91</f>
        <v>£m</v>
      </c>
      <c r="O2765" t="str">
        <f>_xlfn.CONCAT('4M'!$B$58, "-", '4M'!$B$91, "-", '4M'!$I$7, "-", '4M'!$F$6, "-", '4M'!$F$5)</f>
        <v>Other enhancement-Additional line 3-Sewage treatment and disposal-Wastewater network+ -Expenditure in report year</v>
      </c>
    </row>
    <row r="2766" spans="1:15">
      <c r="A2766" t="s">
        <v>643</v>
      </c>
      <c r="B2766" t="str">
        <f>'4M'!$BL$91</f>
        <v>B0365ADO_SLT</v>
      </c>
      <c r="D2766" t="str">
        <f>_xlfn.CONCAT('4M'!$B$58, "-", '4M'!$B$91, "-", '4M'!$J$7, "-", '4M'!$F$6, "-", '4M'!$F$5)</f>
        <v>Other enhancement-Additional line 3-Sludge liquor treatment-Wastewater network+ -Expenditure in report year</v>
      </c>
      <c r="E2766" t="str">
        <f>'4M'!$C$91</f>
        <v>Opex</v>
      </c>
      <c r="F2766" t="s">
        <v>682</v>
      </c>
      <c r="G2766" t="str">
        <f>'4M'!$D$91</f>
        <v>£m</v>
      </c>
      <c r="O2766" t="str">
        <f>_xlfn.CONCAT('4M'!$B$58, "-", '4M'!$B$91, "-", '4M'!$J$7, "-", '4M'!$F$6, "-", '4M'!$F$5)</f>
        <v>Other enhancement-Additional line 3-Sludge liquor treatment-Wastewater network+ -Expenditure in report year</v>
      </c>
    </row>
    <row r="2767" spans="1:15">
      <c r="A2767" t="s">
        <v>643</v>
      </c>
      <c r="B2767" t="str">
        <f>'4M'!$BM$91</f>
        <v>B0365ADO_STP</v>
      </c>
      <c r="D2767" t="str">
        <f>_xlfn.CONCAT('4M'!$B$58, "-", '4M'!$B$91, "-", '4M'!$K$7, "-", '4M'!$K$6, "-", '4M'!$F$5)</f>
        <v>Other enhancement-Additional line 3-Sludge transport-Bioresources-Expenditure in report year</v>
      </c>
      <c r="E2767" t="str">
        <f>'4M'!$C$91</f>
        <v>Opex</v>
      </c>
      <c r="F2767" t="s">
        <v>682</v>
      </c>
      <c r="G2767" t="str">
        <f>'4M'!$D$91</f>
        <v>£m</v>
      </c>
      <c r="O2767" t="str">
        <f>_xlfn.CONCAT('4M'!$B$58, "-", '4M'!$B$91, "-", '4M'!$K$7, "-", '4M'!$K$6, "-", '4M'!$F$5)</f>
        <v>Other enhancement-Additional line 3-Sludge transport-Bioresources-Expenditure in report year</v>
      </c>
    </row>
    <row r="2768" spans="1:15">
      <c r="A2768" t="s">
        <v>643</v>
      </c>
      <c r="B2768" t="str">
        <f>'4M'!$BN$91</f>
        <v>B0365ADO_SDT</v>
      </c>
      <c r="D2768" t="str">
        <f>_xlfn.CONCAT('4M'!$B$58, "-", '4M'!$B$91, "-", '4M'!$L$7, "-", '4M'!$K$6, "-", '4M'!$F$5)</f>
        <v>Other enhancement-Additional line 3-Sludge treatment-Bioresources-Expenditure in report year</v>
      </c>
      <c r="E2768" t="str">
        <f>'4M'!$C$91</f>
        <v>Opex</v>
      </c>
      <c r="F2768" t="s">
        <v>682</v>
      </c>
      <c r="G2768" t="str">
        <f>'4M'!$D$91</f>
        <v>£m</v>
      </c>
      <c r="O2768" t="str">
        <f>_xlfn.CONCAT('4M'!$B$58, "-", '4M'!$B$91, "-", '4M'!$L$7, "-", '4M'!$K$6, "-", '4M'!$F$5)</f>
        <v>Other enhancement-Additional line 3-Sludge treatment-Bioresources-Expenditure in report year</v>
      </c>
    </row>
    <row r="2769" spans="1:15">
      <c r="A2769" t="s">
        <v>643</v>
      </c>
      <c r="B2769" t="str">
        <f>'4M'!$BO$91</f>
        <v>B0365ADO_SD</v>
      </c>
      <c r="D2769" t="str">
        <f>_xlfn.CONCAT('4M'!$B$58, "-", '4M'!$B$91, "-", '4M'!$M$7, "-", '4M'!$K$6, "-", '4M'!$F$5)</f>
        <v>Other enhancement-Additional line 3-Sludge disposal-Bioresources-Expenditure in report year</v>
      </c>
      <c r="E2769" t="str">
        <f>'4M'!$C$91</f>
        <v>Opex</v>
      </c>
      <c r="F2769" t="s">
        <v>682</v>
      </c>
      <c r="G2769" t="str">
        <f>'4M'!$D$91</f>
        <v>£m</v>
      </c>
      <c r="O2769" t="str">
        <f>_xlfn.CONCAT('4M'!$B$58, "-", '4M'!$B$91, "-", '4M'!$M$7, "-", '4M'!$K$6, "-", '4M'!$F$5)</f>
        <v>Other enhancement-Additional line 3-Sludge disposal-Bioresources-Expenditure in report year</v>
      </c>
    </row>
    <row r="2770" spans="1:15">
      <c r="A2770" t="s">
        <v>643</v>
      </c>
      <c r="B2770" t="str">
        <f>'4M'!$BP$91</f>
        <v>B0365ADO_TOT</v>
      </c>
      <c r="D2770" t="str">
        <f>_xlfn.CONCAT('4M'!$B$58, "-", '4M'!$B$91, "-", '4M'!$N$6, "-", '4M'!$N$6, "-", '4M'!$F$5)</f>
        <v>Other enhancement-Additional line 3-Total-Total-Expenditure in report year</v>
      </c>
      <c r="E2770" t="str">
        <f>'4M'!$C$91</f>
        <v>Opex</v>
      </c>
      <c r="F2770" t="s">
        <v>682</v>
      </c>
      <c r="G2770" t="str">
        <f>'4M'!$D$91</f>
        <v>£m</v>
      </c>
      <c r="O2770" t="str">
        <f>_xlfn.CONCAT('4M'!$B$58, "-", '4M'!$B$91, "-", '4M'!$N$6, "-", '4M'!$N$6, "-", '4M'!$F$5)</f>
        <v>Other enhancement-Additional line 3-Total-Total-Expenditure in report year</v>
      </c>
    </row>
    <row r="2771" spans="1:15">
      <c r="A2771" t="s">
        <v>643</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682</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643</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682</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643</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682</v>
      </c>
      <c r="G2773" t="str">
        <f>'4M'!$D$91</f>
        <v>£m</v>
      </c>
      <c r="O2773" t="str">
        <f>_xlfn.CONCAT('4M'!$B$58, "-", '4M'!$B$91, "-", '4M'!$Z$7, "-", '4M'!$Z$5, "-", '4M'!$Z$5)</f>
        <v>Other enhancement-Additional line 3-Total-Cumulative allowed expenditure on all schemes 2020-25-Cumulative allowed expenditure on all schemes 2020-25</v>
      </c>
    </row>
    <row r="2774" spans="1:15">
      <c r="A2774" t="s">
        <v>643</v>
      </c>
      <c r="B2774" t="str">
        <f>'4M'!$BH$92</f>
        <v>B0366ADC_F</v>
      </c>
      <c r="D2774" t="str">
        <f>_xlfn.CONCAT('4M'!$B$58, "-", '4M'!$B$92, "-", '4M'!$F$7, "-", '4M'!$F$6, "-", '4M'!$F$5)</f>
        <v>Other enhancement-Additional line 4-Foul-Wastewater network+ -Expenditure in report year</v>
      </c>
      <c r="E2774" t="str">
        <f>'4M'!$C$92</f>
        <v>Capex</v>
      </c>
      <c r="F2774" t="s">
        <v>682</v>
      </c>
      <c r="G2774" t="str">
        <f>'4M'!$D$92</f>
        <v>£m</v>
      </c>
      <c r="O2774" t="str">
        <f>_xlfn.CONCAT('4M'!$B$58, "-", '4M'!$B$92, "-", '4M'!$F$7, "-", '4M'!$F$6, "-", '4M'!$F$5)</f>
        <v>Other enhancement-Additional line 4-Foul-Wastewater network+ -Expenditure in report year</v>
      </c>
    </row>
    <row r="2775" spans="1:15">
      <c r="A2775" t="s">
        <v>643</v>
      </c>
      <c r="B2775" t="str">
        <f>'4M'!$BI$92</f>
        <v>B0366ADC_SWD</v>
      </c>
      <c r="D2775" t="str">
        <f>_xlfn.CONCAT('4M'!$B$58, "-", '4M'!$B$92, "-", '4M'!$G$7, "-", '4M'!$F$6, "-", '4M'!$F$5)</f>
        <v>Other enhancement-Additional line 4-Surface water drainage-Wastewater network+ -Expenditure in report year</v>
      </c>
      <c r="E2775" t="str">
        <f>'4M'!$C$92</f>
        <v>Capex</v>
      </c>
      <c r="F2775" t="s">
        <v>682</v>
      </c>
      <c r="G2775" t="str">
        <f>'4M'!$D$92</f>
        <v>£m</v>
      </c>
      <c r="O2775" t="str">
        <f>_xlfn.CONCAT('4M'!$B$58, "-", '4M'!$B$92, "-", '4M'!$G$7, "-", '4M'!$F$6, "-", '4M'!$F$5)</f>
        <v>Other enhancement-Additional line 4-Surface water drainage-Wastewater network+ -Expenditure in report year</v>
      </c>
    </row>
    <row r="2776" spans="1:15">
      <c r="A2776" t="s">
        <v>643</v>
      </c>
      <c r="B2776" t="str">
        <f>'4M'!$BJ$92</f>
        <v>B0366ADC_HD</v>
      </c>
      <c r="D2776" t="str">
        <f>_xlfn.CONCAT('4M'!$B$58, "-", '4M'!$B$92, "-", '4M'!$H$7, "-", '4M'!$F$6, "-", '4M'!$F$5)</f>
        <v>Other enhancement-Additional line 4-Highway drainage-Wastewater network+ -Expenditure in report year</v>
      </c>
      <c r="E2776" t="str">
        <f>'4M'!$C$92</f>
        <v>Capex</v>
      </c>
      <c r="F2776" t="s">
        <v>682</v>
      </c>
      <c r="G2776" t="str">
        <f>'4M'!$D$92</f>
        <v>£m</v>
      </c>
      <c r="O2776" t="str">
        <f>_xlfn.CONCAT('4M'!$B$58, "-", '4M'!$B$92, "-", '4M'!$H$7, "-", '4M'!$F$6, "-", '4M'!$F$5)</f>
        <v>Other enhancement-Additional line 4-Highway drainage-Wastewater network+ -Expenditure in report year</v>
      </c>
    </row>
    <row r="2777" spans="1:15">
      <c r="A2777" t="s">
        <v>643</v>
      </c>
      <c r="B2777" t="str">
        <f>'4M'!$BK$92</f>
        <v>B0366ADC_STD</v>
      </c>
      <c r="D2777" t="str">
        <f>_xlfn.CONCAT('4M'!$B$58, "-", '4M'!$B$92, "-", '4M'!$I$7, "-", '4M'!$F$6, "-", '4M'!$F$5)</f>
        <v>Other enhancement-Additional line 4-Sewage treatment and disposal-Wastewater network+ -Expenditure in report year</v>
      </c>
      <c r="E2777" t="str">
        <f>'4M'!$C$92</f>
        <v>Capex</v>
      </c>
      <c r="F2777" t="s">
        <v>682</v>
      </c>
      <c r="G2777" t="str">
        <f>'4M'!$D$92</f>
        <v>£m</v>
      </c>
      <c r="O2777" t="str">
        <f>_xlfn.CONCAT('4M'!$B$58, "-", '4M'!$B$92, "-", '4M'!$I$7, "-", '4M'!$F$6, "-", '4M'!$F$5)</f>
        <v>Other enhancement-Additional line 4-Sewage treatment and disposal-Wastewater network+ -Expenditure in report year</v>
      </c>
    </row>
    <row r="2778" spans="1:15">
      <c r="A2778" t="s">
        <v>643</v>
      </c>
      <c r="B2778" t="str">
        <f>'4M'!$BL$92</f>
        <v>B0366ADC_SLT</v>
      </c>
      <c r="D2778" t="str">
        <f>_xlfn.CONCAT('4M'!$B$58, "-", '4M'!$B$92, "-", '4M'!$J$7, "-", '4M'!$F$6, "-", '4M'!$F$5)</f>
        <v>Other enhancement-Additional line 4-Sludge liquor treatment-Wastewater network+ -Expenditure in report year</v>
      </c>
      <c r="E2778" t="str">
        <f>'4M'!$C$92</f>
        <v>Capex</v>
      </c>
      <c r="F2778" t="s">
        <v>682</v>
      </c>
      <c r="G2778" t="str">
        <f>'4M'!$D$92</f>
        <v>£m</v>
      </c>
      <c r="O2778" t="str">
        <f>_xlfn.CONCAT('4M'!$B$58, "-", '4M'!$B$92, "-", '4M'!$J$7, "-", '4M'!$F$6, "-", '4M'!$F$5)</f>
        <v>Other enhancement-Additional line 4-Sludge liquor treatment-Wastewater network+ -Expenditure in report year</v>
      </c>
    </row>
    <row r="2779" spans="1:15">
      <c r="A2779" t="s">
        <v>643</v>
      </c>
      <c r="B2779" t="str">
        <f>'4M'!$BM$92</f>
        <v>B0366ADC_STP</v>
      </c>
      <c r="D2779" t="str">
        <f>_xlfn.CONCAT('4M'!$B$58, "-", '4M'!$B$92, "-", '4M'!$K$7, "-", '4M'!$K$6, "-", '4M'!$F$5)</f>
        <v>Other enhancement-Additional line 4-Sludge transport-Bioresources-Expenditure in report year</v>
      </c>
      <c r="E2779" t="str">
        <f>'4M'!$C$92</f>
        <v>Capex</v>
      </c>
      <c r="F2779" t="s">
        <v>682</v>
      </c>
      <c r="G2779" t="str">
        <f>'4M'!$D$92</f>
        <v>£m</v>
      </c>
      <c r="O2779" t="str">
        <f>_xlfn.CONCAT('4M'!$B$58, "-", '4M'!$B$92, "-", '4M'!$K$7, "-", '4M'!$K$6, "-", '4M'!$F$5)</f>
        <v>Other enhancement-Additional line 4-Sludge transport-Bioresources-Expenditure in report year</v>
      </c>
    </row>
    <row r="2780" spans="1:15">
      <c r="A2780" t="s">
        <v>643</v>
      </c>
      <c r="B2780" t="str">
        <f>'4M'!$BN$92</f>
        <v>B0366ADC_SDT</v>
      </c>
      <c r="D2780" t="str">
        <f>_xlfn.CONCAT('4M'!$B$58, "-", '4M'!$B$92, "-", '4M'!$L$7, "-", '4M'!$K$6, "-", '4M'!$F$5)</f>
        <v>Other enhancement-Additional line 4-Sludge treatment-Bioresources-Expenditure in report year</v>
      </c>
      <c r="E2780" t="str">
        <f>'4M'!$C$92</f>
        <v>Capex</v>
      </c>
      <c r="F2780" t="s">
        <v>682</v>
      </c>
      <c r="G2780" t="str">
        <f>'4M'!$D$92</f>
        <v>£m</v>
      </c>
      <c r="O2780" t="str">
        <f>_xlfn.CONCAT('4M'!$B$58, "-", '4M'!$B$92, "-", '4M'!$L$7, "-", '4M'!$K$6, "-", '4M'!$F$5)</f>
        <v>Other enhancement-Additional line 4-Sludge treatment-Bioresources-Expenditure in report year</v>
      </c>
    </row>
    <row r="2781" spans="1:15">
      <c r="A2781" t="s">
        <v>643</v>
      </c>
      <c r="B2781" t="str">
        <f>'4M'!$BO$92</f>
        <v>B0366ADC_SD</v>
      </c>
      <c r="D2781" t="str">
        <f>_xlfn.CONCAT('4M'!$B$58, "-", '4M'!$B$92, "-", '4M'!$M$7, "-", '4M'!$K$6, "-", '4M'!$F$5)</f>
        <v>Other enhancement-Additional line 4-Sludge disposal-Bioresources-Expenditure in report year</v>
      </c>
      <c r="E2781" t="str">
        <f>'4M'!$C$92</f>
        <v>Capex</v>
      </c>
      <c r="F2781" t="s">
        <v>682</v>
      </c>
      <c r="G2781" t="str">
        <f>'4M'!$D$92</f>
        <v>£m</v>
      </c>
      <c r="O2781" t="str">
        <f>_xlfn.CONCAT('4M'!$B$58, "-", '4M'!$B$92, "-", '4M'!$M$7, "-", '4M'!$K$6, "-", '4M'!$F$5)</f>
        <v>Other enhancement-Additional line 4-Sludge disposal-Bioresources-Expenditure in report year</v>
      </c>
    </row>
    <row r="2782" spans="1:15">
      <c r="A2782" t="s">
        <v>643</v>
      </c>
      <c r="B2782" t="str">
        <f>'4M'!$BP$92</f>
        <v>B0366ADC_TOT</v>
      </c>
      <c r="D2782" t="str">
        <f>_xlfn.CONCAT('4M'!$B$58, "-", '4M'!$B$92, "-", '4M'!$N$6, "-", '4M'!$N$6, "-", '4M'!$F$5)</f>
        <v>Other enhancement-Additional line 4-Total-Total-Expenditure in report year</v>
      </c>
      <c r="E2782" t="str">
        <f>'4M'!$C$92</f>
        <v>Capex</v>
      </c>
      <c r="F2782" t="s">
        <v>682</v>
      </c>
      <c r="G2782" t="str">
        <f>'4M'!$D$92</f>
        <v>£m</v>
      </c>
      <c r="O2782" t="str">
        <f>_xlfn.CONCAT('4M'!$B$58, "-", '4M'!$B$92, "-", '4M'!$N$6, "-", '4M'!$N$6, "-", '4M'!$F$5)</f>
        <v>Other enhancement-Additional line 4-Total-Total-Expenditure in report year</v>
      </c>
    </row>
    <row r="2783" spans="1:15">
      <c r="A2783" t="s">
        <v>643</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682</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643</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682</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643</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682</v>
      </c>
      <c r="G2785" t="str">
        <f>'4M'!$D$92</f>
        <v>£m</v>
      </c>
      <c r="O2785" t="str">
        <f>_xlfn.CONCAT('4M'!$B$58, "-", '4M'!$B$92, "-", '4M'!$Z$7, "-", '4M'!$Z$5, "-", '4M'!$Z$5)</f>
        <v>Other enhancement-Additional line 4-Total-Cumulative allowed expenditure on all schemes 2020-25-Cumulative allowed expenditure on all schemes 2020-25</v>
      </c>
    </row>
    <row r="2786" spans="1:15">
      <c r="A2786" t="s">
        <v>643</v>
      </c>
      <c r="B2786" t="str">
        <f>'4M'!$BH$93</f>
        <v>B0367ADO_F</v>
      </c>
      <c r="D2786" t="str">
        <f>_xlfn.CONCAT('4M'!$B$58, "-", '4M'!$B$93, "-", '4M'!$F$7, "-", '4M'!$F$6, "-", '4M'!$F$5)</f>
        <v>Other enhancement-Additional line 4-Foul-Wastewater network+ -Expenditure in report year</v>
      </c>
      <c r="E2786" t="str">
        <f>'4M'!$C$93</f>
        <v>Opex</v>
      </c>
      <c r="F2786" t="s">
        <v>682</v>
      </c>
      <c r="G2786" t="str">
        <f>'4M'!$D$93</f>
        <v>£m</v>
      </c>
      <c r="O2786" t="str">
        <f>_xlfn.CONCAT('4M'!$B$58, "-", '4M'!$B$93, "-", '4M'!$F$7, "-", '4M'!$F$6, "-", '4M'!$F$5)</f>
        <v>Other enhancement-Additional line 4-Foul-Wastewater network+ -Expenditure in report year</v>
      </c>
    </row>
    <row r="2787" spans="1:15">
      <c r="A2787" t="s">
        <v>643</v>
      </c>
      <c r="B2787" t="str">
        <f>'4M'!$BI$93</f>
        <v>B0367ADO_SWD</v>
      </c>
      <c r="D2787" t="str">
        <f>_xlfn.CONCAT('4M'!$B$58, "-", '4M'!$B$93, "-", '4M'!$G$7, "-", '4M'!$F$6, "-", '4M'!$F$5)</f>
        <v>Other enhancement-Additional line 4-Surface water drainage-Wastewater network+ -Expenditure in report year</v>
      </c>
      <c r="E2787" t="str">
        <f>'4M'!$C$93</f>
        <v>Opex</v>
      </c>
      <c r="F2787" t="s">
        <v>682</v>
      </c>
      <c r="G2787" t="str">
        <f>'4M'!$D$93</f>
        <v>£m</v>
      </c>
      <c r="O2787" t="str">
        <f>_xlfn.CONCAT('4M'!$B$58, "-", '4M'!$B$93, "-", '4M'!$G$7, "-", '4M'!$F$6, "-", '4M'!$F$5)</f>
        <v>Other enhancement-Additional line 4-Surface water drainage-Wastewater network+ -Expenditure in report year</v>
      </c>
    </row>
    <row r="2788" spans="1:15">
      <c r="A2788" t="s">
        <v>643</v>
      </c>
      <c r="B2788" t="str">
        <f>'4M'!$BJ$93</f>
        <v>B0367ADO_HD</v>
      </c>
      <c r="D2788" t="str">
        <f>_xlfn.CONCAT('4M'!$B$58, "-", '4M'!$B$93, "-", '4M'!$H$7, "-", '4M'!$F$6, "-", '4M'!$F$5)</f>
        <v>Other enhancement-Additional line 4-Highway drainage-Wastewater network+ -Expenditure in report year</v>
      </c>
      <c r="E2788" t="str">
        <f>'4M'!$C$93</f>
        <v>Opex</v>
      </c>
      <c r="F2788" t="s">
        <v>682</v>
      </c>
      <c r="G2788" t="str">
        <f>'4M'!$D$93</f>
        <v>£m</v>
      </c>
      <c r="O2788" t="str">
        <f>_xlfn.CONCAT('4M'!$B$58, "-", '4M'!$B$93, "-", '4M'!$H$7, "-", '4M'!$F$6, "-", '4M'!$F$5)</f>
        <v>Other enhancement-Additional line 4-Highway drainage-Wastewater network+ -Expenditure in report year</v>
      </c>
    </row>
    <row r="2789" spans="1:15">
      <c r="A2789" t="s">
        <v>643</v>
      </c>
      <c r="B2789" t="str">
        <f>'4M'!$BK$93</f>
        <v>B0367ADO_STD</v>
      </c>
      <c r="D2789" t="str">
        <f>_xlfn.CONCAT('4M'!$B$58, "-", '4M'!$B$93, "-", '4M'!$I$7, "-", '4M'!$F$6, "-", '4M'!$F$5)</f>
        <v>Other enhancement-Additional line 4-Sewage treatment and disposal-Wastewater network+ -Expenditure in report year</v>
      </c>
      <c r="E2789" t="str">
        <f>'4M'!$C$93</f>
        <v>Opex</v>
      </c>
      <c r="F2789" t="s">
        <v>682</v>
      </c>
      <c r="G2789" t="str">
        <f>'4M'!$D$93</f>
        <v>£m</v>
      </c>
      <c r="O2789" t="str">
        <f>_xlfn.CONCAT('4M'!$B$58, "-", '4M'!$B$93, "-", '4M'!$I$7, "-", '4M'!$F$6, "-", '4M'!$F$5)</f>
        <v>Other enhancement-Additional line 4-Sewage treatment and disposal-Wastewater network+ -Expenditure in report year</v>
      </c>
    </row>
    <row r="2790" spans="1:15">
      <c r="A2790" t="s">
        <v>643</v>
      </c>
      <c r="B2790" t="str">
        <f>'4M'!$BL$93</f>
        <v>B0367ADO_SLT</v>
      </c>
      <c r="D2790" t="str">
        <f>_xlfn.CONCAT('4M'!$B$58, "-", '4M'!$B$93, "-", '4M'!$J$7, "-", '4M'!$F$6, "-", '4M'!$F$5)</f>
        <v>Other enhancement-Additional line 4-Sludge liquor treatment-Wastewater network+ -Expenditure in report year</v>
      </c>
      <c r="E2790" t="str">
        <f>'4M'!$C$93</f>
        <v>Opex</v>
      </c>
      <c r="F2790" t="s">
        <v>682</v>
      </c>
      <c r="G2790" t="str">
        <f>'4M'!$D$93</f>
        <v>£m</v>
      </c>
      <c r="O2790" t="str">
        <f>_xlfn.CONCAT('4M'!$B$58, "-", '4M'!$B$93, "-", '4M'!$J$7, "-", '4M'!$F$6, "-", '4M'!$F$5)</f>
        <v>Other enhancement-Additional line 4-Sludge liquor treatment-Wastewater network+ -Expenditure in report year</v>
      </c>
    </row>
    <row r="2791" spans="1:15">
      <c r="A2791" t="s">
        <v>643</v>
      </c>
      <c r="B2791" t="str">
        <f>'4M'!$BM$93</f>
        <v>B0367ADO_STP</v>
      </c>
      <c r="D2791" t="str">
        <f>_xlfn.CONCAT('4M'!$B$58, "-", '4M'!$B$93, "-", '4M'!$K$7, "-", '4M'!$K$6, "-", '4M'!$F$5)</f>
        <v>Other enhancement-Additional line 4-Sludge transport-Bioresources-Expenditure in report year</v>
      </c>
      <c r="E2791" t="str">
        <f>'4M'!$C$93</f>
        <v>Opex</v>
      </c>
      <c r="F2791" t="s">
        <v>682</v>
      </c>
      <c r="G2791" t="str">
        <f>'4M'!$D$93</f>
        <v>£m</v>
      </c>
      <c r="O2791" t="str">
        <f>_xlfn.CONCAT('4M'!$B$58, "-", '4M'!$B$93, "-", '4M'!$K$7, "-", '4M'!$K$6, "-", '4M'!$F$5)</f>
        <v>Other enhancement-Additional line 4-Sludge transport-Bioresources-Expenditure in report year</v>
      </c>
    </row>
    <row r="2792" spans="1:15">
      <c r="A2792" t="s">
        <v>643</v>
      </c>
      <c r="B2792" t="str">
        <f>'4M'!$BN$93</f>
        <v>B0367ADO_SDT</v>
      </c>
      <c r="D2792" t="str">
        <f>_xlfn.CONCAT('4M'!$B$58, "-", '4M'!$B$93, "-", '4M'!$L$7, "-", '4M'!$K$6, "-", '4M'!$F$5)</f>
        <v>Other enhancement-Additional line 4-Sludge treatment-Bioresources-Expenditure in report year</v>
      </c>
      <c r="E2792" t="str">
        <f>'4M'!$C$93</f>
        <v>Opex</v>
      </c>
      <c r="F2792" t="s">
        <v>682</v>
      </c>
      <c r="G2792" t="str">
        <f>'4M'!$D$93</f>
        <v>£m</v>
      </c>
      <c r="O2792" t="str">
        <f>_xlfn.CONCAT('4M'!$B$58, "-", '4M'!$B$93, "-", '4M'!$L$7, "-", '4M'!$K$6, "-", '4M'!$F$5)</f>
        <v>Other enhancement-Additional line 4-Sludge treatment-Bioresources-Expenditure in report year</v>
      </c>
    </row>
    <row r="2793" spans="1:15">
      <c r="A2793" t="s">
        <v>643</v>
      </c>
      <c r="B2793" t="str">
        <f>'4M'!$BO$93</f>
        <v>B0367ADO_SD</v>
      </c>
      <c r="D2793" t="str">
        <f>_xlfn.CONCAT('4M'!$B$58, "-", '4M'!$B$93, "-", '4M'!$M$7, "-", '4M'!$K$6, "-", '4M'!$F$5)</f>
        <v>Other enhancement-Additional line 4-Sludge disposal-Bioresources-Expenditure in report year</v>
      </c>
      <c r="E2793" t="str">
        <f>'4M'!$C$93</f>
        <v>Opex</v>
      </c>
      <c r="F2793" t="s">
        <v>682</v>
      </c>
      <c r="G2793" t="str">
        <f>'4M'!$D$93</f>
        <v>£m</v>
      </c>
      <c r="O2793" t="str">
        <f>_xlfn.CONCAT('4M'!$B$58, "-", '4M'!$B$93, "-", '4M'!$M$7, "-", '4M'!$K$6, "-", '4M'!$F$5)</f>
        <v>Other enhancement-Additional line 4-Sludge disposal-Bioresources-Expenditure in report year</v>
      </c>
    </row>
    <row r="2794" spans="1:15">
      <c r="A2794" t="s">
        <v>643</v>
      </c>
      <c r="B2794" t="str">
        <f>'4M'!$BP$93</f>
        <v>B0367ADO_TOT</v>
      </c>
      <c r="D2794" t="str">
        <f>_xlfn.CONCAT('4M'!$B$58, "-", '4M'!$B$93, "-", '4M'!$N$6, "-", '4M'!$N$6, "-", '4M'!$F$5)</f>
        <v>Other enhancement-Additional line 4-Total-Total-Expenditure in report year</v>
      </c>
      <c r="E2794" t="str">
        <f>'4M'!$C$93</f>
        <v>Opex</v>
      </c>
      <c r="F2794" t="s">
        <v>682</v>
      </c>
      <c r="G2794" t="str">
        <f>'4M'!$D$93</f>
        <v>£m</v>
      </c>
      <c r="O2794" t="str">
        <f>_xlfn.CONCAT('4M'!$B$58, "-", '4M'!$B$93, "-", '4M'!$N$6, "-", '4M'!$N$6, "-", '4M'!$F$5)</f>
        <v>Other enhancement-Additional line 4-Total-Total-Expenditure in report year</v>
      </c>
    </row>
    <row r="2795" spans="1:15">
      <c r="A2795" t="s">
        <v>643</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682</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643</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682</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643</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682</v>
      </c>
      <c r="G2797" t="str">
        <f>'4M'!$D$93</f>
        <v>£m</v>
      </c>
      <c r="O2797" t="str">
        <f>_xlfn.CONCAT('4M'!$B$58, "-", '4M'!$B$93, "-", '4M'!$Z$7, "-", '4M'!$Z$5, "-", '4M'!$Z$5)</f>
        <v>Other enhancement-Additional line 4-Total-Cumulative allowed expenditure on all schemes 2020-25-Cumulative allowed expenditure on all schemes 2020-25</v>
      </c>
    </row>
    <row r="2798" spans="1:15">
      <c r="A2798" t="s">
        <v>643</v>
      </c>
      <c r="B2798" t="str">
        <f>'4M'!$BH$94</f>
        <v>B0368ADC_F</v>
      </c>
      <c r="D2798" t="str">
        <f>_xlfn.CONCAT('4M'!$B$58, "-", '4M'!$B$94, "-", '4M'!$F$7, "-", '4M'!$F$6, "-", '4M'!$F$5)</f>
        <v>Other enhancement-Additional line 5-Foul-Wastewater network+ -Expenditure in report year</v>
      </c>
      <c r="E2798" t="str">
        <f>'4M'!$C$94</f>
        <v>Capex</v>
      </c>
      <c r="F2798" t="s">
        <v>682</v>
      </c>
      <c r="G2798" t="str">
        <f>'4M'!$D$94</f>
        <v>£m</v>
      </c>
      <c r="O2798" t="str">
        <f>_xlfn.CONCAT('4M'!$B$58, "-", '4M'!$B$94, "-", '4M'!$F$7, "-", '4M'!$F$6, "-", '4M'!$F$5)</f>
        <v>Other enhancement-Additional line 5-Foul-Wastewater network+ -Expenditure in report year</v>
      </c>
    </row>
    <row r="2799" spans="1:15">
      <c r="A2799" t="s">
        <v>643</v>
      </c>
      <c r="B2799" t="str">
        <f>'4M'!$BI$94</f>
        <v>B0368ADC_SWD</v>
      </c>
      <c r="D2799" t="str">
        <f>_xlfn.CONCAT('4M'!$B$58, "-", '4M'!$B$94, "-", '4M'!$G$7, "-", '4M'!$F$6, "-", '4M'!$F$5)</f>
        <v>Other enhancement-Additional line 5-Surface water drainage-Wastewater network+ -Expenditure in report year</v>
      </c>
      <c r="E2799" t="str">
        <f>'4M'!$C$94</f>
        <v>Capex</v>
      </c>
      <c r="F2799" t="s">
        <v>682</v>
      </c>
      <c r="G2799" t="str">
        <f>'4M'!$D$94</f>
        <v>£m</v>
      </c>
      <c r="O2799" t="str">
        <f>_xlfn.CONCAT('4M'!$B$58, "-", '4M'!$B$94, "-", '4M'!$G$7, "-", '4M'!$F$6, "-", '4M'!$F$5)</f>
        <v>Other enhancement-Additional line 5-Surface water drainage-Wastewater network+ -Expenditure in report year</v>
      </c>
    </row>
    <row r="2800" spans="1:15">
      <c r="A2800" t="s">
        <v>643</v>
      </c>
      <c r="B2800" t="str">
        <f>'4M'!$BJ$94</f>
        <v>B0368ADC_HD</v>
      </c>
      <c r="D2800" t="str">
        <f>_xlfn.CONCAT('4M'!$B$58, "-", '4M'!$B$94, "-", '4M'!$H$7, "-", '4M'!$F$6, "-", '4M'!$F$5)</f>
        <v>Other enhancement-Additional line 5-Highway drainage-Wastewater network+ -Expenditure in report year</v>
      </c>
      <c r="E2800" t="str">
        <f>'4M'!$C$94</f>
        <v>Capex</v>
      </c>
      <c r="F2800" t="s">
        <v>682</v>
      </c>
      <c r="G2800" t="str">
        <f>'4M'!$D$94</f>
        <v>£m</v>
      </c>
      <c r="O2800" t="str">
        <f>_xlfn.CONCAT('4M'!$B$58, "-", '4M'!$B$94, "-", '4M'!$H$7, "-", '4M'!$F$6, "-", '4M'!$F$5)</f>
        <v>Other enhancement-Additional line 5-Highway drainage-Wastewater network+ -Expenditure in report year</v>
      </c>
    </row>
    <row r="2801" spans="1:15">
      <c r="A2801" t="s">
        <v>643</v>
      </c>
      <c r="B2801" t="str">
        <f>'4M'!$BK$94</f>
        <v>B0368ADC_STD</v>
      </c>
      <c r="D2801" t="str">
        <f>_xlfn.CONCAT('4M'!$B$58, "-", '4M'!$B$94, "-", '4M'!$I$7, "-", '4M'!$F$6, "-", '4M'!$F$5)</f>
        <v>Other enhancement-Additional line 5-Sewage treatment and disposal-Wastewater network+ -Expenditure in report year</v>
      </c>
      <c r="E2801" t="str">
        <f>'4M'!$C$94</f>
        <v>Capex</v>
      </c>
      <c r="F2801" t="s">
        <v>682</v>
      </c>
      <c r="G2801" t="str">
        <f>'4M'!$D$94</f>
        <v>£m</v>
      </c>
      <c r="O2801" t="str">
        <f>_xlfn.CONCAT('4M'!$B$58, "-", '4M'!$B$94, "-", '4M'!$I$7, "-", '4M'!$F$6, "-", '4M'!$F$5)</f>
        <v>Other enhancement-Additional line 5-Sewage treatment and disposal-Wastewater network+ -Expenditure in report year</v>
      </c>
    </row>
    <row r="2802" spans="1:15">
      <c r="A2802" t="s">
        <v>643</v>
      </c>
      <c r="B2802" t="str">
        <f>'4M'!$BL$94</f>
        <v>B0368ADC_SLT</v>
      </c>
      <c r="D2802" t="str">
        <f>_xlfn.CONCAT('4M'!$B$58, "-", '4M'!$B$94, "-", '4M'!$J$7, "-", '4M'!$F$6, "-", '4M'!$F$5)</f>
        <v>Other enhancement-Additional line 5-Sludge liquor treatment-Wastewater network+ -Expenditure in report year</v>
      </c>
      <c r="E2802" t="str">
        <f>'4M'!$C$94</f>
        <v>Capex</v>
      </c>
      <c r="F2802" t="s">
        <v>682</v>
      </c>
      <c r="G2802" t="str">
        <f>'4M'!$D$94</f>
        <v>£m</v>
      </c>
      <c r="O2802" t="str">
        <f>_xlfn.CONCAT('4M'!$B$58, "-", '4M'!$B$94, "-", '4M'!$J$7, "-", '4M'!$F$6, "-", '4M'!$F$5)</f>
        <v>Other enhancement-Additional line 5-Sludge liquor treatment-Wastewater network+ -Expenditure in report year</v>
      </c>
    </row>
    <row r="2803" spans="1:15">
      <c r="A2803" t="s">
        <v>643</v>
      </c>
      <c r="B2803" t="str">
        <f>'4M'!$BM$94</f>
        <v>B0368ADC_STP</v>
      </c>
      <c r="D2803" t="str">
        <f>_xlfn.CONCAT('4M'!$B$58, "-", '4M'!$B$94, "-", '4M'!$K$7, "-", '4M'!$K$6, "-", '4M'!$F$5)</f>
        <v>Other enhancement-Additional line 5-Sludge transport-Bioresources-Expenditure in report year</v>
      </c>
      <c r="E2803" t="str">
        <f>'4M'!$C$94</f>
        <v>Capex</v>
      </c>
      <c r="F2803" t="s">
        <v>682</v>
      </c>
      <c r="G2803" t="str">
        <f>'4M'!$D$94</f>
        <v>£m</v>
      </c>
      <c r="O2803" t="str">
        <f>_xlfn.CONCAT('4M'!$B$58, "-", '4M'!$B$94, "-", '4M'!$K$7, "-", '4M'!$K$6, "-", '4M'!$F$5)</f>
        <v>Other enhancement-Additional line 5-Sludge transport-Bioresources-Expenditure in report year</v>
      </c>
    </row>
    <row r="2804" spans="1:15">
      <c r="A2804" t="s">
        <v>643</v>
      </c>
      <c r="B2804" t="str">
        <f>'4M'!$BN$94</f>
        <v>B0368ADC_SDT</v>
      </c>
      <c r="D2804" t="str">
        <f>_xlfn.CONCAT('4M'!$B$58, "-", '4M'!$B$94, "-", '4M'!$L$7, "-", '4M'!$K$6, "-", '4M'!$F$5)</f>
        <v>Other enhancement-Additional line 5-Sludge treatment-Bioresources-Expenditure in report year</v>
      </c>
      <c r="E2804" t="str">
        <f>'4M'!$C$94</f>
        <v>Capex</v>
      </c>
      <c r="F2804" t="s">
        <v>682</v>
      </c>
      <c r="G2804" t="str">
        <f>'4M'!$D$94</f>
        <v>£m</v>
      </c>
      <c r="O2804" t="str">
        <f>_xlfn.CONCAT('4M'!$B$58, "-", '4M'!$B$94, "-", '4M'!$L$7, "-", '4M'!$K$6, "-", '4M'!$F$5)</f>
        <v>Other enhancement-Additional line 5-Sludge treatment-Bioresources-Expenditure in report year</v>
      </c>
    </row>
    <row r="2805" spans="1:15">
      <c r="A2805" t="s">
        <v>643</v>
      </c>
      <c r="B2805" t="str">
        <f>'4M'!$BO$94</f>
        <v>B0368ADC_SD</v>
      </c>
      <c r="D2805" t="str">
        <f>_xlfn.CONCAT('4M'!$B$58, "-", '4M'!$B$94, "-", '4M'!$M$7, "-", '4M'!$K$6, "-", '4M'!$F$5)</f>
        <v>Other enhancement-Additional line 5-Sludge disposal-Bioresources-Expenditure in report year</v>
      </c>
      <c r="E2805" t="str">
        <f>'4M'!$C$94</f>
        <v>Capex</v>
      </c>
      <c r="F2805" t="s">
        <v>682</v>
      </c>
      <c r="G2805" t="str">
        <f>'4M'!$D$94</f>
        <v>£m</v>
      </c>
      <c r="O2805" t="str">
        <f>_xlfn.CONCAT('4M'!$B$58, "-", '4M'!$B$94, "-", '4M'!$M$7, "-", '4M'!$K$6, "-", '4M'!$F$5)</f>
        <v>Other enhancement-Additional line 5-Sludge disposal-Bioresources-Expenditure in report year</v>
      </c>
    </row>
    <row r="2806" spans="1:15">
      <c r="A2806" t="s">
        <v>643</v>
      </c>
      <c r="B2806" t="str">
        <f>'4M'!$BP$94</f>
        <v>B0368ADC_TOT</v>
      </c>
      <c r="D2806" t="str">
        <f>_xlfn.CONCAT('4M'!$B$58, "-", '4M'!$B$94, "-", '4M'!$N$6, "-", '4M'!$N$6, "-", '4M'!$F$5)</f>
        <v>Other enhancement-Additional line 5-Total-Total-Expenditure in report year</v>
      </c>
      <c r="E2806" t="str">
        <f>'4M'!$C$94</f>
        <v>Capex</v>
      </c>
      <c r="F2806" t="s">
        <v>682</v>
      </c>
      <c r="G2806" t="str">
        <f>'4M'!$D$94</f>
        <v>£m</v>
      </c>
      <c r="O2806" t="str">
        <f>_xlfn.CONCAT('4M'!$B$58, "-", '4M'!$B$94, "-", '4M'!$N$6, "-", '4M'!$N$6, "-", '4M'!$F$5)</f>
        <v>Other enhancement-Additional line 5-Total-Total-Expenditure in report year</v>
      </c>
    </row>
    <row r="2807" spans="1:15">
      <c r="A2807" t="s">
        <v>643</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682</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643</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682</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643</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682</v>
      </c>
      <c r="G2809" t="str">
        <f>'4M'!$D$94</f>
        <v>£m</v>
      </c>
      <c r="O2809" t="str">
        <f>_xlfn.CONCAT('4M'!$B$58, "-", '4M'!$B$94, "-", '4M'!$Z$7, "-", '4M'!$Z$5, "-", '4M'!$Z$5)</f>
        <v>Other enhancement-Additional line 5-Total-Cumulative allowed expenditure on all schemes 2020-25-Cumulative allowed expenditure on all schemes 2020-25</v>
      </c>
    </row>
    <row r="2810" spans="1:15">
      <c r="A2810" t="s">
        <v>643</v>
      </c>
      <c r="B2810" t="str">
        <f>'4M'!$BH$95</f>
        <v>B0369ADO_F</v>
      </c>
      <c r="D2810" t="str">
        <f>_xlfn.CONCAT('4M'!$B$58, "-", '4M'!$B$95, "-", '4M'!$F$7, "-", '4M'!$F$6, "-", '4M'!$F$5)</f>
        <v>Other enhancement-Additional line 5-Foul-Wastewater network+ -Expenditure in report year</v>
      </c>
      <c r="E2810" t="str">
        <f>'4M'!$C$95</f>
        <v>Opex</v>
      </c>
      <c r="F2810" t="s">
        <v>682</v>
      </c>
      <c r="G2810" t="str">
        <f>'4M'!$D$95</f>
        <v>£m</v>
      </c>
      <c r="O2810" t="str">
        <f>_xlfn.CONCAT('4M'!$B$58, "-", '4M'!$B$95, "-", '4M'!$F$7, "-", '4M'!$F$6, "-", '4M'!$F$5)</f>
        <v>Other enhancement-Additional line 5-Foul-Wastewater network+ -Expenditure in report year</v>
      </c>
    </row>
    <row r="2811" spans="1:15">
      <c r="A2811" t="s">
        <v>643</v>
      </c>
      <c r="B2811" t="str">
        <f>'4M'!$BI$95</f>
        <v>B0369ADO_SWD</v>
      </c>
      <c r="D2811" t="str">
        <f>_xlfn.CONCAT('4M'!$B$58, "-", '4M'!$B$95, "-", '4M'!$G$7, "-", '4M'!$F$6, "-", '4M'!$F$5)</f>
        <v>Other enhancement-Additional line 5-Surface water drainage-Wastewater network+ -Expenditure in report year</v>
      </c>
      <c r="E2811" t="str">
        <f>'4M'!$C$95</f>
        <v>Opex</v>
      </c>
      <c r="F2811" t="s">
        <v>682</v>
      </c>
      <c r="G2811" t="str">
        <f>'4M'!$D$95</f>
        <v>£m</v>
      </c>
      <c r="O2811" t="str">
        <f>_xlfn.CONCAT('4M'!$B$58, "-", '4M'!$B$95, "-", '4M'!$G$7, "-", '4M'!$F$6, "-", '4M'!$F$5)</f>
        <v>Other enhancement-Additional line 5-Surface water drainage-Wastewater network+ -Expenditure in report year</v>
      </c>
    </row>
    <row r="2812" spans="1:15">
      <c r="A2812" t="s">
        <v>643</v>
      </c>
      <c r="B2812" t="str">
        <f>'4M'!$BJ$95</f>
        <v>B0369ADO_HD</v>
      </c>
      <c r="D2812" t="str">
        <f>_xlfn.CONCAT('4M'!$B$58, "-", '4M'!$B$95, "-", '4M'!$H$7, "-", '4M'!$F$6, "-", '4M'!$F$5)</f>
        <v>Other enhancement-Additional line 5-Highway drainage-Wastewater network+ -Expenditure in report year</v>
      </c>
      <c r="E2812" t="str">
        <f>'4M'!$C$95</f>
        <v>Opex</v>
      </c>
      <c r="F2812" t="s">
        <v>682</v>
      </c>
      <c r="G2812" t="str">
        <f>'4M'!$D$95</f>
        <v>£m</v>
      </c>
      <c r="O2812" t="str">
        <f>_xlfn.CONCAT('4M'!$B$58, "-", '4M'!$B$95, "-", '4M'!$H$7, "-", '4M'!$F$6, "-", '4M'!$F$5)</f>
        <v>Other enhancement-Additional line 5-Highway drainage-Wastewater network+ -Expenditure in report year</v>
      </c>
    </row>
    <row r="2813" spans="1:15">
      <c r="A2813" t="s">
        <v>643</v>
      </c>
      <c r="B2813" t="str">
        <f>'4M'!$BK$95</f>
        <v>B0369ADO_STD</v>
      </c>
      <c r="D2813" t="str">
        <f>_xlfn.CONCAT('4M'!$B$58, "-", '4M'!$B$95, "-", '4M'!$I$7, "-", '4M'!$F$6, "-", '4M'!$F$5)</f>
        <v>Other enhancement-Additional line 5-Sewage treatment and disposal-Wastewater network+ -Expenditure in report year</v>
      </c>
      <c r="E2813" t="str">
        <f>'4M'!$C$95</f>
        <v>Opex</v>
      </c>
      <c r="F2813" t="s">
        <v>682</v>
      </c>
      <c r="G2813" t="str">
        <f>'4M'!$D$95</f>
        <v>£m</v>
      </c>
      <c r="O2813" t="str">
        <f>_xlfn.CONCAT('4M'!$B$58, "-", '4M'!$B$95, "-", '4M'!$I$7, "-", '4M'!$F$6, "-", '4M'!$F$5)</f>
        <v>Other enhancement-Additional line 5-Sewage treatment and disposal-Wastewater network+ -Expenditure in report year</v>
      </c>
    </row>
    <row r="2814" spans="1:15">
      <c r="A2814" t="s">
        <v>643</v>
      </c>
      <c r="B2814" t="str">
        <f>'4M'!$BL$95</f>
        <v>B0369ADO_SLT</v>
      </c>
      <c r="D2814" t="str">
        <f>_xlfn.CONCAT('4M'!$B$58, "-", '4M'!$B$95, "-", '4M'!$J$7, "-", '4M'!$F$6, "-", '4M'!$F$5)</f>
        <v>Other enhancement-Additional line 5-Sludge liquor treatment-Wastewater network+ -Expenditure in report year</v>
      </c>
      <c r="E2814" t="str">
        <f>'4M'!$C$95</f>
        <v>Opex</v>
      </c>
      <c r="F2814" t="s">
        <v>682</v>
      </c>
      <c r="G2814" t="str">
        <f>'4M'!$D$95</f>
        <v>£m</v>
      </c>
      <c r="O2814" t="str">
        <f>_xlfn.CONCAT('4M'!$B$58, "-", '4M'!$B$95, "-", '4M'!$J$7, "-", '4M'!$F$6, "-", '4M'!$F$5)</f>
        <v>Other enhancement-Additional line 5-Sludge liquor treatment-Wastewater network+ -Expenditure in report year</v>
      </c>
    </row>
    <row r="2815" spans="1:15">
      <c r="A2815" t="s">
        <v>643</v>
      </c>
      <c r="B2815" t="str">
        <f>'4M'!$BM$95</f>
        <v>B0369ADO_STP</v>
      </c>
      <c r="D2815" t="str">
        <f>_xlfn.CONCAT('4M'!$B$58, "-", '4M'!$B$95, "-", '4M'!$K$7, "-", '4M'!$K$6, "-", '4M'!$F$5)</f>
        <v>Other enhancement-Additional line 5-Sludge transport-Bioresources-Expenditure in report year</v>
      </c>
      <c r="E2815" t="str">
        <f>'4M'!$C$95</f>
        <v>Opex</v>
      </c>
      <c r="F2815" t="s">
        <v>682</v>
      </c>
      <c r="G2815" t="str">
        <f>'4M'!$D$95</f>
        <v>£m</v>
      </c>
      <c r="O2815" t="str">
        <f>_xlfn.CONCAT('4M'!$B$58, "-", '4M'!$B$95, "-", '4M'!$K$7, "-", '4M'!$K$6, "-", '4M'!$F$5)</f>
        <v>Other enhancement-Additional line 5-Sludge transport-Bioresources-Expenditure in report year</v>
      </c>
    </row>
    <row r="2816" spans="1:15">
      <c r="A2816" t="s">
        <v>643</v>
      </c>
      <c r="B2816" t="str">
        <f>'4M'!$BN$95</f>
        <v>B0369ADO_SDT</v>
      </c>
      <c r="D2816" t="str">
        <f>_xlfn.CONCAT('4M'!$B$58, "-", '4M'!$B$95, "-", '4M'!$L$7, "-", '4M'!$K$6, "-", '4M'!$F$5)</f>
        <v>Other enhancement-Additional line 5-Sludge treatment-Bioresources-Expenditure in report year</v>
      </c>
      <c r="E2816" t="str">
        <f>'4M'!$C$95</f>
        <v>Opex</v>
      </c>
      <c r="F2816" t="s">
        <v>682</v>
      </c>
      <c r="G2816" t="str">
        <f>'4M'!$D$95</f>
        <v>£m</v>
      </c>
      <c r="O2816" t="str">
        <f>_xlfn.CONCAT('4M'!$B$58, "-", '4M'!$B$95, "-", '4M'!$L$7, "-", '4M'!$K$6, "-", '4M'!$F$5)</f>
        <v>Other enhancement-Additional line 5-Sludge treatment-Bioresources-Expenditure in report year</v>
      </c>
    </row>
    <row r="2817" spans="1:15">
      <c r="A2817" t="s">
        <v>643</v>
      </c>
      <c r="B2817" t="str">
        <f>'4M'!$BO$95</f>
        <v>B0369ADO_SD</v>
      </c>
      <c r="D2817" t="str">
        <f>_xlfn.CONCAT('4M'!$B$58, "-", '4M'!$B$95, "-", '4M'!$M$7, "-", '4M'!$K$6, "-", '4M'!$F$5)</f>
        <v>Other enhancement-Additional line 5-Sludge disposal-Bioresources-Expenditure in report year</v>
      </c>
      <c r="E2817" t="str">
        <f>'4M'!$C$95</f>
        <v>Opex</v>
      </c>
      <c r="F2817" t="s">
        <v>682</v>
      </c>
      <c r="G2817" t="str">
        <f>'4M'!$D$95</f>
        <v>£m</v>
      </c>
      <c r="O2817" t="str">
        <f>_xlfn.CONCAT('4M'!$B$58, "-", '4M'!$B$95, "-", '4M'!$M$7, "-", '4M'!$K$6, "-", '4M'!$F$5)</f>
        <v>Other enhancement-Additional line 5-Sludge disposal-Bioresources-Expenditure in report year</v>
      </c>
    </row>
    <row r="2818" spans="1:15">
      <c r="A2818" t="s">
        <v>643</v>
      </c>
      <c r="B2818" t="str">
        <f>'4M'!$BP$95</f>
        <v>B0369ADO_TOT</v>
      </c>
      <c r="D2818" t="str">
        <f>_xlfn.CONCAT('4M'!$B$58, "-", '4M'!$B$95, "-", '4M'!$N$6, "-", '4M'!$N$6, "-", '4M'!$F$5)</f>
        <v>Other enhancement-Additional line 5-Total-Total-Expenditure in report year</v>
      </c>
      <c r="E2818" t="str">
        <f>'4M'!$C$95</f>
        <v>Opex</v>
      </c>
      <c r="F2818" t="s">
        <v>682</v>
      </c>
      <c r="G2818" t="str">
        <f>'4M'!$D$95</f>
        <v>£m</v>
      </c>
      <c r="O2818" t="str">
        <f>_xlfn.CONCAT('4M'!$B$58, "-", '4M'!$B$95, "-", '4M'!$N$6, "-", '4M'!$N$6, "-", '4M'!$F$5)</f>
        <v>Other enhancement-Additional line 5-Total-Total-Expenditure in report year</v>
      </c>
    </row>
    <row r="2819" spans="1:15">
      <c r="A2819" t="s">
        <v>643</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682</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643</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682</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643</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682</v>
      </c>
      <c r="G2821" t="str">
        <f>'4M'!$D$95</f>
        <v>£m</v>
      </c>
      <c r="O2821" t="str">
        <f>_xlfn.CONCAT('4M'!$B$58, "-", '4M'!$B$95, "-", '4M'!$Z$7, "-", '4M'!$Z$5, "-", '4M'!$Z$5)</f>
        <v>Other enhancement-Additional line 5-Total-Cumulative allowed expenditure on all schemes 2020-25-Cumulative allowed expenditure on all schemes 2020-25</v>
      </c>
    </row>
    <row r="2822" spans="1:15">
      <c r="A2822" t="s">
        <v>643</v>
      </c>
      <c r="B2822" t="str">
        <f>'4M'!$BH$96</f>
        <v>B0370TET_F</v>
      </c>
      <c r="D2822" t="str">
        <f>_xlfn.CONCAT('4M'!$B$58, "-", '4M'!$B$96, "-", '4M'!$F$7, "-", '4M'!$F$6, "-", '4M'!$F$5)</f>
        <v>Other enhancement-Total other enhancement expenditure-Foul-Wastewater network+ -Expenditure in report year</v>
      </c>
      <c r="E2822" t="str">
        <f>'4M'!$C$96</f>
        <v>Totex</v>
      </c>
      <c r="F2822" t="s">
        <v>682</v>
      </c>
      <c r="G2822" t="str">
        <f>'4M'!$D$96</f>
        <v>£m</v>
      </c>
      <c r="O2822" t="str">
        <f>_xlfn.CONCAT('4M'!$B$58, "-", '4M'!$B$96, "-", '4M'!$F$7, "-", '4M'!$F$6, "-", '4M'!$F$5)</f>
        <v>Other enhancement-Total other enhancement expenditure-Foul-Wastewater network+ -Expenditure in report year</v>
      </c>
    </row>
    <row r="2823" spans="1:15">
      <c r="A2823" t="s">
        <v>643</v>
      </c>
      <c r="B2823" t="str">
        <f>'4M'!$BI$96</f>
        <v>B0370TET_SWD</v>
      </c>
      <c r="D2823" t="str">
        <f>_xlfn.CONCAT('4M'!$B$58, "-", '4M'!$B$96, "-", '4M'!$G$7, "-", '4M'!$F$6, "-", '4M'!$F$5)</f>
        <v>Other enhancement-Total other enhancement expenditure-Surface water drainage-Wastewater network+ -Expenditure in report year</v>
      </c>
      <c r="E2823" t="str">
        <f>'4M'!$C$96</f>
        <v>Totex</v>
      </c>
      <c r="F2823" t="s">
        <v>682</v>
      </c>
      <c r="G2823" t="str">
        <f>'4M'!$D$96</f>
        <v>£m</v>
      </c>
      <c r="O2823" t="str">
        <f>_xlfn.CONCAT('4M'!$B$58, "-", '4M'!$B$96, "-", '4M'!$G$7, "-", '4M'!$F$6, "-", '4M'!$F$5)</f>
        <v>Other enhancement-Total other enhancement expenditure-Surface water drainage-Wastewater network+ -Expenditure in report year</v>
      </c>
    </row>
    <row r="2824" spans="1:15">
      <c r="A2824" t="s">
        <v>643</v>
      </c>
      <c r="B2824" t="str">
        <f>'4M'!$BJ$96</f>
        <v>B0370TET_HD</v>
      </c>
      <c r="D2824" t="str">
        <f>_xlfn.CONCAT('4M'!$B$58, "-", '4M'!$B$96, "-", '4M'!$H$7, "-", '4M'!$F$6, "-", '4M'!$F$5)</f>
        <v>Other enhancement-Total other enhancement expenditure-Highway drainage-Wastewater network+ -Expenditure in report year</v>
      </c>
      <c r="E2824" t="str">
        <f>'4M'!$C$96</f>
        <v>Totex</v>
      </c>
      <c r="F2824" t="s">
        <v>682</v>
      </c>
      <c r="G2824" t="str">
        <f>'4M'!$D$96</f>
        <v>£m</v>
      </c>
      <c r="O2824" t="str">
        <f>_xlfn.CONCAT('4M'!$B$58, "-", '4M'!$B$96, "-", '4M'!$H$7, "-", '4M'!$F$6, "-", '4M'!$F$5)</f>
        <v>Other enhancement-Total other enhancement expenditure-Highway drainage-Wastewater network+ -Expenditure in report year</v>
      </c>
    </row>
    <row r="2825" spans="1:15">
      <c r="A2825" t="s">
        <v>643</v>
      </c>
      <c r="B2825" t="str">
        <f>'4M'!$BK$96</f>
        <v>B0370TET_STD</v>
      </c>
      <c r="D2825" t="str">
        <f>_xlfn.CONCAT('4M'!$B$58, "-", '4M'!$B$96, "-", '4M'!$I$7, "-", '4M'!$F$6, "-", '4M'!$F$5)</f>
        <v>Other enhancement-Total other enhancement expenditure-Sewage treatment and disposal-Wastewater network+ -Expenditure in report year</v>
      </c>
      <c r="E2825" t="str">
        <f>'4M'!$C$96</f>
        <v>Totex</v>
      </c>
      <c r="F2825" t="s">
        <v>682</v>
      </c>
      <c r="G2825" t="str">
        <f>'4M'!$D$96</f>
        <v>£m</v>
      </c>
      <c r="O2825" t="str">
        <f>_xlfn.CONCAT('4M'!$B$58, "-", '4M'!$B$96, "-", '4M'!$I$7, "-", '4M'!$F$6, "-", '4M'!$F$5)</f>
        <v>Other enhancement-Total other enhancement expenditure-Sewage treatment and disposal-Wastewater network+ -Expenditure in report year</v>
      </c>
    </row>
    <row r="2826" spans="1:15">
      <c r="A2826" t="s">
        <v>643</v>
      </c>
      <c r="B2826" t="str">
        <f>'4M'!$BL$96</f>
        <v>B0370TET_SLT</v>
      </c>
      <c r="D2826" t="str">
        <f>_xlfn.CONCAT('4M'!$B$58, "-", '4M'!$B$96, "-", '4M'!$J$7, "-", '4M'!$F$6, "-", '4M'!$F$5)</f>
        <v>Other enhancement-Total other enhancement expenditure-Sludge liquor treatment-Wastewater network+ -Expenditure in report year</v>
      </c>
      <c r="E2826" t="str">
        <f>'4M'!$C$96</f>
        <v>Totex</v>
      </c>
      <c r="F2826" t="s">
        <v>682</v>
      </c>
      <c r="G2826" t="str">
        <f>'4M'!$D$96</f>
        <v>£m</v>
      </c>
      <c r="O2826" t="str">
        <f>_xlfn.CONCAT('4M'!$B$58, "-", '4M'!$B$96, "-", '4M'!$J$7, "-", '4M'!$F$6, "-", '4M'!$F$5)</f>
        <v>Other enhancement-Total other enhancement expenditure-Sludge liquor treatment-Wastewater network+ -Expenditure in report year</v>
      </c>
    </row>
    <row r="2827" spans="1:15">
      <c r="A2827" t="s">
        <v>643</v>
      </c>
      <c r="B2827" t="str">
        <f>'4M'!$BM$96</f>
        <v>B0370TET_STP</v>
      </c>
      <c r="D2827" t="str">
        <f>_xlfn.CONCAT('4M'!$B$58, "-", '4M'!$B$96, "-", '4M'!$K$7, "-", '4M'!$K$6, "-", '4M'!$F$5)</f>
        <v>Other enhancement-Total other enhancement expenditure-Sludge transport-Bioresources-Expenditure in report year</v>
      </c>
      <c r="E2827" t="str">
        <f>'4M'!$C$96</f>
        <v>Totex</v>
      </c>
      <c r="F2827" t="s">
        <v>682</v>
      </c>
      <c r="G2827" t="str">
        <f>'4M'!$D$96</f>
        <v>£m</v>
      </c>
      <c r="O2827" t="str">
        <f>_xlfn.CONCAT('4M'!$B$58, "-", '4M'!$B$96, "-", '4M'!$K$7, "-", '4M'!$K$6, "-", '4M'!$F$5)</f>
        <v>Other enhancement-Total other enhancement expenditure-Sludge transport-Bioresources-Expenditure in report year</v>
      </c>
    </row>
    <row r="2828" spans="1:15">
      <c r="A2828" t="s">
        <v>643</v>
      </c>
      <c r="B2828" t="str">
        <f>'4M'!$BN$96</f>
        <v>B0370TET_SDT</v>
      </c>
      <c r="D2828" t="str">
        <f>_xlfn.CONCAT('4M'!$B$58, "-", '4M'!$B$96, "-", '4M'!$L$7, "-", '4M'!$K$6, "-", '4M'!$F$5)</f>
        <v>Other enhancement-Total other enhancement expenditure-Sludge treatment-Bioresources-Expenditure in report year</v>
      </c>
      <c r="E2828" t="str">
        <f>'4M'!$C$96</f>
        <v>Totex</v>
      </c>
      <c r="F2828" t="s">
        <v>682</v>
      </c>
      <c r="G2828" t="str">
        <f>'4M'!$D$96</f>
        <v>£m</v>
      </c>
      <c r="O2828" t="str">
        <f>_xlfn.CONCAT('4M'!$B$58, "-", '4M'!$B$96, "-", '4M'!$L$7, "-", '4M'!$K$6, "-", '4M'!$F$5)</f>
        <v>Other enhancement-Total other enhancement expenditure-Sludge treatment-Bioresources-Expenditure in report year</v>
      </c>
    </row>
    <row r="2829" spans="1:15">
      <c r="A2829" t="s">
        <v>643</v>
      </c>
      <c r="B2829" t="str">
        <f>'4M'!$BO$96</f>
        <v>B0370TET_SD</v>
      </c>
      <c r="D2829" t="str">
        <f>_xlfn.CONCAT('4M'!$B$58, "-", '4M'!$B$96, "-", '4M'!$M$7, "-", '4M'!$K$6, "-", '4M'!$F$5)</f>
        <v>Other enhancement-Total other enhancement expenditure-Sludge disposal-Bioresources-Expenditure in report year</v>
      </c>
      <c r="E2829" t="str">
        <f>'4M'!$C$96</f>
        <v>Totex</v>
      </c>
      <c r="F2829" t="s">
        <v>682</v>
      </c>
      <c r="G2829" t="str">
        <f>'4M'!$D$96</f>
        <v>£m</v>
      </c>
      <c r="O2829" t="str">
        <f>_xlfn.CONCAT('4M'!$B$58, "-", '4M'!$B$96, "-", '4M'!$M$7, "-", '4M'!$K$6, "-", '4M'!$F$5)</f>
        <v>Other enhancement-Total other enhancement expenditure-Sludge disposal-Bioresources-Expenditure in report year</v>
      </c>
    </row>
    <row r="2830" spans="1:15">
      <c r="A2830" t="s">
        <v>643</v>
      </c>
      <c r="B2830" t="str">
        <f>'4M'!$BP$96</f>
        <v>B0370TET_TOT</v>
      </c>
      <c r="D2830" t="str">
        <f>_xlfn.CONCAT('4M'!$B$58, "-", '4M'!$B$96, "-", '4M'!$N$6, "-", '4M'!$N$6, "-", '4M'!$F$5)</f>
        <v>Other enhancement-Total other enhancement expenditure-Total-Total-Expenditure in report year</v>
      </c>
      <c r="E2830" t="str">
        <f>'4M'!$C$96</f>
        <v>Totex</v>
      </c>
      <c r="F2830" t="s">
        <v>682</v>
      </c>
      <c r="G2830" t="str">
        <f>'4M'!$D$96</f>
        <v>£m</v>
      </c>
      <c r="O2830" t="str">
        <f>_xlfn.CONCAT('4M'!$B$58, "-", '4M'!$B$96, "-", '4M'!$N$6, "-", '4M'!$N$6, "-", '4M'!$F$5)</f>
        <v>Other enhancement-Total other enhancement expenditure-Total-Total-Expenditure in report year</v>
      </c>
    </row>
    <row r="2831" spans="1:15">
      <c r="A2831" t="s">
        <v>643</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682</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643</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682</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643</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682</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643</v>
      </c>
      <c r="B2834" t="str">
        <f>'4M'!$BH$99</f>
        <v>B0371TEC_F</v>
      </c>
      <c r="D2834" t="str">
        <f>_xlfn.CONCAT('4M'!$B$98, "-", '4M'!$B$99, "-", '4M'!$F$7, "-", '4M'!$F$6, "-", '4M'!$F$5)</f>
        <v>Total enhancement-Total enhancement expenditure -Foul-Wastewater network+ -Expenditure in report year</v>
      </c>
      <c r="E2834" t="str">
        <f>'4M'!$C$99</f>
        <v>Capex</v>
      </c>
      <c r="F2834" t="s">
        <v>682</v>
      </c>
      <c r="G2834" t="str">
        <f>'4M'!$D$99</f>
        <v>£m</v>
      </c>
      <c r="O2834" t="str">
        <f>_xlfn.CONCAT('4M'!$B$98, "-", '4M'!$B$99, "-", '4M'!$F$7, "-", '4M'!$F$6, "-", '4M'!$F$5)</f>
        <v>Total enhancement-Total enhancement expenditure -Foul-Wastewater network+ -Expenditure in report year</v>
      </c>
    </row>
    <row r="2835" spans="1:15">
      <c r="A2835" t="s">
        <v>643</v>
      </c>
      <c r="B2835" t="str">
        <f>'4M'!$BI$99</f>
        <v>B0371TEC_SWD</v>
      </c>
      <c r="D2835" t="str">
        <f>_xlfn.CONCAT('4M'!$B$98, "-", '4M'!$B$99, "-", '4M'!$G$7, "-", '4M'!$F$6, "-", '4M'!$F$5)</f>
        <v>Total enhancement-Total enhancement expenditure -Surface water drainage-Wastewater network+ -Expenditure in report year</v>
      </c>
      <c r="E2835" t="str">
        <f>'4M'!$C$99</f>
        <v>Capex</v>
      </c>
      <c r="F2835" t="s">
        <v>682</v>
      </c>
      <c r="G2835" t="str">
        <f>'4M'!$D$99</f>
        <v>£m</v>
      </c>
      <c r="O2835" t="str">
        <f>_xlfn.CONCAT('4M'!$B$98, "-", '4M'!$B$99, "-", '4M'!$G$7, "-", '4M'!$F$6, "-", '4M'!$F$5)</f>
        <v>Total enhancement-Total enhancement expenditure -Surface water drainage-Wastewater network+ -Expenditure in report year</v>
      </c>
    </row>
    <row r="2836" spans="1:15">
      <c r="A2836" t="s">
        <v>643</v>
      </c>
      <c r="B2836" t="str">
        <f>'4M'!$BJ$99</f>
        <v>B0371TEC_HD</v>
      </c>
      <c r="D2836" t="str">
        <f>_xlfn.CONCAT('4M'!$B$98, "-", '4M'!$B$99, "-", '4M'!$H$7, "-", '4M'!$F$6, "-", '4M'!$F$5)</f>
        <v>Total enhancement-Total enhancement expenditure -Highway drainage-Wastewater network+ -Expenditure in report year</v>
      </c>
      <c r="E2836" t="str">
        <f>'4M'!$C$99</f>
        <v>Capex</v>
      </c>
      <c r="F2836" t="s">
        <v>682</v>
      </c>
      <c r="G2836" t="str">
        <f>'4M'!$D$99</f>
        <v>£m</v>
      </c>
      <c r="O2836" t="str">
        <f>_xlfn.CONCAT('4M'!$B$98, "-", '4M'!$B$99, "-", '4M'!$H$7, "-", '4M'!$F$6, "-", '4M'!$F$5)</f>
        <v>Total enhancement-Total enhancement expenditure -Highway drainage-Wastewater network+ -Expenditure in report year</v>
      </c>
    </row>
    <row r="2837" spans="1:15">
      <c r="A2837" t="s">
        <v>643</v>
      </c>
      <c r="B2837" t="str">
        <f>'4M'!$BK$99</f>
        <v>B0371TEC_STD</v>
      </c>
      <c r="D2837" t="str">
        <f>_xlfn.CONCAT('4M'!$B$98, "-", '4M'!$B$99, "-", '4M'!$I$7, "-", '4M'!$F$6, "-", '4M'!$F$5)</f>
        <v>Total enhancement-Total enhancement expenditure -Sewage treatment and disposal-Wastewater network+ -Expenditure in report year</v>
      </c>
      <c r="E2837" t="str">
        <f>'4M'!$C$99</f>
        <v>Capex</v>
      </c>
      <c r="F2837" t="s">
        <v>682</v>
      </c>
      <c r="G2837" t="str">
        <f>'4M'!$D$99</f>
        <v>£m</v>
      </c>
      <c r="O2837" t="str">
        <f>_xlfn.CONCAT('4M'!$B$98, "-", '4M'!$B$99, "-", '4M'!$I$7, "-", '4M'!$F$6, "-", '4M'!$F$5)</f>
        <v>Total enhancement-Total enhancement expenditure -Sewage treatment and disposal-Wastewater network+ -Expenditure in report year</v>
      </c>
    </row>
    <row r="2838" spans="1:15">
      <c r="A2838" t="s">
        <v>643</v>
      </c>
      <c r="B2838" t="str">
        <f>'4M'!$BL$99</f>
        <v>B0371TEC_SLT</v>
      </c>
      <c r="D2838" t="str">
        <f>_xlfn.CONCAT('4M'!$B$98, "-", '4M'!$B$99, "-", '4M'!$J$7, "-", '4M'!$F$6, "-", '4M'!$F$5)</f>
        <v>Total enhancement-Total enhancement expenditure -Sludge liquor treatment-Wastewater network+ -Expenditure in report year</v>
      </c>
      <c r="E2838" t="str">
        <f>'4M'!$C$99</f>
        <v>Capex</v>
      </c>
      <c r="F2838" t="s">
        <v>682</v>
      </c>
      <c r="G2838" t="str">
        <f>'4M'!$D$99</f>
        <v>£m</v>
      </c>
      <c r="O2838" t="str">
        <f>_xlfn.CONCAT('4M'!$B$98, "-", '4M'!$B$99, "-", '4M'!$J$7, "-", '4M'!$F$6, "-", '4M'!$F$5)</f>
        <v>Total enhancement-Total enhancement expenditure -Sludge liquor treatment-Wastewater network+ -Expenditure in report year</v>
      </c>
    </row>
    <row r="2839" spans="1:15">
      <c r="A2839" t="s">
        <v>643</v>
      </c>
      <c r="B2839" t="str">
        <f>'4M'!$BM$99</f>
        <v>B0371TEC_STP</v>
      </c>
      <c r="D2839" t="str">
        <f>_xlfn.CONCAT('4M'!$B$98, "-", '4M'!$B$99, "-", '4M'!$K$7, "-", '4M'!$K$6, "-", '4M'!$F$5)</f>
        <v>Total enhancement-Total enhancement expenditure -Sludge transport-Bioresources-Expenditure in report year</v>
      </c>
      <c r="E2839" t="str">
        <f>'4M'!$C$99</f>
        <v>Capex</v>
      </c>
      <c r="F2839" t="s">
        <v>682</v>
      </c>
      <c r="G2839" t="str">
        <f>'4M'!$D$99</f>
        <v>£m</v>
      </c>
      <c r="O2839" t="str">
        <f>_xlfn.CONCAT('4M'!$B$98, "-", '4M'!$B$99, "-", '4M'!$K$7, "-", '4M'!$K$6, "-", '4M'!$F$5)</f>
        <v>Total enhancement-Total enhancement expenditure -Sludge transport-Bioresources-Expenditure in report year</v>
      </c>
    </row>
    <row r="2840" spans="1:15">
      <c r="A2840" t="s">
        <v>643</v>
      </c>
      <c r="B2840" t="str">
        <f>'4M'!$BN$99</f>
        <v>B0371TEC_SDT</v>
      </c>
      <c r="D2840" t="str">
        <f>_xlfn.CONCAT('4M'!$B$98, "-", '4M'!$B$99, "-", '4M'!$L$7, "-", '4M'!$K$6, "-", '4M'!$F$5)</f>
        <v>Total enhancement-Total enhancement expenditure -Sludge treatment-Bioresources-Expenditure in report year</v>
      </c>
      <c r="E2840" t="str">
        <f>'4M'!$C$99</f>
        <v>Capex</v>
      </c>
      <c r="F2840" t="s">
        <v>682</v>
      </c>
      <c r="G2840" t="str">
        <f>'4M'!$D$99</f>
        <v>£m</v>
      </c>
      <c r="O2840" t="str">
        <f>_xlfn.CONCAT('4M'!$B$98, "-", '4M'!$B$99, "-", '4M'!$L$7, "-", '4M'!$K$6, "-", '4M'!$F$5)</f>
        <v>Total enhancement-Total enhancement expenditure -Sludge treatment-Bioresources-Expenditure in report year</v>
      </c>
    </row>
    <row r="2841" spans="1:15">
      <c r="A2841" t="s">
        <v>643</v>
      </c>
      <c r="B2841" t="str">
        <f>'4M'!$BO$99</f>
        <v>B0371TEC_SD</v>
      </c>
      <c r="D2841" t="str">
        <f>_xlfn.CONCAT('4M'!$B$98, "-", '4M'!$B$99, "-", '4M'!$M$7, "-", '4M'!$K$6, "-", '4M'!$F$5)</f>
        <v>Total enhancement-Total enhancement expenditure -Sludge disposal-Bioresources-Expenditure in report year</v>
      </c>
      <c r="E2841" t="str">
        <f>'4M'!$C$99</f>
        <v>Capex</v>
      </c>
      <c r="F2841" t="s">
        <v>682</v>
      </c>
      <c r="G2841" t="str">
        <f>'4M'!$D$99</f>
        <v>£m</v>
      </c>
      <c r="O2841" t="str">
        <f>_xlfn.CONCAT('4M'!$B$98, "-", '4M'!$B$99, "-", '4M'!$M$7, "-", '4M'!$K$6, "-", '4M'!$F$5)</f>
        <v>Total enhancement-Total enhancement expenditure -Sludge disposal-Bioresources-Expenditure in report year</v>
      </c>
    </row>
    <row r="2842" spans="1:15">
      <c r="A2842" t="s">
        <v>643</v>
      </c>
      <c r="B2842" t="str">
        <f>'4M'!$BP$99</f>
        <v>B0371TEC_TOT</v>
      </c>
      <c r="D2842" t="str">
        <f>_xlfn.CONCAT('4M'!$B$98, "-", '4M'!$B$99, "-", '4M'!$N$6, "-", '4M'!$N$6, "-", '4M'!$F$5)</f>
        <v>Total enhancement-Total enhancement expenditure -Total-Total-Expenditure in report year</v>
      </c>
      <c r="E2842" t="str">
        <f>'4M'!$C$99</f>
        <v>Capex</v>
      </c>
      <c r="F2842" t="s">
        <v>682</v>
      </c>
      <c r="G2842" t="str">
        <f>'4M'!$D$99</f>
        <v>£m</v>
      </c>
      <c r="O2842" t="str">
        <f>_xlfn.CONCAT('4M'!$B$98, "-", '4M'!$B$99, "-", '4M'!$N$6, "-", '4M'!$N$6, "-", '4M'!$F$5)</f>
        <v>Total enhancement-Total enhancement expenditure -Total-Total-Expenditure in report year</v>
      </c>
    </row>
    <row r="2843" spans="1:15">
      <c r="A2843" t="s">
        <v>643</v>
      </c>
      <c r="B2843" t="str">
        <f>'4M'!$BH$100</f>
        <v>B0372TEO_F</v>
      </c>
      <c r="D2843" t="str">
        <f>_xlfn.CONCAT('4M'!$B$98, "-", '4M'!$B$100, "-", '4M'!$F$7, "-", '4M'!$F$6, "-", '4M'!$F$5)</f>
        <v>Total enhancement-Total enhancement expenditure -Foul-Wastewater network+ -Expenditure in report year</v>
      </c>
      <c r="E2843" t="str">
        <f>'4M'!$C$100</f>
        <v>Opex</v>
      </c>
      <c r="F2843" t="s">
        <v>682</v>
      </c>
      <c r="G2843" t="str">
        <f>'4M'!$D$100</f>
        <v>£m</v>
      </c>
      <c r="O2843" t="str">
        <f>_xlfn.CONCAT('4M'!$B$98, "-", '4M'!$B$100, "-", '4M'!$F$7, "-", '4M'!$F$6, "-", '4M'!$F$5)</f>
        <v>Total enhancement-Total enhancement expenditure -Foul-Wastewater network+ -Expenditure in report year</v>
      </c>
    </row>
    <row r="2844" spans="1:15">
      <c r="A2844" t="s">
        <v>643</v>
      </c>
      <c r="B2844" t="str">
        <f>'4M'!$BI$100</f>
        <v>B0372TEO_SWD</v>
      </c>
      <c r="D2844" t="str">
        <f>_xlfn.CONCAT('4M'!$B$98, "-", '4M'!$B$100, "-", '4M'!$G$7, "-", '4M'!$F$6, "-", '4M'!$F$5)</f>
        <v>Total enhancement-Total enhancement expenditure -Surface water drainage-Wastewater network+ -Expenditure in report year</v>
      </c>
      <c r="E2844" t="str">
        <f>'4M'!$C$100</f>
        <v>Opex</v>
      </c>
      <c r="F2844" t="s">
        <v>682</v>
      </c>
      <c r="G2844" t="str">
        <f>'4M'!$D$100</f>
        <v>£m</v>
      </c>
      <c r="O2844" t="str">
        <f>_xlfn.CONCAT('4M'!$B$98, "-", '4M'!$B$100, "-", '4M'!$G$7, "-", '4M'!$F$6, "-", '4M'!$F$5)</f>
        <v>Total enhancement-Total enhancement expenditure -Surface water drainage-Wastewater network+ -Expenditure in report year</v>
      </c>
    </row>
    <row r="2845" spans="1:15">
      <c r="A2845" t="s">
        <v>643</v>
      </c>
      <c r="B2845" t="str">
        <f>'4M'!$BJ$100</f>
        <v>B0372TEO_HD</v>
      </c>
      <c r="D2845" t="str">
        <f>_xlfn.CONCAT('4M'!$B$98, "-", '4M'!$B$100, "-", '4M'!$H$7, "-", '4M'!$F$6, "-", '4M'!$F$5)</f>
        <v>Total enhancement-Total enhancement expenditure -Highway drainage-Wastewater network+ -Expenditure in report year</v>
      </c>
      <c r="E2845" t="str">
        <f>'4M'!$C$100</f>
        <v>Opex</v>
      </c>
      <c r="F2845" t="s">
        <v>682</v>
      </c>
      <c r="G2845" t="str">
        <f>'4M'!$D$100</f>
        <v>£m</v>
      </c>
      <c r="O2845" t="str">
        <f>_xlfn.CONCAT('4M'!$B$98, "-", '4M'!$B$100, "-", '4M'!$H$7, "-", '4M'!$F$6, "-", '4M'!$F$5)</f>
        <v>Total enhancement-Total enhancement expenditure -Highway drainage-Wastewater network+ -Expenditure in report year</v>
      </c>
    </row>
    <row r="2846" spans="1:15">
      <c r="A2846" t="s">
        <v>643</v>
      </c>
      <c r="B2846" t="str">
        <f>'4M'!$BK$100</f>
        <v>B0372TEO_STD</v>
      </c>
      <c r="D2846" t="str">
        <f>_xlfn.CONCAT('4M'!$B$98, "-", '4M'!$B$100, "-", '4M'!$I$7, "-", '4M'!$F$6, "-", '4M'!$F$5)</f>
        <v>Total enhancement-Total enhancement expenditure -Sewage treatment and disposal-Wastewater network+ -Expenditure in report year</v>
      </c>
      <c r="E2846" t="str">
        <f>'4M'!$C$100</f>
        <v>Opex</v>
      </c>
      <c r="F2846" t="s">
        <v>682</v>
      </c>
      <c r="G2846" t="str">
        <f>'4M'!$D$100</f>
        <v>£m</v>
      </c>
      <c r="O2846" t="str">
        <f>_xlfn.CONCAT('4M'!$B$98, "-", '4M'!$B$100, "-", '4M'!$I$7, "-", '4M'!$F$6, "-", '4M'!$F$5)</f>
        <v>Total enhancement-Total enhancement expenditure -Sewage treatment and disposal-Wastewater network+ -Expenditure in report year</v>
      </c>
    </row>
    <row r="2847" spans="1:15">
      <c r="A2847" t="s">
        <v>643</v>
      </c>
      <c r="B2847" t="str">
        <f>'4M'!$BL$100</f>
        <v>B0372TEO_SLT</v>
      </c>
      <c r="D2847" t="str">
        <f>_xlfn.CONCAT('4M'!$B$98, "-", '4M'!$B$100, "-", '4M'!$J$7, "-", '4M'!$F$6, "-", '4M'!$F$5)</f>
        <v>Total enhancement-Total enhancement expenditure -Sludge liquor treatment-Wastewater network+ -Expenditure in report year</v>
      </c>
      <c r="E2847" t="str">
        <f>'4M'!$C$100</f>
        <v>Opex</v>
      </c>
      <c r="F2847" t="s">
        <v>682</v>
      </c>
      <c r="G2847" t="str">
        <f>'4M'!$D$100</f>
        <v>£m</v>
      </c>
      <c r="O2847" t="str">
        <f>_xlfn.CONCAT('4M'!$B$98, "-", '4M'!$B$100, "-", '4M'!$J$7, "-", '4M'!$F$6, "-", '4M'!$F$5)</f>
        <v>Total enhancement-Total enhancement expenditure -Sludge liquor treatment-Wastewater network+ -Expenditure in report year</v>
      </c>
    </row>
    <row r="2848" spans="1:15">
      <c r="A2848" t="s">
        <v>643</v>
      </c>
      <c r="B2848" t="str">
        <f>'4M'!$BM$100</f>
        <v>B0372TEO_STP</v>
      </c>
      <c r="D2848" t="str">
        <f>_xlfn.CONCAT('4M'!$B$98, "-", '4M'!$B$100, "-", '4M'!$K$7, "-", '4M'!$K$6, "-", '4M'!$F$5)</f>
        <v>Total enhancement-Total enhancement expenditure -Sludge transport-Bioresources-Expenditure in report year</v>
      </c>
      <c r="E2848" t="str">
        <f>'4M'!$C$100</f>
        <v>Opex</v>
      </c>
      <c r="F2848" t="s">
        <v>682</v>
      </c>
      <c r="G2848" t="str">
        <f>'4M'!$D$100</f>
        <v>£m</v>
      </c>
      <c r="O2848" t="str">
        <f>_xlfn.CONCAT('4M'!$B$98, "-", '4M'!$B$100, "-", '4M'!$K$7, "-", '4M'!$K$6, "-", '4M'!$F$5)</f>
        <v>Total enhancement-Total enhancement expenditure -Sludge transport-Bioresources-Expenditure in report year</v>
      </c>
    </row>
    <row r="2849" spans="1:15">
      <c r="A2849" t="s">
        <v>643</v>
      </c>
      <c r="B2849" t="str">
        <f>'4M'!$BN$100</f>
        <v>B0372TEO_SDT</v>
      </c>
      <c r="D2849" t="str">
        <f>_xlfn.CONCAT('4M'!$B$98, "-", '4M'!$B$100, "-", '4M'!$L$7, "-", '4M'!$K$6, "-", '4M'!$F$5)</f>
        <v>Total enhancement-Total enhancement expenditure -Sludge treatment-Bioresources-Expenditure in report year</v>
      </c>
      <c r="E2849" t="str">
        <f>'4M'!$C$100</f>
        <v>Opex</v>
      </c>
      <c r="F2849" t="s">
        <v>682</v>
      </c>
      <c r="G2849" t="str">
        <f>'4M'!$D$100</f>
        <v>£m</v>
      </c>
      <c r="O2849" t="str">
        <f>_xlfn.CONCAT('4M'!$B$98, "-", '4M'!$B$100, "-", '4M'!$L$7, "-", '4M'!$K$6, "-", '4M'!$F$5)</f>
        <v>Total enhancement-Total enhancement expenditure -Sludge treatment-Bioresources-Expenditure in report year</v>
      </c>
    </row>
    <row r="2850" spans="1:15">
      <c r="A2850" t="s">
        <v>643</v>
      </c>
      <c r="B2850" t="str">
        <f>'4M'!$BO$100</f>
        <v>B0372TEO_SD</v>
      </c>
      <c r="D2850" t="str">
        <f>_xlfn.CONCAT('4M'!$B$98, "-", '4M'!$B$100, "-", '4M'!$M$7, "-", '4M'!$K$6, "-", '4M'!$F$5)</f>
        <v>Total enhancement-Total enhancement expenditure -Sludge disposal-Bioresources-Expenditure in report year</v>
      </c>
      <c r="E2850" t="str">
        <f>'4M'!$C$100</f>
        <v>Opex</v>
      </c>
      <c r="F2850" t="s">
        <v>682</v>
      </c>
      <c r="G2850" t="str">
        <f>'4M'!$D$100</f>
        <v>£m</v>
      </c>
      <c r="O2850" t="str">
        <f>_xlfn.CONCAT('4M'!$B$98, "-", '4M'!$B$100, "-", '4M'!$M$7, "-", '4M'!$K$6, "-", '4M'!$F$5)</f>
        <v>Total enhancement-Total enhancement expenditure -Sludge disposal-Bioresources-Expenditure in report year</v>
      </c>
    </row>
    <row r="2851" spans="1:15">
      <c r="A2851" t="s">
        <v>643</v>
      </c>
      <c r="B2851" t="str">
        <f>'4M'!$BP$100</f>
        <v>B0372TEO_TOT</v>
      </c>
      <c r="D2851" t="str">
        <f>_xlfn.CONCAT('4M'!$B$98, "-", '4M'!$B$100, "-", '4M'!$N$6, "-", '4M'!$N$6, "-", '4M'!$F$5)</f>
        <v>Total enhancement-Total enhancement expenditure -Total-Total-Expenditure in report year</v>
      </c>
      <c r="E2851" t="str">
        <f>'4M'!$C$100</f>
        <v>Opex</v>
      </c>
      <c r="F2851" t="s">
        <v>682</v>
      </c>
      <c r="G2851" t="str">
        <f>'4M'!$D$100</f>
        <v>£m</v>
      </c>
      <c r="O2851" t="str">
        <f>_xlfn.CONCAT('4M'!$B$98, "-", '4M'!$B$100, "-", '4M'!$N$6, "-", '4M'!$N$6, "-", '4M'!$F$5)</f>
        <v>Total enhancement-Total enhancement expenditure -Total-Total-Expenditure in report year</v>
      </c>
    </row>
    <row r="2852" spans="1:15">
      <c r="A2852" t="s">
        <v>643</v>
      </c>
      <c r="B2852" t="str">
        <f>'4M'!$BH$101</f>
        <v>B0373TET_F</v>
      </c>
      <c r="D2852" t="str">
        <f>_xlfn.CONCAT('4M'!$B$98, "-", '4M'!$B$101, "-", '4M'!$F$7, "-", '4M'!$F$6, "-", '4M'!$F$5)</f>
        <v>Total enhancement-Total enhancement expenditure -Foul-Wastewater network+ -Expenditure in report year</v>
      </c>
      <c r="E2852" t="str">
        <f>'4M'!$C$101</f>
        <v>Totex</v>
      </c>
      <c r="F2852" t="s">
        <v>682</v>
      </c>
      <c r="G2852" t="str">
        <f>'4M'!$D$101</f>
        <v>£m</v>
      </c>
      <c r="O2852" t="str">
        <f>_xlfn.CONCAT('4M'!$B$98, "-", '4M'!$B$101, "-", '4M'!$F$7, "-", '4M'!$F$6, "-", '4M'!$F$5)</f>
        <v>Total enhancement-Total enhancement expenditure -Foul-Wastewater network+ -Expenditure in report year</v>
      </c>
    </row>
    <row r="2853" spans="1:15">
      <c r="A2853" t="s">
        <v>643</v>
      </c>
      <c r="B2853" t="str">
        <f>'4M'!$BI$101</f>
        <v>B0373TET_SWD</v>
      </c>
      <c r="D2853" t="str">
        <f>_xlfn.CONCAT('4M'!$B$98, "-", '4M'!$B$101, "-", '4M'!$G$7, "-", '4M'!$F$6, "-", '4M'!$F$5)</f>
        <v>Total enhancement-Total enhancement expenditure -Surface water drainage-Wastewater network+ -Expenditure in report year</v>
      </c>
      <c r="E2853" t="str">
        <f>'4M'!$C$101</f>
        <v>Totex</v>
      </c>
      <c r="F2853" t="s">
        <v>682</v>
      </c>
      <c r="G2853" t="str">
        <f>'4M'!$D$101</f>
        <v>£m</v>
      </c>
      <c r="O2853" t="str">
        <f>_xlfn.CONCAT('4M'!$B$98, "-", '4M'!$B$101, "-", '4M'!$G$7, "-", '4M'!$F$6, "-", '4M'!$F$5)</f>
        <v>Total enhancement-Total enhancement expenditure -Surface water drainage-Wastewater network+ -Expenditure in report year</v>
      </c>
    </row>
    <row r="2854" spans="1:15">
      <c r="A2854" t="s">
        <v>643</v>
      </c>
      <c r="B2854" t="str">
        <f>'4M'!$BJ$101</f>
        <v>B0373TET_HD</v>
      </c>
      <c r="D2854" t="str">
        <f>_xlfn.CONCAT('4M'!$B$98, "-", '4M'!$B$101, "-", '4M'!$H$7, "-", '4M'!$F$6, "-", '4M'!$F$5)</f>
        <v>Total enhancement-Total enhancement expenditure -Highway drainage-Wastewater network+ -Expenditure in report year</v>
      </c>
      <c r="E2854" t="str">
        <f>'4M'!$C$101</f>
        <v>Totex</v>
      </c>
      <c r="F2854" t="s">
        <v>682</v>
      </c>
      <c r="G2854" t="str">
        <f>'4M'!$D$101</f>
        <v>£m</v>
      </c>
      <c r="O2854" t="str">
        <f>_xlfn.CONCAT('4M'!$B$98, "-", '4M'!$B$101, "-", '4M'!$H$7, "-", '4M'!$F$6, "-", '4M'!$F$5)</f>
        <v>Total enhancement-Total enhancement expenditure -Highway drainage-Wastewater network+ -Expenditure in report year</v>
      </c>
    </row>
    <row r="2855" spans="1:15">
      <c r="A2855" t="s">
        <v>643</v>
      </c>
      <c r="B2855" t="str">
        <f>'4M'!$BK$101</f>
        <v>B0373TET_STD</v>
      </c>
      <c r="D2855" t="str">
        <f>_xlfn.CONCAT('4M'!$B$98, "-", '4M'!$B$101, "-", '4M'!$I$7, "-", '4M'!$F$6, "-", '4M'!$F$5)</f>
        <v>Total enhancement-Total enhancement expenditure -Sewage treatment and disposal-Wastewater network+ -Expenditure in report year</v>
      </c>
      <c r="E2855" t="str">
        <f>'4M'!$C$101</f>
        <v>Totex</v>
      </c>
      <c r="F2855" t="s">
        <v>682</v>
      </c>
      <c r="G2855" t="str">
        <f>'4M'!$D$101</f>
        <v>£m</v>
      </c>
      <c r="O2855" t="str">
        <f>_xlfn.CONCAT('4M'!$B$98, "-", '4M'!$B$101, "-", '4M'!$I$7, "-", '4M'!$F$6, "-", '4M'!$F$5)</f>
        <v>Total enhancement-Total enhancement expenditure -Sewage treatment and disposal-Wastewater network+ -Expenditure in report year</v>
      </c>
    </row>
    <row r="2856" spans="1:15">
      <c r="A2856" t="s">
        <v>643</v>
      </c>
      <c r="B2856" t="str">
        <f>'4M'!$BL$101</f>
        <v>B0373TET_SLT</v>
      </c>
      <c r="D2856" t="str">
        <f>_xlfn.CONCAT('4M'!$B$98, "-", '4M'!$B$101, "-", '4M'!$J$7, "-", '4M'!$F$6, "-", '4M'!$F$5)</f>
        <v>Total enhancement-Total enhancement expenditure -Sludge liquor treatment-Wastewater network+ -Expenditure in report year</v>
      </c>
      <c r="E2856" t="str">
        <f>'4M'!$C$101</f>
        <v>Totex</v>
      </c>
      <c r="F2856" t="s">
        <v>682</v>
      </c>
      <c r="G2856" t="str">
        <f>'4M'!$D$101</f>
        <v>£m</v>
      </c>
      <c r="O2856" t="str">
        <f>_xlfn.CONCAT('4M'!$B$98, "-", '4M'!$B$101, "-", '4M'!$J$7, "-", '4M'!$F$6, "-", '4M'!$F$5)</f>
        <v>Total enhancement-Total enhancement expenditure -Sludge liquor treatment-Wastewater network+ -Expenditure in report year</v>
      </c>
    </row>
    <row r="2857" spans="1:15">
      <c r="A2857" t="s">
        <v>643</v>
      </c>
      <c r="B2857" t="str">
        <f>'4M'!$BM$101</f>
        <v>B0373TET_STP</v>
      </c>
      <c r="D2857" t="str">
        <f>_xlfn.CONCAT('4M'!$B$98, "-", '4M'!$B$101, "-", '4M'!$K$7, "-", '4M'!$K$6, "-", '4M'!$F$5)</f>
        <v>Total enhancement-Total enhancement expenditure -Sludge transport-Bioresources-Expenditure in report year</v>
      </c>
      <c r="E2857" t="str">
        <f>'4M'!$C$101</f>
        <v>Totex</v>
      </c>
      <c r="F2857" t="s">
        <v>682</v>
      </c>
      <c r="G2857" t="str">
        <f>'4M'!$D$101</f>
        <v>£m</v>
      </c>
      <c r="O2857" t="str">
        <f>_xlfn.CONCAT('4M'!$B$98, "-", '4M'!$B$101, "-", '4M'!$K$7, "-", '4M'!$K$6, "-", '4M'!$F$5)</f>
        <v>Total enhancement-Total enhancement expenditure -Sludge transport-Bioresources-Expenditure in report year</v>
      </c>
    </row>
    <row r="2858" spans="1:15">
      <c r="A2858" t="s">
        <v>643</v>
      </c>
      <c r="B2858" t="str">
        <f>'4M'!$BN$101</f>
        <v>B0373TET_SDT</v>
      </c>
      <c r="D2858" t="str">
        <f>_xlfn.CONCAT('4M'!$B$98, "-", '4M'!$B$101, "-", '4M'!$L$7, "-", '4M'!$K$6, "-", '4M'!$F$5)</f>
        <v>Total enhancement-Total enhancement expenditure -Sludge treatment-Bioresources-Expenditure in report year</v>
      </c>
      <c r="E2858" t="str">
        <f>'4M'!$C$101</f>
        <v>Totex</v>
      </c>
      <c r="F2858" t="s">
        <v>682</v>
      </c>
      <c r="G2858" t="str">
        <f>'4M'!$D$101</f>
        <v>£m</v>
      </c>
      <c r="O2858" t="str">
        <f>_xlfn.CONCAT('4M'!$B$98, "-", '4M'!$B$101, "-", '4M'!$L$7, "-", '4M'!$K$6, "-", '4M'!$F$5)</f>
        <v>Total enhancement-Total enhancement expenditure -Sludge treatment-Bioresources-Expenditure in report year</v>
      </c>
    </row>
    <row r="2859" spans="1:15">
      <c r="A2859" t="s">
        <v>643</v>
      </c>
      <c r="B2859" t="str">
        <f>'4M'!$BO$101</f>
        <v>B0373TET_SD</v>
      </c>
      <c r="D2859" t="str">
        <f>_xlfn.CONCAT('4M'!$B$98, "-", '4M'!$B$101, "-", '4M'!$M$7, "-", '4M'!$K$6, "-", '4M'!$F$5)</f>
        <v>Total enhancement-Total enhancement expenditure -Sludge disposal-Bioresources-Expenditure in report year</v>
      </c>
      <c r="E2859" t="str">
        <f>'4M'!$C$101</f>
        <v>Totex</v>
      </c>
      <c r="F2859" t="s">
        <v>682</v>
      </c>
      <c r="G2859" t="str">
        <f>'4M'!$D$101</f>
        <v>£m</v>
      </c>
      <c r="O2859" t="str">
        <f>_xlfn.CONCAT('4M'!$B$98, "-", '4M'!$B$101, "-", '4M'!$M$7, "-", '4M'!$K$6, "-", '4M'!$F$5)</f>
        <v>Total enhancement-Total enhancement expenditure -Sludge disposal-Bioresources-Expenditure in report year</v>
      </c>
    </row>
    <row r="2860" spans="1:15">
      <c r="A2860" t="s">
        <v>643</v>
      </c>
      <c r="B2860" t="str">
        <f>'4M'!$BP$101</f>
        <v>B0373TET_TOT</v>
      </c>
      <c r="D2860" t="str">
        <f>_xlfn.CONCAT('4M'!$B$98, "-", '4M'!$B$101, "-", '4M'!$N$6, "-", '4M'!$N$6, "-", '4M'!$F$5)</f>
        <v>Total enhancement-Total enhancement expenditure -Total-Total-Expenditure in report year</v>
      </c>
      <c r="E2860" t="str">
        <f>'4M'!$C$101</f>
        <v>Totex</v>
      </c>
      <c r="F2860" t="s">
        <v>682</v>
      </c>
      <c r="G2860" t="str">
        <f>'4M'!$D$101</f>
        <v>£m</v>
      </c>
      <c r="O2860" t="str">
        <f>_xlfn.CONCAT('4M'!$B$98, "-", '4M'!$B$101, "-", '4M'!$N$6, "-", '4M'!$N$6, "-", '4M'!$F$5)</f>
        <v>Total enhancement-Total enhancement expenditure -Total-Total-Expenditure in report year</v>
      </c>
    </row>
    <row r="2861" spans="1:15">
      <c r="A2861" t="s">
        <v>643</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682</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643</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682</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643</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682</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1781" t="str">
        <f>'5A'!R37</f>
        <v>B4860_TOT</v>
      </c>
      <c r="C2968" s="219"/>
      <c r="D2968" s="219" t="s">
        <v>1522</v>
      </c>
      <c r="E2968" t="s">
        <v>1523</v>
      </c>
      <c r="F2968" t="s">
        <v>682</v>
      </c>
      <c r="G2968">
        <v>0</v>
      </c>
      <c r="O2968" t="str">
        <f>D2968</f>
        <v>Water resources - Total number of completed investigations (WINEP/NEP), cumulative for AMP</v>
      </c>
    </row>
    <row r="2969" spans="1:15">
      <c r="A2969" t="s">
        <v>644</v>
      </c>
      <c r="B2969" s="1781" t="str">
        <f>'6A'!V46</f>
        <v>BNARPC_WT0</v>
      </c>
      <c r="C2969" s="219"/>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564"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556"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556"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556"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556"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564"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564"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564"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564"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564"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564"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564"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556"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564"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556"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556"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556"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556"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556"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564"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556"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556"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556"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556"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564" t="str">
        <f>'6B'!$R$51</f>
        <v>BN2300_A1</v>
      </c>
      <c r="D3011" t="str">
        <f>_xlfn.CONCAT('6B'!$B$50, "-", '6B'!$B$51, "-", '6B'!$E$5)</f>
        <v>Water balance - region 1 (Northumbrian water)-Measured household consumption (excluding supply pipe leakage)-Input</v>
      </c>
      <c r="E3011" t="str">
        <f>'6B'!$C$51</f>
        <v>Ml/d</v>
      </c>
      <c r="F3011" t="s">
        <v>682</v>
      </c>
      <c r="G3011">
        <f>'6B'!$D$51</f>
        <v>2</v>
      </c>
      <c r="O3011" t="str">
        <f>_xlfn.CONCAT('6B'!$B$50, "-", '6B'!$B$51, "-", '6B'!$E$5)</f>
        <v>Water balance - region 1 (Northumbrian water)-Measured household consumption (excluding supply pipe leakage)-Input</v>
      </c>
    </row>
    <row r="3012" spans="1:15">
      <c r="A3012" t="s">
        <v>650</v>
      </c>
      <c r="B3012" t="str">
        <f>'6B'!$R$52</f>
        <v>BN2305_A1</v>
      </c>
      <c r="D3012" t="str">
        <f>_xlfn.CONCAT('6B'!$B$50, "-", '6B'!$B$52, "-", '6B'!$E$5)</f>
        <v>Water balance - region 1 (Northumbrian water)-Unmeasured household consumption (excluding supply pipe leakage)-Input</v>
      </c>
      <c r="E3012" t="str">
        <f>'6B'!$C$52</f>
        <v>Ml/d</v>
      </c>
      <c r="F3012" t="s">
        <v>682</v>
      </c>
      <c r="G3012">
        <f>'6B'!$D$52</f>
        <v>2</v>
      </c>
      <c r="O3012" t="str">
        <f>_xlfn.CONCAT('6B'!$B$50, "-", '6B'!$B$52, "-", '6B'!$E$5)</f>
        <v>Water balance - region 1 (Northumbrian water)-Unmeasured household consumption (excluding supply pipe leakage)-Input</v>
      </c>
    </row>
    <row r="3013" spans="1:15">
      <c r="A3013" t="s">
        <v>650</v>
      </c>
      <c r="B3013" t="str">
        <f>'6B'!$R$53</f>
        <v>BN2310_A1</v>
      </c>
      <c r="D3013" t="str">
        <f>_xlfn.CONCAT('6B'!$B$50, "-", '6B'!$B$53, "-", '6B'!$E$5)</f>
        <v>Water balance - region 1 (Northumbrian water)-Measured non-household consumption (excluding supply pipe leakage)-Input</v>
      </c>
      <c r="E3013" t="str">
        <f>'6B'!$C$53</f>
        <v>Ml/d</v>
      </c>
      <c r="F3013" t="s">
        <v>682</v>
      </c>
      <c r="G3013">
        <f>'6B'!$D$53</f>
        <v>2</v>
      </c>
      <c r="O3013" t="str">
        <f>_xlfn.CONCAT('6B'!$B$50, "-", '6B'!$B$53, "-", '6B'!$E$5)</f>
        <v>Water balance - region 1 (Northumbrian water)-Measured non-household consumption (excluding supply pipe leakage)-Input</v>
      </c>
    </row>
    <row r="3014" spans="1:15">
      <c r="A3014" t="s">
        <v>650</v>
      </c>
      <c r="B3014" s="2556" t="str">
        <f>'6B'!$R$54</f>
        <v>BN2315_A1</v>
      </c>
      <c r="D3014" t="str">
        <f>_xlfn.CONCAT('6B'!$B$50, "-", '6B'!$B$54, "-", '6B'!$E$5)</f>
        <v>Water balance - region 1 (Northumbrian water)-Unmeasured non-household consumption (excluding supply pipe leakage)-Input</v>
      </c>
      <c r="E3014" t="str">
        <f>'6B'!$C$54</f>
        <v>Ml/d</v>
      </c>
      <c r="F3014" t="s">
        <v>682</v>
      </c>
      <c r="G3014">
        <f>'6B'!$D$54</f>
        <v>2</v>
      </c>
      <c r="O3014" t="str">
        <f>_xlfn.CONCAT('6B'!$B$50, "-", '6B'!$B$54, "-", '6B'!$E$5)</f>
        <v>Water balance - region 1 (Northumbrian water)-Unmeasured non-household consumption (excluding supply pipe leakage)-Input</v>
      </c>
    </row>
    <row r="3015" spans="1:15">
      <c r="A3015" t="s">
        <v>650</v>
      </c>
      <c r="B3015" s="2556" t="str">
        <f>'6B'!$R$55</f>
        <v>BN2345A1</v>
      </c>
      <c r="D3015" t="str">
        <f>_xlfn.CONCAT('6B'!$B$50, "-", '6B'!$B$55, "-", '6B'!$E$5)</f>
        <v>Water balance - region 1 (Northumbrian water)-Total annual leakage-Input</v>
      </c>
      <c r="E3015" t="str">
        <f>'6B'!$C$55</f>
        <v>Ml/d</v>
      </c>
      <c r="F3015" t="s">
        <v>682</v>
      </c>
      <c r="G3015">
        <f>'6B'!$D$55</f>
        <v>2</v>
      </c>
      <c r="O3015" t="str">
        <f>_xlfn.CONCAT('6B'!$B$50, "-", '6B'!$B$55, "-", '6B'!$E$5)</f>
        <v>Water balance - region 1 (Northumbrian water)-Total annual leakage-Input</v>
      </c>
    </row>
    <row r="3016" spans="1:15">
      <c r="A3016" t="s">
        <v>650</v>
      </c>
      <c r="B3016" s="2556" t="str">
        <f>'6B'!$R$56</f>
        <v>BN2325_A1</v>
      </c>
      <c r="D3016" t="str">
        <f>_xlfn.CONCAT('6B'!$B$50, "-", '6B'!$B$56, "-", '6B'!$E$5)</f>
        <v>Water balance - region 1 (Northumbrian water)-Distribution system operational use-Input</v>
      </c>
      <c r="E3016" t="str">
        <f>'6B'!$C$56</f>
        <v>Ml/d</v>
      </c>
      <c r="F3016" t="s">
        <v>682</v>
      </c>
      <c r="G3016">
        <f>'6B'!$D$56</f>
        <v>2</v>
      </c>
      <c r="O3016" t="str">
        <f>_xlfn.CONCAT('6B'!$B$50, "-", '6B'!$B$56, "-", '6B'!$E$5)</f>
        <v>Water balance - region 1 (Northumbrian water)-Distribution system operational use-Input</v>
      </c>
    </row>
    <row r="3017" spans="1:15">
      <c r="A3017" t="s">
        <v>650</v>
      </c>
      <c r="B3017" s="2556" t="str">
        <f>'6B'!$R$57</f>
        <v>BN2327A1</v>
      </c>
      <c r="D3017" t="str">
        <f>_xlfn.CONCAT('6B'!$B$50, "-", '6B'!$B$57, "-", '6B'!$E$5)</f>
        <v>Water balance - region 1 (Northumbrian water)-Water taken unbilled-Input</v>
      </c>
      <c r="E3017" t="str">
        <f>'6B'!$C$57</f>
        <v>Ml/d</v>
      </c>
      <c r="F3017" t="s">
        <v>682</v>
      </c>
      <c r="G3017">
        <f>'6B'!$D$57</f>
        <v>2</v>
      </c>
      <c r="O3017" t="str">
        <f>_xlfn.CONCAT('6B'!$B$50, "-", '6B'!$B$57, "-", '6B'!$E$5)</f>
        <v>Water balance - region 1 (Northumbrian water)-Water taken unbilled-Input</v>
      </c>
    </row>
    <row r="3018" spans="1:15">
      <c r="A3018" t="s">
        <v>650</v>
      </c>
      <c r="B3018" t="str">
        <f>'6B'!$R$58</f>
        <v>BN1000A1</v>
      </c>
      <c r="D3018" t="str">
        <f>_xlfn.CONCAT('6B'!$B$50, "-", '6B'!$B$58, "-", '6B'!$E$5)</f>
        <v>Water balance - region 1 (Northumbrian water)-Distribution input-Input</v>
      </c>
      <c r="E3018" t="str">
        <f>'6B'!$C$58</f>
        <v>Ml/d</v>
      </c>
      <c r="F3018" t="s">
        <v>682</v>
      </c>
      <c r="G3018">
        <f>'6B'!$D$58</f>
        <v>2</v>
      </c>
      <c r="O3018" t="str">
        <f>_xlfn.CONCAT('6B'!$B$50, "-", '6B'!$B$58, "-", '6B'!$E$5)</f>
        <v>Water balance - region 1 (Northumbrian water)-Distribution input-Input</v>
      </c>
    </row>
    <row r="3019" spans="1:15">
      <c r="A3019" t="s">
        <v>650</v>
      </c>
      <c r="B3019" t="str">
        <f>'6B'!$R$59</f>
        <v>BN1000PRM_A1</v>
      </c>
      <c r="D3019" t="str">
        <f>_xlfn.CONCAT('6B'!$B$50, "-", '6B'!$B$59, "-", '6B'!$E$5)</f>
        <v>Water balance - region 1 (Northumbrian water)-Distribution input (pre-MLE)-Input</v>
      </c>
      <c r="E3019" t="str">
        <f>'6B'!$C$59</f>
        <v>Ml/d</v>
      </c>
      <c r="F3019" t="s">
        <v>682</v>
      </c>
      <c r="G3019">
        <f>'6B'!$D$59</f>
        <v>2</v>
      </c>
      <c r="O3019" t="str">
        <f>_xlfn.CONCAT('6B'!$B$50, "-", '6B'!$B$59, "-", '6B'!$E$5)</f>
        <v>Water balance - region 1 (Northumbrian water)-Distribution input (pre-MLE)-Input</v>
      </c>
    </row>
    <row r="3020" spans="1:15">
      <c r="A3020" t="s">
        <v>650</v>
      </c>
      <c r="B3020" s="2564" t="str">
        <f>'6B'!$R$62</f>
        <v>BN2300_A2</v>
      </c>
      <c r="D3020" t="str">
        <f>_xlfn.CONCAT('6B'!$B$61, "-", '6B'!$B$62, "-", '6B'!$E$5)</f>
        <v>Water balance - region 2 (Essex &amp; Suffolk water)-Measured household consumption (excluding supply pipe leakage)-Input</v>
      </c>
      <c r="E3020" t="str">
        <f>'6B'!$C$62</f>
        <v>Ml/d</v>
      </c>
      <c r="F3020" t="s">
        <v>682</v>
      </c>
      <c r="G3020">
        <f>'6B'!$D$62</f>
        <v>2</v>
      </c>
      <c r="O3020" t="str">
        <f>_xlfn.CONCAT('6B'!$B$61, "-", '6B'!$B$62, "-", '6B'!$E$5)</f>
        <v>Water balance - region 2 (Essex &amp; Suffolk water)-Measured household consumption (excluding supply pipe leakage)-Input</v>
      </c>
    </row>
    <row r="3021" spans="1:15">
      <c r="A3021" t="s">
        <v>650</v>
      </c>
      <c r="B3021" t="str">
        <f>'6B'!$R$63</f>
        <v>BN2305_A2</v>
      </c>
      <c r="D3021" t="str">
        <f>_xlfn.CONCAT('6B'!$B$61, "-", '6B'!$B$63, "-", '6B'!$E$5)</f>
        <v>Water balance - region 2 (Essex &amp; Suffolk water)-Unmeasured household consumption (excluding supply pipe leakage)-Input</v>
      </c>
      <c r="E3021" t="str">
        <f>'6B'!$C$63</f>
        <v>Ml/d</v>
      </c>
      <c r="F3021" t="s">
        <v>682</v>
      </c>
      <c r="G3021">
        <f>'6B'!$D$63</f>
        <v>2</v>
      </c>
      <c r="O3021" t="str">
        <f>_xlfn.CONCAT('6B'!$B$61, "-", '6B'!$B$63, "-", '6B'!$E$5)</f>
        <v>Water balance - region 2 (Essex &amp; Suffolk water)-Unmeasured household consumption (excluding supply pipe leakage)-Input</v>
      </c>
    </row>
    <row r="3022" spans="1:15">
      <c r="A3022" t="s">
        <v>650</v>
      </c>
      <c r="B3022" t="str">
        <f>'6B'!$R$64</f>
        <v>BN2310_A2</v>
      </c>
      <c r="D3022" t="str">
        <f>_xlfn.CONCAT('6B'!$B$61, "-", '6B'!$B$64, "-", '6B'!$E$5)</f>
        <v>Water balance - region 2 (Essex &amp; Suffolk water)-Measured non-household consumption (excluding supply pipe leakage)-Input</v>
      </c>
      <c r="E3022" t="str">
        <f>'6B'!$C$64</f>
        <v>Ml/d</v>
      </c>
      <c r="F3022" t="s">
        <v>682</v>
      </c>
      <c r="G3022">
        <f>'6B'!$D$64</f>
        <v>2</v>
      </c>
      <c r="O3022" t="str">
        <f>_xlfn.CONCAT('6B'!$B$61, "-", '6B'!$B$64, "-", '6B'!$E$5)</f>
        <v>Water balance - region 2 (Essex &amp; Suffolk water)-Measured non-household consumption (excluding supply pipe leakage)-Input</v>
      </c>
    </row>
    <row r="3023" spans="1:15">
      <c r="A3023" t="s">
        <v>650</v>
      </c>
      <c r="B3023" s="2556" t="str">
        <f>'6B'!$R$65</f>
        <v>BN2315_A2</v>
      </c>
      <c r="D3023" t="str">
        <f>_xlfn.CONCAT('6B'!$B$61, "-", '6B'!$B$65, "-", '6B'!$E$5)</f>
        <v>Water balance - region 2 (Essex &amp; Suffolk water)-Unmeasured non-household consumption (excluding supply pipe leakage)-Input</v>
      </c>
      <c r="E3023" t="str">
        <f>'6B'!$C$65</f>
        <v>Ml/d</v>
      </c>
      <c r="F3023" t="s">
        <v>682</v>
      </c>
      <c r="G3023">
        <f>'6B'!$D$65</f>
        <v>2</v>
      </c>
      <c r="O3023" t="str">
        <f>_xlfn.CONCAT('6B'!$B$61, "-", '6B'!$B$65, "-", '6B'!$E$5)</f>
        <v>Water balance - region 2 (Essex &amp; Suffolk water)-Unmeasured non-household consumption (excluding supply pipe leakage)-Input</v>
      </c>
    </row>
    <row r="3024" spans="1:15">
      <c r="A3024" t="s">
        <v>650</v>
      </c>
      <c r="B3024" s="2556" t="str">
        <f>'6B'!$R$66</f>
        <v>BN2345A2</v>
      </c>
      <c r="D3024" t="str">
        <f>_xlfn.CONCAT('6B'!$B$61, "-", '6B'!$B$66, "-", '6B'!$E$5)</f>
        <v>Water balance - region 2 (Essex &amp; Suffolk water)-Total annual leakage-Input</v>
      </c>
      <c r="E3024" t="str">
        <f>'6B'!$C$66</f>
        <v>Ml/d</v>
      </c>
      <c r="F3024" t="s">
        <v>682</v>
      </c>
      <c r="G3024">
        <f>'6B'!$D$66</f>
        <v>2</v>
      </c>
      <c r="O3024" t="str">
        <f>_xlfn.CONCAT('6B'!$B$61, "-", '6B'!$B$66, "-", '6B'!$E$5)</f>
        <v>Water balance - region 2 (Essex &amp; Suffolk water)-Total annual leakage-Input</v>
      </c>
    </row>
    <row r="3025" spans="1:15">
      <c r="A3025" t="s">
        <v>650</v>
      </c>
      <c r="B3025" s="2556" t="str">
        <f>'6B'!$R$67</f>
        <v>BN2325_A2</v>
      </c>
      <c r="D3025" t="str">
        <f>_xlfn.CONCAT('6B'!$B$61, "-", '6B'!$B$67, "-", '6B'!$E$5)</f>
        <v>Water balance - region 2 (Essex &amp; Suffolk water)-Distribution system operational use-Input</v>
      </c>
      <c r="E3025" t="str">
        <f>'6B'!$C$67</f>
        <v>Ml/d</v>
      </c>
      <c r="F3025" t="s">
        <v>682</v>
      </c>
      <c r="G3025">
        <f>'6B'!$D$67</f>
        <v>2</v>
      </c>
      <c r="O3025" t="str">
        <f>_xlfn.CONCAT('6B'!$B$61, "-", '6B'!$B$67, "-", '6B'!$E$5)</f>
        <v>Water balance - region 2 (Essex &amp; Suffolk water)-Distribution system operational use-Input</v>
      </c>
    </row>
    <row r="3026" spans="1:15">
      <c r="A3026" t="s">
        <v>650</v>
      </c>
      <c r="B3026" s="2556" t="str">
        <f>'6B'!$R$68</f>
        <v>BN2327A2</v>
      </c>
      <c r="D3026" t="str">
        <f>_xlfn.CONCAT('6B'!$B$61, "-", '6B'!$B$68, "-", '6B'!$E$5)</f>
        <v>Water balance - region 2 (Essex &amp; Suffolk water)-Water taken unbilled-Input</v>
      </c>
      <c r="E3026" t="str">
        <f>'6B'!$C$68</f>
        <v>Ml/d</v>
      </c>
      <c r="F3026" t="s">
        <v>682</v>
      </c>
      <c r="G3026">
        <f>'6B'!$D$68</f>
        <v>2</v>
      </c>
      <c r="O3026" t="str">
        <f>_xlfn.CONCAT('6B'!$B$61, "-", '6B'!$B$68, "-", '6B'!$E$5)</f>
        <v>Water balance - region 2 (Essex &amp; Suffolk water)-Water taken unbilled-Input</v>
      </c>
    </row>
    <row r="3027" spans="1:15">
      <c r="A3027" t="s">
        <v>650</v>
      </c>
      <c r="B3027" t="str">
        <f>'6B'!$R$69</f>
        <v>BN1000A2</v>
      </c>
      <c r="D3027" t="str">
        <f>_xlfn.CONCAT('6B'!$B$61, "-", '6B'!$B$69, "-", '6B'!$E$5)</f>
        <v>Water balance - region 2 (Essex &amp; Suffolk water)-Distribution input-Input</v>
      </c>
      <c r="E3027" t="str">
        <f>'6B'!$C$69</f>
        <v>Ml/d</v>
      </c>
      <c r="F3027" t="s">
        <v>682</v>
      </c>
      <c r="G3027">
        <f>'6B'!$D$69</f>
        <v>2</v>
      </c>
      <c r="O3027" t="str">
        <f>_xlfn.CONCAT('6B'!$B$61, "-", '6B'!$B$69, "-", '6B'!$E$5)</f>
        <v>Water balance - region 2 (Essex &amp; Suffolk water)-Distribution input-Input</v>
      </c>
    </row>
    <row r="3028" spans="1:15">
      <c r="A3028" t="s">
        <v>650</v>
      </c>
      <c r="B3028" t="str">
        <f>'6B'!$R$70</f>
        <v>BN1000PRM_A2</v>
      </c>
      <c r="D3028" t="str">
        <f>_xlfn.CONCAT('6B'!$B$61, "-", '6B'!$B$70, "-", '6B'!$E$5)</f>
        <v>Water balance - region 2 (Essex &amp; Suffolk water)-Distribution input (pre-MLE)-Input</v>
      </c>
      <c r="E3028" t="str">
        <f>'6B'!$C$70</f>
        <v>Ml/d</v>
      </c>
      <c r="F3028" t="s">
        <v>682</v>
      </c>
      <c r="G3028">
        <f>'6B'!$D$70</f>
        <v>2</v>
      </c>
      <c r="O3028" t="str">
        <f>_xlfn.CONCAT('6B'!$B$61, "-", '6B'!$B$70, "-", '6B'!$E$5)</f>
        <v>Water balance - region 2 (Essex &amp; Suffolk water)-Distribution input (pre-MLE)-Input</v>
      </c>
    </row>
    <row r="3029" spans="1:15">
      <c r="A3029" t="s">
        <v>650</v>
      </c>
      <c r="B3029" s="2564"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level-Distribution main losses-Input</v>
      </c>
      <c r="E3030" t="str">
        <f>'6B'!$C$74</f>
        <v>Ml/day</v>
      </c>
      <c r="F3030" t="s">
        <v>682</v>
      </c>
      <c r="G3030">
        <f>'6B'!$D$74</f>
        <v>2</v>
      </c>
      <c r="O3030" t="str">
        <f>_xlfn.CONCAT('6B'!$B$72, "-", '6B'!$B$74, "-", '6B'!$E$5)</f>
        <v>Components of total leakage (post MLE) - company level-Distribution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556"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556"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556"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556"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564"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564"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556"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556"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556"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556"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564"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564"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556"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556"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556"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556"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564"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556"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556"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556"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556"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556"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556"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556"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556"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556"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556"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556"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556"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556"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556"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556"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564"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564"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564"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564"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564"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564"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564"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564"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564"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564"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564"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564"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564"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564"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564"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564"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564"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564"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564"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564"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564"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564"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564"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564"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564"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564"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564"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564"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564"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564"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564"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564"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564"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564"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564"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564"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564"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564"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564"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564"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564"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564"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564"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564"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564"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564"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564"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564"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564"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564"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564"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564"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564"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564"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564"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564"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564"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564"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564"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564"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564"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564"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564"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564"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564"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564"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564"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564"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564"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564"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564"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564"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564"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564"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564"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564"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564"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564"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564"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564"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564"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564"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564"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564"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564"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564"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564"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564"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564"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564"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564"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564"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564"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564"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564"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564"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564"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564"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564"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564"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564"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564"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564"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564"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564"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564"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564"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564"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564"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564"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564"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564"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564"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564"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564"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564"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564"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564"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564"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564"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564"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564"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564"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564"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564"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564"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564"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564"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564"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564"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564"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564"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564"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564"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564"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564"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564"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564"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564"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564"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564"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564"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564"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564"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564"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564"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564"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564"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564"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564"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564"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564"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564"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564"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564"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564"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564"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564"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564"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564"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564"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564"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564"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564"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564"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564"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564"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564"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564"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564"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564"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564"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564"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564"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564"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564"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564"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564"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564"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564"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564"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564"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564"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564"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564"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564"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564"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564"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564"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564"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564"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564"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564"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564"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564"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564"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564"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564"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564"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564"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564"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564"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564"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564"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564"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564"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564"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564"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564"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564"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564"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564"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564"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564"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564"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564"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564"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564"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564"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564"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564"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564"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564"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564"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564"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565"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568" t="s">
        <v>659</v>
      </c>
      <c r="B3620" t="str">
        <f>'9A'!$AK$25</f>
        <v>BO_4593973</v>
      </c>
      <c r="D3620" s="2568" t="s">
        <v>1524</v>
      </c>
      <c r="E3620" t="s">
        <v>681</v>
      </c>
      <c r="F3620" t="s">
        <v>682</v>
      </c>
      <c r="G3620">
        <v>3</v>
      </c>
      <c r="O3620" t="str">
        <f>D3620</f>
        <v>Innovation project 1 -Total amount of funding awarded to the lead company through the innovation fund</v>
      </c>
    </row>
    <row r="3621" spans="1:15">
      <c r="A3621" s="2568" t="s">
        <v>659</v>
      </c>
      <c r="B3621" t="str">
        <f>'9A'!$AL$25</f>
        <v>BO_6262597</v>
      </c>
      <c r="D3621" s="2568" t="s">
        <v>1525</v>
      </c>
      <c r="E3621" t="s">
        <v>681</v>
      </c>
      <c r="F3621" t="s">
        <v>682</v>
      </c>
      <c r="G3621">
        <v>3</v>
      </c>
      <c r="O3621" t="str">
        <f t="shared" ref="O3621:O3632" si="15">D3621</f>
        <v>Innovation project 1 -Total amount of inflation top-up funding received</v>
      </c>
    </row>
    <row r="3622" spans="1:15">
      <c r="A3622" s="2568" t="s">
        <v>659</v>
      </c>
      <c r="B3622" t="str">
        <f>'9A'!$AM$25</f>
        <v>BO_5728166</v>
      </c>
      <c r="D3622" s="2568" t="s">
        <v>1526</v>
      </c>
      <c r="E3622" t="s">
        <v>681</v>
      </c>
      <c r="F3622" t="s">
        <v>682</v>
      </c>
      <c r="G3622">
        <v>3</v>
      </c>
      <c r="O3622" t="str">
        <f t="shared" si="15"/>
        <v>Innovation project 1 -Forecast expenditure on innovation fund projects in year (excl 10% partnership contribution)</v>
      </c>
    </row>
    <row r="3623" spans="1:15">
      <c r="A3623" s="2568" t="s">
        <v>659</v>
      </c>
      <c r="B3623" t="str">
        <f>'9A'!$AN$25</f>
        <v>BO_9595975</v>
      </c>
      <c r="D3623" s="2568" t="s">
        <v>1527</v>
      </c>
      <c r="E3623" t="s">
        <v>681</v>
      </c>
      <c r="F3623" t="s">
        <v>682</v>
      </c>
      <c r="G3623">
        <v>3</v>
      </c>
      <c r="O3623" t="str">
        <f t="shared" si="15"/>
        <v>Innovation project 1 -Actual expenditure on innovation fund projects in year (excl 10% partnership contribution)</v>
      </c>
    </row>
    <row r="3624" spans="1:15">
      <c r="A3624" s="2568" t="s">
        <v>659</v>
      </c>
      <c r="B3624" t="str">
        <f>'9A'!$AO$25</f>
        <v>BO_8753577</v>
      </c>
      <c r="D3624" s="2568" t="s">
        <v>1528</v>
      </c>
      <c r="E3624" t="s">
        <v>681</v>
      </c>
      <c r="F3624" t="s">
        <v>682</v>
      </c>
      <c r="G3624">
        <v>3</v>
      </c>
      <c r="O3624" t="str">
        <f t="shared" si="15"/>
        <v xml:space="preserve">Innovation project 1 -Difference between actual and forecast expenditure </v>
      </c>
    </row>
    <row r="3625" spans="1:15">
      <c r="A3625" s="2568" t="s">
        <v>659</v>
      </c>
      <c r="B3625" t="str">
        <f>'9A'!$AP$25</f>
        <v>BO_7166343</v>
      </c>
      <c r="D3625" s="2568" t="s">
        <v>1529</v>
      </c>
      <c r="E3625" t="s">
        <v>681</v>
      </c>
      <c r="F3625" t="s">
        <v>682</v>
      </c>
      <c r="G3625">
        <v>3</v>
      </c>
      <c r="O3625" t="str">
        <f t="shared" si="15"/>
        <v>Innovation project 1 -Forecast project lifecycle expenditure on innovation fund projects (excl 10% partnership contribution)</v>
      </c>
    </row>
    <row r="3626" spans="1:15">
      <c r="A3626" s="2568" t="s">
        <v>659</v>
      </c>
      <c r="B3626" t="str">
        <f>'9A'!$AQ$25</f>
        <v>BO_7374000</v>
      </c>
      <c r="D3626" s="2568" t="s">
        <v>1530</v>
      </c>
      <c r="E3626" t="s">
        <v>681</v>
      </c>
      <c r="F3626" t="s">
        <v>682</v>
      </c>
      <c r="G3626">
        <v>3</v>
      </c>
      <c r="O3626" t="str">
        <f t="shared" si="15"/>
        <v>Innovation project 1 -Cumulative actual expenditure on innovation fund projects (excl 10% partnership contribution)</v>
      </c>
    </row>
    <row r="3627" spans="1:15">
      <c r="A3627" s="2568" t="s">
        <v>659</v>
      </c>
      <c r="B3627" t="str">
        <f>'9A'!$AR$25</f>
        <v>BO_2253155</v>
      </c>
      <c r="D3627" s="2568" t="s">
        <v>1528</v>
      </c>
      <c r="E3627" t="s">
        <v>681</v>
      </c>
      <c r="F3627" t="s">
        <v>682</v>
      </c>
      <c r="G3627">
        <v>3</v>
      </c>
      <c r="O3627" t="str">
        <f t="shared" si="15"/>
        <v xml:space="preserve">Innovation project 1 -Difference between actual and forecast expenditure </v>
      </c>
    </row>
    <row r="3628" spans="1:15">
      <c r="A3628" s="2568" t="s">
        <v>659</v>
      </c>
      <c r="B3628" t="str">
        <f>'9A'!$AS$25</f>
        <v>BO_3373114</v>
      </c>
      <c r="D3628" s="2568" t="s">
        <v>1531</v>
      </c>
      <c r="E3628" t="s">
        <v>681</v>
      </c>
      <c r="F3628" t="s">
        <v>682</v>
      </c>
      <c r="G3628">
        <v>3</v>
      </c>
      <c r="O3628" t="str">
        <f t="shared" si="15"/>
        <v>Innovation project 1 -Allowed future expenditure on innovation fund projects (excl 10% partnership contribution)</v>
      </c>
    </row>
    <row r="3629" spans="1:15">
      <c r="A3629" s="2568" t="s">
        <v>659</v>
      </c>
      <c r="B3629" t="str">
        <f>'9A'!$AT$25</f>
        <v>BO_7640563</v>
      </c>
      <c r="D3629" s="2569" t="s">
        <v>1532</v>
      </c>
      <c r="E3629" t="s">
        <v>681</v>
      </c>
      <c r="F3629" t="s">
        <v>682</v>
      </c>
      <c r="G3629">
        <v>3</v>
      </c>
      <c r="O3629" t="str">
        <f t="shared" si="15"/>
        <v>Innovation project 1 -In year expenditure on innovation projects funded by shareholders of the lead water company</v>
      </c>
    </row>
    <row r="3630" spans="1:15">
      <c r="A3630" s="2568" t="s">
        <v>659</v>
      </c>
      <c r="B3630" t="str">
        <f>'9A'!$AU$25</f>
        <v>BO23_7640563</v>
      </c>
      <c r="D3630" s="2569" t="s">
        <v>1533</v>
      </c>
      <c r="E3630" t="s">
        <v>681</v>
      </c>
      <c r="F3630" t="s">
        <v>682</v>
      </c>
      <c r="G3630">
        <v>3</v>
      </c>
      <c r="O3630" t="str">
        <f t="shared" si="15"/>
        <v>Innovation project 1 -In year expenditure on innovation projects funded by project  partner contributions</v>
      </c>
    </row>
    <row r="3631" spans="1:15">
      <c r="A3631" s="2568" t="s">
        <v>659</v>
      </c>
      <c r="B3631" t="str">
        <f>'9A'!$AV$25</f>
        <v>BO_3165168</v>
      </c>
      <c r="D3631" s="2568" t="s">
        <v>1534</v>
      </c>
      <c r="E3631" t="s">
        <v>681</v>
      </c>
      <c r="F3631" t="s">
        <v>682</v>
      </c>
      <c r="G3631">
        <v>3</v>
      </c>
      <c r="O3631" t="str">
        <f t="shared" si="15"/>
        <v>Innovation project 1 -Cumulative expenditure on innovation projects funded by shareholders of the lead water company</v>
      </c>
    </row>
    <row r="3632" spans="1:15">
      <c r="A3632" s="2568" t="s">
        <v>659</v>
      </c>
      <c r="B3632" t="str">
        <f>'9A'!$AW$25</f>
        <v>BO23_3165168</v>
      </c>
      <c r="D3632" s="2568"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568"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568"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568"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568"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568"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568"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568"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568"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568"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569"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569"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568"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568"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568"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568"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568"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568"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568"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568"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568"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568"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568"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569"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569"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568"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568"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568"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568"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568"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568"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568"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568"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568"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568"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568"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569"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569"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568"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568"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568"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568"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568"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568"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568"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568"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568"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568"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568"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569"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569"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568"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568"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568"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568"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568"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568"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568"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568"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568"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568"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568"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569"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569"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568"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568"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568"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568"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568"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568"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568"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568"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568"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568"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568"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569"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569"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568"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568"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568"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568"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568"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568"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568"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568"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568"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568"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568"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569"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569"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568"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568"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568"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568"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568"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568"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568"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568"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568"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568"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568"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569"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569"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568"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568"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568"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568"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568"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568"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568"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568"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568"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568"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568"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569"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569"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568"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568"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568"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568"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568"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568"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568"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568"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568"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568"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568"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569"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569"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568"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568"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568"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568"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568"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568"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568"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568"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568"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568"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568"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569"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569"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568"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568"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568"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568"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568"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568"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568"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568"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568"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568"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568"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569"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569"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568"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568"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568"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568"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568"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568"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568"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568"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568"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568"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568"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569"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569"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568"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568"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568"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568"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568"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568"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568"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568"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568"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568"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568"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569"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569"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568"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568"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568"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568" t="s">
        <v>1705</v>
      </c>
      <c r="E3816" t="s">
        <v>681</v>
      </c>
      <c r="F3816" t="s">
        <v>682</v>
      </c>
      <c r="G3816">
        <v>3</v>
      </c>
      <c r="O3816" t="str">
        <f t="shared" ref="O3816:O3827" si="30">D3816</f>
        <v>Innovation Total -Total amount of inflation top-up funding received</v>
      </c>
    </row>
    <row r="3817" spans="1:15">
      <c r="A3817" t="s">
        <v>659</v>
      </c>
      <c r="B3817" t="str">
        <f>'9A'!$AM$40</f>
        <v>BO_1993881</v>
      </c>
      <c r="D3817" s="2568"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568"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568" t="s">
        <v>1708</v>
      </c>
      <c r="E3819" t="s">
        <v>681</v>
      </c>
      <c r="F3819" t="s">
        <v>682</v>
      </c>
      <c r="G3819">
        <v>3</v>
      </c>
      <c r="O3819" t="str">
        <f t="shared" si="30"/>
        <v xml:space="preserve">Innovation Total -Difference between actual and forecast expenditure </v>
      </c>
    </row>
    <row r="3820" spans="1:15">
      <c r="A3820" t="s">
        <v>659</v>
      </c>
      <c r="B3820" t="str">
        <f>'9A'!$AP$40</f>
        <v>BO_2488494</v>
      </c>
      <c r="D3820" s="2568"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568"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568" t="s">
        <v>1708</v>
      </c>
      <c r="E3822" t="s">
        <v>681</v>
      </c>
      <c r="F3822" t="s">
        <v>682</v>
      </c>
      <c r="G3822">
        <v>3</v>
      </c>
      <c r="O3822" t="str">
        <f t="shared" si="30"/>
        <v xml:space="preserve">Innovation Total -Difference between actual and forecast expenditure </v>
      </c>
    </row>
    <row r="3823" spans="1:15">
      <c r="A3823" t="s">
        <v>659</v>
      </c>
      <c r="B3823" t="str">
        <f>'9A'!$AS$40</f>
        <v>BO_9499548</v>
      </c>
      <c r="D3823" s="2568"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569"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569"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568"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568" t="s">
        <v>1715</v>
      </c>
      <c r="E3827" t="s">
        <v>681</v>
      </c>
      <c r="F3827" t="s">
        <v>682</v>
      </c>
      <c r="G3827">
        <v>3</v>
      </c>
      <c r="O3827" t="str">
        <f t="shared" si="30"/>
        <v>Innovation Total -Cumulative expenditure on innovation projects funded by project partner contributions</v>
      </c>
    </row>
    <row r="3828" spans="1:15">
      <c r="A3828" t="s">
        <v>660</v>
      </c>
      <c r="B3828" t="str">
        <f>'11A'!$T$11</f>
        <v>BR001_S1WBF</v>
      </c>
      <c r="D3828" t="str">
        <f>_xlfn.CONCAT('11A'!$B$10, "-", '11A'!$B$11, "-", '11A'!$C$8, "-", '11A'!$C$7, "-", '11A'!$C$6, "-", '11A'!$C$5)</f>
        <v>Scope one emissions-Burning of fossil fuels (location-based)-3-tCO2e-Water-Operational emissions</v>
      </c>
      <c r="E3828">
        <f>'11A'!$C$11</f>
        <v>2262.739</v>
      </c>
      <c r="F3828" t="s">
        <v>682</v>
      </c>
      <c r="G3828">
        <f>'11A'!$D$11</f>
        <v>36048.724000000002</v>
      </c>
      <c r="O3828" t="str">
        <f>_xlfn.CONCAT('11A'!$B$10, "-", '11A'!$B$11, "-", '11A'!$C$8, "-", '11A'!$C$7, "-", '11A'!$C$6, "-", '11A'!$C$5)</f>
        <v>Scope one emissions-Burning of fossil fuels (location-based)-3-tCO2e-Water-Operational emissions</v>
      </c>
    </row>
    <row r="3829" spans="1:15">
      <c r="A3829" t="s">
        <v>660</v>
      </c>
      <c r="B3829" t="str">
        <f>'11A'!$U$11</f>
        <v>BR002_S1WWBF</v>
      </c>
      <c r="D3829" t="str">
        <f>_xlfn.CONCAT('11A'!$B$10, "-", '11A'!$B$11, "-", '11A'!$D$8, "-", '11A'!$D$7, "-", '11A'!$D$6, "-", '11A'!$C$5)</f>
        <v>Scope one emissions-Burning of fossil fuels (location-based)-3-tCO2e-Wastewater-Operational emissions</v>
      </c>
      <c r="E3829">
        <f>'11A'!$C$11</f>
        <v>2262.739</v>
      </c>
      <c r="F3829" t="s">
        <v>682</v>
      </c>
      <c r="G3829">
        <f>'11A'!$D$11</f>
        <v>36048.724000000002</v>
      </c>
      <c r="O3829" t="str">
        <f>_xlfn.CONCAT('11A'!$B$10, "-", '11A'!$B$11, "-", '11A'!$D$8, "-", '11A'!$D$7, "-", '11A'!$D$6, "-", '11A'!$C$5)</f>
        <v>Scope one emissions-Burning of fossil fuels (location-based)-3-tCO2e-Wastewater-Operational emissions</v>
      </c>
    </row>
    <row r="3830" spans="1:15">
      <c r="A3830" t="s">
        <v>660</v>
      </c>
      <c r="B3830" t="str">
        <f>'11A'!$V$11</f>
        <v>BR003_S1TOBF</v>
      </c>
      <c r="D3830" t="str">
        <f>_xlfn.CONCAT('11A'!$B$10, "-", '11A'!$B$11, "-", '11A'!$E$8, "-", '11A'!$E$7, "-", '11A'!$E$6, "-", '11A'!$C$5)</f>
        <v>Scope one emissions-Burning of fossil fuels (location-based)-3-tCO2e-Total-Operational emissions</v>
      </c>
      <c r="E3830">
        <f>'11A'!$C$11</f>
        <v>2262.739</v>
      </c>
      <c r="F3830" t="s">
        <v>682</v>
      </c>
      <c r="G3830">
        <f>'11A'!$D$11</f>
        <v>36048.724000000002</v>
      </c>
      <c r="O3830" t="str">
        <f>_xlfn.CONCAT('11A'!$B$10, "-", '11A'!$B$11, "-", '11A'!$E$8, "-", '11A'!$E$7, "-", '11A'!$E$6, "-", '11A'!$C$5)</f>
        <v>Scope one emissions-Burning of fossil fuels (location-based)-3-tCO2e-Total-Operational emissions</v>
      </c>
    </row>
    <row r="3831" spans="1:15">
      <c r="A3831" t="s">
        <v>660</v>
      </c>
      <c r="B3831" t="str">
        <f>'11A'!$T$12</f>
        <v>BO_8218400</v>
      </c>
      <c r="D3831" t="str">
        <f>_xlfn.CONCAT('11A'!$B$10, "-", '11A'!$B$12, "-", '11A'!$C$8, "-", '11A'!$C$7, "-", '11A'!$C$6, "-", '11A'!$C$5)</f>
        <v>Scope one emissions-Burning of fossil fuels (market-based)-3-tCO2e-Water-Operational emissions</v>
      </c>
      <c r="E3831">
        <f>'11A'!$C$12</f>
        <v>1634.4169999999999</v>
      </c>
      <c r="F3831" t="s">
        <v>682</v>
      </c>
      <c r="G3831">
        <f>'11A'!$D$12</f>
        <v>7039.0949000000001</v>
      </c>
      <c r="O3831" t="str">
        <f>_xlfn.CONCAT('11A'!$B$10, "-", '11A'!$B$12, "-", '11A'!$C$8, "-", '11A'!$C$7, "-", '11A'!$C$6, "-", '11A'!$C$5)</f>
        <v>Scope one emissions-Burning of fossil fuels (market-based)-3-tCO2e-Water-Operational emissions</v>
      </c>
    </row>
    <row r="3832" spans="1:15">
      <c r="A3832" t="s">
        <v>660</v>
      </c>
      <c r="B3832" t="str">
        <f>'11A'!$U$12</f>
        <v>BO_1134050</v>
      </c>
      <c r="D3832" t="str">
        <f>_xlfn.CONCAT('11A'!$B$10, "-", '11A'!$B$12, "-", '11A'!$D$8, "-", '11A'!$D$7, "-", '11A'!$D$6, "-", '11A'!$C$5)</f>
        <v>Scope one emissions-Burning of fossil fuels (market-based)-3-tCO2e-Wastewater-Operational emissions</v>
      </c>
      <c r="E3832">
        <f>'11A'!$C$12</f>
        <v>1634.4169999999999</v>
      </c>
      <c r="F3832" t="s">
        <v>682</v>
      </c>
      <c r="G3832">
        <f>'11A'!$D$12</f>
        <v>7039.0949000000001</v>
      </c>
      <c r="O3832" t="str">
        <f>_xlfn.CONCAT('11A'!$B$10, "-", '11A'!$B$12, "-", '11A'!$D$8, "-", '11A'!$D$7, "-", '11A'!$D$6, "-", '11A'!$C$5)</f>
        <v>Scope one emissions-Burning of fossil fuels (market-based)-3-tCO2e-Wastewater-Operational emissions</v>
      </c>
    </row>
    <row r="3833" spans="1:15">
      <c r="A3833" t="s">
        <v>660</v>
      </c>
      <c r="B3833" t="str">
        <f>'11A'!$V$12</f>
        <v>BO_7562084</v>
      </c>
      <c r="D3833" t="str">
        <f>_xlfn.CONCAT('11A'!$B$10, "-", '11A'!$B$12, "-", '11A'!$E$8, "-", '11A'!$E$7, "-", '11A'!$E$6, "-", '11A'!$C$5)</f>
        <v>Scope one emissions-Burning of fossil fuels (market-based)-3-tCO2e-Total-Operational emissions</v>
      </c>
      <c r="E3833">
        <f>'11A'!$C$12</f>
        <v>1634.4169999999999</v>
      </c>
      <c r="F3833" t="s">
        <v>682</v>
      </c>
      <c r="G3833">
        <f>'11A'!$D$12</f>
        <v>7039.0949000000001</v>
      </c>
      <c r="O3833" t="str">
        <f>_xlfn.CONCAT('11A'!$B$10, "-", '11A'!$B$12, "-", '11A'!$E$8, "-", '11A'!$E$7, "-", '11A'!$E$6, "-", '11A'!$C$5)</f>
        <v>Scope one emissions-Burning of fossil fuels (market-based)-3-tCO2e-Total-Operational emissions</v>
      </c>
    </row>
    <row r="3834" spans="1:15">
      <c r="A3834" t="s">
        <v>660</v>
      </c>
      <c r="B3834" t="str">
        <f>'11A'!$T$13</f>
        <v>BR004_S1WPG</v>
      </c>
      <c r="D3834" t="str">
        <f>_xlfn.CONCAT('11A'!$B$10, "-", '11A'!$B$13, "-", '11A'!$C$8, "-", '11A'!$C$7, "-", '11A'!$C$6, "-", '11A'!$C$5)</f>
        <v>Scope one emissions-Process and fugitive emissions-3-tCO2e-Water-Operational emissions</v>
      </c>
      <c r="E3834">
        <f>'11A'!$C$13</f>
        <v>0</v>
      </c>
      <c r="F3834" t="s">
        <v>682</v>
      </c>
      <c r="G3834">
        <f>'11A'!$D$13</f>
        <v>29187.628000000001</v>
      </c>
      <c r="O3834" t="str">
        <f>_xlfn.CONCAT('11A'!$B$10, "-", '11A'!$B$13, "-", '11A'!$C$8, "-", '11A'!$C$7, "-", '11A'!$C$6, "-", '11A'!$C$5)</f>
        <v>Scope one emissions-Process and fugitive emissions-3-tCO2e-Water-Operational emissions</v>
      </c>
    </row>
    <row r="3835" spans="1:15">
      <c r="A3835" t="s">
        <v>660</v>
      </c>
      <c r="B3835" t="str">
        <f>'11A'!$U$13</f>
        <v>BR005_S1WWPG</v>
      </c>
      <c r="D3835" t="str">
        <f>_xlfn.CONCAT('11A'!$B$10, "-", '11A'!$B$13, "-", '11A'!$D$8, "-", '11A'!$D$7, "-", '11A'!$D$6, "-", '11A'!$C$5)</f>
        <v>Scope one emissions-Process and fugitive emissions-3-tCO2e-Wastewater-Operational emissions</v>
      </c>
      <c r="E3835">
        <f>'11A'!$C$13</f>
        <v>0</v>
      </c>
      <c r="F3835" t="s">
        <v>682</v>
      </c>
      <c r="G3835">
        <f>'11A'!$D$13</f>
        <v>29187.628000000001</v>
      </c>
      <c r="O3835" t="str">
        <f>_xlfn.CONCAT('11A'!$B$10, "-", '11A'!$B$13, "-", '11A'!$D$8, "-", '11A'!$D$7, "-", '11A'!$D$6, "-", '11A'!$C$5)</f>
        <v>Scope one emissions-Process and fugitive emissions-3-tCO2e-Wastewater-Operational emissions</v>
      </c>
    </row>
    <row r="3836" spans="1:15">
      <c r="A3836" t="s">
        <v>660</v>
      </c>
      <c r="B3836" t="str">
        <f>'11A'!$V$13</f>
        <v>BR006_S1TOPG</v>
      </c>
      <c r="D3836" t="str">
        <f>_xlfn.CONCAT('11A'!$B$10, "-", '11A'!$B$13, "-", '11A'!$E$8, "-", '11A'!$E$7, "-", '11A'!$E$6, "-", '11A'!$C$5)</f>
        <v>Scope one emissions-Process and fugitive emissions-3-tCO2e-Total-Operational emissions</v>
      </c>
      <c r="E3836">
        <f>'11A'!$C$13</f>
        <v>0</v>
      </c>
      <c r="F3836" t="s">
        <v>682</v>
      </c>
      <c r="G3836">
        <f>'11A'!$D$13</f>
        <v>29187.628000000001</v>
      </c>
      <c r="O3836" t="str">
        <f>_xlfn.CONCAT('11A'!$B$10, "-", '11A'!$B$13, "-", '11A'!$E$8, "-", '11A'!$E$7, "-", '11A'!$E$6, "-", '11A'!$C$5)</f>
        <v>Scope one emissions-Process and fugitive emissions-3-tCO2e-Total-Operational emissions</v>
      </c>
    </row>
    <row r="3837" spans="1:15">
      <c r="A3837" t="s">
        <v>660</v>
      </c>
      <c r="B3837" t="str">
        <f>'11A'!$T$14</f>
        <v>BR007_S1WVT</v>
      </c>
      <c r="D3837" t="str">
        <f>_xlfn.CONCAT('11A'!$B$10, "-", '11A'!$B$14, "-", '11A'!$C$8, "-", '11A'!$C$7, "-", '11A'!$C$6, "-", '11A'!$C$5)</f>
        <v>Scope one emissions-Vehicle transport-3-tCO2e-Water-Operational emissions</v>
      </c>
      <c r="E3837">
        <f>'11A'!$C$14</f>
        <v>3906.1023</v>
      </c>
      <c r="F3837" t="s">
        <v>682</v>
      </c>
      <c r="G3837">
        <f>'11A'!$D$14</f>
        <v>3555.1990999999998</v>
      </c>
      <c r="O3837" t="str">
        <f>_xlfn.CONCAT('11A'!$B$10, "-", '11A'!$B$14, "-", '11A'!$C$8, "-", '11A'!$C$7, "-", '11A'!$C$6, "-", '11A'!$C$5)</f>
        <v>Scope one emissions-Vehicle transport-3-tCO2e-Water-Operational emissions</v>
      </c>
    </row>
    <row r="3838" spans="1:15">
      <c r="A3838" t="s">
        <v>660</v>
      </c>
      <c r="B3838" t="str">
        <f>'11A'!$U$14</f>
        <v>BR008_S1WWVT</v>
      </c>
      <c r="D3838" t="str">
        <f>_xlfn.CONCAT('11A'!$B$10, "-", '11A'!$B$14, "-", '11A'!$D$8, "-", '11A'!$D$7, "-", '11A'!$D$6, "-", '11A'!$C$5)</f>
        <v>Scope one emissions-Vehicle transport-3-tCO2e-Wastewater-Operational emissions</v>
      </c>
      <c r="E3838">
        <f>'11A'!$C$14</f>
        <v>3906.1023</v>
      </c>
      <c r="F3838" t="s">
        <v>682</v>
      </c>
      <c r="G3838">
        <f>'11A'!$D$14</f>
        <v>3555.1990999999998</v>
      </c>
      <c r="O3838" t="str">
        <f>_xlfn.CONCAT('11A'!$B$10, "-", '11A'!$B$14, "-", '11A'!$D$8, "-", '11A'!$D$7, "-", '11A'!$D$6, "-", '11A'!$C$5)</f>
        <v>Scope one emissions-Vehicle transport-3-tCO2e-Wastewater-Operational emissions</v>
      </c>
    </row>
    <row r="3839" spans="1:15">
      <c r="A3839" t="s">
        <v>660</v>
      </c>
      <c r="B3839" t="str">
        <f>'11A'!$V$14</f>
        <v>BR009_S1TOVT</v>
      </c>
      <c r="D3839" t="str">
        <f>_xlfn.CONCAT('11A'!$B$10, "-", '11A'!$B$14, "-", '11A'!$E$8, "-", '11A'!$E$7, "-", '11A'!$E$6, "-", '11A'!$C$5)</f>
        <v>Scope one emissions-Vehicle transport-3-tCO2e-Total-Operational emissions</v>
      </c>
      <c r="E3839">
        <f>'11A'!$C$14</f>
        <v>3906.1023</v>
      </c>
      <c r="F3839" t="s">
        <v>682</v>
      </c>
      <c r="G3839">
        <f>'11A'!$D$14</f>
        <v>3555.1990999999998</v>
      </c>
      <c r="O3839" t="str">
        <f>_xlfn.CONCAT('11A'!$B$10, "-", '11A'!$B$14, "-", '11A'!$E$8, "-", '11A'!$E$7, "-", '11A'!$E$6, "-", '11A'!$C$5)</f>
        <v>Scope one emissions-Vehicle transport-3-tCO2e-Total-Operational emissions</v>
      </c>
    </row>
    <row r="3840" spans="1:15">
      <c r="A3840" t="s">
        <v>660</v>
      </c>
      <c r="B3840" t="str">
        <f>'11A'!$T$15</f>
        <v>BO_4235456</v>
      </c>
      <c r="D3840" t="str">
        <f>_xlfn.CONCAT('11A'!$B$10, "-", '11A'!$B$15, "-", '11A'!$C$8, "-", '11A'!$C$7, "-", '11A'!$C$6, "-", '11A'!$C$5)</f>
        <v>Scope one emissions-Emissions from land-3-tCO2e-Water-Operational emissions</v>
      </c>
      <c r="E3840">
        <f>'11A'!$C$15</f>
        <v>57.417167999999997</v>
      </c>
      <c r="F3840" t="s">
        <v>682</v>
      </c>
      <c r="G3840">
        <f>'11A'!$D$15</f>
        <v>0</v>
      </c>
      <c r="O3840" t="str">
        <f>_xlfn.CONCAT('11A'!$B$10, "-", '11A'!$B$15, "-", '11A'!$C$8, "-", '11A'!$C$7, "-", '11A'!$C$6, "-", '11A'!$C$5)</f>
        <v>Scope one emissions-Emissions from land-3-tCO2e-Water-Operational emissions</v>
      </c>
    </row>
    <row r="3841" spans="1:15">
      <c r="A3841" t="s">
        <v>660</v>
      </c>
      <c r="B3841" t="str">
        <f>'11A'!$U$15</f>
        <v>BO_9915427</v>
      </c>
      <c r="D3841" t="str">
        <f>_xlfn.CONCAT('11A'!$B$10, "-", '11A'!$B$15, "-", '11A'!$D$8, "-", '11A'!$D$7, "-", '11A'!$D$6, "-", '11A'!$C$5)</f>
        <v>Scope one emissions-Emissions from land-3-tCO2e-Wastewater-Operational emissions</v>
      </c>
      <c r="E3841">
        <f>'11A'!$C$15</f>
        <v>57.417167999999997</v>
      </c>
      <c r="F3841" t="s">
        <v>682</v>
      </c>
      <c r="G3841">
        <f>'11A'!$D$15</f>
        <v>0</v>
      </c>
      <c r="O3841" t="str">
        <f>_xlfn.CONCAT('11A'!$B$10, "-", '11A'!$B$15, "-", '11A'!$D$8, "-", '11A'!$D$7, "-", '11A'!$D$6, "-", '11A'!$C$5)</f>
        <v>Scope one emissions-Emissions from land-3-tCO2e-Wastewater-Operational emissions</v>
      </c>
    </row>
    <row r="3842" spans="1:15">
      <c r="A3842" t="s">
        <v>660</v>
      </c>
      <c r="B3842" t="str">
        <f>'11A'!$V$15</f>
        <v>BO_5953876</v>
      </c>
      <c r="D3842" t="str">
        <f>_xlfn.CONCAT('11A'!$B$10, "-", '11A'!$B$15, "-", '11A'!$E$8, "-", '11A'!$E$7, "-", '11A'!$E$6, "-", '11A'!$C$5)</f>
        <v>Scope one emissions-Emissions from land-3-tCO2e-Total-Operational emissions</v>
      </c>
      <c r="E3842">
        <f>'11A'!$C$15</f>
        <v>57.417167999999997</v>
      </c>
      <c r="F3842" t="s">
        <v>682</v>
      </c>
      <c r="G3842">
        <f>'11A'!$D$15</f>
        <v>0</v>
      </c>
      <c r="O3842" t="str">
        <f>_xlfn.CONCAT('11A'!$B$10, "-", '11A'!$B$15, "-", '11A'!$E$8, "-", '11A'!$E$7, "-", '11A'!$E$6, "-", '11A'!$C$5)</f>
        <v>Scope one emissions-Emissions from land-3-tCO2e-Total-Operational emissions</v>
      </c>
    </row>
    <row r="3843" spans="1:15">
      <c r="A3843" t="s">
        <v>660</v>
      </c>
      <c r="B3843" t="str">
        <f>'11A'!$T$16</f>
        <v>BO_449931</v>
      </c>
      <c r="D3843" t="str">
        <f>_xlfn.CONCAT('11A'!$B$10, "-", '11A'!$B$16, "-", '11A'!$C$8, "-", '11A'!$C$7, "-", '11A'!$C$6, "-", '11A'!$C$5)</f>
        <v>Scope one emissions-Total scope one emissions (location-based)-3-tCO2e-Water-Operational emissions</v>
      </c>
      <c r="E3843">
        <f>'11A'!$C$16</f>
        <v>6226.258468</v>
      </c>
      <c r="F3843" t="s">
        <v>682</v>
      </c>
      <c r="G3843">
        <f>'11A'!$D$16</f>
        <v>68791.551100000012</v>
      </c>
      <c r="O3843" t="str">
        <f>_xlfn.CONCAT('11A'!$B$10, "-", '11A'!$B$16, "-", '11A'!$C$8, "-", '11A'!$C$7, "-", '11A'!$C$6, "-", '11A'!$C$5)</f>
        <v>Scope one emissions-Total scope one emissions (location-based)-3-tCO2e-Water-Operational emissions</v>
      </c>
    </row>
    <row r="3844" spans="1:15">
      <c r="A3844" t="s">
        <v>660</v>
      </c>
      <c r="B3844" t="str">
        <f>'11A'!$U$16</f>
        <v>BO_3904088</v>
      </c>
      <c r="D3844" t="str">
        <f>_xlfn.CONCAT('11A'!$B$10, "-", '11A'!$B$16, "-", '11A'!$D$8, "-", '11A'!$D$7, "-", '11A'!$D$6, "-", '11A'!$C$5)</f>
        <v>Scope one emissions-Total scope one emissions (location-based)-3-tCO2e-Wastewater-Operational emissions</v>
      </c>
      <c r="E3844">
        <f>'11A'!$C$16</f>
        <v>6226.258468</v>
      </c>
      <c r="F3844" t="s">
        <v>682</v>
      </c>
      <c r="G3844">
        <f>'11A'!$D$16</f>
        <v>68791.551100000012</v>
      </c>
      <c r="O3844" t="str">
        <f>_xlfn.CONCAT('11A'!$B$10, "-", '11A'!$B$16, "-", '11A'!$D$8, "-", '11A'!$D$7, "-", '11A'!$D$6, "-", '11A'!$C$5)</f>
        <v>Scope one emissions-Total scope one emissions (location-based)-3-tCO2e-Wastewater-Operational emissions</v>
      </c>
    </row>
    <row r="3845" spans="1:15">
      <c r="A3845" t="s">
        <v>660</v>
      </c>
      <c r="B3845" t="str">
        <f>'11A'!$V$16</f>
        <v>BO_2111781</v>
      </c>
      <c r="D3845" t="str">
        <f>_xlfn.CONCAT('11A'!$B$10, "-", '11A'!$B$16, "-", '11A'!$E$8, "-", '11A'!$E$7, "-", '11A'!$E$6, "-", '11A'!$C$5)</f>
        <v>Scope one emissions-Total scope one emissions (location-based)-3-tCO2e-Total-Operational emissions</v>
      </c>
      <c r="E3845">
        <f>'11A'!$C$16</f>
        <v>6226.258468</v>
      </c>
      <c r="F3845" t="s">
        <v>682</v>
      </c>
      <c r="G3845">
        <f>'11A'!$D$16</f>
        <v>68791.551100000012</v>
      </c>
      <c r="O3845" t="str">
        <f>_xlfn.CONCAT('11A'!$B$10, "-", '11A'!$B$16, "-", '11A'!$E$8, "-", '11A'!$E$7, "-", '11A'!$E$6, "-", '11A'!$C$5)</f>
        <v>Scope one emissions-Total scope one emissions (location-based)-3-tCO2e-Total-Operational emissions</v>
      </c>
    </row>
    <row r="3846" spans="1:15">
      <c r="A3846" t="s">
        <v>660</v>
      </c>
      <c r="B3846" t="str">
        <f>'11A'!$T$17</f>
        <v>BR010_S1WTO</v>
      </c>
      <c r="D3846" t="str">
        <f>_xlfn.CONCAT('11A'!$B$10, "-", '11A'!$B$17, "-", '11A'!$C$8, "-", '11A'!$C$7, "-", '11A'!$C$6, "-", '11A'!$C$5)</f>
        <v>Scope one emissions-Total scope one emissions (market-based)-3-tCO2e-Water-Operational emissions</v>
      </c>
      <c r="E3846">
        <f>'11A'!$C$17</f>
        <v>5597.9364679999999</v>
      </c>
      <c r="F3846" t="s">
        <v>682</v>
      </c>
      <c r="G3846">
        <f>'11A'!$D$17</f>
        <v>39781.921999999999</v>
      </c>
      <c r="O3846" t="str">
        <f>_xlfn.CONCAT('11A'!$B$10, "-", '11A'!$B$17, "-", '11A'!$C$8, "-", '11A'!$C$7, "-", '11A'!$C$6, "-", '11A'!$C$5)</f>
        <v>Scope one emissions-Total scope one emissions (market-based)-3-tCO2e-Water-Operational emissions</v>
      </c>
    </row>
    <row r="3847" spans="1:15">
      <c r="A3847" t="s">
        <v>660</v>
      </c>
      <c r="B3847" t="str">
        <f>'11A'!$U$17</f>
        <v>BR011_S1WWTO</v>
      </c>
      <c r="D3847" t="str">
        <f>_xlfn.CONCAT('11A'!$B$10, "-", '11A'!$B$17, "-", '11A'!$D$8, "-", '11A'!$D$7, "-", '11A'!$D$6, "-", '11A'!$C$5)</f>
        <v>Scope one emissions-Total scope one emissions (market-based)-3-tCO2e-Wastewater-Operational emissions</v>
      </c>
      <c r="E3847">
        <f>'11A'!$C$17</f>
        <v>5597.9364679999999</v>
      </c>
      <c r="F3847" t="s">
        <v>682</v>
      </c>
      <c r="G3847">
        <f>'11A'!$D$17</f>
        <v>39781.921999999999</v>
      </c>
      <c r="O3847" t="str">
        <f>_xlfn.CONCAT('11A'!$B$10, "-", '11A'!$B$17, "-", '11A'!$D$8, "-", '11A'!$D$7, "-", '11A'!$D$6, "-", '11A'!$C$5)</f>
        <v>Scope one emissions-Total scope one emissions (market-based)-3-tCO2e-Wastewater-Operational emissions</v>
      </c>
    </row>
    <row r="3848" spans="1:15">
      <c r="A3848" t="s">
        <v>660</v>
      </c>
      <c r="B3848" t="str">
        <f>'11A'!$V$17</f>
        <v>BR012_S1TOTO</v>
      </c>
      <c r="D3848" t="str">
        <f>_xlfn.CONCAT('11A'!$B$10, "-", '11A'!$B$17, "-", '11A'!$E$8, "-", '11A'!$E$7, "-", '11A'!$E$6, "-", '11A'!$C$5)</f>
        <v>Scope one emissions-Total scope one emissions (market-based)-3-tCO2e-Total-Operational emissions</v>
      </c>
      <c r="E3848">
        <f>'11A'!$C$17</f>
        <v>5597.9364679999999</v>
      </c>
      <c r="F3848" t="s">
        <v>682</v>
      </c>
      <c r="G3848">
        <f>'11A'!$D$17</f>
        <v>39781.921999999999</v>
      </c>
      <c r="O3848" t="str">
        <f>_xlfn.CONCAT('11A'!$B$10, "-", '11A'!$B$17, "-", '11A'!$E$8, "-", '11A'!$E$7, "-", '11A'!$E$6, "-", '11A'!$C$5)</f>
        <v>Scope one emissions-Total scope one emissions (market-based)-3-tCO2e-Total-Operational emissions</v>
      </c>
    </row>
    <row r="3849" spans="1:15">
      <c r="A3849" t="s">
        <v>660</v>
      </c>
      <c r="B3849" t="str">
        <f>'11A'!$T$19</f>
        <v>BR010_S1WCO</v>
      </c>
      <c r="D3849" t="str">
        <f>_xlfn.CONCAT('11A'!$B$10, "-", '11A'!$B$19, "-", '11A'!$C$8, "-", '11A'!$C$7, "-", '11A'!$C$6, "-", '11A'!$C$5)</f>
        <v>Scope one emissions-Scope one emissions; GHG type CO2-3-tCO2e-Water-Operational emissions</v>
      </c>
      <c r="E3849">
        <f>'11A'!$C$19</f>
        <v>6087.2362000000003</v>
      </c>
      <c r="F3849" t="s">
        <v>682</v>
      </c>
      <c r="G3849">
        <f>'11A'!$D$19</f>
        <v>39441.898999999998</v>
      </c>
      <c r="O3849" t="str">
        <f>_xlfn.CONCAT('11A'!$B$10, "-", '11A'!$B$19, "-", '11A'!$C$8, "-", '11A'!$C$7, "-", '11A'!$C$6, "-", '11A'!$C$5)</f>
        <v>Scope one emissions-Scope one emissions; GHG type CO2-3-tCO2e-Water-Operational emissions</v>
      </c>
    </row>
    <row r="3850" spans="1:15">
      <c r="A3850" t="s">
        <v>660</v>
      </c>
      <c r="B3850" t="str">
        <f>'11A'!$U$19</f>
        <v>BR011_S1WWCO</v>
      </c>
      <c r="D3850" t="str">
        <f>_xlfn.CONCAT('11A'!$B$10, "-", '11A'!$B$19, "-", '11A'!$D$8, "-", '11A'!$D$7, "-", '11A'!$D$6, "-", '11A'!$C$5)</f>
        <v>Scope one emissions-Scope one emissions; GHG type CO2-3-tCO2e-Wastewater-Operational emissions</v>
      </c>
      <c r="E3850">
        <f>'11A'!$C$19</f>
        <v>6087.2362000000003</v>
      </c>
      <c r="F3850" t="s">
        <v>682</v>
      </c>
      <c r="G3850">
        <f>'11A'!$D$19</f>
        <v>39441.898999999998</v>
      </c>
      <c r="O3850" t="str">
        <f>_xlfn.CONCAT('11A'!$B$10, "-", '11A'!$B$19, "-", '11A'!$D$8, "-", '11A'!$D$7, "-", '11A'!$D$6, "-", '11A'!$C$5)</f>
        <v>Scope one emissions-Scope one emissions; GHG type CO2-3-tCO2e-Wastewater-Operational emissions</v>
      </c>
    </row>
    <row r="3851" spans="1:15">
      <c r="A3851" t="s">
        <v>660</v>
      </c>
      <c r="B3851" t="str">
        <f>'11A'!$V$19</f>
        <v>BR012_S1TOCO</v>
      </c>
      <c r="D3851" t="str">
        <f>_xlfn.CONCAT('11A'!$B$10, "-", '11A'!$B$19, "-", '11A'!$E$8, "-", '11A'!$E$7, "-", '11A'!$E$6, "-", '11A'!$C$5)</f>
        <v>Scope one emissions-Scope one emissions; GHG type CO2-3-tCO2e-Total-Operational emissions</v>
      </c>
      <c r="E3851">
        <f>'11A'!$C$19</f>
        <v>6087.2362000000003</v>
      </c>
      <c r="F3851" t="s">
        <v>682</v>
      </c>
      <c r="G3851">
        <f>'11A'!$D$19</f>
        <v>39441.898999999998</v>
      </c>
      <c r="O3851" t="str">
        <f>_xlfn.CONCAT('11A'!$B$10, "-", '11A'!$B$19, "-", '11A'!$E$8, "-", '11A'!$E$7, "-", '11A'!$E$6, "-", '11A'!$C$5)</f>
        <v>Scope one emissions-Scope one emissions; GHG type CO2-3-tCO2e-Total-Operational emissions</v>
      </c>
    </row>
    <row r="3852" spans="1:15">
      <c r="A3852" t="s">
        <v>660</v>
      </c>
      <c r="B3852" t="str">
        <f>'11A'!$T$20</f>
        <v>BR013_S1WCH</v>
      </c>
      <c r="D3852" t="str">
        <f>_xlfn.CONCAT('11A'!$B$10, "-", '11A'!$B$20, "-", '11A'!$C$8, "-", '11A'!$C$7, "-", '11A'!$C$6, "-", '11A'!$C$5)</f>
        <v>Scope one emissions-Scope one emissions; GHG type CH4-3-tCO2e-Water-Operational emissions</v>
      </c>
      <c r="E3852">
        <f>'11A'!$C$20</f>
        <v>32.740918000000001</v>
      </c>
      <c r="F3852" t="s">
        <v>682</v>
      </c>
      <c r="G3852">
        <f>'11A'!$D$20</f>
        <v>12870.98</v>
      </c>
      <c r="O3852" t="str">
        <f>_xlfn.CONCAT('11A'!$B$10, "-", '11A'!$B$20, "-", '11A'!$C$8, "-", '11A'!$C$7, "-", '11A'!$C$6, "-", '11A'!$C$5)</f>
        <v>Scope one emissions-Scope one emissions; GHG type CH4-3-tCO2e-Water-Operational emissions</v>
      </c>
    </row>
    <row r="3853" spans="1:15">
      <c r="A3853" t="s">
        <v>660</v>
      </c>
      <c r="B3853" t="str">
        <f>'11A'!$U$20</f>
        <v>BR014_S1WWCH</v>
      </c>
      <c r="D3853" t="str">
        <f>_xlfn.CONCAT('11A'!$B$10, "-", '11A'!$B$20, "-", '11A'!$D$8, "-", '11A'!$D$7, "-", '11A'!$D$6, "-", '11A'!$C$5)</f>
        <v>Scope one emissions-Scope one emissions; GHG type CH4-3-tCO2e-Wastewater-Operational emissions</v>
      </c>
      <c r="E3853">
        <f>'11A'!$C$20</f>
        <v>32.740918000000001</v>
      </c>
      <c r="F3853" t="s">
        <v>682</v>
      </c>
      <c r="G3853">
        <f>'11A'!$D$20</f>
        <v>12870.98</v>
      </c>
      <c r="O3853" t="str">
        <f>_xlfn.CONCAT('11A'!$B$10, "-", '11A'!$B$20, "-", '11A'!$D$8, "-", '11A'!$D$7, "-", '11A'!$D$6, "-", '11A'!$C$5)</f>
        <v>Scope one emissions-Scope one emissions; GHG type CH4-3-tCO2e-Wastewater-Operational emissions</v>
      </c>
    </row>
    <row r="3854" spans="1:15">
      <c r="A3854" t="s">
        <v>660</v>
      </c>
      <c r="B3854" t="str">
        <f>'11A'!$V$20</f>
        <v>BR015_S1TOCH</v>
      </c>
      <c r="D3854" t="str">
        <f>_xlfn.CONCAT('11A'!$B$10, "-", '11A'!$B$20, "-", '11A'!$E$8, "-", '11A'!$E$7, "-", '11A'!$E$6, "-", '11A'!$C$5)</f>
        <v>Scope one emissions-Scope one emissions; GHG type CH4-3-tCO2e-Total-Operational emissions</v>
      </c>
      <c r="E3854">
        <f>'11A'!$C$20</f>
        <v>32.740918000000001</v>
      </c>
      <c r="F3854" t="s">
        <v>682</v>
      </c>
      <c r="G3854">
        <f>'11A'!$D$20</f>
        <v>12870.98</v>
      </c>
      <c r="O3854" t="str">
        <f>_xlfn.CONCAT('11A'!$B$10, "-", '11A'!$B$20, "-", '11A'!$E$8, "-", '11A'!$E$7, "-", '11A'!$E$6, "-", '11A'!$C$5)</f>
        <v>Scope one emissions-Scope one emissions; GHG type CH4-3-tCO2e-Total-Operational emissions</v>
      </c>
    </row>
    <row r="3855" spans="1:15">
      <c r="A3855" t="s">
        <v>660</v>
      </c>
      <c r="B3855" t="str">
        <f>'11A'!$T$21</f>
        <v>BR016_S1WNO</v>
      </c>
      <c r="D3855" t="str">
        <f>_xlfn.CONCAT('11A'!$B$10, "-", '11A'!$B$21, "-", '11A'!$C$8, "-", '11A'!$C$7, "-", '11A'!$C$6, "-", '11A'!$C$5)</f>
        <v>Scope one emissions-Scope one emissions; GHG type N2O-3-tCO2e-Water-Operational emissions</v>
      </c>
      <c r="E3855">
        <f>'11A'!$C$21</f>
        <v>106.28134</v>
      </c>
      <c r="F3855" t="s">
        <v>682</v>
      </c>
      <c r="G3855">
        <f>'11A'!$D$21</f>
        <v>16444.411</v>
      </c>
      <c r="O3855" t="str">
        <f>_xlfn.CONCAT('11A'!$B$10, "-", '11A'!$B$21, "-", '11A'!$C$8, "-", '11A'!$C$7, "-", '11A'!$C$6, "-", '11A'!$C$5)</f>
        <v>Scope one emissions-Scope one emissions; GHG type N2O-3-tCO2e-Water-Operational emissions</v>
      </c>
    </row>
    <row r="3856" spans="1:15">
      <c r="A3856" t="s">
        <v>660</v>
      </c>
      <c r="B3856" t="str">
        <f>'11A'!$U$21</f>
        <v>BR017_S1WWNO</v>
      </c>
      <c r="D3856" t="str">
        <f>_xlfn.CONCAT('11A'!$B$10, "-", '11A'!$B$21, "-", '11A'!$D$8, "-", '11A'!$D$7, "-", '11A'!$D$6, "-", '11A'!$C$5)</f>
        <v>Scope one emissions-Scope one emissions; GHG type N2O-3-tCO2e-Wastewater-Operational emissions</v>
      </c>
      <c r="E3856">
        <f>'11A'!$C$21</f>
        <v>106.28134</v>
      </c>
      <c r="F3856" t="s">
        <v>682</v>
      </c>
      <c r="G3856">
        <f>'11A'!$D$21</f>
        <v>16444.411</v>
      </c>
      <c r="O3856" t="str">
        <f>_xlfn.CONCAT('11A'!$B$10, "-", '11A'!$B$21, "-", '11A'!$D$8, "-", '11A'!$D$7, "-", '11A'!$D$6, "-", '11A'!$C$5)</f>
        <v>Scope one emissions-Scope one emissions; GHG type N2O-3-tCO2e-Wastewater-Operational emissions</v>
      </c>
    </row>
    <row r="3857" spans="1:15">
      <c r="A3857" t="s">
        <v>660</v>
      </c>
      <c r="B3857" t="str">
        <f>'11A'!$V$21</f>
        <v>BR018_S1TONO</v>
      </c>
      <c r="D3857" t="str">
        <f>_xlfn.CONCAT('11A'!$B$10, "-", '11A'!$B$21, "-", '11A'!$E$8, "-", '11A'!$E$7, "-", '11A'!$E$6, "-", '11A'!$C$5)</f>
        <v>Scope one emissions-Scope one emissions; GHG type N2O-3-tCO2e-Total-Operational emissions</v>
      </c>
      <c r="E3857">
        <f>'11A'!$C$21</f>
        <v>106.28134</v>
      </c>
      <c r="F3857" t="s">
        <v>682</v>
      </c>
      <c r="G3857">
        <f>'11A'!$D$21</f>
        <v>16444.411</v>
      </c>
      <c r="O3857" t="str">
        <f>_xlfn.CONCAT('11A'!$B$10, "-", '11A'!$B$21, "-", '11A'!$E$8, "-", '11A'!$E$7, "-", '11A'!$E$6, "-", '11A'!$C$5)</f>
        <v>Scope one emissions-Scope one emissions; GHG type N2O-3-tCO2e-Total-Operational emissions</v>
      </c>
    </row>
    <row r="3858" spans="1:15">
      <c r="A3858" t="s">
        <v>660</v>
      </c>
      <c r="B3858" t="str">
        <f>'11A'!$T$22</f>
        <v>BO_6112104</v>
      </c>
      <c r="D3858" t="str">
        <f>_xlfn.CONCAT('11A'!$B$10, "-", '11A'!$B$22, "-", '11A'!$C$8, "-", '11A'!$C$7, "-", '11A'!$C$6, "-", '11A'!$C$5)</f>
        <v>Scope one emissions-Scope one emissions: GHG other types-3-tCO2e-Water-Operational emissions</v>
      </c>
      <c r="E3858">
        <f>'11A'!$C$22</f>
        <v>0</v>
      </c>
      <c r="F3858" t="s">
        <v>682</v>
      </c>
      <c r="G3858">
        <f>'11A'!$D$22</f>
        <v>0</v>
      </c>
      <c r="O3858" t="str">
        <f>_xlfn.CONCAT('11A'!$B$10, "-", '11A'!$B$22, "-", '11A'!$C$8, "-", '11A'!$C$7, "-", '11A'!$C$6, "-", '11A'!$C$5)</f>
        <v>Scope one emissions-Scope one emissions: GHG other types-3-tCO2e-Water-Operational emissions</v>
      </c>
    </row>
    <row r="3859" spans="1:15">
      <c r="A3859" t="s">
        <v>660</v>
      </c>
      <c r="B3859" t="str">
        <f>'11A'!$U$22</f>
        <v>BO_353744</v>
      </c>
      <c r="D3859" t="str">
        <f>_xlfn.CONCAT('11A'!$B$10, "-", '11A'!$B$22, "-", '11A'!$D$8, "-", '11A'!$D$7, "-", '11A'!$D$6, "-", '11A'!$C$5)</f>
        <v>Scope one emissions-Scope one emissions: GHG other types-3-tCO2e-Wastewater-Operational emissions</v>
      </c>
      <c r="E3859">
        <f>'11A'!$C$22</f>
        <v>0</v>
      </c>
      <c r="F3859" t="s">
        <v>682</v>
      </c>
      <c r="G3859">
        <f>'11A'!$D$22</f>
        <v>0</v>
      </c>
      <c r="O3859" t="str">
        <f>_xlfn.CONCAT('11A'!$B$10, "-", '11A'!$B$22, "-", '11A'!$D$8, "-", '11A'!$D$7, "-", '11A'!$D$6, "-", '11A'!$C$5)</f>
        <v>Scope one emissions-Scope one emissions: GHG other types-3-tCO2e-Wastewater-Operational emissions</v>
      </c>
    </row>
    <row r="3860" spans="1:15">
      <c r="A3860" t="s">
        <v>660</v>
      </c>
      <c r="B3860" t="str">
        <f>'11A'!$V$22</f>
        <v>BO_2624185</v>
      </c>
      <c r="D3860" t="str">
        <f>_xlfn.CONCAT('11A'!$B$10, "-", '11A'!$B$22, "-", '11A'!$E$8, "-", '11A'!$E$7, "-", '11A'!$E$6, "-", '11A'!$C$5)</f>
        <v>Scope one emissions-Scope one emissions: GHG other types-3-tCO2e-Total-Operational emissions</v>
      </c>
      <c r="E3860">
        <f>'11A'!$C$22</f>
        <v>0</v>
      </c>
      <c r="F3860" t="s">
        <v>682</v>
      </c>
      <c r="G3860">
        <f>'11A'!$D$22</f>
        <v>0</v>
      </c>
      <c r="O3860" t="str">
        <f>_xlfn.CONCAT('11A'!$B$10, "-", '11A'!$B$22, "-", '11A'!$E$8, "-", '11A'!$E$7, "-", '11A'!$E$6, "-", '11A'!$C$5)</f>
        <v>Scope one emissions-Scope one emissions: GHG other types-3-tCO2e-Total-Operational emissions</v>
      </c>
    </row>
    <row r="3861" spans="1:15">
      <c r="A3861" t="s">
        <v>660</v>
      </c>
      <c r="B3861" t="str">
        <f>'11A'!$T$25</f>
        <v>BR019_S2WLB</v>
      </c>
      <c r="D3861" t="str">
        <f>_xlfn.CONCAT('11A'!$B$24, "-", '11A'!$B$25, "-", '11A'!$C$8, "-", '11A'!$C$7, "-", '11A'!$C$6, "-", '11A'!$C$5)</f>
        <v>Scope two emissions-Purchased electricity (location-based)-3-tCO2e-Water-Operational emissions</v>
      </c>
      <c r="E3861">
        <f>'11A'!$C$25</f>
        <v>41658.292999999998</v>
      </c>
      <c r="F3861" t="s">
        <v>682</v>
      </c>
      <c r="G3861">
        <f>'11A'!$D$25</f>
        <v>23193.059000000001</v>
      </c>
      <c r="O3861" t="str">
        <f>_xlfn.CONCAT('11A'!$B$24, "-", '11A'!$B$25, "-", '11A'!$C$8, "-", '11A'!$C$7, "-", '11A'!$C$6, "-", '11A'!$C$5)</f>
        <v>Scope two emissions-Purchased electricity (location-based)-3-tCO2e-Water-Operational emissions</v>
      </c>
    </row>
    <row r="3862" spans="1:15">
      <c r="A3862" t="s">
        <v>660</v>
      </c>
      <c r="B3862" t="str">
        <f>'11A'!$U$25</f>
        <v>BR020_S2WWLB</v>
      </c>
      <c r="D3862" t="str">
        <f>_xlfn.CONCAT('11A'!$B$24, "-", '11A'!$B$25, "-", '11A'!$D$8, "-", '11A'!$D$7, "-", '11A'!$D$6, "-", '11A'!$C$5)</f>
        <v>Scope two emissions-Purchased electricity (location-based)-3-tCO2e-Wastewater-Operational emissions</v>
      </c>
      <c r="E3862">
        <f>'11A'!$C$25</f>
        <v>41658.292999999998</v>
      </c>
      <c r="F3862" t="s">
        <v>682</v>
      </c>
      <c r="G3862">
        <f>'11A'!$D$25</f>
        <v>23193.059000000001</v>
      </c>
      <c r="O3862" t="str">
        <f>_xlfn.CONCAT('11A'!$B$24, "-", '11A'!$B$25, "-", '11A'!$D$8, "-", '11A'!$D$7, "-", '11A'!$D$6, "-", '11A'!$C$5)</f>
        <v>Scope two emissions-Purchased electricity (location-based)-3-tCO2e-Wastewater-Operational emissions</v>
      </c>
    </row>
    <row r="3863" spans="1:15">
      <c r="A3863" t="s">
        <v>660</v>
      </c>
      <c r="B3863" t="str">
        <f>'11A'!$V$25</f>
        <v>BR021_S2TOLB</v>
      </c>
      <c r="D3863" t="str">
        <f>_xlfn.CONCAT('11A'!$B$24, "-", '11A'!$B$25, "-", '11A'!$E$8, "-", '11A'!$E$7, "-", '11A'!$E$6, "-", '11A'!$C$5)</f>
        <v>Scope two emissions-Purchased electricity (location-based)-3-tCO2e-Total-Operational emissions</v>
      </c>
      <c r="E3863">
        <f>'11A'!$C$25</f>
        <v>41658.292999999998</v>
      </c>
      <c r="F3863" t="s">
        <v>682</v>
      </c>
      <c r="G3863">
        <f>'11A'!$D$25</f>
        <v>23193.059000000001</v>
      </c>
      <c r="O3863" t="str">
        <f>_xlfn.CONCAT('11A'!$B$24, "-", '11A'!$B$25, "-", '11A'!$E$8, "-", '11A'!$E$7, "-", '11A'!$E$6, "-", '11A'!$C$5)</f>
        <v>Scope two emissions-Purchased electricity (location-based)-3-tCO2e-Total-Operational emissions</v>
      </c>
    </row>
    <row r="3864" spans="1:15">
      <c r="A3864" t="s">
        <v>660</v>
      </c>
      <c r="B3864" t="str">
        <f>'11A'!$T$26</f>
        <v>BR043_S2WMB</v>
      </c>
      <c r="D3864" t="str">
        <f>_xlfn.CONCAT('11A'!$B$24, "-", '11A'!$B$26, "-", '11A'!$C$8, "-", '11A'!$C$7, "-", '11A'!$C$6, "-", '11A'!$C$5)</f>
        <v>Scope two emissions-Purchased electricity (market-based)-3-tCO2e-Water-Operational emissions</v>
      </c>
      <c r="E3864">
        <f>'11A'!$C$26</f>
        <v>0</v>
      </c>
      <c r="F3864" t="s">
        <v>682</v>
      </c>
      <c r="G3864">
        <f>'11A'!$D$26</f>
        <v>0</v>
      </c>
      <c r="O3864" t="str">
        <f>_xlfn.CONCAT('11A'!$B$24, "-", '11A'!$B$26, "-", '11A'!$C$8, "-", '11A'!$C$7, "-", '11A'!$C$6, "-", '11A'!$C$5)</f>
        <v>Scope two emissions-Purchased electricity (market-based)-3-tCO2e-Water-Operational emissions</v>
      </c>
    </row>
    <row r="3865" spans="1:15">
      <c r="A3865" t="s">
        <v>660</v>
      </c>
      <c r="B3865" t="str">
        <f>'11A'!$U$26</f>
        <v>BR044_S2WWMB</v>
      </c>
      <c r="D3865" t="str">
        <f>_xlfn.CONCAT('11A'!$B$24, "-", '11A'!$B$26, "-", '11A'!$D$8, "-", '11A'!$D$7, "-", '11A'!$D$6, "-", '11A'!$C$5)</f>
        <v>Scope two emissions-Purchased electricity (market-based)-3-tCO2e-Wastewater-Operational emissions</v>
      </c>
      <c r="E3865">
        <f>'11A'!$C$26</f>
        <v>0</v>
      </c>
      <c r="F3865" t="s">
        <v>682</v>
      </c>
      <c r="G3865">
        <f>'11A'!$D$26</f>
        <v>0</v>
      </c>
      <c r="O3865" t="str">
        <f>_xlfn.CONCAT('11A'!$B$24, "-", '11A'!$B$26, "-", '11A'!$D$8, "-", '11A'!$D$7, "-", '11A'!$D$6, "-", '11A'!$C$5)</f>
        <v>Scope two emissions-Purchased electricity (market-based)-3-tCO2e-Wastewater-Operational emissions</v>
      </c>
    </row>
    <row r="3866" spans="1:15">
      <c r="A3866" t="s">
        <v>660</v>
      </c>
      <c r="B3866" t="str">
        <f>'11A'!$V$26</f>
        <v>BR045_S2TOMB</v>
      </c>
      <c r="D3866" t="str">
        <f>_xlfn.CONCAT('11A'!$B$24, "-", '11A'!$B$26, "-", '11A'!$E$8, "-", '11A'!$E$7, "-", '11A'!$E$6, "-", '11A'!$C$5)</f>
        <v>Scope two emissions-Purchased electricity (market-based)-3-tCO2e-Total-Operational emissions</v>
      </c>
      <c r="E3866">
        <f>'11A'!$C$26</f>
        <v>0</v>
      </c>
      <c r="F3866" t="s">
        <v>682</v>
      </c>
      <c r="G3866">
        <f>'11A'!$D$26</f>
        <v>0</v>
      </c>
      <c r="O3866" t="str">
        <f>_xlfn.CONCAT('11A'!$B$24, "-", '11A'!$B$26, "-", '11A'!$E$8, "-", '11A'!$E$7, "-", '11A'!$E$6, "-", '11A'!$C$5)</f>
        <v>Scope two emissions-Purchased electricity (market-based)-3-tCO2e-Total-Operational emissions</v>
      </c>
    </row>
    <row r="3867" spans="1:15">
      <c r="A3867" t="s">
        <v>660</v>
      </c>
      <c r="B3867" t="str">
        <f>'11A'!$T$27</f>
        <v>BR046_S2WPH</v>
      </c>
      <c r="D3867" t="str">
        <f>_xlfn.CONCAT('11A'!$B$24, "-", '11A'!$B$27, "-", '11A'!$C$8, "-", '11A'!$C$7, "-", '11A'!$C$6, "-", '11A'!$C$5)</f>
        <v>Scope two emissions-Purchased heat-3-tCO2e-Water-Operational emissions</v>
      </c>
      <c r="E3867">
        <f>'11A'!$C$27</f>
        <v>0</v>
      </c>
      <c r="F3867" t="s">
        <v>682</v>
      </c>
      <c r="G3867">
        <f>'11A'!$D$27</f>
        <v>0</v>
      </c>
      <c r="O3867" t="str">
        <f>_xlfn.CONCAT('11A'!$B$24, "-", '11A'!$B$27, "-", '11A'!$C$8, "-", '11A'!$C$7, "-", '11A'!$C$6, "-", '11A'!$C$5)</f>
        <v>Scope two emissions-Purchased heat-3-tCO2e-Water-Operational emissions</v>
      </c>
    </row>
    <row r="3868" spans="1:15">
      <c r="A3868" t="s">
        <v>660</v>
      </c>
      <c r="B3868" t="str">
        <f>'11A'!$U$27</f>
        <v>BR047_S2WWPH</v>
      </c>
      <c r="D3868" t="str">
        <f>_xlfn.CONCAT('11A'!$B$24, "-", '11A'!$B$27, "-", '11A'!$D$8, "-", '11A'!$D$7, "-", '11A'!$D$6, "-", '11A'!$C$5)</f>
        <v>Scope two emissions-Purchased heat-3-tCO2e-Wastewater-Operational emissions</v>
      </c>
      <c r="E3868">
        <f>'11A'!$C$27</f>
        <v>0</v>
      </c>
      <c r="F3868" t="s">
        <v>682</v>
      </c>
      <c r="G3868">
        <f>'11A'!$D$27</f>
        <v>0</v>
      </c>
      <c r="O3868" t="str">
        <f>_xlfn.CONCAT('11A'!$B$24, "-", '11A'!$B$27, "-", '11A'!$D$8, "-", '11A'!$D$7, "-", '11A'!$D$6, "-", '11A'!$C$5)</f>
        <v>Scope two emissions-Purchased heat-3-tCO2e-Wastewater-Operational emissions</v>
      </c>
    </row>
    <row r="3869" spans="1:15">
      <c r="A3869" t="s">
        <v>660</v>
      </c>
      <c r="B3869" t="str">
        <f>'11A'!$V$27</f>
        <v>BR048_S2TOPH</v>
      </c>
      <c r="D3869" t="str">
        <f>_xlfn.CONCAT('11A'!$B$24, "-", '11A'!$B$27, "-", '11A'!$E$8, "-", '11A'!$E$7, "-", '11A'!$E$6, "-", '11A'!$C$5)</f>
        <v>Scope two emissions-Purchased heat-3-tCO2e-Total-Operational emissions</v>
      </c>
      <c r="E3869">
        <f>'11A'!$C$27</f>
        <v>0</v>
      </c>
      <c r="F3869" t="s">
        <v>682</v>
      </c>
      <c r="G3869">
        <f>'11A'!$D$27</f>
        <v>0</v>
      </c>
      <c r="O3869" t="str">
        <f>_xlfn.CONCAT('11A'!$B$24, "-", '11A'!$B$27, "-", '11A'!$E$8, "-", '11A'!$E$7, "-", '11A'!$E$6, "-", '11A'!$C$5)</f>
        <v>Scope two emissions-Purchased heat-3-tCO2e-Total-Operational emissions</v>
      </c>
    </row>
    <row r="3870" spans="1:15">
      <c r="A3870" t="s">
        <v>660</v>
      </c>
      <c r="B3870" t="str">
        <f>'11A'!$T$28</f>
        <v>BR049_S2WEV</v>
      </c>
      <c r="D3870" t="str">
        <f>_xlfn.CONCAT('11A'!$B$24, "-", '11A'!$B$28, "-", '11A'!$C$8, "-", '11A'!$C$7, "-", '11A'!$C$6, "-", '11A'!$C$5)</f>
        <v>Scope two emissions-Electric vehicles-3-tCO2e-Water-Operational emissions</v>
      </c>
      <c r="E3870">
        <f>'11A'!$C$28</f>
        <v>0</v>
      </c>
      <c r="F3870" t="s">
        <v>682</v>
      </c>
      <c r="G3870">
        <f>'11A'!$D$28</f>
        <v>0</v>
      </c>
      <c r="O3870" t="str">
        <f>_xlfn.CONCAT('11A'!$B$24, "-", '11A'!$B$28, "-", '11A'!$C$8, "-", '11A'!$C$7, "-", '11A'!$C$6, "-", '11A'!$C$5)</f>
        <v>Scope two emissions-Electric vehicles-3-tCO2e-Water-Operational emissions</v>
      </c>
    </row>
    <row r="3871" spans="1:15">
      <c r="A3871" t="s">
        <v>660</v>
      </c>
      <c r="B3871" t="str">
        <f>'11A'!$U$28</f>
        <v>BR050_S2WWEV</v>
      </c>
      <c r="D3871" t="str">
        <f>_xlfn.CONCAT('11A'!$B$24, "-", '11A'!$B$28, "-", '11A'!$D$8, "-", '11A'!$D$7, "-", '11A'!$D$6, "-", '11A'!$C$5)</f>
        <v>Scope two emissions-Electric vehicles-3-tCO2e-Wastewater-Operational emissions</v>
      </c>
      <c r="E3871">
        <f>'11A'!$C$28</f>
        <v>0</v>
      </c>
      <c r="F3871" t="s">
        <v>682</v>
      </c>
      <c r="G3871">
        <f>'11A'!$D$28</f>
        <v>0</v>
      </c>
      <c r="O3871" t="str">
        <f>_xlfn.CONCAT('11A'!$B$24, "-", '11A'!$B$28, "-", '11A'!$D$8, "-", '11A'!$D$7, "-", '11A'!$D$6, "-", '11A'!$C$5)</f>
        <v>Scope two emissions-Electric vehicles-3-tCO2e-Wastewater-Operational emissions</v>
      </c>
    </row>
    <row r="3872" spans="1:15">
      <c r="A3872" t="s">
        <v>660</v>
      </c>
      <c r="B3872" t="str">
        <f>'11A'!$V$28</f>
        <v>BR051_S2TOEV</v>
      </c>
      <c r="D3872" t="str">
        <f>_xlfn.CONCAT('11A'!$B$24, "-", '11A'!$B$28, "-", '11A'!$E$8, "-", '11A'!$E$7, "-", '11A'!$E$6, "-", '11A'!$C$5)</f>
        <v>Scope two emissions-Electric vehicles-3-tCO2e-Total-Operational emissions</v>
      </c>
      <c r="E3872">
        <f>'11A'!$C$28</f>
        <v>0</v>
      </c>
      <c r="F3872" t="s">
        <v>682</v>
      </c>
      <c r="G3872">
        <f>'11A'!$D$28</f>
        <v>0</v>
      </c>
      <c r="O3872" t="str">
        <f>_xlfn.CONCAT('11A'!$B$24, "-", '11A'!$B$28, "-", '11A'!$E$8, "-", '11A'!$E$7, "-", '11A'!$E$6, "-", '11A'!$C$5)</f>
        <v>Scope two emissions-Electric vehicles-3-tCO2e-Total-Operational emissions</v>
      </c>
    </row>
    <row r="3873" spans="1:15">
      <c r="A3873" t="s">
        <v>660</v>
      </c>
      <c r="B3873" t="str">
        <f>'11A'!$T$29</f>
        <v>BR052_S2WRE</v>
      </c>
      <c r="D3873" t="str">
        <f>_xlfn.CONCAT('11A'!$B$24, "-", '11A'!$B$29, "-", '11A'!$C$8, "-", '11A'!$C$7, "-", '11A'!$C$6, "-", '11A'!$C$5)</f>
        <v>Scope two emissions-Removal of electricity to charge electric vehicles at site-3-tCO2e-Water-Operational emissions</v>
      </c>
      <c r="E3873">
        <f>'11A'!$C$29</f>
        <v>0</v>
      </c>
      <c r="F3873" t="s">
        <v>682</v>
      </c>
      <c r="G3873">
        <f>'11A'!$D$29</f>
        <v>0</v>
      </c>
      <c r="O3873" t="str">
        <f>_xlfn.CONCAT('11A'!$B$24, "-", '11A'!$B$29, "-", '11A'!$C$8, "-", '11A'!$C$7, "-", '11A'!$C$6, "-", '11A'!$C$5)</f>
        <v>Scope two emissions-Removal of electricity to charge electric vehicles at site-3-tCO2e-Water-Operational emissions</v>
      </c>
    </row>
    <row r="3874" spans="1:15">
      <c r="A3874" t="s">
        <v>660</v>
      </c>
      <c r="B3874" t="str">
        <f>'11A'!$U$29</f>
        <v>BR053_S2WWRE</v>
      </c>
      <c r="D3874" t="str">
        <f>_xlfn.CONCAT('11A'!$B$24, "-", '11A'!$B$29, "-", '11A'!$D$8, "-", '11A'!$D$7, "-", '11A'!$D$6, "-", '11A'!$C$5)</f>
        <v>Scope two emissions-Removal of electricity to charge electric vehicles at site-3-tCO2e-Wastewater-Operational emissions</v>
      </c>
      <c r="E3874">
        <f>'11A'!$C$29</f>
        <v>0</v>
      </c>
      <c r="F3874" t="s">
        <v>682</v>
      </c>
      <c r="G3874">
        <f>'11A'!$D$29</f>
        <v>0</v>
      </c>
      <c r="O3874" t="str">
        <f>_xlfn.CONCAT('11A'!$B$24, "-", '11A'!$B$29, "-", '11A'!$D$8, "-", '11A'!$D$7, "-", '11A'!$D$6, "-", '11A'!$C$5)</f>
        <v>Scope two emissions-Removal of electricity to charge electric vehicles at site-3-tCO2e-Wastewater-Operational emissions</v>
      </c>
    </row>
    <row r="3875" spans="1:15">
      <c r="A3875" t="s">
        <v>660</v>
      </c>
      <c r="B3875" t="str">
        <f>'11A'!$V$29</f>
        <v>BR054_S2TORE</v>
      </c>
      <c r="D3875" t="str">
        <f>_xlfn.CONCAT('11A'!$B$24, "-", '11A'!$B$29, "-", '11A'!$E$8, "-", '11A'!$E$7, "-", '11A'!$E$6, "-", '11A'!$C$5)</f>
        <v>Scope two emissions-Removal of electricity to charge electric vehicles at site-3-tCO2e-Total-Operational emissions</v>
      </c>
      <c r="E3875">
        <f>'11A'!$C$29</f>
        <v>0</v>
      </c>
      <c r="F3875" t="s">
        <v>682</v>
      </c>
      <c r="G3875">
        <f>'11A'!$D$29</f>
        <v>0</v>
      </c>
      <c r="O3875" t="str">
        <f>_xlfn.CONCAT('11A'!$B$24, "-", '11A'!$B$29, "-", '11A'!$E$8, "-", '11A'!$E$7, "-", '11A'!$E$6, "-", '11A'!$C$5)</f>
        <v>Scope two emissions-Removal of electricity to charge electric vehicles at site-3-tCO2e-Total-Operational emissions</v>
      </c>
    </row>
    <row r="3876" spans="1:15">
      <c r="A3876" t="s">
        <v>660</v>
      </c>
      <c r="B3876" t="str">
        <f>'11A'!$T$30</f>
        <v>BO_1700379</v>
      </c>
      <c r="D3876" t="str">
        <f>_xlfn.CONCAT('11A'!$B$24, "-", '11A'!$B$30, "-", '11A'!$C$8, "-", '11A'!$C$7, "-", '11A'!$C$6, "-", '11A'!$C$5)</f>
        <v>Scope two emissions-Total scope two emissions (location-based)-3-tCO2e-Water-Operational emissions</v>
      </c>
      <c r="E3876">
        <f>'11A'!$C$30</f>
        <v>41658.292999999998</v>
      </c>
      <c r="F3876" t="s">
        <v>682</v>
      </c>
      <c r="G3876">
        <f>'11A'!$D$30</f>
        <v>23193.059000000001</v>
      </c>
      <c r="O3876" t="str">
        <f>_xlfn.CONCAT('11A'!$B$24, "-", '11A'!$B$30, "-", '11A'!$C$8, "-", '11A'!$C$7, "-", '11A'!$C$6, "-", '11A'!$C$5)</f>
        <v>Scope two emissions-Total scope two emissions (location-based)-3-tCO2e-Water-Operational emissions</v>
      </c>
    </row>
    <row r="3877" spans="1:15">
      <c r="A3877" t="s">
        <v>660</v>
      </c>
      <c r="B3877" t="str">
        <f>'11A'!$U$30</f>
        <v>BO_6225738</v>
      </c>
      <c r="D3877" t="str">
        <f>_xlfn.CONCAT('11A'!$B$24, "-", '11A'!$B$30, "-", '11A'!$D$8, "-", '11A'!$D$7, "-", '11A'!$D$6, "-", '11A'!$C$5)</f>
        <v>Scope two emissions-Total scope two emissions (location-based)-3-tCO2e-Wastewater-Operational emissions</v>
      </c>
      <c r="E3877">
        <f>'11A'!$C$30</f>
        <v>41658.292999999998</v>
      </c>
      <c r="F3877" t="s">
        <v>682</v>
      </c>
      <c r="G3877">
        <f>'11A'!$D$30</f>
        <v>23193.059000000001</v>
      </c>
      <c r="O3877" t="str">
        <f>_xlfn.CONCAT('11A'!$B$24, "-", '11A'!$B$30, "-", '11A'!$D$8, "-", '11A'!$D$7, "-", '11A'!$D$6, "-", '11A'!$C$5)</f>
        <v>Scope two emissions-Total scope two emissions (location-based)-3-tCO2e-Wastewater-Operational emissions</v>
      </c>
    </row>
    <row r="3878" spans="1:15">
      <c r="A3878" t="s">
        <v>660</v>
      </c>
      <c r="B3878" t="str">
        <f>'11A'!$V$30</f>
        <v>BO_4427726</v>
      </c>
      <c r="D3878" t="str">
        <f>_xlfn.CONCAT('11A'!$B$24, "-", '11A'!$B$30, "-", '11A'!$E$8, "-", '11A'!$E$7, "-", '11A'!$E$6, "-", '11A'!$C$5)</f>
        <v>Scope two emissions-Total scope two emissions (location-based)-3-tCO2e-Total-Operational emissions</v>
      </c>
      <c r="E3878">
        <f>'11A'!$C$30</f>
        <v>41658.292999999998</v>
      </c>
      <c r="F3878" t="s">
        <v>682</v>
      </c>
      <c r="G3878">
        <f>'11A'!$D$30</f>
        <v>23193.059000000001</v>
      </c>
      <c r="O3878" t="str">
        <f>_xlfn.CONCAT('11A'!$B$24, "-", '11A'!$B$30, "-", '11A'!$E$8, "-", '11A'!$E$7, "-", '11A'!$E$6, "-", '11A'!$C$5)</f>
        <v>Scope two emissions-Total scope two emissions (location-based)-3-tCO2e-Total-Operational emissions</v>
      </c>
    </row>
    <row r="3879" spans="1:15">
      <c r="A3879" t="s">
        <v>660</v>
      </c>
      <c r="B3879" t="str">
        <f>'11A'!$T$31</f>
        <v>BR055_S2WTO</v>
      </c>
      <c r="D3879" t="str">
        <f>_xlfn.CONCAT('11A'!$B$24, "-", '11A'!$B$31, "-", '11A'!$C$8, "-", '11A'!$C$7, "-", '11A'!$C$6, "-", '11A'!$C$5)</f>
        <v>Scope two emissions-Total scope two emissions (market-based)-3-tCO2e-Water-Operational emissions</v>
      </c>
      <c r="E3879">
        <f>'11A'!$C$31</f>
        <v>0</v>
      </c>
      <c r="F3879" t="s">
        <v>682</v>
      </c>
      <c r="G3879">
        <f>'11A'!$D$31</f>
        <v>0</v>
      </c>
      <c r="O3879" t="str">
        <f>_xlfn.CONCAT('11A'!$B$24, "-", '11A'!$B$31, "-", '11A'!$C$8, "-", '11A'!$C$7, "-", '11A'!$C$6, "-", '11A'!$C$5)</f>
        <v>Scope two emissions-Total scope two emissions (market-based)-3-tCO2e-Water-Operational emissions</v>
      </c>
    </row>
    <row r="3880" spans="1:15">
      <c r="A3880" t="s">
        <v>660</v>
      </c>
      <c r="B3880" t="str">
        <f>'11A'!$U$31</f>
        <v>BR056_S2WWTO</v>
      </c>
      <c r="D3880" t="str">
        <f>_xlfn.CONCAT('11A'!$B$24, "-", '11A'!$B$31, "-", '11A'!$D$8, "-", '11A'!$D$7, "-", '11A'!$D$6, "-", '11A'!$C$5)</f>
        <v>Scope two emissions-Total scope two emissions (market-based)-3-tCO2e-Wastewater-Operational emissions</v>
      </c>
      <c r="E3880">
        <f>'11A'!$C$31</f>
        <v>0</v>
      </c>
      <c r="F3880" t="s">
        <v>682</v>
      </c>
      <c r="G3880">
        <f>'11A'!$D$31</f>
        <v>0</v>
      </c>
      <c r="O3880" t="str">
        <f>_xlfn.CONCAT('11A'!$B$24, "-", '11A'!$B$31, "-", '11A'!$D$8, "-", '11A'!$D$7, "-", '11A'!$D$6, "-", '11A'!$C$5)</f>
        <v>Scope two emissions-Total scope two emissions (market-based)-3-tCO2e-Wastewater-Operational emissions</v>
      </c>
    </row>
    <row r="3881" spans="1:15">
      <c r="A3881" t="s">
        <v>660</v>
      </c>
      <c r="B3881" t="str">
        <f>'11A'!$V$31</f>
        <v>BR057_S2TOTO</v>
      </c>
      <c r="D3881" t="str">
        <f>_xlfn.CONCAT('11A'!$B$24, "-", '11A'!$B$31, "-", '11A'!$E$8, "-", '11A'!$E$7, "-", '11A'!$E$6, "-", '11A'!$C$5)</f>
        <v>Scope two emissions-Total scope two emissions (market-based)-3-tCO2e-Total-Operational emissions</v>
      </c>
      <c r="E3881">
        <f>'11A'!$C$31</f>
        <v>0</v>
      </c>
      <c r="F3881" t="s">
        <v>682</v>
      </c>
      <c r="G3881">
        <f>'11A'!$D$31</f>
        <v>0</v>
      </c>
      <c r="O3881" t="str">
        <f>_xlfn.CONCAT('11A'!$B$24, "-", '11A'!$B$31, "-", '11A'!$E$8, "-", '11A'!$E$7, "-", '11A'!$E$6, "-", '11A'!$C$5)</f>
        <v>Scope two emissions-Total scope two emissions (market-based)-3-tCO2e-Total-Operational emissions</v>
      </c>
    </row>
    <row r="3882" spans="1:15">
      <c r="A3882" t="s">
        <v>660</v>
      </c>
      <c r="B3882" t="str">
        <f>'11A'!$T$33</f>
        <v>BR058_S2WCO</v>
      </c>
      <c r="D3882" t="str">
        <f>_xlfn.CONCAT('11A'!$B$24, "-", '11A'!$B$33, "-", '11A'!$C$8, "-", '11A'!$C$7, "-", '11A'!$C$6, "-", '11A'!$C$5)</f>
        <v>Scope two emissions-Scope two emissions; GHG type CO2-3-tCO2e-Water-Operational emissions</v>
      </c>
      <c r="E3882">
        <f>'11A'!$C$33</f>
        <v>41190.826999999997</v>
      </c>
      <c r="F3882" t="s">
        <v>682</v>
      </c>
      <c r="G3882">
        <f>'11A'!$D$33</f>
        <v>22932.798999999999</v>
      </c>
      <c r="O3882" t="str">
        <f>_xlfn.CONCAT('11A'!$B$24, "-", '11A'!$B$33, "-", '11A'!$C$8, "-", '11A'!$C$7, "-", '11A'!$C$6, "-", '11A'!$C$5)</f>
        <v>Scope two emissions-Scope two emissions; GHG type CO2-3-tCO2e-Water-Operational emissions</v>
      </c>
    </row>
    <row r="3883" spans="1:15">
      <c r="A3883" t="s">
        <v>660</v>
      </c>
      <c r="B3883" t="str">
        <f>'11A'!$U$33</f>
        <v>BR059_S2WWCO</v>
      </c>
      <c r="D3883" t="str">
        <f>_xlfn.CONCAT('11A'!$B$24, "-", '11A'!$B$33, "-", '11A'!$D$8, "-", '11A'!$D$7, "-", '11A'!$D$6, "-", '11A'!$C$5)</f>
        <v>Scope two emissions-Scope two emissions; GHG type CO2-3-tCO2e-Wastewater-Operational emissions</v>
      </c>
      <c r="E3883">
        <f>'11A'!$C$33</f>
        <v>41190.826999999997</v>
      </c>
      <c r="F3883" t="s">
        <v>682</v>
      </c>
      <c r="G3883">
        <f>'11A'!$D$33</f>
        <v>22932.798999999999</v>
      </c>
      <c r="O3883" t="str">
        <f>_xlfn.CONCAT('11A'!$B$24, "-", '11A'!$B$33, "-", '11A'!$D$8, "-", '11A'!$D$7, "-", '11A'!$D$6, "-", '11A'!$C$5)</f>
        <v>Scope two emissions-Scope two emissions; GHG type CO2-3-tCO2e-Wastewater-Operational emissions</v>
      </c>
    </row>
    <row r="3884" spans="1:15">
      <c r="A3884" t="s">
        <v>660</v>
      </c>
      <c r="B3884" t="str">
        <f>'11A'!$V$33</f>
        <v>BR060_S2TOCO</v>
      </c>
      <c r="D3884" t="str">
        <f>_xlfn.CONCAT('11A'!$B$24, "-", '11A'!$B$33, "-", '11A'!$E$8, "-", '11A'!$E$7, "-", '11A'!$E$6, "-", '11A'!$C$5)</f>
        <v>Scope two emissions-Scope two emissions; GHG type CO2-3-tCO2e-Total-Operational emissions</v>
      </c>
      <c r="E3884">
        <f>'11A'!$C$33</f>
        <v>41190.826999999997</v>
      </c>
      <c r="F3884" t="s">
        <v>682</v>
      </c>
      <c r="G3884">
        <f>'11A'!$D$33</f>
        <v>22932.798999999999</v>
      </c>
      <c r="O3884" t="str">
        <f>_xlfn.CONCAT('11A'!$B$24, "-", '11A'!$B$33, "-", '11A'!$E$8, "-", '11A'!$E$7, "-", '11A'!$E$6, "-", '11A'!$C$5)</f>
        <v>Scope two emissions-Scope two emissions; GHG type CO2-3-tCO2e-Total-Operational emissions</v>
      </c>
    </row>
    <row r="3885" spans="1:15">
      <c r="A3885" t="s">
        <v>660</v>
      </c>
      <c r="B3885" t="str">
        <f>'11A'!$T$34</f>
        <v>BR061_S2WCH</v>
      </c>
      <c r="D3885" t="str">
        <f>_xlfn.CONCAT('11A'!$B$24, "-", '11A'!$B$34, "-", '11A'!$C$8, "-", '11A'!$C$7, "-", '11A'!$C$6, "-", '11A'!$C$5)</f>
        <v>Scope two emissions-Scope two emissions; GHG type CH4-3-tCO2e-Water-Operational emissions</v>
      </c>
      <c r="E3885">
        <f>'11A'!$C$34</f>
        <v>172.33753999999999</v>
      </c>
      <c r="F3885" t="s">
        <v>682</v>
      </c>
      <c r="G3885">
        <f>'11A'!$D$34</f>
        <v>95.948117999999994</v>
      </c>
      <c r="O3885" t="str">
        <f>_xlfn.CONCAT('11A'!$B$24, "-", '11A'!$B$34, "-", '11A'!$C$8, "-", '11A'!$C$7, "-", '11A'!$C$6, "-", '11A'!$C$5)</f>
        <v>Scope two emissions-Scope two emissions; GHG type CH4-3-tCO2e-Water-Operational emissions</v>
      </c>
    </row>
    <row r="3886" spans="1:15">
      <c r="A3886" t="s">
        <v>660</v>
      </c>
      <c r="B3886" t="str">
        <f>'11A'!$U$34</f>
        <v>BR062_S2WWCH</v>
      </c>
      <c r="D3886" t="str">
        <f>_xlfn.CONCAT('11A'!$B$24, "-", '11A'!$B$34, "-", '11A'!$D$8, "-", '11A'!$D$7, "-", '11A'!$D$6, "-", '11A'!$C$5)</f>
        <v>Scope two emissions-Scope two emissions; GHG type CH4-3-tCO2e-Wastewater-Operational emissions</v>
      </c>
      <c r="E3886">
        <f>'11A'!$C$34</f>
        <v>172.33753999999999</v>
      </c>
      <c r="F3886" t="s">
        <v>682</v>
      </c>
      <c r="G3886">
        <f>'11A'!$D$34</f>
        <v>95.948117999999994</v>
      </c>
      <c r="O3886" t="str">
        <f>_xlfn.CONCAT('11A'!$B$24, "-", '11A'!$B$34, "-", '11A'!$D$8, "-", '11A'!$D$7, "-", '11A'!$D$6, "-", '11A'!$C$5)</f>
        <v>Scope two emissions-Scope two emissions; GHG type CH4-3-tCO2e-Wastewater-Operational emissions</v>
      </c>
    </row>
    <row r="3887" spans="1:15">
      <c r="A3887" t="s">
        <v>660</v>
      </c>
      <c r="B3887" t="str">
        <f>'11A'!$V$34</f>
        <v>BR063_S2TOCH</v>
      </c>
      <c r="D3887" t="str">
        <f>_xlfn.CONCAT('11A'!$B$24, "-", '11A'!$B$34, "-", '11A'!$E$8, "-", '11A'!$E$7, "-", '11A'!$E$6, "-", '11A'!$C$5)</f>
        <v>Scope two emissions-Scope two emissions; GHG type CH4-3-tCO2e-Total-Operational emissions</v>
      </c>
      <c r="E3887">
        <f>'11A'!$C$34</f>
        <v>172.33753999999999</v>
      </c>
      <c r="F3887" t="s">
        <v>682</v>
      </c>
      <c r="G3887">
        <f>'11A'!$D$34</f>
        <v>95.948117999999994</v>
      </c>
      <c r="O3887" t="str">
        <f>_xlfn.CONCAT('11A'!$B$24, "-", '11A'!$B$34, "-", '11A'!$E$8, "-", '11A'!$E$7, "-", '11A'!$E$6, "-", '11A'!$C$5)</f>
        <v>Scope two emissions-Scope two emissions; GHG type CH4-3-tCO2e-Total-Operational emissions</v>
      </c>
    </row>
    <row r="3888" spans="1:15">
      <c r="A3888" t="s">
        <v>660</v>
      </c>
      <c r="B3888" t="str">
        <f>'11A'!$T$35</f>
        <v>BR064_S2WNO</v>
      </c>
      <c r="D3888" t="str">
        <f>_xlfn.CONCAT('11A'!$B$24, "-", '11A'!$B$35, "-", '11A'!$C$8, "-", '11A'!$C$7, "-", '11A'!$C$6, "-", '11A'!$C$5)</f>
        <v>Scope two emissions-Scope two emissions; GHG type N2O-3-tCO2e-Water-Operational emissions</v>
      </c>
      <c r="E3888">
        <f>'11A'!$C$35</f>
        <v>295.12804</v>
      </c>
      <c r="F3888" t="s">
        <v>682</v>
      </c>
      <c r="G3888">
        <f>'11A'!$D$35</f>
        <v>164.31115</v>
      </c>
      <c r="O3888" t="str">
        <f>_xlfn.CONCAT('11A'!$B$24, "-", '11A'!$B$35, "-", '11A'!$C$8, "-", '11A'!$C$7, "-", '11A'!$C$6, "-", '11A'!$C$5)</f>
        <v>Scope two emissions-Scope two emissions; GHG type N2O-3-tCO2e-Water-Operational emissions</v>
      </c>
    </row>
    <row r="3889" spans="1:15">
      <c r="A3889" t="s">
        <v>660</v>
      </c>
      <c r="B3889" t="str">
        <f>'11A'!$U$35</f>
        <v>BR065_S2WWNO</v>
      </c>
      <c r="D3889" t="str">
        <f>_xlfn.CONCAT('11A'!$B$24, "-", '11A'!$B$35, "-", '11A'!$D$8, "-", '11A'!$D$7, "-", '11A'!$D$6, "-", '11A'!$C$5)</f>
        <v>Scope two emissions-Scope two emissions; GHG type N2O-3-tCO2e-Wastewater-Operational emissions</v>
      </c>
      <c r="E3889">
        <f>'11A'!$C$35</f>
        <v>295.12804</v>
      </c>
      <c r="F3889" t="s">
        <v>682</v>
      </c>
      <c r="G3889">
        <f>'11A'!$D$35</f>
        <v>164.31115</v>
      </c>
      <c r="O3889" t="str">
        <f>_xlfn.CONCAT('11A'!$B$24, "-", '11A'!$B$35, "-", '11A'!$D$8, "-", '11A'!$D$7, "-", '11A'!$D$6, "-", '11A'!$C$5)</f>
        <v>Scope two emissions-Scope two emissions; GHG type N2O-3-tCO2e-Wastewater-Operational emissions</v>
      </c>
    </row>
    <row r="3890" spans="1:15">
      <c r="A3890" t="s">
        <v>660</v>
      </c>
      <c r="B3890" t="str">
        <f>'11A'!$V$35</f>
        <v>BR066_S2TONO</v>
      </c>
      <c r="D3890" t="str">
        <f>_xlfn.CONCAT('11A'!$B$24, "-", '11A'!$B$35, "-", '11A'!$E$8, "-", '11A'!$E$7, "-", '11A'!$E$6, "-", '11A'!$C$5)</f>
        <v>Scope two emissions-Scope two emissions; GHG type N2O-3-tCO2e-Total-Operational emissions</v>
      </c>
      <c r="E3890">
        <f>'11A'!$C$35</f>
        <v>295.12804</v>
      </c>
      <c r="F3890" t="s">
        <v>682</v>
      </c>
      <c r="G3890">
        <f>'11A'!$D$35</f>
        <v>164.31115</v>
      </c>
      <c r="O3890" t="str">
        <f>_xlfn.CONCAT('11A'!$B$24, "-", '11A'!$B$35, "-", '11A'!$E$8, "-", '11A'!$E$7, "-", '11A'!$E$6, "-", '11A'!$C$5)</f>
        <v>Scope two emissions-Scope two emissions; GHG type N2O-3-tCO2e-Total-Operational emissions</v>
      </c>
    </row>
    <row r="3891" spans="1:15">
      <c r="A3891" t="s">
        <v>660</v>
      </c>
      <c r="B3891" t="str">
        <f>'11A'!$T$36</f>
        <v>BO_5019183</v>
      </c>
      <c r="D3891" t="str">
        <f>_xlfn.CONCAT('11A'!$B$24, "-", '11A'!$B$36, "-", '11A'!$C$8, "-", '11A'!$C$7, "-", '11A'!$C$6, "-", '11A'!$C$5)</f>
        <v>Scope two emissions-Scope two emissions: GHG other types-3-tCO2e-Water-Operational emissions</v>
      </c>
      <c r="E3891">
        <f>'11A'!$C$36</f>
        <v>0</v>
      </c>
      <c r="F3891" t="s">
        <v>682</v>
      </c>
      <c r="G3891">
        <f>'11A'!$D$36</f>
        <v>0</v>
      </c>
      <c r="O3891" t="str">
        <f>_xlfn.CONCAT('11A'!$B$24, "-", '11A'!$B$36, "-", '11A'!$C$8, "-", '11A'!$C$7, "-", '11A'!$C$6, "-", '11A'!$C$5)</f>
        <v>Scope two emissions-Scope two emissions: GHG other types-3-tCO2e-Water-Operational emissions</v>
      </c>
    </row>
    <row r="3892" spans="1:15">
      <c r="A3892" t="s">
        <v>660</v>
      </c>
      <c r="B3892" t="str">
        <f>'11A'!$U$36</f>
        <v>BO_336813</v>
      </c>
      <c r="D3892" t="str">
        <f>_xlfn.CONCAT('11A'!$B$24, "-", '11A'!$B$36, "-", '11A'!$D$8, "-", '11A'!$D$7, "-", '11A'!$D$6, "-", '11A'!$C$5)</f>
        <v>Scope two emissions-Scope two emissions: GHG other types-3-tCO2e-Wastewater-Operational emissions</v>
      </c>
      <c r="E3892">
        <f>'11A'!$C$36</f>
        <v>0</v>
      </c>
      <c r="F3892" t="s">
        <v>682</v>
      </c>
      <c r="G3892">
        <f>'11A'!$D$36</f>
        <v>0</v>
      </c>
      <c r="O3892" t="str">
        <f>_xlfn.CONCAT('11A'!$B$24, "-", '11A'!$B$36, "-", '11A'!$D$8, "-", '11A'!$D$7, "-", '11A'!$D$6, "-", '11A'!$C$5)</f>
        <v>Scope two emissions-Scope two emissions: GHG other types-3-tCO2e-Wastewater-Operational emissions</v>
      </c>
    </row>
    <row r="3893" spans="1:15">
      <c r="A3893" t="s">
        <v>660</v>
      </c>
      <c r="B3893" t="str">
        <f>'11A'!$V$36</f>
        <v>BO_2496912</v>
      </c>
      <c r="D3893" t="str">
        <f>_xlfn.CONCAT('11A'!$B$24, "-", '11A'!$B$36, "-", '11A'!$E$8, "-", '11A'!$E$7, "-", '11A'!$E$6, "-", '11A'!$C$5)</f>
        <v>Scope two emissions-Scope two emissions: GHG other types-3-tCO2e-Total-Operational emissions</v>
      </c>
      <c r="E3893">
        <f>'11A'!$C$36</f>
        <v>0</v>
      </c>
      <c r="F3893" t="s">
        <v>682</v>
      </c>
      <c r="G3893">
        <f>'11A'!$D$36</f>
        <v>0</v>
      </c>
      <c r="O3893" t="str">
        <f>_xlfn.CONCAT('11A'!$B$24, "-", '11A'!$B$36, "-", '11A'!$E$8, "-", '11A'!$E$7, "-", '11A'!$E$6, "-", '11A'!$C$5)</f>
        <v>Scope two emissions-Scope two emissions: GHG other types-3-tCO2e-Total-Operational emissions</v>
      </c>
    </row>
    <row r="3894" spans="1:15">
      <c r="A3894" t="s">
        <v>660</v>
      </c>
      <c r="B3894" t="str">
        <f>'11A'!$T$39</f>
        <v>BR022_S3WBT</v>
      </c>
      <c r="D3894" t="str">
        <f>_xlfn.CONCAT('11A'!$B$38, "-", '11A'!$B$39, "-", '11A'!$C$8, "-", '11A'!$C$7, "-", '11A'!$C$6, "-", '11A'!$C$5)</f>
        <v>Scope three emissions-Business travel-3-tCO2e-Water-Operational emissions</v>
      </c>
      <c r="E3894">
        <f>'11A'!$C$39</f>
        <v>191.21525</v>
      </c>
      <c r="F3894" t="s">
        <v>682</v>
      </c>
      <c r="G3894">
        <f>'11A'!$D$39</f>
        <v>191.21525</v>
      </c>
      <c r="O3894" t="str">
        <f>_xlfn.CONCAT('11A'!$B$38, "-", '11A'!$B$39, "-", '11A'!$C$8, "-", '11A'!$C$7, "-", '11A'!$C$6, "-", '11A'!$C$5)</f>
        <v>Scope three emissions-Business travel-3-tCO2e-Water-Operational emissions</v>
      </c>
    </row>
    <row r="3895" spans="1:15">
      <c r="A3895" t="s">
        <v>660</v>
      </c>
      <c r="B3895" t="str">
        <f>'11A'!$U$39</f>
        <v>BR023_S3WWBT</v>
      </c>
      <c r="D3895" t="str">
        <f>_xlfn.CONCAT('11A'!$B$38, "-", '11A'!$B$39, "-", '11A'!$D$8, "-", '11A'!$D$7, "-", '11A'!$D$6, "-", '11A'!$C$5)</f>
        <v>Scope three emissions-Business travel-3-tCO2e-Wastewater-Operational emissions</v>
      </c>
      <c r="E3895">
        <f>'11A'!$C$39</f>
        <v>191.21525</v>
      </c>
      <c r="F3895" t="s">
        <v>682</v>
      </c>
      <c r="G3895">
        <f>'11A'!$D$39</f>
        <v>191.21525</v>
      </c>
      <c r="O3895" t="str">
        <f>_xlfn.CONCAT('11A'!$B$38, "-", '11A'!$B$39, "-", '11A'!$D$8, "-", '11A'!$D$7, "-", '11A'!$D$6, "-", '11A'!$C$5)</f>
        <v>Scope three emissions-Business travel-3-tCO2e-Wastewater-Operational emissions</v>
      </c>
    </row>
    <row r="3896" spans="1:15">
      <c r="A3896" t="s">
        <v>660</v>
      </c>
      <c r="B3896" t="str">
        <f>'11A'!$V$39</f>
        <v>BR024_S3TOBT</v>
      </c>
      <c r="D3896" t="str">
        <f>_xlfn.CONCAT('11A'!$B$38, "-", '11A'!$B$39, "-", '11A'!$E$8, "-", '11A'!$E$7, "-", '11A'!$E$6, "-", '11A'!$C$5)</f>
        <v>Scope three emissions-Business travel-3-tCO2e-Total-Operational emissions</v>
      </c>
      <c r="E3896">
        <f>'11A'!$C$39</f>
        <v>191.21525</v>
      </c>
      <c r="F3896" t="s">
        <v>682</v>
      </c>
      <c r="G3896">
        <f>'11A'!$D$39</f>
        <v>191.21525</v>
      </c>
      <c r="O3896" t="str">
        <f>_xlfn.CONCAT('11A'!$B$38, "-", '11A'!$B$39, "-", '11A'!$E$8, "-", '11A'!$E$7, "-", '11A'!$E$6, "-", '11A'!$C$5)</f>
        <v>Scope three emissions-Business travel-3-tCO2e-Total-Operational emissions</v>
      </c>
    </row>
    <row r="3897" spans="1:15">
      <c r="A3897" t="s">
        <v>660</v>
      </c>
      <c r="B3897" t="str">
        <f>'11A'!$T$40</f>
        <v>BR025_S3WOA</v>
      </c>
      <c r="D3897" t="str">
        <f>_xlfn.CONCAT('11A'!$B$38, "-", '11A'!$B$40, "-", '11A'!$C$8, "-", '11A'!$C$7, "-", '11A'!$C$6, "-", '11A'!$C$5)</f>
        <v>Scope three emissions-Outsourced activities-3-tCO2e-Water-Operational emissions</v>
      </c>
      <c r="E3897">
        <f>'11A'!$C$40</f>
        <v>909.54364999999996</v>
      </c>
      <c r="F3897" t="s">
        <v>682</v>
      </c>
      <c r="G3897">
        <f>'11A'!$D$40</f>
        <v>909.54364999999996</v>
      </c>
      <c r="O3897" t="str">
        <f>_xlfn.CONCAT('11A'!$B$38, "-", '11A'!$B$40, "-", '11A'!$C$8, "-", '11A'!$C$7, "-", '11A'!$C$6, "-", '11A'!$C$5)</f>
        <v>Scope three emissions-Outsourced activities-3-tCO2e-Water-Operational emissions</v>
      </c>
    </row>
    <row r="3898" spans="1:15">
      <c r="A3898" t="s">
        <v>660</v>
      </c>
      <c r="B3898" t="str">
        <f>'11A'!$U$40</f>
        <v>BR026_S3WWOA</v>
      </c>
      <c r="D3898" t="str">
        <f>_xlfn.CONCAT('11A'!$B$38, "-", '11A'!$B$40, "-", '11A'!$D$8, "-", '11A'!$D$7, "-", '11A'!$D$6, "-", '11A'!$C$5)</f>
        <v>Scope three emissions-Outsourced activities-3-tCO2e-Wastewater-Operational emissions</v>
      </c>
      <c r="E3898">
        <f>'11A'!$C$40</f>
        <v>909.54364999999996</v>
      </c>
      <c r="F3898" t="s">
        <v>682</v>
      </c>
      <c r="G3898">
        <f>'11A'!$D$40</f>
        <v>909.54364999999996</v>
      </c>
      <c r="O3898" t="str">
        <f>_xlfn.CONCAT('11A'!$B$38, "-", '11A'!$B$40, "-", '11A'!$D$8, "-", '11A'!$D$7, "-", '11A'!$D$6, "-", '11A'!$C$5)</f>
        <v>Scope three emissions-Outsourced activities-3-tCO2e-Wastewater-Operational emissions</v>
      </c>
    </row>
    <row r="3899" spans="1:15">
      <c r="A3899" t="s">
        <v>660</v>
      </c>
      <c r="B3899" t="str">
        <f>'11A'!$V$40</f>
        <v>BR027_S3TOOA</v>
      </c>
      <c r="D3899" t="str">
        <f>_xlfn.CONCAT('11A'!$B$38, "-", '11A'!$B$40, "-", '11A'!$E$8, "-", '11A'!$E$7, "-", '11A'!$E$6, "-", '11A'!$C$5)</f>
        <v>Scope three emissions-Outsourced activities-3-tCO2e-Total-Operational emissions</v>
      </c>
      <c r="E3899">
        <f>'11A'!$C$40</f>
        <v>909.54364999999996</v>
      </c>
      <c r="F3899" t="s">
        <v>682</v>
      </c>
      <c r="G3899">
        <f>'11A'!$D$40</f>
        <v>909.54364999999996</v>
      </c>
      <c r="O3899" t="str">
        <f>_xlfn.CONCAT('11A'!$B$38, "-", '11A'!$B$40, "-", '11A'!$E$8, "-", '11A'!$E$7, "-", '11A'!$E$6, "-", '11A'!$C$5)</f>
        <v>Scope three emissions-Outsourced activities-3-tCO2e-Total-Operational emissions</v>
      </c>
    </row>
    <row r="3900" spans="1:15">
      <c r="A3900" t="s">
        <v>660</v>
      </c>
      <c r="B3900" t="str">
        <f>'11A'!$T$41</f>
        <v>BO_8655208</v>
      </c>
      <c r="D3900" t="str">
        <f>_xlfn.CONCAT('11A'!$B$38, "-", '11A'!$B$41, "-", '11A'!$C$8, "-", '11A'!$C$7, "-", '11A'!$C$6, "-", '11A'!$C$5)</f>
        <v>Scope three emissions-Purchased electricity; extraction, production, transmission and distribution (location-based)-3-tCO2e-Water-Operational emissions</v>
      </c>
      <c r="E3900">
        <f>'11A'!$C$41</f>
        <v>14709.686759935961</v>
      </c>
      <c r="F3900" t="s">
        <v>682</v>
      </c>
      <c r="G3900">
        <f>'11A'!$D$41</f>
        <v>8151.6050668320386</v>
      </c>
      <c r="O3900" t="str">
        <f>_xlfn.CONCAT('11A'!$B$38, "-", '11A'!$B$41, "-", '11A'!$C$8, "-", '11A'!$C$7, "-", '11A'!$C$6, "-", '11A'!$C$5)</f>
        <v>Scope three emissions-Purchased electricity; extraction, production, transmission and distribution (location-based)-3-tCO2e-Water-Operational emissions</v>
      </c>
    </row>
    <row r="3901" spans="1:15">
      <c r="A3901" t="s">
        <v>660</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14709.686759935961</v>
      </c>
      <c r="F3901" t="s">
        <v>682</v>
      </c>
      <c r="G3901">
        <f>'11A'!$D$41</f>
        <v>8151.6050668320386</v>
      </c>
      <c r="O3901" t="str">
        <f>_xlfn.CONCAT('11A'!$B$38, "-", '11A'!$B$41, "-", '11A'!$D$8, "-", '11A'!$D$7, "-", '11A'!$D$6, "-", '11A'!$C$5)</f>
        <v>Scope three emissions-Purchased electricity; extraction, production, transmission and distribution (location-based)-3-tCO2e-Wastewater-Operational emissions</v>
      </c>
    </row>
    <row r="3902" spans="1:15">
      <c r="A3902" t="s">
        <v>660</v>
      </c>
      <c r="B3902" t="str">
        <f>'11A'!$V$41</f>
        <v>BO_9724527</v>
      </c>
      <c r="D3902" t="str">
        <f>_xlfn.CONCAT('11A'!$B$38, "-", '11A'!$B$41, "-", '11A'!$E$8, "-", '11A'!$E$7, "-", '11A'!$E$6, "-", '11A'!$C$5)</f>
        <v>Scope three emissions-Purchased electricity; extraction, production, transmission and distribution (location-based)-3-tCO2e-Total-Operational emissions</v>
      </c>
      <c r="E3902">
        <f>'11A'!$C$41</f>
        <v>14709.686759935961</v>
      </c>
      <c r="F3902" t="s">
        <v>682</v>
      </c>
      <c r="G3902">
        <f>'11A'!$D$41</f>
        <v>8151.6050668320386</v>
      </c>
      <c r="O3902" t="str">
        <f>_xlfn.CONCAT('11A'!$B$38, "-", '11A'!$B$41, "-", '11A'!$E$8, "-", '11A'!$E$7, "-", '11A'!$E$6, "-", '11A'!$C$5)</f>
        <v>Scope three emissions-Purchased electricity; extraction, production, transmission and distribution (location-based)-3-tCO2e-Total-Operational emissions</v>
      </c>
    </row>
    <row r="3903" spans="1:15">
      <c r="A3903" t="s">
        <v>660</v>
      </c>
      <c r="B3903" t="str">
        <f>'11A'!$T$42</f>
        <v>BO_2226315</v>
      </c>
      <c r="D3903" t="str">
        <f>_xlfn.CONCAT('11A'!$B$38, "-", '11A'!$B$42, "-", '11A'!$C$8, "-", '11A'!$C$7, "-", '11A'!$C$6, "-", '11A'!$C$5)</f>
        <v>Scope three emissions-Purchased electricity; extraction, production, transmission and distribution (market-based)-3-tCO2e-Water-Operational emissions</v>
      </c>
      <c r="E3903">
        <f>'11A'!$C$42</f>
        <v>10898.87285993596</v>
      </c>
      <c r="F3903" t="s">
        <v>682</v>
      </c>
      <c r="G3903">
        <f>'11A'!$D$42</f>
        <v>6029.9523668320389</v>
      </c>
      <c r="O3903" t="str">
        <f>_xlfn.CONCAT('11A'!$B$38, "-", '11A'!$B$42, "-", '11A'!$C$8, "-", '11A'!$C$7, "-", '11A'!$C$6, "-", '11A'!$C$5)</f>
        <v>Scope three emissions-Purchased electricity; extraction, production, transmission and distribution (market-based)-3-tCO2e-Water-Operational emissions</v>
      </c>
    </row>
    <row r="3904" spans="1:15">
      <c r="A3904" t="s">
        <v>660</v>
      </c>
      <c r="B3904" t="str">
        <f>'11A'!$U$42</f>
        <v>BO_6855399</v>
      </c>
      <c r="D3904" t="str">
        <f>_xlfn.CONCAT('11A'!$B$38, "-", '11A'!$B$42, "-", '11A'!$D$8, "-", '11A'!$D$7, "-", '11A'!$D$6, "-", '11A'!$C$5)</f>
        <v>Scope three emissions-Purchased electricity; extraction, production, transmission and distribution (market-based)-3-tCO2e-Wastewater-Operational emissions</v>
      </c>
      <c r="E3904">
        <f>'11A'!$C$42</f>
        <v>10898.87285993596</v>
      </c>
      <c r="F3904" t="s">
        <v>682</v>
      </c>
      <c r="G3904">
        <f>'11A'!$D$42</f>
        <v>6029.9523668320389</v>
      </c>
      <c r="O3904" t="str">
        <f>_xlfn.CONCAT('11A'!$B$38, "-", '11A'!$B$42, "-", '11A'!$D$8, "-", '11A'!$D$7, "-", '11A'!$D$6, "-", '11A'!$C$5)</f>
        <v>Scope three emissions-Purchased electricity; extraction, production, transmission and distribution (market-based)-3-tCO2e-Wastewater-Operational emissions</v>
      </c>
    </row>
    <row r="3905" spans="1:15">
      <c r="A3905" t="s">
        <v>660</v>
      </c>
      <c r="B3905" t="str">
        <f>'11A'!$V$42</f>
        <v>BO_7700177</v>
      </c>
      <c r="D3905" t="str">
        <f>_xlfn.CONCAT('11A'!$B$38, "-", '11A'!$B$42, "-", '11A'!$E$8, "-", '11A'!$E$7, "-", '11A'!$E$6, "-", '11A'!$C$5)</f>
        <v>Scope three emissions-Purchased electricity; extraction, production, transmission and distribution (market-based)-3-tCO2e-Total-Operational emissions</v>
      </c>
      <c r="E3905">
        <f>'11A'!$C$42</f>
        <v>10898.87285993596</v>
      </c>
      <c r="F3905" t="s">
        <v>682</v>
      </c>
      <c r="G3905">
        <f>'11A'!$D$42</f>
        <v>6029.9523668320389</v>
      </c>
      <c r="O3905" t="str">
        <f>_xlfn.CONCAT('11A'!$B$38, "-", '11A'!$B$42, "-", '11A'!$E$8, "-", '11A'!$E$7, "-", '11A'!$E$6, "-", '11A'!$C$5)</f>
        <v>Scope three emissions-Purchased electricity; extraction, production, transmission and distribution (market-based)-3-tCO2e-Total-Operational emissions</v>
      </c>
    </row>
    <row r="3906" spans="1:15">
      <c r="A3906" t="s">
        <v>660</v>
      </c>
      <c r="B3906" t="str">
        <f>'11A'!$T$43</f>
        <v>BO_2876962</v>
      </c>
      <c r="D3906" t="str">
        <f>_xlfn.CONCAT('11A'!$B$38, "-", '11A'!$B$43, "-", '11A'!$C$8, "-", '11A'!$C$7, "-", '11A'!$C$6, "-", '11A'!$C$5)</f>
        <v>Scope three emissions-Purchased heat; extraction, production, transmission and distribution-3-tCO2e-Water-Operational emissions</v>
      </c>
      <c r="E3906">
        <f>'11A'!$C$43</f>
        <v>0</v>
      </c>
      <c r="F3906" t="s">
        <v>682</v>
      </c>
      <c r="G3906">
        <f>'11A'!$D$43</f>
        <v>0</v>
      </c>
      <c r="O3906" t="str">
        <f>_xlfn.CONCAT('11A'!$B$38, "-", '11A'!$B$43, "-", '11A'!$C$8, "-", '11A'!$C$7, "-", '11A'!$C$6, "-", '11A'!$C$5)</f>
        <v>Scope three emissions-Purchased heat; extraction, production, transmission and distribution-3-tCO2e-Water-Operational emissions</v>
      </c>
    </row>
    <row r="3907" spans="1:15">
      <c r="A3907" t="s">
        <v>660</v>
      </c>
      <c r="B3907" t="str">
        <f>'11A'!$U$43</f>
        <v>BO_5766422</v>
      </c>
      <c r="D3907" t="str">
        <f>_xlfn.CONCAT('11A'!$B$38, "-", '11A'!$B$43, "-", '11A'!$D$8, "-", '11A'!$D$7, "-", '11A'!$D$6, "-", '11A'!$C$5)</f>
        <v>Scope three emissions-Purchased heat; extraction, production, transmission and distribution-3-tCO2e-Wastewater-Operational emissions</v>
      </c>
      <c r="E3907">
        <f>'11A'!$C$43</f>
        <v>0</v>
      </c>
      <c r="F3907" t="s">
        <v>682</v>
      </c>
      <c r="G3907">
        <f>'11A'!$D$43</f>
        <v>0</v>
      </c>
      <c r="O3907" t="str">
        <f>_xlfn.CONCAT('11A'!$B$38, "-", '11A'!$B$43, "-", '11A'!$D$8, "-", '11A'!$D$7, "-", '11A'!$D$6, "-", '11A'!$C$5)</f>
        <v>Scope three emissions-Purchased heat; extraction, production, transmission and distribution-3-tCO2e-Wastewater-Operational emissions</v>
      </c>
    </row>
    <row r="3908" spans="1:15">
      <c r="A3908" t="s">
        <v>660</v>
      </c>
      <c r="B3908" t="str">
        <f>'11A'!$V$43</f>
        <v>BO_5741637</v>
      </c>
      <c r="D3908" t="str">
        <f>_xlfn.CONCAT('11A'!$B$38, "-", '11A'!$B$43, "-", '11A'!$E$8, "-", '11A'!$E$7, "-", '11A'!$E$6, "-", '11A'!$C$5)</f>
        <v>Scope three emissions-Purchased heat; extraction, production, transmission and distribution-3-tCO2e-Total-Operational emissions</v>
      </c>
      <c r="E3908">
        <f>'11A'!$C$43</f>
        <v>0</v>
      </c>
      <c r="F3908" t="s">
        <v>682</v>
      </c>
      <c r="G3908">
        <f>'11A'!$D$43</f>
        <v>0</v>
      </c>
      <c r="O3908" t="str">
        <f>_xlfn.CONCAT('11A'!$B$38, "-", '11A'!$B$43, "-", '11A'!$E$8, "-", '11A'!$E$7, "-", '11A'!$E$6, "-", '11A'!$C$5)</f>
        <v>Scope three emissions-Purchased heat; extraction, production, transmission and distribution-3-tCO2e-Total-Operational emissions</v>
      </c>
    </row>
    <row r="3909" spans="1:15">
      <c r="A3909" t="s">
        <v>660</v>
      </c>
      <c r="B3909" t="str">
        <f>'11A'!$T$44</f>
        <v>BO_2876963</v>
      </c>
      <c r="D3909" t="str">
        <f>_xlfn.CONCAT('11A'!$B$38, "-", '11A'!$B$44, "-", '11A'!$C$8, "-", '11A'!$C$7, "-", '11A'!$C$6, "-", '11A'!$C$5)</f>
        <v>Scope three emissions-Purchased fuels; extraction, production, transmission and distribution-3-tCO2e-Water-Operational emissions</v>
      </c>
      <c r="E3909">
        <f>'11A'!$C$44</f>
        <v>1292.8373786531295</v>
      </c>
      <c r="F3909" t="s">
        <v>682</v>
      </c>
      <c r="G3909">
        <f>'11A'!$D$44</f>
        <v>7837.7293406092685</v>
      </c>
      <c r="O3909" t="str">
        <f>_xlfn.CONCAT('11A'!$B$38, "-", '11A'!$B$44, "-", '11A'!$C$8, "-", '11A'!$C$7, "-", '11A'!$C$6, "-", '11A'!$C$5)</f>
        <v>Scope three emissions-Purchased fuels; extraction, production, transmission and distribution-3-tCO2e-Water-Operational emissions</v>
      </c>
    </row>
    <row r="3910" spans="1:15">
      <c r="A3910" t="s">
        <v>660</v>
      </c>
      <c r="B3910" t="str">
        <f>'11A'!$U$44</f>
        <v>BO_5766425</v>
      </c>
      <c r="D3910" t="str">
        <f>_xlfn.CONCAT('11A'!$B$38, "-", '11A'!$B$44, "-", '11A'!$D$8, "-", '11A'!$D$7, "-", '11A'!$D$6, "-", '11A'!$C$5)</f>
        <v>Scope three emissions-Purchased fuels; extraction, production, transmission and distribution-3-tCO2e-Wastewater-Operational emissions</v>
      </c>
      <c r="E3910">
        <f>'11A'!$C$44</f>
        <v>1292.8373786531295</v>
      </c>
      <c r="F3910" t="s">
        <v>682</v>
      </c>
      <c r="G3910">
        <f>'11A'!$D$44</f>
        <v>7837.7293406092685</v>
      </c>
      <c r="O3910" t="str">
        <f>_xlfn.CONCAT('11A'!$B$38, "-", '11A'!$B$44, "-", '11A'!$D$8, "-", '11A'!$D$7, "-", '11A'!$D$6, "-", '11A'!$C$5)</f>
        <v>Scope three emissions-Purchased fuels; extraction, production, transmission and distribution-3-tCO2e-Wastewater-Operational emissions</v>
      </c>
    </row>
    <row r="3911" spans="1:15">
      <c r="A3911" t="s">
        <v>660</v>
      </c>
      <c r="B3911" t="str">
        <f>'11A'!$V$44</f>
        <v>BO_5741639</v>
      </c>
      <c r="D3911" t="str">
        <f>_xlfn.CONCAT('11A'!$B$38, "-", '11A'!$B$44, "-", '11A'!$E$8, "-", '11A'!$E$7, "-", '11A'!$E$6, "-", '11A'!$C$5)</f>
        <v>Scope three emissions-Purchased fuels; extraction, production, transmission and distribution-3-tCO2e-Total-Operational emissions</v>
      </c>
      <c r="E3911">
        <f>'11A'!$C$44</f>
        <v>1292.8373786531295</v>
      </c>
      <c r="F3911" t="s">
        <v>682</v>
      </c>
      <c r="G3911">
        <f>'11A'!$D$44</f>
        <v>7837.7293406092685</v>
      </c>
      <c r="O3911" t="str">
        <f>_xlfn.CONCAT('11A'!$B$38, "-", '11A'!$B$44, "-", '11A'!$E$8, "-", '11A'!$E$7, "-", '11A'!$E$6, "-", '11A'!$C$5)</f>
        <v>Scope three emissions-Purchased fuels; extraction, production, transmission and distribution-3-tCO2e-Total-Operational emissions</v>
      </c>
    </row>
    <row r="3912" spans="1:15">
      <c r="A3912" t="s">
        <v>660</v>
      </c>
      <c r="B3912" t="str">
        <f>'11A'!$T$45</f>
        <v>BO_6859992</v>
      </c>
      <c r="D3912" t="str">
        <f>_xlfn.CONCAT('11A'!$B$38, "-", '11A'!$B$45, "-", '11A'!$C$8, "-", '11A'!$C$7, "-", '11A'!$C$6, "-", '11A'!$C$5)</f>
        <v>Scope three emissions-Chemicals-3-tCO2e-Water-Operational emissions</v>
      </c>
      <c r="E3912">
        <f>'11A'!$C$45</f>
        <v>38360.578803450211</v>
      </c>
      <c r="F3912" t="s">
        <v>682</v>
      </c>
      <c r="G3912">
        <f>'11A'!$D$45</f>
        <v>10342.788720973889</v>
      </c>
      <c r="O3912" t="str">
        <f>_xlfn.CONCAT('11A'!$B$38, "-", '11A'!$B$45, "-", '11A'!$C$8, "-", '11A'!$C$7, "-", '11A'!$C$6, "-", '11A'!$C$5)</f>
        <v>Scope three emissions-Chemicals-3-tCO2e-Water-Operational emissions</v>
      </c>
    </row>
    <row r="3913" spans="1:15">
      <c r="A3913" t="s">
        <v>660</v>
      </c>
      <c r="B3913" t="str">
        <f>'11A'!$U$45</f>
        <v>BO_1591628</v>
      </c>
      <c r="D3913" t="str">
        <f>_xlfn.CONCAT('11A'!$B$38, "-", '11A'!$B$45, "-", '11A'!$D$8, "-", '11A'!$D$7, "-", '11A'!$D$6, "-", '11A'!$C$5)</f>
        <v>Scope three emissions-Chemicals-3-tCO2e-Wastewater-Operational emissions</v>
      </c>
      <c r="E3913">
        <f>'11A'!$C$45</f>
        <v>38360.578803450211</v>
      </c>
      <c r="F3913" t="s">
        <v>682</v>
      </c>
      <c r="G3913">
        <f>'11A'!$D$45</f>
        <v>10342.788720973889</v>
      </c>
      <c r="O3913" t="str">
        <f>_xlfn.CONCAT('11A'!$B$38, "-", '11A'!$B$45, "-", '11A'!$D$8, "-", '11A'!$D$7, "-", '11A'!$D$6, "-", '11A'!$C$5)</f>
        <v>Scope three emissions-Chemicals-3-tCO2e-Wastewater-Operational emissions</v>
      </c>
    </row>
    <row r="3914" spans="1:15">
      <c r="A3914" t="s">
        <v>660</v>
      </c>
      <c r="B3914" t="str">
        <f>'11A'!$V$45</f>
        <v>BO_8746732</v>
      </c>
      <c r="D3914" t="str">
        <f>_xlfn.CONCAT('11A'!$B$38, "-", '11A'!$B$45, "-", '11A'!$E$8, "-", '11A'!$E$7, "-", '11A'!$E$6, "-", '11A'!$C$5)</f>
        <v>Scope three emissions-Chemicals-3-tCO2e-Total-Operational emissions</v>
      </c>
      <c r="E3914">
        <f>'11A'!$C$45</f>
        <v>38360.578803450211</v>
      </c>
      <c r="F3914" t="s">
        <v>682</v>
      </c>
      <c r="G3914">
        <f>'11A'!$D$45</f>
        <v>10342.788720973889</v>
      </c>
      <c r="O3914" t="str">
        <f>_xlfn.CONCAT('11A'!$B$38, "-", '11A'!$B$45, "-", '11A'!$E$8, "-", '11A'!$E$7, "-", '11A'!$E$6, "-", '11A'!$C$5)</f>
        <v>Scope three emissions-Chemicals-3-tCO2e-Total-Operational emissions</v>
      </c>
    </row>
    <row r="3915" spans="1:15">
      <c r="A3915" t="s">
        <v>660</v>
      </c>
      <c r="B3915" t="str">
        <f>'11A'!$T$46</f>
        <v>BO_57904</v>
      </c>
      <c r="D3915" t="str">
        <f>_xlfn.CONCAT('11A'!$B$38, "-", '11A'!$B$46, "-", '11A'!$C$8, "-", '11A'!$C$7, "-", '11A'!$C$6, "-", '11A'!$C$5)</f>
        <v>Scope three emissions-Disposal of waste-3-tCO2e-Water-Operational emissions</v>
      </c>
      <c r="E3915">
        <f>'11A'!$C$46</f>
        <v>2577.1956384000005</v>
      </c>
      <c r="F3915" t="s">
        <v>682</v>
      </c>
      <c r="G3915">
        <f>'11A'!$D$46</f>
        <v>4756.4263599999995</v>
      </c>
      <c r="O3915" t="str">
        <f>_xlfn.CONCAT('11A'!$B$38, "-", '11A'!$B$46, "-", '11A'!$C$8, "-", '11A'!$C$7, "-", '11A'!$C$6, "-", '11A'!$C$5)</f>
        <v>Scope three emissions-Disposal of waste-3-tCO2e-Water-Operational emissions</v>
      </c>
    </row>
    <row r="3916" spans="1:15">
      <c r="A3916" t="s">
        <v>660</v>
      </c>
      <c r="B3916" t="str">
        <f>'11A'!$U$46</f>
        <v>BO_9940412</v>
      </c>
      <c r="D3916" t="str">
        <f>_xlfn.CONCAT('11A'!$B$38, "-", '11A'!$B$46, "-", '11A'!$D$8, "-", '11A'!$D$7, "-", '11A'!$D$6, "-", '11A'!$C$5)</f>
        <v>Scope three emissions-Disposal of waste-3-tCO2e-Wastewater-Operational emissions</v>
      </c>
      <c r="E3916">
        <f>'11A'!$C$46</f>
        <v>2577.1956384000005</v>
      </c>
      <c r="F3916" t="s">
        <v>682</v>
      </c>
      <c r="G3916">
        <f>'11A'!$D$46</f>
        <v>4756.4263599999995</v>
      </c>
      <c r="O3916" t="str">
        <f>_xlfn.CONCAT('11A'!$B$38, "-", '11A'!$B$46, "-", '11A'!$D$8, "-", '11A'!$D$7, "-", '11A'!$D$6, "-", '11A'!$C$5)</f>
        <v>Scope three emissions-Disposal of waste-3-tCO2e-Wastewater-Operational emissions</v>
      </c>
    </row>
    <row r="3917" spans="1:15">
      <c r="A3917" t="s">
        <v>660</v>
      </c>
      <c r="B3917" t="str">
        <f>'11A'!$V$46</f>
        <v>BO_3689667</v>
      </c>
      <c r="D3917" t="str">
        <f>_xlfn.CONCAT('11A'!$B$38, "-", '11A'!$B$46, "-", '11A'!$E$8, "-", '11A'!$E$7, "-", '11A'!$E$6, "-", '11A'!$C$5)</f>
        <v>Scope three emissions-Disposal of waste-3-tCO2e-Total-Operational emissions</v>
      </c>
      <c r="E3917">
        <f>'11A'!$C$46</f>
        <v>2577.1956384000005</v>
      </c>
      <c r="F3917" t="s">
        <v>682</v>
      </c>
      <c r="G3917">
        <f>'11A'!$D$46</f>
        <v>4756.4263599999995</v>
      </c>
      <c r="O3917" t="str">
        <f>_xlfn.CONCAT('11A'!$B$38, "-", '11A'!$B$46, "-", '11A'!$E$8, "-", '11A'!$E$7, "-", '11A'!$E$6, "-", '11A'!$C$5)</f>
        <v>Scope three emissions-Disposal of waste-3-tCO2e-Total-Operational emissions</v>
      </c>
    </row>
    <row r="3918" spans="1:15">
      <c r="A3918" t="s">
        <v>660</v>
      </c>
      <c r="B3918" t="str">
        <f>'11A'!$T$47</f>
        <v>BO_2420448</v>
      </c>
      <c r="D3918" t="str">
        <f>_xlfn.CONCAT('11A'!$B$38, "-", '11A'!$B$47, "-", '11A'!$C$8, "-", '11A'!$C$7, "-", '11A'!$C$6, "-", '11A'!$C$5)</f>
        <v>Scope three emissions-Total scope three emissions (location-based)-3-tCO2e-Water-Operational emissions</v>
      </c>
      <c r="E3918">
        <f>'11A'!$C$47</f>
        <v>58041.057480439304</v>
      </c>
      <c r="F3918" t="s">
        <v>682</v>
      </c>
      <c r="G3918">
        <f>'11A'!$D$47</f>
        <v>32189.308388415193</v>
      </c>
      <c r="O3918" t="str">
        <f>_xlfn.CONCAT('11A'!$B$38, "-", '11A'!$B$47, "-", '11A'!$C$8, "-", '11A'!$C$7, "-", '11A'!$C$6, "-", '11A'!$C$5)</f>
        <v>Scope three emissions-Total scope three emissions (location-based)-3-tCO2e-Water-Operational emissions</v>
      </c>
    </row>
    <row r="3919" spans="1:15">
      <c r="A3919" t="s">
        <v>660</v>
      </c>
      <c r="B3919" t="str">
        <f>'11A'!$U$47</f>
        <v>BO_6794993</v>
      </c>
      <c r="D3919" t="str">
        <f>_xlfn.CONCAT('11A'!$B$38, "-", '11A'!$B$47, "-", '11A'!$D$8, "-", '11A'!$D$7, "-", '11A'!$D$6, "-", '11A'!$C$5)</f>
        <v>Scope three emissions-Total scope three emissions (location-based)-3-tCO2e-Wastewater-Operational emissions</v>
      </c>
      <c r="E3919">
        <f>'11A'!$C$47</f>
        <v>58041.057480439304</v>
      </c>
      <c r="F3919" t="s">
        <v>682</v>
      </c>
      <c r="G3919">
        <f>'11A'!$D$47</f>
        <v>32189.308388415193</v>
      </c>
      <c r="O3919" t="str">
        <f>_xlfn.CONCAT('11A'!$B$38, "-", '11A'!$B$47, "-", '11A'!$D$8, "-", '11A'!$D$7, "-", '11A'!$D$6, "-", '11A'!$C$5)</f>
        <v>Scope three emissions-Total scope three emissions (location-based)-3-tCO2e-Wastewater-Operational emissions</v>
      </c>
    </row>
    <row r="3920" spans="1:15">
      <c r="A3920" t="s">
        <v>660</v>
      </c>
      <c r="B3920" t="str">
        <f>'11A'!$V$47</f>
        <v>BO_1974979</v>
      </c>
      <c r="D3920" t="str">
        <f>_xlfn.CONCAT('11A'!$B$38, "-", '11A'!$B$47, "-", '11A'!$E$8, "-", '11A'!$E$7, "-", '11A'!$E$6, "-", '11A'!$C$5)</f>
        <v>Scope three emissions-Total scope three emissions (location-based)-3-tCO2e-Total-Operational emissions</v>
      </c>
      <c r="E3920">
        <f>'11A'!$C$47</f>
        <v>58041.057480439304</v>
      </c>
      <c r="F3920" t="s">
        <v>682</v>
      </c>
      <c r="G3920">
        <f>'11A'!$D$47</f>
        <v>32189.308388415193</v>
      </c>
      <c r="O3920" t="str">
        <f>_xlfn.CONCAT('11A'!$B$38, "-", '11A'!$B$47, "-", '11A'!$E$8, "-", '11A'!$E$7, "-", '11A'!$E$6, "-", '11A'!$C$5)</f>
        <v>Scope three emissions-Total scope three emissions (location-based)-3-tCO2e-Total-Operational emissions</v>
      </c>
    </row>
    <row r="3921" spans="1:15">
      <c r="A3921" t="s">
        <v>660</v>
      </c>
      <c r="B3921" t="str">
        <f>'11A'!$T$48</f>
        <v>BO_5601106</v>
      </c>
      <c r="D3921" t="str">
        <f>_xlfn.CONCAT('11A'!$B$38, "-", '11A'!$B$48, "-", '11A'!$C$8, "-", '11A'!$C$7, "-", '11A'!$C$6, "-", '11A'!$C$5)</f>
        <v>Scope three emissions-Total scope three emissions (market-based)-3-tCO2e-Water-Operational emissions</v>
      </c>
      <c r="E3921">
        <f>'11A'!$C$48</f>
        <v>54230.243580439303</v>
      </c>
      <c r="F3921" t="s">
        <v>682</v>
      </c>
      <c r="G3921">
        <f>'11A'!$D$48</f>
        <v>30067.655688415194</v>
      </c>
      <c r="O3921" t="str">
        <f>_xlfn.CONCAT('11A'!$B$38, "-", '11A'!$B$48, "-", '11A'!$C$8, "-", '11A'!$C$7, "-", '11A'!$C$6, "-", '11A'!$C$5)</f>
        <v>Scope three emissions-Total scope three emissions (market-based)-3-tCO2e-Water-Operational emissions</v>
      </c>
    </row>
    <row r="3922" spans="1:15">
      <c r="A3922" t="s">
        <v>660</v>
      </c>
      <c r="B3922" t="str">
        <f>'11A'!$U$48</f>
        <v>BO_8684724</v>
      </c>
      <c r="D3922" t="str">
        <f>_xlfn.CONCAT('11A'!$B$38, "-", '11A'!$B$48, "-", '11A'!$D$8, "-", '11A'!$D$7, "-", '11A'!$D$6, "-", '11A'!$C$5)</f>
        <v>Scope three emissions-Total scope three emissions (market-based)-3-tCO2e-Wastewater-Operational emissions</v>
      </c>
      <c r="E3922">
        <f>'11A'!$C$48</f>
        <v>54230.243580439303</v>
      </c>
      <c r="F3922" t="s">
        <v>682</v>
      </c>
      <c r="G3922">
        <f>'11A'!$D$48</f>
        <v>30067.655688415194</v>
      </c>
      <c r="O3922" t="str">
        <f>_xlfn.CONCAT('11A'!$B$38, "-", '11A'!$B$48, "-", '11A'!$D$8, "-", '11A'!$D$7, "-", '11A'!$D$6, "-", '11A'!$C$5)</f>
        <v>Scope three emissions-Total scope three emissions (market-based)-3-tCO2e-Wastewater-Operational emissions</v>
      </c>
    </row>
    <row r="3923" spans="1:15">
      <c r="A3923" t="s">
        <v>660</v>
      </c>
      <c r="B3923" t="str">
        <f>'11A'!$V$48</f>
        <v>BO_4034418</v>
      </c>
      <c r="D3923" t="str">
        <f>_xlfn.CONCAT('11A'!$B$38, "-", '11A'!$B$48, "-", '11A'!$E$8, "-", '11A'!$E$7, "-", '11A'!$E$6, "-", '11A'!$C$5)</f>
        <v>Scope three emissions-Total scope three emissions (market-based)-3-tCO2e-Total-Operational emissions</v>
      </c>
      <c r="E3923">
        <f>'11A'!$C$48</f>
        <v>54230.243580439303</v>
      </c>
      <c r="F3923" t="s">
        <v>682</v>
      </c>
      <c r="G3923">
        <f>'11A'!$D$48</f>
        <v>30067.655688415194</v>
      </c>
      <c r="O3923" t="str">
        <f>_xlfn.CONCAT('11A'!$B$38, "-", '11A'!$B$48, "-", '11A'!$E$8, "-", '11A'!$E$7, "-", '11A'!$E$6, "-", '11A'!$C$5)</f>
        <v>Scope three emissions-Total scope three emissions (market-based)-3-tCO2e-Total-Operational emissions</v>
      </c>
    </row>
    <row r="3924" spans="1:15">
      <c r="A3924" t="s">
        <v>660</v>
      </c>
      <c r="B3924" t="str">
        <f>'11A'!$T$50</f>
        <v>BR034_S3WCO</v>
      </c>
      <c r="D3924" t="str">
        <f>_xlfn.CONCAT('11A'!$B$38, "-", '11A'!$B$50, "-", '11A'!$C$8, "-", '11A'!$C$7, "-", '11A'!$C$6, "-", '11A'!$C$5)</f>
        <v>Scope three emissions-Scope three emissions; GHG type CO2-3-tCO2e-Water-Operational emissions</v>
      </c>
      <c r="E3924">
        <f>'11A'!$C$50</f>
        <v>57986.3594174393</v>
      </c>
      <c r="F3924" t="s">
        <v>682</v>
      </c>
      <c r="G3924">
        <f>'11A'!$D$50</f>
        <v>32152.752814715193</v>
      </c>
      <c r="O3924" t="str">
        <f>_xlfn.CONCAT('11A'!$B$38, "-", '11A'!$B$50, "-", '11A'!$C$8, "-", '11A'!$C$7, "-", '11A'!$C$6, "-", '11A'!$C$5)</f>
        <v>Scope three emissions-Scope three emissions; GHG type CO2-3-tCO2e-Water-Operational emissions</v>
      </c>
    </row>
    <row r="3925" spans="1:15">
      <c r="A3925" t="s">
        <v>660</v>
      </c>
      <c r="B3925" t="str">
        <f>'11A'!$U$50</f>
        <v>BR035_S3WWCO</v>
      </c>
      <c r="D3925" t="str">
        <f>_xlfn.CONCAT('11A'!$B$38, "-", '11A'!$B$50, "-", '11A'!$D$8, "-", '11A'!$D$7, "-", '11A'!$D$6, "-", '11A'!$C$5)</f>
        <v>Scope three emissions-Scope three emissions; GHG type CO2-3-tCO2e-Wastewater-Operational emissions</v>
      </c>
      <c r="E3925">
        <f>'11A'!$C$50</f>
        <v>57986.3594174393</v>
      </c>
      <c r="F3925" t="s">
        <v>682</v>
      </c>
      <c r="G3925">
        <f>'11A'!$D$50</f>
        <v>32152.752814715193</v>
      </c>
      <c r="O3925" t="str">
        <f>_xlfn.CONCAT('11A'!$B$38, "-", '11A'!$B$50, "-", '11A'!$D$8, "-", '11A'!$D$7, "-", '11A'!$D$6, "-", '11A'!$C$5)</f>
        <v>Scope three emissions-Scope three emissions; GHG type CO2-3-tCO2e-Wastewater-Operational emissions</v>
      </c>
    </row>
    <row r="3926" spans="1:15">
      <c r="A3926" t="s">
        <v>660</v>
      </c>
      <c r="B3926" t="str">
        <f>'11A'!$V$50</f>
        <v>BR036_S3TOCO</v>
      </c>
      <c r="D3926" t="str">
        <f>_xlfn.CONCAT('11A'!$B$38, "-", '11A'!$B$50, "-", '11A'!$E$8, "-", '11A'!$E$7, "-", '11A'!$E$6, "-", '11A'!$C$5)</f>
        <v>Scope three emissions-Scope three emissions; GHG type CO2-3-tCO2e-Total-Operational emissions</v>
      </c>
      <c r="E3926">
        <f>'11A'!$C$50</f>
        <v>57986.3594174393</v>
      </c>
      <c r="F3926" t="s">
        <v>682</v>
      </c>
      <c r="G3926">
        <f>'11A'!$D$50</f>
        <v>32152.752814715193</v>
      </c>
      <c r="O3926" t="str">
        <f>_xlfn.CONCAT('11A'!$B$38, "-", '11A'!$B$50, "-", '11A'!$E$8, "-", '11A'!$E$7, "-", '11A'!$E$6, "-", '11A'!$C$5)</f>
        <v>Scope three emissions-Scope three emissions; GHG type CO2-3-tCO2e-Total-Operational emissions</v>
      </c>
    </row>
    <row r="3927" spans="1:15">
      <c r="A3927" t="s">
        <v>660</v>
      </c>
      <c r="B3927" t="str">
        <f>'11A'!$T$51</f>
        <v>BR037_S3WCH</v>
      </c>
      <c r="D3927" t="str">
        <f>_xlfn.CONCAT('11A'!$B$38, "-", '11A'!$B$51, "-", '11A'!$C$8, "-", '11A'!$C$7, "-", '11A'!$C$6, "-", '11A'!$C$5)</f>
        <v>Scope three emissions-Scope three emissions; GHG type CH4-3-tCO2e-Water-Operational emissions</v>
      </c>
      <c r="E3927">
        <f>'11A'!$C$51</f>
        <v>15.374072</v>
      </c>
      <c r="F3927" t="s">
        <v>682</v>
      </c>
      <c r="G3927">
        <f>'11A'!$D$51</f>
        <v>8.6899967</v>
      </c>
      <c r="O3927" t="str">
        <f>_xlfn.CONCAT('11A'!$B$38, "-", '11A'!$B$51, "-", '11A'!$C$8, "-", '11A'!$C$7, "-", '11A'!$C$6, "-", '11A'!$C$5)</f>
        <v>Scope three emissions-Scope three emissions; GHG type CH4-3-tCO2e-Water-Operational emissions</v>
      </c>
    </row>
    <row r="3928" spans="1:15">
      <c r="A3928" t="s">
        <v>660</v>
      </c>
      <c r="B3928" t="str">
        <f>'11A'!$U$51</f>
        <v>BR038_S3WWCH</v>
      </c>
      <c r="D3928" t="str">
        <f>_xlfn.CONCAT('11A'!$B$38, "-", '11A'!$B$51, "-", '11A'!$D$8, "-", '11A'!$D$7, "-", '11A'!$D$6, "-", '11A'!$C$5)</f>
        <v>Scope three emissions-Scope three emissions; GHG type CH4-3-tCO2e-Wastewater-Operational emissions</v>
      </c>
      <c r="E3928">
        <f>'11A'!$C$51</f>
        <v>15.374072</v>
      </c>
      <c r="F3928" t="s">
        <v>682</v>
      </c>
      <c r="G3928">
        <f>'11A'!$D$51</f>
        <v>8.6899967</v>
      </c>
      <c r="O3928" t="str">
        <f>_xlfn.CONCAT('11A'!$B$38, "-", '11A'!$B$51, "-", '11A'!$D$8, "-", '11A'!$D$7, "-", '11A'!$D$6, "-", '11A'!$C$5)</f>
        <v>Scope three emissions-Scope three emissions; GHG type CH4-3-tCO2e-Wastewater-Operational emissions</v>
      </c>
    </row>
    <row r="3929" spans="1:15">
      <c r="A3929" t="s">
        <v>660</v>
      </c>
      <c r="B3929" t="str">
        <f>'11A'!$V$51</f>
        <v>BR039_S3TOCH</v>
      </c>
      <c r="D3929" t="str">
        <f>_xlfn.CONCAT('11A'!$B$38, "-", '11A'!$B$51, "-", '11A'!$E$8, "-", '11A'!$E$7, "-", '11A'!$E$6, "-", '11A'!$C$5)</f>
        <v>Scope three emissions-Scope three emissions; GHG type CH4-3-tCO2e-Total-Operational emissions</v>
      </c>
      <c r="E3929">
        <f>'11A'!$C$51</f>
        <v>15.374072</v>
      </c>
      <c r="F3929" t="s">
        <v>682</v>
      </c>
      <c r="G3929">
        <f>'11A'!$D$51</f>
        <v>8.6899967</v>
      </c>
      <c r="O3929" t="str">
        <f>_xlfn.CONCAT('11A'!$B$38, "-", '11A'!$B$51, "-", '11A'!$E$8, "-", '11A'!$E$7, "-", '11A'!$E$6, "-", '11A'!$C$5)</f>
        <v>Scope three emissions-Scope three emissions; GHG type CH4-3-tCO2e-Total-Operational emissions</v>
      </c>
    </row>
    <row r="3930" spans="1:15">
      <c r="A3930" t="s">
        <v>660</v>
      </c>
      <c r="B3930" t="str">
        <f>'11A'!$T$52</f>
        <v>BR040_S3WNO</v>
      </c>
      <c r="D3930" t="str">
        <f>_xlfn.CONCAT('11A'!$B$38, "-", '11A'!$B$52, "-", '11A'!$C$8, "-", '11A'!$C$7, "-", '11A'!$C$6, "-", '11A'!$C$5)</f>
        <v>Scope three emissions-Scope three emissions; GHG type N2O-3-tCO2e-Water-Operational emissions</v>
      </c>
      <c r="E3930">
        <f>'11A'!$C$52</f>
        <v>39.323990999999999</v>
      </c>
      <c r="F3930" t="s">
        <v>682</v>
      </c>
      <c r="G3930">
        <f>'11A'!$D$52</f>
        <v>27.865576999999998</v>
      </c>
      <c r="O3930" t="str">
        <f>_xlfn.CONCAT('11A'!$B$38, "-", '11A'!$B$52, "-", '11A'!$C$8, "-", '11A'!$C$7, "-", '11A'!$C$6, "-", '11A'!$C$5)</f>
        <v>Scope three emissions-Scope three emissions; GHG type N2O-3-tCO2e-Water-Operational emissions</v>
      </c>
    </row>
    <row r="3931" spans="1:15">
      <c r="A3931" t="s">
        <v>660</v>
      </c>
      <c r="B3931" t="str">
        <f>'11A'!$U$52</f>
        <v>BR041_S3WWNO</v>
      </c>
      <c r="D3931" t="str">
        <f>_xlfn.CONCAT('11A'!$B$38, "-", '11A'!$B$52, "-", '11A'!$D$8, "-", '11A'!$D$7, "-", '11A'!$D$6, "-", '11A'!$C$5)</f>
        <v>Scope three emissions-Scope three emissions; GHG type N2O-3-tCO2e-Wastewater-Operational emissions</v>
      </c>
      <c r="E3931">
        <f>'11A'!$C$52</f>
        <v>39.323990999999999</v>
      </c>
      <c r="F3931" t="s">
        <v>682</v>
      </c>
      <c r="G3931">
        <f>'11A'!$D$52</f>
        <v>27.865576999999998</v>
      </c>
      <c r="O3931" t="str">
        <f>_xlfn.CONCAT('11A'!$B$38, "-", '11A'!$B$52, "-", '11A'!$D$8, "-", '11A'!$D$7, "-", '11A'!$D$6, "-", '11A'!$C$5)</f>
        <v>Scope three emissions-Scope three emissions; GHG type N2O-3-tCO2e-Wastewater-Operational emissions</v>
      </c>
    </row>
    <row r="3932" spans="1:15">
      <c r="A3932" t="s">
        <v>660</v>
      </c>
      <c r="B3932" t="str">
        <f>'11A'!$V$52</f>
        <v>BR042_S3TONO</v>
      </c>
      <c r="D3932" t="str">
        <f>_xlfn.CONCAT('11A'!$B$38, "-", '11A'!$B$52, "-", '11A'!$E$8, "-", '11A'!$E$7, "-", '11A'!$E$6, "-", '11A'!$C$5)</f>
        <v>Scope three emissions-Scope three emissions; GHG type N2O-3-tCO2e-Total-Operational emissions</v>
      </c>
      <c r="E3932">
        <f>'11A'!$C$52</f>
        <v>39.323990999999999</v>
      </c>
      <c r="F3932" t="s">
        <v>682</v>
      </c>
      <c r="G3932">
        <f>'11A'!$D$52</f>
        <v>27.865576999999998</v>
      </c>
      <c r="O3932" t="str">
        <f>_xlfn.CONCAT('11A'!$B$38, "-", '11A'!$B$52, "-", '11A'!$E$8, "-", '11A'!$E$7, "-", '11A'!$E$6, "-", '11A'!$C$5)</f>
        <v>Scope three emissions-Scope three emissions; GHG type N2O-3-tCO2e-Total-Operational emissions</v>
      </c>
    </row>
    <row r="3933" spans="1:15">
      <c r="A3933" t="s">
        <v>660</v>
      </c>
      <c r="B3933" t="str">
        <f>'11A'!$T$53</f>
        <v>BO_9823950</v>
      </c>
      <c r="D3933" t="str">
        <f>_xlfn.CONCAT('11A'!$B$38, "-", '11A'!$B$53, "-", '11A'!$C$8, "-", '11A'!$C$7, "-", '11A'!$C$6, "-", '11A'!$C$5)</f>
        <v>Scope three emissions-Scope three emissions: GHG other types-3-tCO2e-Water-Operational emissions</v>
      </c>
      <c r="E3933">
        <f>'11A'!$C$53</f>
        <v>0</v>
      </c>
      <c r="F3933" t="s">
        <v>682</v>
      </c>
      <c r="G3933">
        <f>'11A'!$D$53</f>
        <v>0</v>
      </c>
      <c r="O3933" t="str">
        <f>_xlfn.CONCAT('11A'!$B$38, "-", '11A'!$B$53, "-", '11A'!$C$8, "-", '11A'!$C$7, "-", '11A'!$C$6, "-", '11A'!$C$5)</f>
        <v>Scope three emissions-Scope three emissions: GHG other types-3-tCO2e-Water-Operational emissions</v>
      </c>
    </row>
    <row r="3934" spans="1:15">
      <c r="A3934" t="s">
        <v>660</v>
      </c>
      <c r="B3934" t="str">
        <f>'11A'!$U$53</f>
        <v>BO_4990179</v>
      </c>
      <c r="D3934" t="str">
        <f>_xlfn.CONCAT('11A'!$B$38, "-", '11A'!$B$53, "-", '11A'!$D$8, "-", '11A'!$D$7, "-", '11A'!$D$6, "-", '11A'!$C$5)</f>
        <v>Scope three emissions-Scope three emissions: GHG other types-3-tCO2e-Wastewater-Operational emissions</v>
      </c>
      <c r="E3934">
        <f>'11A'!$C$53</f>
        <v>0</v>
      </c>
      <c r="F3934" t="s">
        <v>682</v>
      </c>
      <c r="G3934">
        <f>'11A'!$D$53</f>
        <v>0</v>
      </c>
      <c r="O3934" t="str">
        <f>_xlfn.CONCAT('11A'!$B$38, "-", '11A'!$B$53, "-", '11A'!$D$8, "-", '11A'!$D$7, "-", '11A'!$D$6, "-", '11A'!$C$5)</f>
        <v>Scope three emissions-Scope three emissions: GHG other types-3-tCO2e-Wastewater-Operational emissions</v>
      </c>
    </row>
    <row r="3935" spans="1:15">
      <c r="A3935" t="s">
        <v>660</v>
      </c>
      <c r="B3935" t="str">
        <f>'11A'!$V$53</f>
        <v>BO_3685286</v>
      </c>
      <c r="D3935" t="str">
        <f>_xlfn.CONCAT('11A'!$B$38, "-", '11A'!$B$53, "-", '11A'!$E$8, "-", '11A'!$E$7, "-", '11A'!$E$6, "-", '11A'!$C$5)</f>
        <v>Scope three emissions-Scope three emissions: GHG other types-3-tCO2e-Total-Operational emissions</v>
      </c>
      <c r="E3935">
        <f>'11A'!$C$53</f>
        <v>0</v>
      </c>
      <c r="F3935" t="s">
        <v>682</v>
      </c>
      <c r="G3935">
        <f>'11A'!$D$53</f>
        <v>0</v>
      </c>
      <c r="O3935" t="str">
        <f>_xlfn.CONCAT('11A'!$B$38, "-", '11A'!$B$53, "-", '11A'!$E$8, "-", '11A'!$E$7, "-", '11A'!$E$6, "-", '11A'!$C$5)</f>
        <v>Scope three emissions-Scope three emissions: GHG other types-3-tCO2e-Total-Operational emissions</v>
      </c>
    </row>
    <row r="3936" spans="1:15">
      <c r="A3936" t="s">
        <v>660</v>
      </c>
      <c r="B3936" t="str">
        <f>'11A'!$T$56</f>
        <v>BR073_GEWLB</v>
      </c>
      <c r="D3936" t="str">
        <f>_xlfn.CONCAT('11A'!$B$55, "-", '11A'!$B$56, "-", '11A'!$C$8, "-", '11A'!$C$7, "-", '11A'!$C$6, "-", '11A'!$C$5)</f>
        <v>Gross operational emissions (Scopes 1,2 and 3)-Gross operational emissions (location-based)-3-tCO2e-Water-Operational emissions</v>
      </c>
      <c r="E3936">
        <f>'11A'!$C$56</f>
        <v>105925.6089484393</v>
      </c>
      <c r="F3936" t="s">
        <v>682</v>
      </c>
      <c r="G3936">
        <f>'11A'!$D$56</f>
        <v>124173.91848841522</v>
      </c>
      <c r="O3936" t="str">
        <f>_xlfn.CONCAT('11A'!$B$55, "-", '11A'!$B$56, "-", '11A'!$C$8, "-", '11A'!$C$7, "-", '11A'!$C$6, "-", '11A'!$C$5)</f>
        <v>Gross operational emissions (Scopes 1,2 and 3)-Gross operational emissions (location-based)-3-tCO2e-Water-Operational emissions</v>
      </c>
    </row>
    <row r="3937" spans="1:15">
      <c r="A3937" t="s">
        <v>660</v>
      </c>
      <c r="B3937" t="str">
        <f>'11A'!$U$56</f>
        <v>BR074_GEWWLB</v>
      </c>
      <c r="D3937" t="str">
        <f>_xlfn.CONCAT('11A'!$B$55, "-", '11A'!$B$56, "-", '11A'!$D$8, "-", '11A'!$D$7, "-", '11A'!$D$6, "-", '11A'!$C$5)</f>
        <v>Gross operational emissions (Scopes 1,2 and 3)-Gross operational emissions (location-based)-3-tCO2e-Wastewater-Operational emissions</v>
      </c>
      <c r="E3937">
        <f>'11A'!$C$56</f>
        <v>105925.6089484393</v>
      </c>
      <c r="F3937" t="s">
        <v>682</v>
      </c>
      <c r="G3937">
        <f>'11A'!$D$56</f>
        <v>124173.91848841522</v>
      </c>
      <c r="O3937" t="str">
        <f>_xlfn.CONCAT('11A'!$B$55, "-", '11A'!$B$56, "-", '11A'!$D$8, "-", '11A'!$D$7, "-", '11A'!$D$6, "-", '11A'!$C$5)</f>
        <v>Gross operational emissions (Scopes 1,2 and 3)-Gross operational emissions (location-based)-3-tCO2e-Wastewater-Operational emissions</v>
      </c>
    </row>
    <row r="3938" spans="1:15">
      <c r="A3938" t="s">
        <v>660</v>
      </c>
      <c r="B3938" t="str">
        <f>'11A'!$V$56</f>
        <v>BR075_GETOLB</v>
      </c>
      <c r="D3938" t="str">
        <f>_xlfn.CONCAT('11A'!$B$55, "-", '11A'!$B$56, "-", '11A'!$E$8, "-", '11A'!$E$7, "-", '11A'!$E$6, "-", '11A'!$C$5)</f>
        <v>Gross operational emissions (Scopes 1,2 and 3)-Gross operational emissions (location-based)-3-tCO2e-Total-Operational emissions</v>
      </c>
      <c r="E3938">
        <f>'11A'!$C$56</f>
        <v>105925.6089484393</v>
      </c>
      <c r="F3938" t="s">
        <v>682</v>
      </c>
      <c r="G3938">
        <f>'11A'!$D$56</f>
        <v>124173.91848841522</v>
      </c>
      <c r="O3938" t="str">
        <f>_xlfn.CONCAT('11A'!$B$55, "-", '11A'!$B$56, "-", '11A'!$E$8, "-", '11A'!$E$7, "-", '11A'!$E$6, "-", '11A'!$C$5)</f>
        <v>Gross operational emissions (Scopes 1,2 and 3)-Gross operational emissions (location-based)-3-tCO2e-Total-Operational emissions</v>
      </c>
    </row>
    <row r="3939" spans="1:15">
      <c r="A3939" t="s">
        <v>660</v>
      </c>
      <c r="B3939" t="str">
        <f>'11A'!$T$57</f>
        <v>BR076_GEWMB</v>
      </c>
      <c r="D3939" t="str">
        <f>_xlfn.CONCAT('11A'!$B$55, "-", '11A'!$B$57, "-", '11A'!$C$8, "-", '11A'!$C$7, "-", '11A'!$C$6, "-", '11A'!$C$5)</f>
        <v>Gross operational emissions (Scopes 1,2 and 3)-Gross operational emissions (market-based)-3-tCO2e-Water-Operational emissions</v>
      </c>
      <c r="E3939">
        <f>'11A'!$C$57</f>
        <v>59828.180048439302</v>
      </c>
      <c r="F3939" t="s">
        <v>682</v>
      </c>
      <c r="G3939">
        <f>'11A'!$D$57</f>
        <v>69849.577688415186</v>
      </c>
      <c r="O3939" t="str">
        <f>_xlfn.CONCAT('11A'!$B$55, "-", '11A'!$B$57, "-", '11A'!$C$8, "-", '11A'!$C$7, "-", '11A'!$C$6, "-", '11A'!$C$5)</f>
        <v>Gross operational emissions (Scopes 1,2 and 3)-Gross operational emissions (market-based)-3-tCO2e-Water-Operational emissions</v>
      </c>
    </row>
    <row r="3940" spans="1:15">
      <c r="A3940" t="s">
        <v>660</v>
      </c>
      <c r="B3940" t="str">
        <f>'11A'!$U$57</f>
        <v>BR077_GEWWMB</v>
      </c>
      <c r="D3940" t="str">
        <f>_xlfn.CONCAT('11A'!$B$55, "-", '11A'!$B$57, "-", '11A'!$D$8, "-", '11A'!$D$7, "-", '11A'!$D$6, "-", '11A'!$C$5)</f>
        <v>Gross operational emissions (Scopes 1,2 and 3)-Gross operational emissions (market-based)-3-tCO2e-Wastewater-Operational emissions</v>
      </c>
      <c r="E3940">
        <f>'11A'!$C$57</f>
        <v>59828.180048439302</v>
      </c>
      <c r="F3940" t="s">
        <v>682</v>
      </c>
      <c r="G3940">
        <f>'11A'!$D$57</f>
        <v>69849.577688415186</v>
      </c>
      <c r="O3940" t="str">
        <f>_xlfn.CONCAT('11A'!$B$55, "-", '11A'!$B$57, "-", '11A'!$D$8, "-", '11A'!$D$7, "-", '11A'!$D$6, "-", '11A'!$C$5)</f>
        <v>Gross operational emissions (Scopes 1,2 and 3)-Gross operational emissions (market-based)-3-tCO2e-Wastewater-Operational emissions</v>
      </c>
    </row>
    <row r="3941" spans="1:15">
      <c r="A3941" t="s">
        <v>660</v>
      </c>
      <c r="B3941" t="str">
        <f>'11A'!$V$57</f>
        <v>BR078_GETOMB</v>
      </c>
      <c r="D3941" t="str">
        <f>_xlfn.CONCAT('11A'!$B$55, "-", '11A'!$B$57, "-", '11A'!$E$8, "-", '11A'!$E$7, "-", '11A'!$E$6, "-", '11A'!$C$5)</f>
        <v>Gross operational emissions (Scopes 1,2 and 3)-Gross operational emissions (market-based)-3-tCO2e-Total-Operational emissions</v>
      </c>
      <c r="E3941">
        <f>'11A'!$C$57</f>
        <v>59828.180048439302</v>
      </c>
      <c r="F3941" t="s">
        <v>682</v>
      </c>
      <c r="G3941">
        <f>'11A'!$D$57</f>
        <v>69849.577688415186</v>
      </c>
      <c r="O3941" t="str">
        <f>_xlfn.CONCAT('11A'!$B$55, "-", '11A'!$B$57, "-", '11A'!$E$8, "-", '11A'!$E$7, "-", '11A'!$E$6, "-", '11A'!$C$5)</f>
        <v>Gross operational emissions (Scopes 1,2 and 3)-Gross operational emissions (market-based)-3-tCO2e-Total-Operational emissions</v>
      </c>
    </row>
    <row r="3942" spans="1:15">
      <c r="A3942" t="s">
        <v>660</v>
      </c>
      <c r="B3942" t="str">
        <f>'11A'!$T$60</f>
        <v>BR079_ERWER</v>
      </c>
      <c r="D3942" t="str">
        <f>_xlfn.CONCAT('11A'!$B$59, "-", '11A'!$B$60, "-", '11A'!$C$8, "-", '11A'!$C$7, "-", '11A'!$C$6, "-", '11A'!$C$5)</f>
        <v>Emissions reductions-Exported renewables-3-tCO2e-Water-Operational emissions</v>
      </c>
      <c r="E3942">
        <f>'11A'!$C$60</f>
        <v>139.47035</v>
      </c>
      <c r="F3942" t="s">
        <v>682</v>
      </c>
      <c r="G3942">
        <f>'11A'!$D$60</f>
        <v>12.075685999999999</v>
      </c>
      <c r="O3942" t="str">
        <f>_xlfn.CONCAT('11A'!$B$59, "-", '11A'!$B$60, "-", '11A'!$C$8, "-", '11A'!$C$7, "-", '11A'!$C$6, "-", '11A'!$C$5)</f>
        <v>Emissions reductions-Exported renewables-3-tCO2e-Water-Operational emissions</v>
      </c>
    </row>
    <row r="3943" spans="1:15">
      <c r="A3943" t="s">
        <v>660</v>
      </c>
      <c r="B3943" t="str">
        <f>'11A'!$U$60</f>
        <v>BR080_ERWWER</v>
      </c>
      <c r="D3943" t="str">
        <f>_xlfn.CONCAT('11A'!$B$59, "-", '11A'!$B$60, "-", '11A'!$D$8, "-", '11A'!$D$7, "-", '11A'!$D$6, "-", '11A'!$C$5)</f>
        <v>Emissions reductions-Exported renewables-3-tCO2e-Wastewater-Operational emissions</v>
      </c>
      <c r="E3943">
        <f>'11A'!$C$60</f>
        <v>139.47035</v>
      </c>
      <c r="F3943" t="s">
        <v>682</v>
      </c>
      <c r="G3943">
        <f>'11A'!$D$60</f>
        <v>12.075685999999999</v>
      </c>
      <c r="O3943" t="str">
        <f>_xlfn.CONCAT('11A'!$B$59, "-", '11A'!$B$60, "-", '11A'!$D$8, "-", '11A'!$D$7, "-", '11A'!$D$6, "-", '11A'!$C$5)</f>
        <v>Emissions reductions-Exported renewables-3-tCO2e-Wastewater-Operational emissions</v>
      </c>
    </row>
    <row r="3944" spans="1:15">
      <c r="A3944" t="s">
        <v>660</v>
      </c>
      <c r="B3944" t="str">
        <f>'11A'!$V$60</f>
        <v>BR081_ERTOER</v>
      </c>
      <c r="D3944" t="str">
        <f>_xlfn.CONCAT('11A'!$B$59, "-", '11A'!$B$60, "-", '11A'!$E$8, "-", '11A'!$E$7, "-", '11A'!$E$6, "-", '11A'!$C$5)</f>
        <v>Emissions reductions-Exported renewables-3-tCO2e-Total-Operational emissions</v>
      </c>
      <c r="E3944">
        <f>'11A'!$C$60</f>
        <v>139.47035</v>
      </c>
      <c r="F3944" t="s">
        <v>682</v>
      </c>
      <c r="G3944">
        <f>'11A'!$D$60</f>
        <v>12.075685999999999</v>
      </c>
      <c r="O3944" t="str">
        <f>_xlfn.CONCAT('11A'!$B$59, "-", '11A'!$B$60, "-", '11A'!$E$8, "-", '11A'!$E$7, "-", '11A'!$E$6, "-", '11A'!$C$5)</f>
        <v>Emissions reductions-Exported renewables-3-tCO2e-Total-Operational emissions</v>
      </c>
    </row>
    <row r="3945" spans="1:15">
      <c r="A3945" t="s">
        <v>660</v>
      </c>
      <c r="B3945" t="str">
        <f>'11A'!$T$61</f>
        <v>BR082_ERWEB</v>
      </c>
      <c r="D3945" t="str">
        <f>_xlfn.CONCAT('11A'!$B$59, "-", '11A'!$B$61, "-", '11A'!$C$8, "-", '11A'!$C$7, "-", '11A'!$C$6, "-", '11A'!$C$5)</f>
        <v>Emissions reductions-Exported biomethane-3-tCO2e-Water-Operational emissions</v>
      </c>
      <c r="E3945">
        <f>'11A'!$C$61</f>
        <v>0</v>
      </c>
      <c r="F3945" t="s">
        <v>682</v>
      </c>
      <c r="G3945">
        <f>'11A'!$D$61</f>
        <v>23874.489000000001</v>
      </c>
      <c r="O3945" t="str">
        <f>_xlfn.CONCAT('11A'!$B$59, "-", '11A'!$B$61, "-", '11A'!$C$8, "-", '11A'!$C$7, "-", '11A'!$C$6, "-", '11A'!$C$5)</f>
        <v>Emissions reductions-Exported biomethane-3-tCO2e-Water-Operational emissions</v>
      </c>
    </row>
    <row r="3946" spans="1:15">
      <c r="A3946" t="s">
        <v>660</v>
      </c>
      <c r="B3946" t="str">
        <f>'11A'!$U$61</f>
        <v>BR083_ERWWEB</v>
      </c>
      <c r="D3946" t="str">
        <f>_xlfn.CONCAT('11A'!$B$59, "-", '11A'!$B$61, "-", '11A'!$D$8, "-", '11A'!$D$7, "-", '11A'!$D$6, "-", '11A'!$C$5)</f>
        <v>Emissions reductions-Exported biomethane-3-tCO2e-Wastewater-Operational emissions</v>
      </c>
      <c r="E3946">
        <f>'11A'!$C$61</f>
        <v>0</v>
      </c>
      <c r="F3946" t="s">
        <v>682</v>
      </c>
      <c r="G3946">
        <f>'11A'!$D$61</f>
        <v>23874.489000000001</v>
      </c>
      <c r="O3946" t="str">
        <f>_xlfn.CONCAT('11A'!$B$59, "-", '11A'!$B$61, "-", '11A'!$D$8, "-", '11A'!$D$7, "-", '11A'!$D$6, "-", '11A'!$C$5)</f>
        <v>Emissions reductions-Exported biomethane-3-tCO2e-Wastewater-Operational emissions</v>
      </c>
    </row>
    <row r="3947" spans="1:15">
      <c r="A3947" t="s">
        <v>660</v>
      </c>
      <c r="B3947" t="str">
        <f>'11A'!$V$61</f>
        <v>BR084_ERTOEB</v>
      </c>
      <c r="D3947" t="str">
        <f>_xlfn.CONCAT('11A'!$B$59, "-", '11A'!$B$61, "-", '11A'!$E$8, "-", '11A'!$E$7, "-", '11A'!$E$6, "-", '11A'!$C$5)</f>
        <v>Emissions reductions-Exported biomethane-3-tCO2e-Total-Operational emissions</v>
      </c>
      <c r="E3947">
        <f>'11A'!$C$61</f>
        <v>0</v>
      </c>
      <c r="F3947" t="s">
        <v>682</v>
      </c>
      <c r="G3947">
        <f>'11A'!$D$61</f>
        <v>23874.489000000001</v>
      </c>
      <c r="O3947" t="str">
        <f>_xlfn.CONCAT('11A'!$B$59, "-", '11A'!$B$61, "-", '11A'!$E$8, "-", '11A'!$E$7, "-", '11A'!$E$6, "-", '11A'!$C$5)</f>
        <v>Emissions reductions-Exported biomethane-3-tCO2e-Total-Operational emissions</v>
      </c>
    </row>
    <row r="3948" spans="1:15">
      <c r="A3948" t="s">
        <v>660</v>
      </c>
      <c r="B3948" t="str">
        <f>'11A'!$T$62</f>
        <v>BO_6717913</v>
      </c>
      <c r="D3948" t="str">
        <f>_xlfn.CONCAT('11A'!$B$59, "-", '11A'!$B$62, "-", '11A'!$C$8, "-", '11A'!$C$7, "-", '11A'!$C$6, "-", '11A'!$C$5)</f>
        <v>Emissions reductions-Insets-3-tCO2e-Water-Operational emissions</v>
      </c>
      <c r="E3948">
        <f>'11A'!$C$62</f>
        <v>0</v>
      </c>
      <c r="F3948" t="s">
        <v>682</v>
      </c>
      <c r="G3948">
        <f>'11A'!$D$62</f>
        <v>0</v>
      </c>
      <c r="O3948" t="str">
        <f>_xlfn.CONCAT('11A'!$B$59, "-", '11A'!$B$62, "-", '11A'!$C$8, "-", '11A'!$C$7, "-", '11A'!$C$6, "-", '11A'!$C$5)</f>
        <v>Emissions reductions-Insets-3-tCO2e-Water-Operational emissions</v>
      </c>
    </row>
    <row r="3949" spans="1:15">
      <c r="A3949" t="s">
        <v>660</v>
      </c>
      <c r="B3949" t="str">
        <f>'11A'!$U$62</f>
        <v>BO_5717374</v>
      </c>
      <c r="D3949" t="str">
        <f>_xlfn.CONCAT('11A'!$B$59, "-", '11A'!$B$62, "-", '11A'!$D$8, "-", '11A'!$D$7, "-", '11A'!$D$6, "-", '11A'!$C$5)</f>
        <v>Emissions reductions-Insets-3-tCO2e-Wastewater-Operational emissions</v>
      </c>
      <c r="E3949">
        <f>'11A'!$C$62</f>
        <v>0</v>
      </c>
      <c r="F3949" t="s">
        <v>682</v>
      </c>
      <c r="G3949">
        <f>'11A'!$D$62</f>
        <v>0</v>
      </c>
      <c r="O3949" t="str">
        <f>_xlfn.CONCAT('11A'!$B$59, "-", '11A'!$B$62, "-", '11A'!$D$8, "-", '11A'!$D$7, "-", '11A'!$D$6, "-", '11A'!$C$5)</f>
        <v>Emissions reductions-Insets-3-tCO2e-Wastewater-Operational emissions</v>
      </c>
    </row>
    <row r="3950" spans="1:15">
      <c r="A3950" t="s">
        <v>660</v>
      </c>
      <c r="B3950" t="str">
        <f>'11A'!$V$62</f>
        <v>BO_4686738</v>
      </c>
      <c r="D3950" t="str">
        <f>_xlfn.CONCAT('11A'!$B$59, "-", '11A'!$B$62, "-", '11A'!$E$8, "-", '11A'!$E$7, "-", '11A'!$E$6, "-", '11A'!$C$5)</f>
        <v>Emissions reductions-Insets-3-tCO2e-Total-Operational emissions</v>
      </c>
      <c r="E3950">
        <f>'11A'!$C$62</f>
        <v>0</v>
      </c>
      <c r="F3950" t="s">
        <v>682</v>
      </c>
      <c r="G3950">
        <f>'11A'!$D$62</f>
        <v>0</v>
      </c>
      <c r="O3950" t="str">
        <f>_xlfn.CONCAT('11A'!$B$59, "-", '11A'!$B$62, "-", '11A'!$E$8, "-", '11A'!$E$7, "-", '11A'!$E$6, "-", '11A'!$C$5)</f>
        <v>Emissions reductions-Insets-3-tCO2e-Total-Operational emissions</v>
      </c>
    </row>
    <row r="3951" spans="1:15">
      <c r="A3951" t="s">
        <v>660</v>
      </c>
      <c r="B3951" t="str">
        <f>'11A'!$T$63</f>
        <v>BR088_ERWOR</v>
      </c>
      <c r="D3951" t="str">
        <f>_xlfn.CONCAT('11A'!$B$59, "-", '11A'!$B$63, "-", '11A'!$C$8, "-", '11A'!$C$7, "-", '11A'!$C$6, "-", '11A'!$C$5)</f>
        <v>Emissions reductions-Other emissions reductions-3-tCO2e-Water-Operational emissions</v>
      </c>
      <c r="E3951">
        <f>'11A'!$C$63</f>
        <v>0</v>
      </c>
      <c r="F3951" t="s">
        <v>682</v>
      </c>
      <c r="G3951">
        <f>'11A'!$D$63</f>
        <v>0</v>
      </c>
      <c r="O3951" t="str">
        <f>_xlfn.CONCAT('11A'!$B$59, "-", '11A'!$B$63, "-", '11A'!$C$8, "-", '11A'!$C$7, "-", '11A'!$C$6, "-", '11A'!$C$5)</f>
        <v>Emissions reductions-Other emissions reductions-3-tCO2e-Water-Operational emissions</v>
      </c>
    </row>
    <row r="3952" spans="1:15">
      <c r="A3952" t="s">
        <v>660</v>
      </c>
      <c r="B3952" t="str">
        <f>'11A'!$U$63</f>
        <v>BR089_ERWWOR</v>
      </c>
      <c r="D3952" t="str">
        <f>_xlfn.CONCAT('11A'!$B$59, "-", '11A'!$B$63, "-", '11A'!$D$8, "-", '11A'!$D$7, "-", '11A'!$D$6, "-", '11A'!$C$5)</f>
        <v>Emissions reductions-Other emissions reductions-3-tCO2e-Wastewater-Operational emissions</v>
      </c>
      <c r="E3952">
        <f>'11A'!$C$63</f>
        <v>0</v>
      </c>
      <c r="F3952" t="s">
        <v>682</v>
      </c>
      <c r="G3952">
        <f>'11A'!$D$63</f>
        <v>0</v>
      </c>
      <c r="O3952" t="str">
        <f>_xlfn.CONCAT('11A'!$B$59, "-", '11A'!$B$63, "-", '11A'!$D$8, "-", '11A'!$D$7, "-", '11A'!$D$6, "-", '11A'!$C$5)</f>
        <v>Emissions reductions-Other emissions reductions-3-tCO2e-Wastewater-Operational emissions</v>
      </c>
    </row>
    <row r="3953" spans="1:15">
      <c r="A3953" t="s">
        <v>660</v>
      </c>
      <c r="B3953" t="str">
        <f>'11A'!$V$63</f>
        <v>BR090_ERTOOR</v>
      </c>
      <c r="D3953" t="str">
        <f>_xlfn.CONCAT('11A'!$B$59, "-", '11A'!$B$63, "-", '11A'!$E$8, "-", '11A'!$E$7, "-", '11A'!$E$6, "-", '11A'!$C$5)</f>
        <v>Emissions reductions-Other emissions reductions-3-tCO2e-Total-Operational emissions</v>
      </c>
      <c r="E3953">
        <f>'11A'!$C$63</f>
        <v>0</v>
      </c>
      <c r="F3953" t="s">
        <v>682</v>
      </c>
      <c r="G3953">
        <f>'11A'!$D$63</f>
        <v>0</v>
      </c>
      <c r="O3953" t="str">
        <f>_xlfn.CONCAT('11A'!$B$59, "-", '11A'!$B$63, "-", '11A'!$E$8, "-", '11A'!$E$7, "-", '11A'!$E$6, "-", '11A'!$C$5)</f>
        <v>Emissions reductions-Other emissions reductions-3-tCO2e-Total-Operational emissions</v>
      </c>
    </row>
    <row r="3954" spans="1:15">
      <c r="A3954" t="s">
        <v>660</v>
      </c>
      <c r="B3954" t="str">
        <f>'11A'!$T$64</f>
        <v>BR091_ERWTR</v>
      </c>
      <c r="D3954" t="str">
        <f>_xlfn.CONCAT('11A'!$B$59, "-", '11A'!$B$64, "-", '11A'!$C$8, "-", '11A'!$C$7, "-", '11A'!$C$6, "-", '11A'!$C$5)</f>
        <v>Emissions reductions-Total emissions reductions-3-tCO2e-Water-Operational emissions</v>
      </c>
      <c r="E3954">
        <f>'11A'!$C$64</f>
        <v>139.47035</v>
      </c>
      <c r="F3954" t="s">
        <v>682</v>
      </c>
      <c r="G3954">
        <f>'11A'!$D$64</f>
        <v>23886.564686000002</v>
      </c>
      <c r="O3954" t="str">
        <f>_xlfn.CONCAT('11A'!$B$59, "-", '11A'!$B$64, "-", '11A'!$C$8, "-", '11A'!$C$7, "-", '11A'!$C$6, "-", '11A'!$C$5)</f>
        <v>Emissions reductions-Total emissions reductions-3-tCO2e-Water-Operational emissions</v>
      </c>
    </row>
    <row r="3955" spans="1:15">
      <c r="A3955" t="s">
        <v>660</v>
      </c>
      <c r="B3955" t="str">
        <f>'11A'!$U$64</f>
        <v>BR092_ERWWTR</v>
      </c>
      <c r="D3955" t="str">
        <f>_xlfn.CONCAT('11A'!$B$59, "-", '11A'!$B$64, "-", '11A'!$D$8, "-", '11A'!$D$7, "-", '11A'!$D$6, "-", '11A'!$C$5)</f>
        <v>Emissions reductions-Total emissions reductions-3-tCO2e-Wastewater-Operational emissions</v>
      </c>
      <c r="E3955">
        <f>'11A'!$C$64</f>
        <v>139.47035</v>
      </c>
      <c r="F3955" t="s">
        <v>682</v>
      </c>
      <c r="G3955">
        <f>'11A'!$D$64</f>
        <v>23886.564686000002</v>
      </c>
      <c r="O3955" t="str">
        <f>_xlfn.CONCAT('11A'!$B$59, "-", '11A'!$B$64, "-", '11A'!$D$8, "-", '11A'!$D$7, "-", '11A'!$D$6, "-", '11A'!$C$5)</f>
        <v>Emissions reductions-Total emissions reductions-3-tCO2e-Wastewater-Operational emissions</v>
      </c>
    </row>
    <row r="3956" spans="1:15">
      <c r="A3956" t="s">
        <v>660</v>
      </c>
      <c r="B3956" t="str">
        <f>'11A'!$V$64</f>
        <v>BR093_ERTOTR</v>
      </c>
      <c r="D3956" t="str">
        <f>_xlfn.CONCAT('11A'!$B$59, "-", '11A'!$B$64, "-", '11A'!$E$8, "-", '11A'!$E$7, "-", '11A'!$E$6, "-", '11A'!$C$5)</f>
        <v>Emissions reductions-Total emissions reductions-3-tCO2e-Total-Operational emissions</v>
      </c>
      <c r="E3956">
        <f>'11A'!$C$64</f>
        <v>139.47035</v>
      </c>
      <c r="F3956" t="s">
        <v>682</v>
      </c>
      <c r="G3956">
        <f>'11A'!$D$64</f>
        <v>23886.564686000002</v>
      </c>
      <c r="O3956" t="str">
        <f>_xlfn.CONCAT('11A'!$B$59, "-", '11A'!$B$64, "-", '11A'!$E$8, "-", '11A'!$E$7, "-", '11A'!$E$6, "-", '11A'!$C$5)</f>
        <v>Emissions reductions-Total emissions reductions-3-tCO2e-Total-Operational emissions</v>
      </c>
    </row>
    <row r="3957" spans="1:15">
      <c r="A3957" t="s">
        <v>660</v>
      </c>
      <c r="B3957" t="str">
        <f>'11A'!$T$68</f>
        <v>BR094_NEWLB</v>
      </c>
      <c r="D3957" t="str">
        <f>_xlfn.CONCAT('11A'!$B$67, "-", '11A'!$B$68, "-", '11A'!$C$8, "-", '11A'!$C$7, "-", '11A'!$C$6, "-", '11A'!$C$5)</f>
        <v>Net annual emissions-Net annual emissions (location-based)-3-tCO2e-Water-Operational emissions</v>
      </c>
      <c r="E3957">
        <f>'11A'!$C$68</f>
        <v>105786.1385984393</v>
      </c>
      <c r="F3957" t="s">
        <v>682</v>
      </c>
      <c r="G3957">
        <f>'11A'!$D$68</f>
        <v>100287.35380241522</v>
      </c>
      <c r="O3957" t="str">
        <f>_xlfn.CONCAT('11A'!$B$67, "-", '11A'!$B$68, "-", '11A'!$C$8, "-", '11A'!$C$7, "-", '11A'!$C$6, "-", '11A'!$C$5)</f>
        <v>Net annual emissions-Net annual emissions (location-based)-3-tCO2e-Water-Operational emissions</v>
      </c>
    </row>
    <row r="3958" spans="1:15">
      <c r="A3958" t="s">
        <v>660</v>
      </c>
      <c r="B3958" t="str">
        <f>'11A'!$U$68</f>
        <v>BR095_NEWWLB</v>
      </c>
      <c r="D3958" t="str">
        <f>_xlfn.CONCAT('11A'!$B$67, "-", '11A'!$B$68, "-", '11A'!$D$8, "-", '11A'!$D$7, "-", '11A'!$D$6, "-", '11A'!$C$5)</f>
        <v>Net annual emissions-Net annual emissions (location-based)-3-tCO2e-Wastewater-Operational emissions</v>
      </c>
      <c r="E3958">
        <f>'11A'!$C$68</f>
        <v>105786.1385984393</v>
      </c>
      <c r="F3958" t="s">
        <v>682</v>
      </c>
      <c r="G3958">
        <f>'11A'!$D$68</f>
        <v>100287.35380241522</v>
      </c>
      <c r="O3958" t="str">
        <f>_xlfn.CONCAT('11A'!$B$67, "-", '11A'!$B$68, "-", '11A'!$D$8, "-", '11A'!$D$7, "-", '11A'!$D$6, "-", '11A'!$C$5)</f>
        <v>Net annual emissions-Net annual emissions (location-based)-3-tCO2e-Wastewater-Operational emissions</v>
      </c>
    </row>
    <row r="3959" spans="1:15">
      <c r="A3959" t="s">
        <v>660</v>
      </c>
      <c r="B3959" t="str">
        <f>'11A'!$V$68</f>
        <v>BR096_NETOLB</v>
      </c>
      <c r="D3959" t="str">
        <f>_xlfn.CONCAT('11A'!$B$67, "-", '11A'!$B$68, "-", '11A'!$E$8, "-", '11A'!$E$7, "-", '11A'!$E$6, "-", '11A'!$C$5)</f>
        <v>Net annual emissions-Net annual emissions (location-based)-3-tCO2e-Total-Operational emissions</v>
      </c>
      <c r="E3959">
        <f>'11A'!$C$68</f>
        <v>105786.1385984393</v>
      </c>
      <c r="F3959" t="s">
        <v>682</v>
      </c>
      <c r="G3959">
        <f>'11A'!$D$68</f>
        <v>100287.35380241522</v>
      </c>
      <c r="O3959" t="str">
        <f>_xlfn.CONCAT('11A'!$B$67, "-", '11A'!$B$68, "-", '11A'!$E$8, "-", '11A'!$E$7, "-", '11A'!$E$6, "-", '11A'!$C$5)</f>
        <v>Net annual emissions-Net annual emissions (location-based)-3-tCO2e-Total-Operational emissions</v>
      </c>
    </row>
    <row r="3960" spans="1:15">
      <c r="A3960" t="s">
        <v>660</v>
      </c>
      <c r="B3960" t="str">
        <f>'11A'!$T$69</f>
        <v>BR097_NEWMB</v>
      </c>
      <c r="D3960" t="str">
        <f>_xlfn.CONCAT('11A'!$B$67, "-", '11A'!$B$69, "-", '11A'!$C$8, "-", '11A'!$C$7, "-", '11A'!$C$6, "-", '11A'!$C$5)</f>
        <v>Net annual emissions-Net annual emissions (market-based)-3-tCO2e-Water-Operational emissions</v>
      </c>
      <c r="E3960">
        <f>'11A'!$C$69</f>
        <v>59828.180048439302</v>
      </c>
      <c r="F3960" t="s">
        <v>682</v>
      </c>
      <c r="G3960">
        <f>'11A'!$D$69</f>
        <v>69849.577688415186</v>
      </c>
      <c r="O3960" t="str">
        <f>_xlfn.CONCAT('11A'!$B$67, "-", '11A'!$B$69, "-", '11A'!$C$8, "-", '11A'!$C$7, "-", '11A'!$C$6, "-", '11A'!$C$5)</f>
        <v>Net annual emissions-Net annual emissions (market-based)-3-tCO2e-Water-Operational emissions</v>
      </c>
    </row>
    <row r="3961" spans="1:15">
      <c r="A3961" t="s">
        <v>660</v>
      </c>
      <c r="B3961" t="str">
        <f>'11A'!$U$69</f>
        <v>BR098_NEWWMB</v>
      </c>
      <c r="D3961" t="str">
        <f>_xlfn.CONCAT('11A'!$B$67, "-", '11A'!$B$69, "-", '11A'!$D$8, "-", '11A'!$D$7, "-", '11A'!$D$6, "-", '11A'!$C$5)</f>
        <v>Net annual emissions-Net annual emissions (market-based)-3-tCO2e-Wastewater-Operational emissions</v>
      </c>
      <c r="E3961">
        <f>'11A'!$C$69</f>
        <v>59828.180048439302</v>
      </c>
      <c r="F3961" t="s">
        <v>682</v>
      </c>
      <c r="G3961">
        <f>'11A'!$D$69</f>
        <v>69849.577688415186</v>
      </c>
      <c r="O3961" t="str">
        <f>_xlfn.CONCAT('11A'!$B$67, "-", '11A'!$B$69, "-", '11A'!$D$8, "-", '11A'!$D$7, "-", '11A'!$D$6, "-", '11A'!$C$5)</f>
        <v>Net annual emissions-Net annual emissions (market-based)-3-tCO2e-Wastewater-Operational emissions</v>
      </c>
    </row>
    <row r="3962" spans="1:15">
      <c r="A3962" t="s">
        <v>660</v>
      </c>
      <c r="B3962" t="str">
        <f>'11A'!$V$69</f>
        <v>BR099_NETOMB</v>
      </c>
      <c r="D3962" t="str">
        <f>_xlfn.CONCAT('11A'!$B$67, "-", '11A'!$B$69, "-", '11A'!$E$8, "-", '11A'!$E$7, "-", '11A'!$E$6, "-", '11A'!$C$5)</f>
        <v>Net annual emissions-Net annual emissions (market-based)-3-tCO2e-Total-Operational emissions</v>
      </c>
      <c r="E3962">
        <f>'11A'!$C$69</f>
        <v>59828.180048439302</v>
      </c>
      <c r="F3962" t="s">
        <v>682</v>
      </c>
      <c r="G3962">
        <f>'11A'!$D$69</f>
        <v>69849.577688415186</v>
      </c>
      <c r="O3962" t="str">
        <f>_xlfn.CONCAT('11A'!$B$67, "-", '11A'!$B$69, "-", '11A'!$E$8, "-", '11A'!$E$7, "-", '11A'!$E$6, "-", '11A'!$C$5)</f>
        <v>Net annual emissions-Net annual emissions (market-based)-3-tCO2e-Total-Operational emissions</v>
      </c>
    </row>
    <row r="3963" spans="1:15">
      <c r="A3963" t="s">
        <v>660</v>
      </c>
      <c r="B3963" t="str">
        <f>'11A'!$T$76</f>
        <v>BR103_IRWTW</v>
      </c>
      <c r="D3963" t="str">
        <f>_xlfn.CONCAT('11A'!$B$75, "-", '11A'!$B$76, "-", '11A'!$C$73, "-", '11A'!$C$72, "-", '11A'!$C$71)</f>
        <v>GHG intensity ratios-Emissions per Ml of treated water-3-kgCO2e/Ml-Water</v>
      </c>
      <c r="E3963">
        <f>'11A'!$C$76</f>
        <v>109.67885</v>
      </c>
      <c r="F3963" t="s">
        <v>682</v>
      </c>
      <c r="G3963">
        <f>'11A'!$D$76</f>
        <v>0</v>
      </c>
      <c r="O3963" t="str">
        <f>_xlfn.CONCAT('11A'!$B$75, "-", '11A'!$B$76, "-", '11A'!$C$73, "-", '11A'!$C$72, "-", '11A'!$C$71)</f>
        <v>GHG intensity ratios-Emissions per Ml of treated water-3-kgCO2e/Ml-Water</v>
      </c>
    </row>
    <row r="3964" spans="1:15">
      <c r="A3964" t="s">
        <v>660</v>
      </c>
      <c r="B3964" t="str">
        <f>'11A'!$U$77</f>
        <v>BR104_IRWWSF</v>
      </c>
      <c r="D3964" t="str">
        <f>_xlfn.CONCAT('11A'!$B$75, "-", '11A'!$B$77, "-", '11A'!$D$73, "-", '11A'!$D$72, "-", '11A'!$D$71)</f>
        <v>GHG intensity ratios-Emissions per Ml of sewage treated-3-kgCO2e/Ml-Wastewater</v>
      </c>
      <c r="E3964">
        <f>'11A'!$C$77</f>
        <v>0</v>
      </c>
      <c r="F3964" t="s">
        <v>682</v>
      </c>
      <c r="G3964">
        <f>'11A'!$D$77</f>
        <v>287.46600000000001</v>
      </c>
      <c r="O3964" t="str">
        <f>_xlfn.CONCAT('11A'!$B$75, "-", '11A'!$B$77, "-", '11A'!$D$73, "-", '11A'!$D$72, "-", '11A'!$D$71)</f>
        <v>GHG intensity ratios-Emissions per Ml of sewage treated-3-kgCO2e/Ml-Wastewater</v>
      </c>
    </row>
    <row r="3965" spans="1:15">
      <c r="A3965" t="s">
        <v>660</v>
      </c>
      <c r="B3965" t="str">
        <f>'11A'!$T$84</f>
        <v>BR085_ERWGO</v>
      </c>
      <c r="D3965" t="str">
        <f>_xlfn.CONCAT('11A'!$B$83, "-", '11A'!$B$84, "-", '11A'!$C$81, "-", '11A'!$C$80, "-", '11A'!$C$79)</f>
        <v>Other-Green tariff electricity-3-tCO2e-Water</v>
      </c>
      <c r="E3965">
        <f>'11A'!$C$84</f>
        <v>0</v>
      </c>
      <c r="F3965" t="s">
        <v>682</v>
      </c>
      <c r="G3965">
        <f>'11A'!$D$84</f>
        <v>0</v>
      </c>
      <c r="O3965" t="str">
        <f>_xlfn.CONCAT('11A'!$B$83, "-", '11A'!$B$84, "-", '11A'!$C$81, "-", '11A'!$C$80, "-", '11A'!$C$79)</f>
        <v>Other-Green tariff electricity-3-tCO2e-Water</v>
      </c>
    </row>
    <row r="3966" spans="1:15">
      <c r="A3966" t="s">
        <v>660</v>
      </c>
      <c r="B3966" t="str">
        <f>'11A'!$U$84</f>
        <v>BR086_ERWWGO</v>
      </c>
      <c r="D3966" t="str">
        <f>_xlfn.CONCAT('11A'!$B$83, "-", '11A'!$B$84, "-", '11A'!$D$81, "-", '11A'!$D$80, "-", '11A'!$D$79)</f>
        <v>Other-Green tariff electricity-3-tCO2e-Wastewater</v>
      </c>
      <c r="E3966">
        <f>'11A'!$C$84</f>
        <v>0</v>
      </c>
      <c r="F3966" t="s">
        <v>682</v>
      </c>
      <c r="G3966">
        <f>'11A'!$D$84</f>
        <v>0</v>
      </c>
      <c r="O3966" t="str">
        <f>_xlfn.CONCAT('11A'!$B$83, "-", '11A'!$B$84, "-", '11A'!$D$81, "-", '11A'!$D$80, "-", '11A'!$D$79)</f>
        <v>Other-Green tariff electricity-3-tCO2e-Wastewater</v>
      </c>
    </row>
    <row r="3967" spans="1:15">
      <c r="A3967" t="s">
        <v>660</v>
      </c>
      <c r="B3967" t="str">
        <f>'11A'!$V$84</f>
        <v>BR087_ERTOGO</v>
      </c>
      <c r="D3967" t="str">
        <f>_xlfn.CONCAT('11A'!$B$83, "-", '11A'!$B$84, "-", '11A'!$E$81, "-", '11A'!$E$80, "-", '11A'!$E$79)</f>
        <v>Other-Green tariff electricity-3-tCO2e-Total</v>
      </c>
      <c r="E3967">
        <f>'11A'!$C$84</f>
        <v>0</v>
      </c>
      <c r="F3967" t="s">
        <v>682</v>
      </c>
      <c r="G3967">
        <f>'11A'!$D$84</f>
        <v>0</v>
      </c>
      <c r="O3967" t="str">
        <f>_xlfn.CONCAT('11A'!$B$83, "-", '11A'!$B$84, "-", '11A'!$E$81, "-", '11A'!$E$80, "-", '11A'!$E$79)</f>
        <v>Other-Green tariff electricity-3-tCO2e-Total</v>
      </c>
    </row>
    <row r="3968" spans="1:15">
      <c r="A3968" t="s">
        <v>660</v>
      </c>
      <c r="B3968" t="str">
        <f>'11A'!$T$92</f>
        <v>BO_214</v>
      </c>
      <c r="D3968" t="str">
        <f>_xlfn.CONCAT('11A'!$B$83, "-", '11A'!$B$92, "-", '11A'!$C$81, "-", '11A'!$C$80, "-", '11A'!$C$79)</f>
        <v>Other-Capital projects (cradle-to-gate)-3-tCO2e-Water</v>
      </c>
      <c r="E3968">
        <f>'11A'!$C$92</f>
        <v>54231.47720575866</v>
      </c>
      <c r="F3968" t="s">
        <v>682</v>
      </c>
      <c r="G3968">
        <f>'11A'!$D$92</f>
        <v>36972.948774924771</v>
      </c>
      <c r="O3968" t="str">
        <f>_xlfn.CONCAT('11A'!$B$83, "-", '11A'!$B$92, "-", '11A'!$C$81, "-", '11A'!$C$80, "-", '11A'!$C$79)</f>
        <v>Other-Capital projects (cradle-to-gate)-3-tCO2e-Water</v>
      </c>
    </row>
    <row r="3969" spans="1:15">
      <c r="A3969" t="s">
        <v>660</v>
      </c>
      <c r="B3969" t="str">
        <f>'11A'!$U$92</f>
        <v>BO_8644</v>
      </c>
      <c r="D3969" t="str">
        <f>_xlfn.CONCAT('11A'!$B$83, "-", '11A'!$B$92, "-", '11A'!$D$81, "-", '11A'!$D$80, "-", '11A'!$D$79)</f>
        <v>Other-Capital projects (cradle-to-gate)-3-tCO2e-Wastewater</v>
      </c>
      <c r="E3969">
        <f>'11A'!$C$92</f>
        <v>54231.47720575866</v>
      </c>
      <c r="F3969" t="s">
        <v>682</v>
      </c>
      <c r="G3969">
        <f>'11A'!$D$92</f>
        <v>36972.948774924771</v>
      </c>
      <c r="O3969" t="str">
        <f>_xlfn.CONCAT('11A'!$B$83, "-", '11A'!$B$92, "-", '11A'!$D$81, "-", '11A'!$D$80, "-", '11A'!$D$79)</f>
        <v>Other-Capital projects (cradle-to-gate)-3-tCO2e-Wastewater</v>
      </c>
    </row>
    <row r="3970" spans="1:15">
      <c r="A3970" t="s">
        <v>660</v>
      </c>
      <c r="B3970" t="str">
        <f>'11A'!$V$92</f>
        <v>BO_2449</v>
      </c>
      <c r="D3970" t="str">
        <f>_xlfn.CONCAT('11A'!$B$83, "-", '11A'!$B$92, "-", '11A'!$E$81, "-", '11A'!$E$80, "-", '11A'!$E$79)</f>
        <v>Other-Capital projects (cradle-to-gate)-3-tCO2e-Total</v>
      </c>
      <c r="E3970">
        <f>'11A'!$C$92</f>
        <v>54231.47720575866</v>
      </c>
      <c r="F3970" t="s">
        <v>682</v>
      </c>
      <c r="G3970">
        <f>'11A'!$D$92</f>
        <v>36972.948774924771</v>
      </c>
      <c r="O3970" t="str">
        <f>_xlfn.CONCAT('11A'!$B$83, "-", '11A'!$B$92, "-", '11A'!$E$81, "-", '11A'!$E$80, "-", '11A'!$E$79)</f>
        <v>Other-Capital projects (cradle-to-gate)-3-tCO2e-Total</v>
      </c>
    </row>
    <row r="3971" spans="1:15">
      <c r="A3971" t="s">
        <v>660</v>
      </c>
      <c r="B3971" t="str">
        <f>'11A'!$T$93</f>
        <v>BO_2143514</v>
      </c>
      <c r="D3971" t="str">
        <f>_xlfn.CONCAT('11A'!$B$83, "-", '11A'!$B$93, "-", '11A'!$C$81, "-", '11A'!$C$80, "-", '11A'!$C$79)</f>
        <v>Other-Capital projects (cradle-to-build)-3-tCO2e-Water</v>
      </c>
      <c r="E3971">
        <f>'11A'!$C$93</f>
        <v>57091.555111133355</v>
      </c>
      <c r="F3971" t="s">
        <v>682</v>
      </c>
      <c r="G3971">
        <f>'11A'!$D$93</f>
        <v>38922.840596726077</v>
      </c>
      <c r="O3971" t="str">
        <f>_xlfn.CONCAT('11A'!$B$83, "-", '11A'!$B$93, "-", '11A'!$C$81, "-", '11A'!$C$80, "-", '11A'!$C$79)</f>
        <v>Other-Capital projects (cradle-to-build)-3-tCO2e-Water</v>
      </c>
    </row>
    <row r="3972" spans="1:15">
      <c r="A3972" t="s">
        <v>660</v>
      </c>
      <c r="B3972" t="str">
        <f>'11A'!$U$93</f>
        <v>BO_8427041</v>
      </c>
      <c r="D3972" t="str">
        <f>_xlfn.CONCAT('11A'!$B$83, "-", '11A'!$B$93, "-", '11A'!$D$81, "-", '11A'!$D$80, "-", '11A'!$D$79)</f>
        <v>Other-Capital projects (cradle-to-build)-3-tCO2e-Wastewater</v>
      </c>
      <c r="E3972">
        <f>'11A'!$C$93</f>
        <v>57091.555111133355</v>
      </c>
      <c r="F3972" t="s">
        <v>682</v>
      </c>
      <c r="G3972">
        <f>'11A'!$D$93</f>
        <v>38922.840596726077</v>
      </c>
      <c r="O3972" t="str">
        <f>_xlfn.CONCAT('11A'!$B$83, "-", '11A'!$B$93, "-", '11A'!$D$81, "-", '11A'!$D$80, "-", '11A'!$D$79)</f>
        <v>Other-Capital projects (cradle-to-build)-3-tCO2e-Wastewater</v>
      </c>
    </row>
    <row r="3973" spans="1:15">
      <c r="A3973" t="s">
        <v>660</v>
      </c>
      <c r="B3973" t="str">
        <f>'11A'!$V$93</f>
        <v>BO_3244856</v>
      </c>
      <c r="D3973" t="str">
        <f>_xlfn.CONCAT('11A'!$B$83, "-", '11A'!$B$93, "-", '11A'!$E$81, "-", '11A'!$E$80, "-", '11A'!$E$79)</f>
        <v>Other-Capital projects (cradle-to-build)-3-tCO2e-Total</v>
      </c>
      <c r="E3973">
        <f>'11A'!$C$93</f>
        <v>57091.555111133355</v>
      </c>
      <c r="F3973" t="s">
        <v>682</v>
      </c>
      <c r="G3973">
        <f>'11A'!$D$93</f>
        <v>38922.840596726077</v>
      </c>
      <c r="O3973" t="str">
        <f>_xlfn.CONCAT('11A'!$B$83, "-", '11A'!$B$93, "-", '11A'!$E$81, "-", '11A'!$E$80, "-", '11A'!$E$79)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tabColor rgb="FF00B050"/>
    <pageSetUpPr fitToPage="1"/>
  </sheetPr>
  <dimension ref="A1:AA61"/>
  <sheetViews>
    <sheetView showGridLines="0" topLeftCell="D1" zoomScale="60" zoomScaleNormal="60" zoomScaleSheetLayoutView="100" workbookViewId="0">
      <selection activeCell="E54" activeCellId="13" sqref="F8:G9 E9 E11:G13 E16:F16 E19:G23 E25:G25 E27:G29 E32:F32 E35:G38 E40:G40 E42:G44 E47:F47 E52:G52 E54:G54"/>
    </sheetView>
  </sheetViews>
  <sheetFormatPr defaultColWidth="8.625" defaultRowHeight="14.25"/>
  <cols>
    <col min="1" max="1" width="1.625" style="584" customWidth="1"/>
    <col min="2" max="2" width="47" style="584" bestFit="1" customWidth="1"/>
    <col min="3" max="3" width="7" style="584" customWidth="1"/>
    <col min="4" max="4" width="6" style="584" bestFit="1" customWidth="1"/>
    <col min="5" max="5" width="17.125" style="472" customWidth="1"/>
    <col min="6" max="6" width="17.25" style="472" customWidth="1"/>
    <col min="7" max="7" width="17.5" style="472" customWidth="1"/>
    <col min="8" max="8" width="12.5" style="472" customWidth="1"/>
    <col min="9" max="9" width="1.625" style="584" customWidth="1"/>
    <col min="10" max="10" width="12.5" style="648" customWidth="1"/>
    <col min="11" max="11" width="1.625" style="584" customWidth="1"/>
    <col min="12" max="12" width="33.625" style="584" customWidth="1"/>
    <col min="13" max="14" width="1.625" style="584" customWidth="1"/>
    <col min="15" max="15" width="25" style="584" customWidth="1"/>
    <col min="16" max="16" width="1.625" style="584" customWidth="1"/>
    <col min="17" max="19" width="8.125" style="611" hidden="1" customWidth="1"/>
    <col min="20" max="20" width="1.625" style="584" hidden="1" customWidth="1"/>
    <col min="21" max="21" width="1.625" style="584" customWidth="1"/>
    <col min="22" max="22" width="46" style="584" bestFit="1" customWidth="1"/>
    <col min="23" max="23" width="15" style="584" customWidth="1"/>
    <col min="24" max="24" width="17.5" style="584" bestFit="1" customWidth="1"/>
    <col min="25" max="26" width="15" style="584" customWidth="1"/>
    <col min="27" max="27" width="1.625" style="584" customWidth="1"/>
    <col min="28" max="16384" width="8.625" style="584"/>
  </cols>
  <sheetData>
    <row r="1" spans="1:26" s="586" customFormat="1" ht="23.25">
      <c r="B1" s="562" t="s">
        <v>8780</v>
      </c>
      <c r="C1" s="562"/>
      <c r="D1" s="562"/>
      <c r="E1" s="587"/>
      <c r="F1" s="587"/>
      <c r="G1" s="587"/>
      <c r="H1" s="587"/>
      <c r="J1" s="588"/>
      <c r="N1" s="589"/>
      <c r="O1" s="590"/>
      <c r="P1" s="591"/>
      <c r="Q1" s="584"/>
      <c r="R1" s="584"/>
      <c r="S1" s="584"/>
      <c r="T1" s="591"/>
      <c r="V1" s="562" t="s">
        <v>7220</v>
      </c>
    </row>
    <row r="2" spans="1:26" s="586" customFormat="1" ht="23.25">
      <c r="B2" s="562" t="str">
        <f>SelectCompany!B4</f>
        <v>Northumbrian Water</v>
      </c>
      <c r="C2" s="563"/>
      <c r="D2" s="563"/>
      <c r="E2" s="592"/>
      <c r="F2" s="592"/>
      <c r="G2" s="592"/>
      <c r="H2" s="592"/>
      <c r="J2" s="588"/>
      <c r="N2" s="589"/>
      <c r="O2" s="590"/>
      <c r="P2" s="591"/>
      <c r="Q2" s="584"/>
      <c r="R2" s="584"/>
      <c r="S2" s="584"/>
      <c r="T2" s="591"/>
      <c r="V2" s="562"/>
    </row>
    <row r="3" spans="1:26" ht="19.5">
      <c r="B3" s="2782" t="s">
        <v>8781</v>
      </c>
      <c r="C3" s="2783"/>
      <c r="D3" s="2783"/>
      <c r="E3" s="2783"/>
      <c r="F3" s="2783"/>
      <c r="G3" s="2783"/>
      <c r="H3" s="2783"/>
      <c r="I3" s="2783"/>
      <c r="J3" s="2783"/>
      <c r="K3" s="2783"/>
      <c r="L3" s="2783"/>
      <c r="N3" s="593"/>
      <c r="O3" s="594" t="s">
        <v>7222</v>
      </c>
      <c r="P3" s="591"/>
      <c r="Q3" s="584"/>
      <c r="R3" s="584"/>
      <c r="S3" s="584"/>
      <c r="T3" s="591"/>
      <c r="V3" s="2784" t="s">
        <v>8781</v>
      </c>
      <c r="W3" s="2785"/>
      <c r="X3" s="2785"/>
      <c r="Y3" s="2785"/>
      <c r="Z3" s="2785"/>
    </row>
    <row r="4" spans="1:26" ht="19.5" thickBot="1">
      <c r="B4" s="595"/>
      <c r="C4" s="595"/>
      <c r="D4" s="595"/>
      <c r="E4" s="596"/>
      <c r="F4" s="596"/>
      <c r="G4" s="596"/>
      <c r="H4" s="596"/>
      <c r="I4" s="597"/>
      <c r="J4" s="598"/>
      <c r="N4" s="599"/>
      <c r="P4" s="591"/>
      <c r="Q4" s="2786" t="s">
        <v>7223</v>
      </c>
      <c r="R4" s="2786"/>
      <c r="S4" s="2786"/>
      <c r="T4" s="591"/>
      <c r="V4" s="595"/>
      <c r="W4" s="595"/>
      <c r="X4" s="595"/>
      <c r="Y4" s="595"/>
      <c r="Z4" s="595"/>
    </row>
    <row r="5" spans="1:26" s="583" customFormat="1" ht="53.85" customHeight="1" thickTop="1" thickBot="1">
      <c r="B5" s="600" t="s">
        <v>7224</v>
      </c>
      <c r="C5" s="601" t="s">
        <v>7225</v>
      </c>
      <c r="D5" s="601" t="s">
        <v>670</v>
      </c>
      <c r="E5" s="602" t="s">
        <v>8782</v>
      </c>
      <c r="F5" s="602" t="s">
        <v>8783</v>
      </c>
      <c r="G5" s="602" t="s">
        <v>8784</v>
      </c>
      <c r="H5" s="603" t="s">
        <v>7445</v>
      </c>
      <c r="I5" s="571"/>
      <c r="J5" s="604" t="s">
        <v>7229</v>
      </c>
      <c r="L5" s="604" t="s">
        <v>7230</v>
      </c>
      <c r="N5" s="599"/>
      <c r="O5" s="584"/>
      <c r="P5" s="591"/>
      <c r="Q5" s="605" t="s">
        <v>7231</v>
      </c>
      <c r="R5" s="606"/>
      <c r="S5" s="606"/>
      <c r="T5" s="591"/>
      <c r="V5" s="600" t="s">
        <v>7224</v>
      </c>
      <c r="W5" s="602" t="s">
        <v>8782</v>
      </c>
      <c r="X5" s="602" t="s">
        <v>8783</v>
      </c>
      <c r="Y5" s="602" t="s">
        <v>8784</v>
      </c>
      <c r="Z5" s="603" t="s">
        <v>7445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8785</v>
      </c>
      <c r="C7" s="610"/>
      <c r="D7" s="610"/>
      <c r="E7" s="316"/>
      <c r="F7" s="316"/>
      <c r="G7" s="316"/>
      <c r="H7" s="316"/>
      <c r="I7" s="608"/>
      <c r="J7" s="571"/>
      <c r="K7" s="608"/>
      <c r="L7" s="608"/>
      <c r="M7" s="608"/>
      <c r="N7" s="599"/>
      <c r="O7" s="611"/>
      <c r="P7" s="591"/>
      <c r="Q7" s="611"/>
      <c r="R7" s="611"/>
      <c r="S7" s="611"/>
      <c r="T7" s="591"/>
      <c r="V7" s="609" t="s">
        <v>8785</v>
      </c>
      <c r="W7" s="316"/>
      <c r="X7" s="316"/>
      <c r="Y7" s="316"/>
      <c r="Z7" s="316"/>
    </row>
    <row r="8" spans="1:26" s="612" customFormat="1" ht="15.75" customHeight="1" thickTop="1">
      <c r="A8" s="608"/>
      <c r="B8" s="613" t="s">
        <v>8786</v>
      </c>
      <c r="C8" s="614" t="s">
        <v>681</v>
      </c>
      <c r="D8" s="615">
        <v>3</v>
      </c>
      <c r="E8" s="278">
        <v>0</v>
      </c>
      <c r="F8" s="278">
        <v>0</v>
      </c>
      <c r="G8" s="278">
        <v>0</v>
      </c>
      <c r="H8" s="280">
        <f t="shared" ref="H8:H14" si="0">IFERROR(SUM(E8:G8),0)</f>
        <v>0</v>
      </c>
      <c r="I8" s="608"/>
      <c r="J8" s="616" t="s">
        <v>8787</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8786</v>
      </c>
      <c r="W8" s="278" t="s">
        <v>8788</v>
      </c>
      <c r="X8" s="278" t="s">
        <v>8789</v>
      </c>
      <c r="Y8" s="278" t="s">
        <v>8790</v>
      </c>
      <c r="Z8" s="280" t="s">
        <v>8791</v>
      </c>
    </row>
    <row r="9" spans="1:26" s="612" customFormat="1" ht="15.75" customHeight="1">
      <c r="A9" s="608"/>
      <c r="B9" s="620" t="s">
        <v>8792</v>
      </c>
      <c r="C9" s="621" t="s">
        <v>681</v>
      </c>
      <c r="D9" s="622">
        <v>3</v>
      </c>
      <c r="E9" s="287">
        <v>0</v>
      </c>
      <c r="F9" s="287">
        <v>0</v>
      </c>
      <c r="G9" s="287">
        <v>0</v>
      </c>
      <c r="H9" s="289">
        <f t="shared" si="0"/>
        <v>0</v>
      </c>
      <c r="I9" s="608"/>
      <c r="J9" s="623" t="s">
        <v>8793</v>
      </c>
      <c r="K9" s="608"/>
      <c r="L9" s="624"/>
      <c r="M9" s="608"/>
      <c r="N9" s="591"/>
      <c r="O9" s="618">
        <f>IF( SUM( Q9:S9 ) = 0, 0, $Q$5 )</f>
        <v>0</v>
      </c>
      <c r="P9" s="591"/>
      <c r="Q9" s="619">
        <f t="shared" ref="Q9" si="3" xml:space="preserve"> IF( ISNUMBER( E9 ), 0, 1 )</f>
        <v>0</v>
      </c>
      <c r="R9" s="619">
        <f t="shared" si="1"/>
        <v>0</v>
      </c>
      <c r="S9" s="619">
        <f t="shared" si="2"/>
        <v>0</v>
      </c>
      <c r="T9" s="591"/>
      <c r="V9" s="620" t="s">
        <v>8792</v>
      </c>
      <c r="W9" s="287" t="s">
        <v>8794</v>
      </c>
      <c r="X9" s="287" t="s">
        <v>8795</v>
      </c>
      <c r="Y9" s="287" t="s">
        <v>8796</v>
      </c>
      <c r="Z9" s="289" t="s">
        <v>8797</v>
      </c>
    </row>
    <row r="10" spans="1:26" s="612" customFormat="1" ht="15.75" customHeight="1">
      <c r="A10" s="608"/>
      <c r="B10" s="620" t="s">
        <v>8798</v>
      </c>
      <c r="C10" s="621" t="s">
        <v>681</v>
      </c>
      <c r="D10" s="622">
        <v>3</v>
      </c>
      <c r="E10" s="288">
        <f>IFERROR(SUM(E8:E9),0)</f>
        <v>0</v>
      </c>
      <c r="F10" s="288">
        <f>IFERROR(SUM(F8:F9),0)</f>
        <v>0</v>
      </c>
      <c r="G10" s="288">
        <f>IFERROR(SUM(G8:G9),0)</f>
        <v>0</v>
      </c>
      <c r="H10" s="625">
        <f t="shared" si="0"/>
        <v>0</v>
      </c>
      <c r="I10" s="608"/>
      <c r="J10" s="623" t="s">
        <v>8799</v>
      </c>
      <c r="K10" s="608"/>
      <c r="L10" s="624"/>
      <c r="M10" s="608"/>
      <c r="N10" s="591"/>
      <c r="O10" s="618"/>
      <c r="P10" s="591"/>
      <c r="Q10" s="611"/>
      <c r="R10" s="611"/>
      <c r="S10" s="611"/>
      <c r="T10" s="591"/>
      <c r="V10" s="620" t="s">
        <v>8798</v>
      </c>
      <c r="W10" s="288" t="s">
        <v>8800</v>
      </c>
      <c r="X10" s="288" t="s">
        <v>8801</v>
      </c>
      <c r="Y10" s="288" t="s">
        <v>8802</v>
      </c>
      <c r="Z10" s="625" t="s">
        <v>8803</v>
      </c>
    </row>
    <row r="11" spans="1:26" s="612" customFormat="1" ht="15.75" customHeight="1">
      <c r="A11" s="608"/>
      <c r="B11" s="620" t="s">
        <v>8804</v>
      </c>
      <c r="C11" s="621" t="s">
        <v>681</v>
      </c>
      <c r="D11" s="622">
        <v>3</v>
      </c>
      <c r="E11" s="287">
        <v>0</v>
      </c>
      <c r="F11" s="287">
        <v>0</v>
      </c>
      <c r="G11" s="287">
        <v>0</v>
      </c>
      <c r="H11" s="289">
        <f t="shared" si="0"/>
        <v>0</v>
      </c>
      <c r="I11" s="608"/>
      <c r="J11" s="623" t="s">
        <v>8805</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8804</v>
      </c>
      <c r="W11" s="287" t="s">
        <v>8806</v>
      </c>
      <c r="X11" s="287" t="s">
        <v>8807</v>
      </c>
      <c r="Y11" s="287" t="s">
        <v>8808</v>
      </c>
      <c r="Z11" s="289" t="s">
        <v>8809</v>
      </c>
    </row>
    <row r="12" spans="1:26" s="612" customFormat="1" ht="15.75" customHeight="1">
      <c r="A12" s="608"/>
      <c r="B12" s="620" t="s">
        <v>8810</v>
      </c>
      <c r="C12" s="621" t="s">
        <v>681</v>
      </c>
      <c r="D12" s="622">
        <v>3</v>
      </c>
      <c r="E12" s="287">
        <v>0</v>
      </c>
      <c r="F12" s="287">
        <v>0</v>
      </c>
      <c r="G12" s="287">
        <v>0</v>
      </c>
      <c r="H12" s="289">
        <f t="shared" si="0"/>
        <v>0</v>
      </c>
      <c r="I12" s="608"/>
      <c r="J12" s="623" t="s">
        <v>8811</v>
      </c>
      <c r="K12" s="608"/>
      <c r="L12" s="624"/>
      <c r="M12" s="608"/>
      <c r="N12" s="591"/>
      <c r="O12" s="618">
        <f t="shared" si="4"/>
        <v>0</v>
      </c>
      <c r="P12" s="591"/>
      <c r="Q12" s="619">
        <f t="shared" si="5"/>
        <v>0</v>
      </c>
      <c r="R12" s="619">
        <f t="shared" si="6"/>
        <v>0</v>
      </c>
      <c r="S12" s="619">
        <f t="shared" si="7"/>
        <v>0</v>
      </c>
      <c r="T12" s="591"/>
      <c r="V12" s="620" t="s">
        <v>8810</v>
      </c>
      <c r="W12" s="287" t="s">
        <v>8812</v>
      </c>
      <c r="X12" s="287" t="s">
        <v>8813</v>
      </c>
      <c r="Y12" s="287" t="s">
        <v>8814</v>
      </c>
      <c r="Z12" s="289" t="s">
        <v>8815</v>
      </c>
    </row>
    <row r="13" spans="1:26" s="612" customFormat="1" ht="15.75" customHeight="1">
      <c r="A13" s="608"/>
      <c r="B13" s="620" t="s">
        <v>8816</v>
      </c>
      <c r="C13" s="621" t="s">
        <v>681</v>
      </c>
      <c r="D13" s="622">
        <v>3</v>
      </c>
      <c r="E13" s="287">
        <v>0</v>
      </c>
      <c r="F13" s="287">
        <v>0</v>
      </c>
      <c r="G13" s="287">
        <v>0</v>
      </c>
      <c r="H13" s="289">
        <f t="shared" si="0"/>
        <v>0</v>
      </c>
      <c r="I13" s="608"/>
      <c r="J13" s="623" t="s">
        <v>8817</v>
      </c>
      <c r="K13" s="608"/>
      <c r="L13" s="624"/>
      <c r="M13" s="608"/>
      <c r="N13" s="591"/>
      <c r="O13" s="618">
        <f t="shared" si="4"/>
        <v>0</v>
      </c>
      <c r="P13" s="591"/>
      <c r="Q13" s="619">
        <f t="shared" si="5"/>
        <v>0</v>
      </c>
      <c r="R13" s="619">
        <f t="shared" si="6"/>
        <v>0</v>
      </c>
      <c r="S13" s="619">
        <f t="shared" si="7"/>
        <v>0</v>
      </c>
      <c r="T13" s="591"/>
      <c r="V13" s="620" t="s">
        <v>8816</v>
      </c>
      <c r="W13" s="287" t="s">
        <v>8818</v>
      </c>
      <c r="X13" s="287" t="s">
        <v>8819</v>
      </c>
      <c r="Y13" s="287" t="s">
        <v>8820</v>
      </c>
      <c r="Z13" s="289" t="s">
        <v>8821</v>
      </c>
    </row>
    <row r="14" spans="1:26" s="612" customFormat="1" ht="15.75" customHeight="1" thickBot="1">
      <c r="A14" s="608"/>
      <c r="B14" s="626" t="s">
        <v>8822</v>
      </c>
      <c r="C14" s="627" t="s">
        <v>681</v>
      </c>
      <c r="D14" s="628">
        <v>3</v>
      </c>
      <c r="E14" s="298">
        <f>IFERROR(SUM(E10:E13),0)</f>
        <v>0</v>
      </c>
      <c r="F14" s="298">
        <f>IFERROR(SUM(F10:F13),0)</f>
        <v>0</v>
      </c>
      <c r="G14" s="298">
        <f>IFERROR(SUM(G10:G13),0)</f>
        <v>0</v>
      </c>
      <c r="H14" s="299">
        <f t="shared" si="0"/>
        <v>0</v>
      </c>
      <c r="I14" s="608"/>
      <c r="J14" s="629" t="s">
        <v>8823</v>
      </c>
      <c r="K14" s="608"/>
      <c r="L14" s="630"/>
      <c r="M14" s="608"/>
      <c r="N14" s="591"/>
      <c r="O14" s="618"/>
      <c r="P14" s="591"/>
      <c r="Q14" s="611"/>
      <c r="R14" s="611"/>
      <c r="S14" s="611"/>
      <c r="T14" s="591"/>
      <c r="V14" s="626" t="s">
        <v>7445</v>
      </c>
      <c r="W14" s="298" t="s">
        <v>8824</v>
      </c>
      <c r="X14" s="298" t="s">
        <v>8825</v>
      </c>
      <c r="Y14" s="298" t="s">
        <v>8826</v>
      </c>
      <c r="Z14" s="299" t="s">
        <v>8827</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8828</v>
      </c>
      <c r="C16" s="634" t="s">
        <v>681</v>
      </c>
      <c r="D16" s="635">
        <v>3</v>
      </c>
      <c r="E16" s="421">
        <v>0</v>
      </c>
      <c r="F16" s="421">
        <v>0</v>
      </c>
      <c r="G16" s="636"/>
      <c r="H16" s="471">
        <f>IFERROR(SUM(E16:F16),0)</f>
        <v>0</v>
      </c>
      <c r="I16" s="608"/>
      <c r="J16" s="637" t="s">
        <v>8829</v>
      </c>
      <c r="K16" s="608"/>
      <c r="L16" s="638"/>
      <c r="M16" s="608"/>
      <c r="N16" s="591"/>
      <c r="O16" s="618">
        <f>IF( SUM( Q16:S16 ) = 0, 0, $Q$5 )</f>
        <v>0</v>
      </c>
      <c r="P16" s="591"/>
      <c r="Q16" s="619">
        <f t="shared" ref="Q16:R16" si="8" xml:space="preserve"> IF( ISNUMBER( E16 ), 0, 1 )</f>
        <v>0</v>
      </c>
      <c r="R16" s="619">
        <f t="shared" si="8"/>
        <v>0</v>
      </c>
      <c r="S16" s="611"/>
      <c r="T16" s="591"/>
      <c r="V16" s="633" t="s">
        <v>8828</v>
      </c>
      <c r="W16" s="421" t="s">
        <v>8830</v>
      </c>
      <c r="X16" s="421" t="s">
        <v>8831</v>
      </c>
      <c r="Y16" s="636"/>
      <c r="Z16" s="471" t="s">
        <v>8832</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8833</v>
      </c>
      <c r="C18" s="610"/>
      <c r="D18" s="610"/>
      <c r="E18" s="316"/>
      <c r="F18" s="316"/>
      <c r="G18" s="316"/>
      <c r="H18" s="316"/>
      <c r="I18" s="608"/>
      <c r="J18" s="571"/>
      <c r="K18" s="583"/>
      <c r="L18" s="583"/>
      <c r="M18" s="583"/>
      <c r="N18" s="591"/>
      <c r="O18" s="618"/>
      <c r="P18" s="591"/>
      <c r="T18" s="591"/>
      <c r="V18" s="609" t="s">
        <v>8833</v>
      </c>
      <c r="W18" s="316"/>
      <c r="X18" s="316"/>
      <c r="Y18" s="316"/>
      <c r="Z18" s="316"/>
    </row>
    <row r="19" spans="1:26" ht="15.75" customHeight="1" thickTop="1">
      <c r="A19" s="583"/>
      <c r="B19" s="613" t="s">
        <v>8834</v>
      </c>
      <c r="C19" s="614" t="s">
        <v>681</v>
      </c>
      <c r="D19" s="615">
        <v>3</v>
      </c>
      <c r="E19" s="278">
        <v>0</v>
      </c>
      <c r="F19" s="278">
        <v>9.2469999999999999</v>
      </c>
      <c r="G19" s="278">
        <v>0</v>
      </c>
      <c r="H19" s="280">
        <f t="shared" ref="H19:H30" si="9">IFERROR(SUM(E19:G19),0)</f>
        <v>9.2469999999999999</v>
      </c>
      <c r="I19" s="608"/>
      <c r="J19" s="616" t="s">
        <v>8835</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8834</v>
      </c>
      <c r="W19" s="278" t="s">
        <v>8836</v>
      </c>
      <c r="X19" s="278" t="s">
        <v>8837</v>
      </c>
      <c r="Y19" s="278" t="s">
        <v>8838</v>
      </c>
      <c r="Z19" s="280" t="s">
        <v>8839</v>
      </c>
    </row>
    <row r="20" spans="1:26" ht="15.75" customHeight="1">
      <c r="A20" s="583"/>
      <c r="B20" s="620" t="s">
        <v>8840</v>
      </c>
      <c r="C20" s="621" t="s">
        <v>681</v>
      </c>
      <c r="D20" s="622">
        <v>3</v>
      </c>
      <c r="E20" s="287">
        <v>0</v>
      </c>
      <c r="F20" s="287">
        <v>1.153</v>
      </c>
      <c r="G20" s="287">
        <v>0</v>
      </c>
      <c r="H20" s="289">
        <f t="shared" si="9"/>
        <v>1.153</v>
      </c>
      <c r="I20" s="608"/>
      <c r="J20" s="623" t="s">
        <v>8841</v>
      </c>
      <c r="K20" s="583"/>
      <c r="L20" s="624"/>
      <c r="M20" s="583"/>
      <c r="N20" s="591"/>
      <c r="O20" s="618">
        <f t="shared" si="10"/>
        <v>0</v>
      </c>
      <c r="P20" s="591"/>
      <c r="Q20" s="619">
        <f t="shared" si="11"/>
        <v>0</v>
      </c>
      <c r="R20" s="619">
        <f t="shared" si="12"/>
        <v>0</v>
      </c>
      <c r="S20" s="619">
        <f t="shared" si="13"/>
        <v>0</v>
      </c>
      <c r="T20" s="591"/>
      <c r="V20" s="620" t="s">
        <v>8842</v>
      </c>
      <c r="W20" s="287" t="s">
        <v>8843</v>
      </c>
      <c r="X20" s="287" t="s">
        <v>8844</v>
      </c>
      <c r="Y20" s="287" t="s">
        <v>8845</v>
      </c>
      <c r="Z20" s="289" t="s">
        <v>8846</v>
      </c>
    </row>
    <row r="21" spans="1:26" ht="15.75" customHeight="1">
      <c r="A21" s="583"/>
      <c r="B21" s="620" t="s">
        <v>8847</v>
      </c>
      <c r="C21" s="621" t="s">
        <v>681</v>
      </c>
      <c r="D21" s="622">
        <v>3</v>
      </c>
      <c r="E21" s="287">
        <v>0</v>
      </c>
      <c r="F21" s="287">
        <v>5.1059999999999999</v>
      </c>
      <c r="G21" s="287">
        <v>0</v>
      </c>
      <c r="H21" s="289">
        <f t="shared" si="9"/>
        <v>5.1059999999999999</v>
      </c>
      <c r="I21" s="608"/>
      <c r="J21" s="623" t="s">
        <v>8848</v>
      </c>
      <c r="K21" s="583"/>
      <c r="L21" s="624"/>
      <c r="M21" s="583"/>
      <c r="N21" s="591"/>
      <c r="O21" s="618">
        <f t="shared" si="10"/>
        <v>0</v>
      </c>
      <c r="P21" s="591"/>
      <c r="Q21" s="619">
        <f t="shared" si="11"/>
        <v>0</v>
      </c>
      <c r="R21" s="619">
        <f t="shared" si="12"/>
        <v>0</v>
      </c>
      <c r="S21" s="619">
        <f t="shared" si="13"/>
        <v>0</v>
      </c>
      <c r="T21" s="591"/>
      <c r="V21" s="620" t="s">
        <v>8847</v>
      </c>
      <c r="W21" s="287" t="s">
        <v>8849</v>
      </c>
      <c r="X21" s="287" t="s">
        <v>8850</v>
      </c>
      <c r="Y21" s="287" t="s">
        <v>8851</v>
      </c>
      <c r="Z21" s="289" t="s">
        <v>8852</v>
      </c>
    </row>
    <row r="22" spans="1:26" ht="15.75" customHeight="1">
      <c r="A22" s="583"/>
      <c r="B22" s="620" t="s">
        <v>8786</v>
      </c>
      <c r="C22" s="621" t="s">
        <v>681</v>
      </c>
      <c r="D22" s="622">
        <v>3</v>
      </c>
      <c r="E22" s="287">
        <v>0.98</v>
      </c>
      <c r="F22" s="287">
        <v>0</v>
      </c>
      <c r="G22" s="287">
        <v>0</v>
      </c>
      <c r="H22" s="289">
        <f t="shared" si="9"/>
        <v>0.98</v>
      </c>
      <c r="I22" s="608"/>
      <c r="J22" s="623" t="s">
        <v>8853</v>
      </c>
      <c r="K22" s="583"/>
      <c r="L22" s="624"/>
      <c r="M22" s="583"/>
      <c r="N22" s="591"/>
      <c r="O22" s="618">
        <f t="shared" si="10"/>
        <v>0</v>
      </c>
      <c r="P22" s="591"/>
      <c r="Q22" s="619">
        <f t="shared" si="11"/>
        <v>0</v>
      </c>
      <c r="R22" s="619">
        <f t="shared" si="12"/>
        <v>0</v>
      </c>
      <c r="S22" s="619">
        <f t="shared" si="13"/>
        <v>0</v>
      </c>
      <c r="T22" s="591"/>
      <c r="V22" s="620" t="s">
        <v>8786</v>
      </c>
      <c r="W22" s="287" t="s">
        <v>8854</v>
      </c>
      <c r="X22" s="287" t="s">
        <v>8855</v>
      </c>
      <c r="Y22" s="287" t="s">
        <v>8856</v>
      </c>
      <c r="Z22" s="289" t="s">
        <v>8857</v>
      </c>
    </row>
    <row r="23" spans="1:26" ht="15.75" customHeight="1">
      <c r="A23" s="583"/>
      <c r="B23" s="620" t="s">
        <v>8792</v>
      </c>
      <c r="C23" s="621" t="s">
        <v>681</v>
      </c>
      <c r="D23" s="622">
        <v>3</v>
      </c>
      <c r="E23" s="287">
        <v>2E-3</v>
      </c>
      <c r="F23" s="287">
        <v>0</v>
      </c>
      <c r="G23" s="287">
        <v>0</v>
      </c>
      <c r="H23" s="289">
        <f t="shared" si="9"/>
        <v>2E-3</v>
      </c>
      <c r="I23" s="608"/>
      <c r="J23" s="623" t="s">
        <v>8858</v>
      </c>
      <c r="K23" s="583"/>
      <c r="L23" s="624"/>
      <c r="M23" s="583"/>
      <c r="N23" s="591"/>
      <c r="O23" s="618">
        <f t="shared" si="10"/>
        <v>0</v>
      </c>
      <c r="P23" s="591"/>
      <c r="Q23" s="619">
        <f t="shared" si="11"/>
        <v>0</v>
      </c>
      <c r="R23" s="619">
        <f t="shared" si="12"/>
        <v>0</v>
      </c>
      <c r="S23" s="619">
        <f t="shared" si="13"/>
        <v>0</v>
      </c>
      <c r="T23" s="640"/>
      <c r="V23" s="620" t="s">
        <v>8792</v>
      </c>
      <c r="W23" s="287" t="s">
        <v>8859</v>
      </c>
      <c r="X23" s="287" t="s">
        <v>8860</v>
      </c>
      <c r="Y23" s="287" t="s">
        <v>8861</v>
      </c>
      <c r="Z23" s="289" t="s">
        <v>8862</v>
      </c>
    </row>
    <row r="24" spans="1:26" ht="31.35" customHeight="1">
      <c r="A24" s="583"/>
      <c r="B24" s="620" t="s">
        <v>8863</v>
      </c>
      <c r="C24" s="621" t="s">
        <v>681</v>
      </c>
      <c r="D24" s="622">
        <v>3</v>
      </c>
      <c r="E24" s="288">
        <f>IFERROR(SUM(E19:E23),0)</f>
        <v>0.98199999999999998</v>
      </c>
      <c r="F24" s="288">
        <f>IFERROR(SUM(F19:F23),0)</f>
        <v>15.506</v>
      </c>
      <c r="G24" s="288">
        <f>IFERROR(SUM(G19:G23),0)</f>
        <v>0</v>
      </c>
      <c r="H24" s="289">
        <f t="shared" si="9"/>
        <v>16.488</v>
      </c>
      <c r="I24" s="571"/>
      <c r="J24" s="623" t="s">
        <v>8864</v>
      </c>
      <c r="K24" s="583"/>
      <c r="L24" s="624"/>
      <c r="M24" s="583"/>
      <c r="N24" s="591"/>
      <c r="O24" s="618"/>
      <c r="P24" s="640"/>
      <c r="T24" s="640"/>
      <c r="V24" s="620" t="s">
        <v>8863</v>
      </c>
      <c r="W24" s="288" t="s">
        <v>8865</v>
      </c>
      <c r="X24" s="288" t="s">
        <v>8866</v>
      </c>
      <c r="Y24" s="288" t="s">
        <v>8867</v>
      </c>
      <c r="Z24" s="289" t="s">
        <v>8868</v>
      </c>
    </row>
    <row r="25" spans="1:26" ht="15">
      <c r="A25" s="583"/>
      <c r="B25" s="620" t="s">
        <v>8869</v>
      </c>
      <c r="C25" s="621" t="s">
        <v>681</v>
      </c>
      <c r="D25" s="622">
        <v>3</v>
      </c>
      <c r="E25" s="287">
        <v>0</v>
      </c>
      <c r="F25" s="287">
        <v>4.2210000000000001</v>
      </c>
      <c r="G25" s="287">
        <v>0</v>
      </c>
      <c r="H25" s="289">
        <f t="shared" si="9"/>
        <v>4.2210000000000001</v>
      </c>
      <c r="I25" s="571"/>
      <c r="J25" s="623" t="s">
        <v>8870</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8869</v>
      </c>
      <c r="W25" s="287" t="s">
        <v>8871</v>
      </c>
      <c r="X25" s="287" t="s">
        <v>8872</v>
      </c>
      <c r="Y25" s="287" t="s">
        <v>8873</v>
      </c>
      <c r="Z25" s="289" t="s">
        <v>8874</v>
      </c>
    </row>
    <row r="26" spans="1:26" ht="31.35" customHeight="1">
      <c r="A26" s="583"/>
      <c r="B26" s="620" t="s">
        <v>8875</v>
      </c>
      <c r="C26" s="621" t="s">
        <v>681</v>
      </c>
      <c r="D26" s="622">
        <v>3</v>
      </c>
      <c r="E26" s="288">
        <f>IFERROR(E24-E25,0)</f>
        <v>0.98199999999999998</v>
      </c>
      <c r="F26" s="288">
        <f>IFERROR(F24-F25,0)</f>
        <v>11.285</v>
      </c>
      <c r="G26" s="288">
        <f>IFERROR(G24-G25,0)</f>
        <v>0</v>
      </c>
      <c r="H26" s="289">
        <f t="shared" si="9"/>
        <v>12.266999999999999</v>
      </c>
      <c r="I26" s="571"/>
      <c r="J26" s="623" t="s">
        <v>8876</v>
      </c>
      <c r="K26" s="583"/>
      <c r="L26" s="624"/>
      <c r="M26" s="583"/>
      <c r="N26" s="591"/>
      <c r="O26" s="618"/>
      <c r="P26" s="591"/>
      <c r="T26" s="591"/>
      <c r="V26" s="620" t="s">
        <v>8875</v>
      </c>
      <c r="W26" s="288" t="s">
        <v>8877</v>
      </c>
      <c r="X26" s="288" t="s">
        <v>8878</v>
      </c>
      <c r="Y26" s="288" t="s">
        <v>8879</v>
      </c>
      <c r="Z26" s="289" t="s">
        <v>8880</v>
      </c>
    </row>
    <row r="27" spans="1:26" ht="15">
      <c r="A27" s="583"/>
      <c r="B27" s="620" t="s">
        <v>8804</v>
      </c>
      <c r="C27" s="621" t="s">
        <v>681</v>
      </c>
      <c r="D27" s="622">
        <v>3</v>
      </c>
      <c r="E27" s="287">
        <v>0.67700000000000005</v>
      </c>
      <c r="F27" s="287">
        <v>0</v>
      </c>
      <c r="G27" s="287">
        <v>0</v>
      </c>
      <c r="H27" s="289">
        <f t="shared" si="9"/>
        <v>0.67700000000000005</v>
      </c>
      <c r="I27" s="571"/>
      <c r="J27" s="623" t="s">
        <v>8881</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8804</v>
      </c>
      <c r="W27" s="287" t="s">
        <v>8882</v>
      </c>
      <c r="X27" s="287" t="s">
        <v>8883</v>
      </c>
      <c r="Y27" s="287" t="s">
        <v>8884</v>
      </c>
      <c r="Z27" s="289" t="s">
        <v>8885</v>
      </c>
    </row>
    <row r="28" spans="1:26" ht="15">
      <c r="A28" s="583"/>
      <c r="B28" s="620" t="s">
        <v>8810</v>
      </c>
      <c r="C28" s="621" t="s">
        <v>681</v>
      </c>
      <c r="D28" s="622">
        <v>3</v>
      </c>
      <c r="E28" s="287">
        <v>0</v>
      </c>
      <c r="F28" s="287">
        <v>0</v>
      </c>
      <c r="G28" s="287">
        <v>0</v>
      </c>
      <c r="H28" s="289">
        <f t="shared" si="9"/>
        <v>0</v>
      </c>
      <c r="I28" s="571"/>
      <c r="J28" s="623" t="s">
        <v>8886</v>
      </c>
      <c r="K28" s="583"/>
      <c r="L28" s="624"/>
      <c r="M28" s="583"/>
      <c r="N28" s="591"/>
      <c r="O28" s="618">
        <f t="shared" si="15"/>
        <v>0</v>
      </c>
      <c r="P28" s="591"/>
      <c r="Q28" s="619">
        <f t="shared" si="16"/>
        <v>0</v>
      </c>
      <c r="R28" s="619">
        <f t="shared" si="17"/>
        <v>0</v>
      </c>
      <c r="S28" s="619">
        <f t="shared" si="18"/>
        <v>0</v>
      </c>
      <c r="T28" s="591"/>
      <c r="V28" s="620" t="s">
        <v>8810</v>
      </c>
      <c r="W28" s="287" t="s">
        <v>8887</v>
      </c>
      <c r="X28" s="287" t="s">
        <v>8888</v>
      </c>
      <c r="Y28" s="287" t="s">
        <v>8889</v>
      </c>
      <c r="Z28" s="289" t="s">
        <v>8890</v>
      </c>
    </row>
    <row r="29" spans="1:26" ht="15.75" customHeight="1">
      <c r="A29" s="583"/>
      <c r="B29" s="620" t="s">
        <v>8816</v>
      </c>
      <c r="C29" s="621" t="s">
        <v>681</v>
      </c>
      <c r="D29" s="622">
        <v>3</v>
      </c>
      <c r="E29" s="287">
        <v>0.14499999999999999</v>
      </c>
      <c r="F29" s="287">
        <v>0</v>
      </c>
      <c r="G29" s="287">
        <v>0</v>
      </c>
      <c r="H29" s="289">
        <f t="shared" si="9"/>
        <v>0.14499999999999999</v>
      </c>
      <c r="I29" s="571"/>
      <c r="J29" s="623" t="s">
        <v>8891</v>
      </c>
      <c r="K29" s="583"/>
      <c r="L29" s="624"/>
      <c r="M29" s="583"/>
      <c r="N29" s="591"/>
      <c r="O29" s="618">
        <f t="shared" si="15"/>
        <v>0</v>
      </c>
      <c r="P29" s="591"/>
      <c r="Q29" s="619">
        <f t="shared" si="16"/>
        <v>0</v>
      </c>
      <c r="R29" s="619">
        <f t="shared" si="17"/>
        <v>0</v>
      </c>
      <c r="S29" s="619">
        <f t="shared" si="18"/>
        <v>0</v>
      </c>
      <c r="T29" s="591"/>
      <c r="V29" s="620" t="s">
        <v>8816</v>
      </c>
      <c r="W29" s="287" t="s">
        <v>8892</v>
      </c>
      <c r="X29" s="287" t="s">
        <v>8893</v>
      </c>
      <c r="Y29" s="287" t="s">
        <v>8894</v>
      </c>
      <c r="Z29" s="289" t="s">
        <v>8895</v>
      </c>
    </row>
    <row r="30" spans="1:26" ht="15.75" thickBot="1">
      <c r="A30" s="583"/>
      <c r="B30" s="626" t="s">
        <v>8822</v>
      </c>
      <c r="C30" s="627" t="s">
        <v>681</v>
      </c>
      <c r="D30" s="628">
        <v>3</v>
      </c>
      <c r="E30" s="298">
        <f>IFERROR(SUM(E26:E29),0)</f>
        <v>1.804</v>
      </c>
      <c r="F30" s="298">
        <f>IFERROR(SUM(F26:F29),0)</f>
        <v>11.285</v>
      </c>
      <c r="G30" s="298">
        <f>IFERROR(SUM(G26:G29),0)</f>
        <v>0</v>
      </c>
      <c r="H30" s="299">
        <f t="shared" si="9"/>
        <v>13.089</v>
      </c>
      <c r="I30" s="608"/>
      <c r="J30" s="629" t="s">
        <v>8896</v>
      </c>
      <c r="K30" s="583"/>
      <c r="L30" s="630"/>
      <c r="M30" s="583"/>
      <c r="N30" s="591"/>
      <c r="O30" s="618"/>
      <c r="P30" s="591"/>
      <c r="T30" s="591"/>
      <c r="V30" s="626" t="s">
        <v>7445</v>
      </c>
      <c r="W30" s="298" t="s">
        <v>8897</v>
      </c>
      <c r="X30" s="298" t="s">
        <v>8898</v>
      </c>
      <c r="Y30" s="298" t="s">
        <v>8899</v>
      </c>
      <c r="Z30" s="299" t="s">
        <v>8900</v>
      </c>
    </row>
    <row r="31" spans="1:26" ht="17.2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8828</v>
      </c>
      <c r="C32" s="634" t="s">
        <v>681</v>
      </c>
      <c r="D32" s="635">
        <v>3</v>
      </c>
      <c r="E32" s="421">
        <v>0</v>
      </c>
      <c r="F32" s="421">
        <v>2.6179999999999999</v>
      </c>
      <c r="G32" s="636"/>
      <c r="H32" s="471">
        <f>IFERROR(SUM(E32:F32),0)</f>
        <v>2.6179999999999999</v>
      </c>
      <c r="I32" s="583"/>
      <c r="J32" s="637" t="s">
        <v>8901</v>
      </c>
      <c r="K32" s="583"/>
      <c r="L32" s="638"/>
      <c r="M32" s="583"/>
      <c r="N32" s="591"/>
      <c r="O32" s="618">
        <f>IF( SUM( Q32:S32 ) = 0, 0, $Q$5 )</f>
        <v>0</v>
      </c>
      <c r="P32" s="591"/>
      <c r="Q32" s="619">
        <f t="shared" ref="Q32:R32" si="19" xml:space="preserve"> IF( ISNUMBER( E32 ), 0, 1 )</f>
        <v>0</v>
      </c>
      <c r="R32" s="619">
        <f t="shared" si="19"/>
        <v>0</v>
      </c>
      <c r="T32" s="591"/>
      <c r="V32" s="633" t="s">
        <v>8828</v>
      </c>
      <c r="W32" s="421" t="s">
        <v>8902</v>
      </c>
      <c r="X32" s="421" t="s">
        <v>8903</v>
      </c>
      <c r="Y32" s="636"/>
      <c r="Z32" s="471" t="s">
        <v>8904</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8905</v>
      </c>
      <c r="C34" s="610"/>
      <c r="D34" s="610"/>
      <c r="E34" s="316"/>
      <c r="F34" s="316"/>
      <c r="G34" s="316"/>
      <c r="H34" s="316"/>
      <c r="I34" s="608"/>
      <c r="J34" s="571"/>
      <c r="K34" s="583"/>
      <c r="L34" s="583"/>
      <c r="M34" s="583"/>
      <c r="N34" s="591"/>
      <c r="O34" s="618"/>
      <c r="P34" s="591"/>
      <c r="T34" s="591"/>
      <c r="V34" s="609" t="s">
        <v>8905</v>
      </c>
      <c r="W34" s="316"/>
      <c r="X34" s="316"/>
      <c r="Y34" s="316"/>
      <c r="Z34" s="316"/>
    </row>
    <row r="35" spans="1:26" ht="15.75" thickTop="1">
      <c r="A35" s="583"/>
      <c r="B35" s="613" t="s">
        <v>8906</v>
      </c>
      <c r="C35" s="614" t="s">
        <v>681</v>
      </c>
      <c r="D35" s="615">
        <v>3</v>
      </c>
      <c r="E35" s="278">
        <v>0</v>
      </c>
      <c r="F35" s="278">
        <v>0</v>
      </c>
      <c r="G35" s="278">
        <v>0</v>
      </c>
      <c r="H35" s="280">
        <f t="shared" ref="H35:H45" si="20">IFERROR(SUM(E35:G35),0)</f>
        <v>0</v>
      </c>
      <c r="I35" s="608"/>
      <c r="J35" s="616" t="s">
        <v>8907</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8906</v>
      </c>
      <c r="W35" s="278" t="s">
        <v>8908</v>
      </c>
      <c r="X35" s="278" t="s">
        <v>8909</v>
      </c>
      <c r="Y35" s="278" t="s">
        <v>8910</v>
      </c>
      <c r="Z35" s="280" t="s">
        <v>8911</v>
      </c>
    </row>
    <row r="36" spans="1:26" ht="15">
      <c r="A36" s="583"/>
      <c r="B36" s="620" t="s">
        <v>8840</v>
      </c>
      <c r="C36" s="621" t="s">
        <v>681</v>
      </c>
      <c r="D36" s="622">
        <v>3</v>
      </c>
      <c r="E36" s="287">
        <v>0</v>
      </c>
      <c r="F36" s="287">
        <v>0.68100000000000005</v>
      </c>
      <c r="G36" s="287">
        <v>0</v>
      </c>
      <c r="H36" s="289">
        <f t="shared" si="20"/>
        <v>0.68100000000000005</v>
      </c>
      <c r="I36" s="608"/>
      <c r="J36" s="623" t="s">
        <v>8912</v>
      </c>
      <c r="K36" s="583"/>
      <c r="L36" s="624"/>
      <c r="M36" s="583"/>
      <c r="N36" s="591"/>
      <c r="O36" s="618">
        <f t="shared" si="21"/>
        <v>0</v>
      </c>
      <c r="P36" s="591"/>
      <c r="Q36" s="619">
        <f t="shared" si="22"/>
        <v>0</v>
      </c>
      <c r="R36" s="619">
        <f t="shared" si="23"/>
        <v>0</v>
      </c>
      <c r="S36" s="619">
        <f t="shared" si="24"/>
        <v>0</v>
      </c>
      <c r="T36" s="591"/>
      <c r="V36" s="620" t="s">
        <v>8842</v>
      </c>
      <c r="W36" s="287" t="s">
        <v>8913</v>
      </c>
      <c r="X36" s="287" t="s">
        <v>8914</v>
      </c>
      <c r="Y36" s="287" t="s">
        <v>8915</v>
      </c>
      <c r="Z36" s="289" t="s">
        <v>8916</v>
      </c>
    </row>
    <row r="37" spans="1:26" ht="15">
      <c r="A37" s="583"/>
      <c r="B37" s="620" t="s">
        <v>8786</v>
      </c>
      <c r="C37" s="621" t="s">
        <v>681</v>
      </c>
      <c r="D37" s="622">
        <v>3</v>
      </c>
      <c r="E37" s="287">
        <v>0.152</v>
      </c>
      <c r="F37" s="287">
        <v>0</v>
      </c>
      <c r="G37" s="287">
        <v>0</v>
      </c>
      <c r="H37" s="289">
        <f t="shared" si="20"/>
        <v>0.152</v>
      </c>
      <c r="I37" s="608"/>
      <c r="J37" s="623" t="s">
        <v>8917</v>
      </c>
      <c r="K37" s="583"/>
      <c r="L37" s="624"/>
      <c r="M37" s="583"/>
      <c r="N37" s="591"/>
      <c r="O37" s="618">
        <f t="shared" si="21"/>
        <v>0</v>
      </c>
      <c r="P37" s="591"/>
      <c r="Q37" s="619">
        <f t="shared" si="22"/>
        <v>0</v>
      </c>
      <c r="R37" s="619">
        <f t="shared" si="23"/>
        <v>0</v>
      </c>
      <c r="S37" s="619">
        <f t="shared" si="24"/>
        <v>0</v>
      </c>
      <c r="T37" s="591"/>
      <c r="V37" s="620" t="s">
        <v>8786</v>
      </c>
      <c r="W37" s="287" t="s">
        <v>8918</v>
      </c>
      <c r="X37" s="287" t="s">
        <v>8919</v>
      </c>
      <c r="Y37" s="287" t="s">
        <v>8920</v>
      </c>
      <c r="Z37" s="289" t="s">
        <v>8921</v>
      </c>
    </row>
    <row r="38" spans="1:26" ht="15">
      <c r="A38" s="583"/>
      <c r="B38" s="620" t="s">
        <v>8792</v>
      </c>
      <c r="C38" s="621" t="s">
        <v>681</v>
      </c>
      <c r="D38" s="622">
        <v>3</v>
      </c>
      <c r="E38" s="287">
        <v>0</v>
      </c>
      <c r="F38" s="287">
        <v>0.81699999999999995</v>
      </c>
      <c r="G38" s="287">
        <v>0</v>
      </c>
      <c r="H38" s="289">
        <f t="shared" si="20"/>
        <v>0.81699999999999995</v>
      </c>
      <c r="I38" s="608"/>
      <c r="J38" s="623" t="s">
        <v>8922</v>
      </c>
      <c r="K38" s="583"/>
      <c r="L38" s="624"/>
      <c r="M38" s="583"/>
      <c r="N38" s="591"/>
      <c r="O38" s="618">
        <f t="shared" si="21"/>
        <v>0</v>
      </c>
      <c r="P38" s="591"/>
      <c r="Q38" s="619">
        <f t="shared" si="22"/>
        <v>0</v>
      </c>
      <c r="R38" s="619">
        <f t="shared" si="23"/>
        <v>0</v>
      </c>
      <c r="S38" s="619">
        <f t="shared" si="24"/>
        <v>0</v>
      </c>
      <c r="T38" s="591"/>
      <c r="V38" s="620" t="s">
        <v>8792</v>
      </c>
      <c r="W38" s="287" t="s">
        <v>8923</v>
      </c>
      <c r="X38" s="287" t="s">
        <v>8924</v>
      </c>
      <c r="Y38" s="287" t="s">
        <v>8925</v>
      </c>
      <c r="Z38" s="289" t="s">
        <v>8926</v>
      </c>
    </row>
    <row r="39" spans="1:26" ht="31.35" customHeight="1">
      <c r="A39" s="583"/>
      <c r="B39" s="620" t="s">
        <v>8863</v>
      </c>
      <c r="C39" s="621" t="s">
        <v>681</v>
      </c>
      <c r="D39" s="622">
        <v>3</v>
      </c>
      <c r="E39" s="288">
        <f>IFERROR(SUM(E35:E38),0)</f>
        <v>0.152</v>
      </c>
      <c r="F39" s="288">
        <f>IFERROR(SUM(F35:F38),0)</f>
        <v>1.498</v>
      </c>
      <c r="G39" s="288">
        <f>IFERROR(SUM(G35:G38),0)</f>
        <v>0</v>
      </c>
      <c r="H39" s="289">
        <f t="shared" si="20"/>
        <v>1.65</v>
      </c>
      <c r="I39" s="608"/>
      <c r="J39" s="623" t="s">
        <v>8927</v>
      </c>
      <c r="K39" s="583"/>
      <c r="L39" s="624"/>
      <c r="M39" s="583"/>
      <c r="N39" s="591"/>
      <c r="O39" s="618"/>
      <c r="P39" s="591"/>
      <c r="T39" s="591"/>
      <c r="V39" s="620" t="s">
        <v>8863</v>
      </c>
      <c r="W39" s="288" t="s">
        <v>8928</v>
      </c>
      <c r="X39" s="288" t="s">
        <v>8929</v>
      </c>
      <c r="Y39" s="288" t="s">
        <v>8930</v>
      </c>
      <c r="Z39" s="289" t="s">
        <v>8931</v>
      </c>
    </row>
    <row r="40" spans="1:26" ht="15">
      <c r="A40" s="583"/>
      <c r="B40" s="620" t="s">
        <v>8869</v>
      </c>
      <c r="C40" s="621" t="s">
        <v>681</v>
      </c>
      <c r="D40" s="622">
        <v>3</v>
      </c>
      <c r="E40" s="287">
        <v>0</v>
      </c>
      <c r="F40" s="287">
        <v>0</v>
      </c>
      <c r="G40" s="287">
        <v>0</v>
      </c>
      <c r="H40" s="289">
        <f t="shared" si="20"/>
        <v>0</v>
      </c>
      <c r="I40" s="608"/>
      <c r="J40" s="623" t="s">
        <v>8932</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8869</v>
      </c>
      <c r="W40" s="287" t="s">
        <v>8933</v>
      </c>
      <c r="X40" s="287" t="s">
        <v>8934</v>
      </c>
      <c r="Y40" s="287" t="s">
        <v>8935</v>
      </c>
      <c r="Z40" s="289" t="s">
        <v>8936</v>
      </c>
    </row>
    <row r="41" spans="1:26" ht="31.35" customHeight="1">
      <c r="A41" s="583"/>
      <c r="B41" s="620" t="s">
        <v>8875</v>
      </c>
      <c r="C41" s="621" t="s">
        <v>681</v>
      </c>
      <c r="D41" s="622">
        <v>3</v>
      </c>
      <c r="E41" s="288">
        <f>IFERROR(E39-E40,0)</f>
        <v>0.152</v>
      </c>
      <c r="F41" s="288">
        <f>IFERROR(F39-F40,0)</f>
        <v>1.498</v>
      </c>
      <c r="G41" s="288">
        <f>IFERROR(G39-G40,0)</f>
        <v>0</v>
      </c>
      <c r="H41" s="289">
        <f t="shared" si="20"/>
        <v>1.65</v>
      </c>
      <c r="I41" s="608"/>
      <c r="J41" s="623" t="s">
        <v>8937</v>
      </c>
      <c r="K41" s="583"/>
      <c r="L41" s="624"/>
      <c r="M41" s="583"/>
      <c r="N41" s="591"/>
      <c r="O41" s="618"/>
      <c r="P41" s="591"/>
      <c r="T41" s="591"/>
      <c r="V41" s="620" t="s">
        <v>8875</v>
      </c>
      <c r="W41" s="288" t="s">
        <v>8938</v>
      </c>
      <c r="X41" s="288" t="s">
        <v>8939</v>
      </c>
      <c r="Y41" s="288" t="s">
        <v>8940</v>
      </c>
      <c r="Z41" s="289" t="s">
        <v>8941</v>
      </c>
    </row>
    <row r="42" spans="1:26" ht="15">
      <c r="A42" s="583"/>
      <c r="B42" s="620" t="s">
        <v>8804</v>
      </c>
      <c r="C42" s="621" t="s">
        <v>681</v>
      </c>
      <c r="D42" s="622">
        <v>3</v>
      </c>
      <c r="E42" s="287">
        <v>0</v>
      </c>
      <c r="F42" s="287">
        <v>0</v>
      </c>
      <c r="G42" s="287">
        <v>0</v>
      </c>
      <c r="H42" s="289">
        <f t="shared" si="20"/>
        <v>0</v>
      </c>
      <c r="I42" s="608"/>
      <c r="J42" s="623" t="s">
        <v>8942</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8804</v>
      </c>
      <c r="W42" s="287" t="s">
        <v>8943</v>
      </c>
      <c r="X42" s="287" t="s">
        <v>8944</v>
      </c>
      <c r="Y42" s="287" t="s">
        <v>8945</v>
      </c>
      <c r="Z42" s="289" t="s">
        <v>8946</v>
      </c>
    </row>
    <row r="43" spans="1:26" ht="15">
      <c r="A43" s="583"/>
      <c r="B43" s="620" t="s">
        <v>8810</v>
      </c>
      <c r="C43" s="621" t="s">
        <v>681</v>
      </c>
      <c r="D43" s="622">
        <v>3</v>
      </c>
      <c r="E43" s="287">
        <v>0.33600000000000002</v>
      </c>
      <c r="F43" s="287">
        <v>0</v>
      </c>
      <c r="G43" s="287">
        <v>0</v>
      </c>
      <c r="H43" s="289">
        <f t="shared" si="20"/>
        <v>0.33600000000000002</v>
      </c>
      <c r="I43" s="608"/>
      <c r="J43" s="623" t="s">
        <v>8947</v>
      </c>
      <c r="K43" s="583"/>
      <c r="L43" s="624"/>
      <c r="M43" s="583"/>
      <c r="N43" s="591"/>
      <c r="O43" s="618">
        <f t="shared" si="26"/>
        <v>0</v>
      </c>
      <c r="P43" s="591"/>
      <c r="Q43" s="619">
        <f t="shared" si="27"/>
        <v>0</v>
      </c>
      <c r="R43" s="619">
        <f t="shared" si="28"/>
        <v>0</v>
      </c>
      <c r="S43" s="619">
        <f t="shared" si="29"/>
        <v>0</v>
      </c>
      <c r="T43" s="591"/>
      <c r="V43" s="620" t="s">
        <v>8810</v>
      </c>
      <c r="W43" s="287" t="s">
        <v>8948</v>
      </c>
      <c r="X43" s="287" t="s">
        <v>8949</v>
      </c>
      <c r="Y43" s="287" t="s">
        <v>8950</v>
      </c>
      <c r="Z43" s="289" t="s">
        <v>8951</v>
      </c>
    </row>
    <row r="44" spans="1:26" ht="15.75" customHeight="1">
      <c r="A44" s="583"/>
      <c r="B44" s="620" t="s">
        <v>8952</v>
      </c>
      <c r="C44" s="621" t="s">
        <v>681</v>
      </c>
      <c r="D44" s="622">
        <v>3</v>
      </c>
      <c r="E44" s="287">
        <v>0</v>
      </c>
      <c r="F44" s="287">
        <v>0</v>
      </c>
      <c r="G44" s="287">
        <v>0</v>
      </c>
      <c r="H44" s="289">
        <f t="shared" si="20"/>
        <v>0</v>
      </c>
      <c r="I44" s="608"/>
      <c r="J44" s="623" t="s">
        <v>8953</v>
      </c>
      <c r="K44" s="583"/>
      <c r="L44" s="624"/>
      <c r="M44" s="583"/>
      <c r="N44" s="591"/>
      <c r="O44" s="618">
        <f t="shared" si="26"/>
        <v>0</v>
      </c>
      <c r="P44" s="591"/>
      <c r="Q44" s="619">
        <f t="shared" si="27"/>
        <v>0</v>
      </c>
      <c r="R44" s="619">
        <f t="shared" si="28"/>
        <v>0</v>
      </c>
      <c r="S44" s="619">
        <f t="shared" si="29"/>
        <v>0</v>
      </c>
      <c r="T44" s="591"/>
      <c r="V44" s="620" t="s">
        <v>8952</v>
      </c>
      <c r="W44" s="287" t="s">
        <v>8954</v>
      </c>
      <c r="X44" s="287" t="s">
        <v>8955</v>
      </c>
      <c r="Y44" s="287" t="s">
        <v>8956</v>
      </c>
      <c r="Z44" s="289" t="s">
        <v>8957</v>
      </c>
    </row>
    <row r="45" spans="1:26" ht="15.75" thickBot="1">
      <c r="A45" s="583"/>
      <c r="B45" s="626" t="s">
        <v>8822</v>
      </c>
      <c r="C45" s="627" t="s">
        <v>681</v>
      </c>
      <c r="D45" s="628">
        <v>3</v>
      </c>
      <c r="E45" s="298">
        <f>IFERROR(SUM(E41:E44),0)</f>
        <v>0.48799999999999999</v>
      </c>
      <c r="F45" s="298">
        <f>IFERROR(SUM(F41:F44),0)</f>
        <v>1.498</v>
      </c>
      <c r="G45" s="298">
        <f>IFERROR(SUM(G41:G44),0)</f>
        <v>0</v>
      </c>
      <c r="H45" s="299">
        <f t="shared" si="20"/>
        <v>1.986</v>
      </c>
      <c r="I45" s="608"/>
      <c r="J45" s="629" t="s">
        <v>8958</v>
      </c>
      <c r="K45" s="583"/>
      <c r="L45" s="630"/>
      <c r="M45" s="583"/>
      <c r="N45" s="591"/>
      <c r="O45" s="618"/>
      <c r="P45" s="591"/>
      <c r="T45" s="591"/>
      <c r="V45" s="626" t="s">
        <v>7445</v>
      </c>
      <c r="W45" s="298" t="s">
        <v>8959</v>
      </c>
      <c r="X45" s="298" t="s">
        <v>8960</v>
      </c>
      <c r="Y45" s="298" t="s">
        <v>8961</v>
      </c>
      <c r="Z45" s="299" t="s">
        <v>8962</v>
      </c>
    </row>
    <row r="46" spans="1:26" ht="17.2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8828</v>
      </c>
      <c r="C47" s="634" t="s">
        <v>681</v>
      </c>
      <c r="D47" s="635">
        <v>3</v>
      </c>
      <c r="E47" s="421">
        <v>0</v>
      </c>
      <c r="F47" s="421">
        <v>24.195</v>
      </c>
      <c r="G47" s="636"/>
      <c r="H47" s="471">
        <f>IFERROR(SUM(E47:F47),0)</f>
        <v>24.195</v>
      </c>
      <c r="I47" s="608"/>
      <c r="J47" s="637" t="s">
        <v>8963</v>
      </c>
      <c r="K47" s="583"/>
      <c r="L47" s="638"/>
      <c r="M47" s="583"/>
      <c r="N47" s="591"/>
      <c r="O47" s="618">
        <f>IF( SUM( Q47:S47 ) = 0, 0, $Q$5 )</f>
        <v>0</v>
      </c>
      <c r="P47" s="591"/>
      <c r="Q47" s="619">
        <f t="shared" ref="Q47:R47" si="30" xml:space="preserve"> IF( ISNUMBER( E47 ), 0, 1 )</f>
        <v>0</v>
      </c>
      <c r="R47" s="619">
        <f t="shared" si="30"/>
        <v>0</v>
      </c>
      <c r="T47" s="591"/>
      <c r="V47" s="633" t="s">
        <v>8828</v>
      </c>
      <c r="W47" s="421" t="s">
        <v>8964</v>
      </c>
      <c r="X47" s="421" t="s">
        <v>8965</v>
      </c>
      <c r="Y47" s="636"/>
      <c r="Z47" s="471" t="s">
        <v>8966</v>
      </c>
    </row>
    <row r="48" spans="1:26" ht="17.2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5" thickTop="1" thickBot="1">
      <c r="A49" s="583"/>
      <c r="B49" s="600" t="s">
        <v>7224</v>
      </c>
      <c r="C49" s="601" t="s">
        <v>7225</v>
      </c>
      <c r="D49" s="601" t="s">
        <v>670</v>
      </c>
      <c r="E49" s="602" t="s">
        <v>8967</v>
      </c>
      <c r="F49" s="602" t="s">
        <v>8968</v>
      </c>
      <c r="G49" s="602" t="s">
        <v>8969</v>
      </c>
      <c r="H49" s="603" t="s">
        <v>7445</v>
      </c>
      <c r="I49" s="607"/>
      <c r="J49" s="571"/>
      <c r="K49" s="583"/>
      <c r="L49" s="583"/>
      <c r="M49" s="583"/>
      <c r="N49" s="591"/>
      <c r="O49" s="618"/>
      <c r="P49" s="591"/>
      <c r="T49" s="591"/>
      <c r="V49" s="600"/>
      <c r="W49" s="602" t="s">
        <v>8970</v>
      </c>
      <c r="X49" s="602" t="s">
        <v>8971</v>
      </c>
      <c r="Y49" s="602" t="s">
        <v>8969</v>
      </c>
      <c r="Z49" s="603" t="s">
        <v>7445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8972</v>
      </c>
      <c r="C51" s="607"/>
      <c r="D51" s="607"/>
      <c r="E51" s="316"/>
      <c r="F51" s="316"/>
      <c r="G51" s="316"/>
      <c r="H51" s="316"/>
      <c r="I51" s="607"/>
      <c r="J51" s="571"/>
      <c r="K51" s="583"/>
      <c r="L51" s="583"/>
      <c r="M51" s="583"/>
      <c r="N51" s="591"/>
      <c r="O51" s="618"/>
      <c r="P51" s="591"/>
      <c r="T51" s="591"/>
      <c r="V51" s="641" t="s">
        <v>8972</v>
      </c>
      <c r="W51" s="316"/>
      <c r="X51" s="316"/>
      <c r="Y51" s="316"/>
      <c r="Z51" s="316"/>
    </row>
    <row r="52" spans="1:27" ht="15.75" customHeight="1" thickTop="1">
      <c r="A52" s="583"/>
      <c r="B52" s="613" t="s">
        <v>8973</v>
      </c>
      <c r="C52" s="614" t="s">
        <v>681</v>
      </c>
      <c r="D52" s="615">
        <v>3</v>
      </c>
      <c r="E52" s="278">
        <v>0.60099999999999998</v>
      </c>
      <c r="F52" s="278">
        <v>260.99499999999995</v>
      </c>
      <c r="G52" s="278">
        <v>190.94000000000005</v>
      </c>
      <c r="H52" s="280">
        <f>IFERROR(SUM(E52:G52),0)</f>
        <v>452.536</v>
      </c>
      <c r="I52" s="642"/>
      <c r="J52" s="616" t="s">
        <v>8974</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8973</v>
      </c>
      <c r="W52" s="278" t="s">
        <v>8975</v>
      </c>
      <c r="X52" s="278" t="s">
        <v>8976</v>
      </c>
      <c r="Y52" s="278" t="s">
        <v>8977</v>
      </c>
      <c r="Z52" s="280" t="s">
        <v>8978</v>
      </c>
    </row>
    <row r="53" spans="1:27" ht="15.75" customHeight="1">
      <c r="A53" s="583"/>
      <c r="B53" s="620" t="s">
        <v>8979</v>
      </c>
      <c r="C53" s="621" t="s">
        <v>681</v>
      </c>
      <c r="D53" s="622">
        <v>3</v>
      </c>
      <c r="E53" s="381">
        <f>IFERROR(F14,0)</f>
        <v>0</v>
      </c>
      <c r="F53" s="381">
        <f>IFERROR(F30,0)</f>
        <v>11.285</v>
      </c>
      <c r="G53" s="381">
        <f>IFERROR(F45,0)</f>
        <v>1.498</v>
      </c>
      <c r="H53" s="289">
        <f>IFERROR(SUM(E53:G53),0)</f>
        <v>12.782999999999999</v>
      </c>
      <c r="I53" s="642"/>
      <c r="J53" s="623" t="s">
        <v>8980</v>
      </c>
      <c r="K53" s="583"/>
      <c r="L53" s="644"/>
      <c r="M53" s="583"/>
      <c r="N53" s="591"/>
      <c r="O53" s="618"/>
      <c r="P53" s="591"/>
      <c r="T53" s="591"/>
      <c r="V53" s="620" t="s">
        <v>8979</v>
      </c>
      <c r="W53" s="381" t="s">
        <v>8981</v>
      </c>
      <c r="X53" s="381" t="s">
        <v>8960</v>
      </c>
      <c r="Y53" s="381" t="s">
        <v>8982</v>
      </c>
      <c r="Z53" s="289" t="s">
        <v>8983</v>
      </c>
    </row>
    <row r="54" spans="1:27" ht="15.75" customHeight="1">
      <c r="A54" s="583"/>
      <c r="B54" s="620" t="s">
        <v>8984</v>
      </c>
      <c r="C54" s="621" t="s">
        <v>681</v>
      </c>
      <c r="D54" s="622">
        <v>3</v>
      </c>
      <c r="E54" s="287">
        <v>-5.0000000000000001E-3</v>
      </c>
      <c r="F54" s="287">
        <v>-3.746</v>
      </c>
      <c r="G54" s="287">
        <v>-2.286</v>
      </c>
      <c r="H54" s="289">
        <f>IFERROR(SUM(E54:G54),0)</f>
        <v>-6.0369999999999999</v>
      </c>
      <c r="I54" s="642"/>
      <c r="J54" s="623" t="s">
        <v>8985</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8984</v>
      </c>
      <c r="W54" s="287" t="s">
        <v>8986</v>
      </c>
      <c r="X54" s="287" t="s">
        <v>8987</v>
      </c>
      <c r="Y54" s="287" t="s">
        <v>8988</v>
      </c>
      <c r="Z54" s="289" t="s">
        <v>8989</v>
      </c>
    </row>
    <row r="55" spans="1:27" ht="15.75" customHeight="1" thickBot="1">
      <c r="A55" s="583"/>
      <c r="B55" s="626" t="s">
        <v>8990</v>
      </c>
      <c r="C55" s="627" t="s">
        <v>681</v>
      </c>
      <c r="D55" s="628">
        <v>3</v>
      </c>
      <c r="E55" s="298">
        <f>IFERROR(SUM(E52:E54),0)</f>
        <v>0.59599999999999997</v>
      </c>
      <c r="F55" s="298">
        <f>IFERROR(SUM(F52:F54),0)</f>
        <v>268.53399999999999</v>
      </c>
      <c r="G55" s="298">
        <f>IFERROR(SUM(G52:G54),0)</f>
        <v>190.15200000000004</v>
      </c>
      <c r="H55" s="299">
        <f>IFERROR(SUM(E55:G55),0)</f>
        <v>459.28200000000004</v>
      </c>
      <c r="I55" s="642"/>
      <c r="J55" s="629" t="s">
        <v>8991</v>
      </c>
      <c r="K55" s="583"/>
      <c r="L55" s="645"/>
      <c r="M55" s="583"/>
      <c r="N55" s="591"/>
      <c r="O55" s="618"/>
      <c r="P55" s="591"/>
      <c r="T55" s="591"/>
      <c r="V55" s="626" t="s">
        <v>8990</v>
      </c>
      <c r="W55" s="298" t="s">
        <v>8992</v>
      </c>
      <c r="X55" s="298" t="s">
        <v>8993</v>
      </c>
      <c r="Y55" s="298" t="s">
        <v>8994</v>
      </c>
      <c r="Z55" s="299" t="s">
        <v>8995</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10 O14:O15">
    <cfRule type="cellIs" dxfId="490" priority="44" operator="equal">
      <formula>0</formula>
    </cfRule>
  </conditionalFormatting>
  <conditionalFormatting sqref="O17">
    <cfRule type="cellIs" dxfId="489" priority="43" operator="equal">
      <formula>0</formula>
    </cfRule>
  </conditionalFormatting>
  <conditionalFormatting sqref="O18">
    <cfRule type="cellIs" dxfId="488" priority="42" operator="equal">
      <formula>0</formula>
    </cfRule>
  </conditionalFormatting>
  <conditionalFormatting sqref="O26 O30:O31">
    <cfRule type="cellIs" dxfId="487" priority="41" operator="equal">
      <formula>0</formula>
    </cfRule>
  </conditionalFormatting>
  <conditionalFormatting sqref="O8:O9">
    <cfRule type="cellIs" dxfId="486" priority="40" operator="equal">
      <formula>0</formula>
    </cfRule>
  </conditionalFormatting>
  <conditionalFormatting sqref="O39">
    <cfRule type="cellIs" dxfId="485" priority="34" operator="equal">
      <formula>0</formula>
    </cfRule>
  </conditionalFormatting>
  <conditionalFormatting sqref="O48">
    <cfRule type="cellIs" dxfId="484" priority="30" operator="equal">
      <formula>0</formula>
    </cfRule>
  </conditionalFormatting>
  <conditionalFormatting sqref="O46">
    <cfRule type="cellIs" dxfId="483" priority="33" operator="equal">
      <formula>0</formula>
    </cfRule>
  </conditionalFormatting>
  <conditionalFormatting sqref="O41">
    <cfRule type="cellIs" dxfId="482" priority="32" operator="equal">
      <formula>0</formula>
    </cfRule>
  </conditionalFormatting>
  <conditionalFormatting sqref="O45">
    <cfRule type="cellIs" dxfId="481" priority="31" operator="equal">
      <formula>0</formula>
    </cfRule>
  </conditionalFormatting>
  <conditionalFormatting sqref="O34">
    <cfRule type="cellIs" dxfId="480" priority="21" operator="equal">
      <formula>0</formula>
    </cfRule>
  </conditionalFormatting>
  <conditionalFormatting sqref="O53">
    <cfRule type="cellIs" dxfId="479" priority="17" operator="equal">
      <formula>0</formula>
    </cfRule>
  </conditionalFormatting>
  <conditionalFormatting sqref="O33">
    <cfRule type="cellIs" dxfId="478" priority="20" operator="equal">
      <formula>0</formula>
    </cfRule>
  </conditionalFormatting>
  <conditionalFormatting sqref="O24">
    <cfRule type="cellIs" dxfId="477" priority="22" operator="equal">
      <formula>0</formula>
    </cfRule>
  </conditionalFormatting>
  <conditionalFormatting sqref="O49">
    <cfRule type="cellIs" dxfId="476" priority="19" operator="equal">
      <formula>0</formula>
    </cfRule>
  </conditionalFormatting>
  <conditionalFormatting sqref="O50">
    <cfRule type="cellIs" dxfId="475" priority="18" operator="equal">
      <formula>0</formula>
    </cfRule>
  </conditionalFormatting>
  <conditionalFormatting sqref="O9:O10 O14:O15 O17:O18 O24 O26 O30:O31 O33:O34 O39 O41 O45:O46 O48:O51 O53 O55">
    <cfRule type="cellIs" dxfId="474" priority="16" operator="equal">
      <formula>0</formula>
    </cfRule>
  </conditionalFormatting>
  <conditionalFormatting sqref="O56">
    <cfRule type="cellIs" dxfId="473" priority="15" operator="equal">
      <formula>0</formula>
    </cfRule>
  </conditionalFormatting>
  <conditionalFormatting sqref="O51">
    <cfRule type="cellIs" dxfId="472" priority="14" operator="equal">
      <formula>0</formula>
    </cfRule>
  </conditionalFormatting>
  <conditionalFormatting sqref="O11:O13">
    <cfRule type="cellIs" dxfId="471" priority="13" operator="equal">
      <formula>0</formula>
    </cfRule>
  </conditionalFormatting>
  <conditionalFormatting sqref="O16">
    <cfRule type="cellIs" dxfId="470" priority="12" operator="equal">
      <formula>0</formula>
    </cfRule>
  </conditionalFormatting>
  <conditionalFormatting sqref="O19:O23">
    <cfRule type="cellIs" dxfId="469" priority="11" operator="equal">
      <formula>0</formula>
    </cfRule>
  </conditionalFormatting>
  <conditionalFormatting sqref="O25">
    <cfRule type="cellIs" dxfId="468" priority="10" operator="equal">
      <formula>0</formula>
    </cfRule>
  </conditionalFormatting>
  <conditionalFormatting sqref="O27:O29">
    <cfRule type="cellIs" dxfId="467" priority="9" operator="equal">
      <formula>0</formula>
    </cfRule>
  </conditionalFormatting>
  <conditionalFormatting sqref="O32">
    <cfRule type="cellIs" dxfId="466" priority="8" operator="equal">
      <formula>0</formula>
    </cfRule>
  </conditionalFormatting>
  <conditionalFormatting sqref="O35:O38">
    <cfRule type="cellIs" dxfId="465" priority="7" operator="equal">
      <formula>0</formula>
    </cfRule>
  </conditionalFormatting>
  <conditionalFormatting sqref="O40">
    <cfRule type="cellIs" dxfId="464" priority="6" operator="equal">
      <formula>0</formula>
    </cfRule>
  </conditionalFormatting>
  <conditionalFormatting sqref="O42:O44">
    <cfRule type="cellIs" dxfId="463" priority="5" operator="equal">
      <formula>0</formula>
    </cfRule>
  </conditionalFormatting>
  <conditionalFormatting sqref="O47">
    <cfRule type="cellIs" dxfId="462" priority="4" operator="equal">
      <formula>0</formula>
    </cfRule>
  </conditionalFormatting>
  <conditionalFormatting sqref="O52">
    <cfRule type="cellIs" dxfId="461" priority="3" operator="equal">
      <formula>0</formula>
    </cfRule>
  </conditionalFormatting>
  <conditionalFormatting sqref="O54">
    <cfRule type="cellIs" dxfId="460" priority="2" operator="equal">
      <formula>0</formula>
    </cfRule>
  </conditionalFormatting>
  <conditionalFormatting sqref="T56">
    <cfRule type="cellIs" dxfId="459"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tabColor rgb="FF00B050"/>
    <pageSetUpPr fitToPage="1"/>
  </sheetPr>
  <dimension ref="A1:U33"/>
  <sheetViews>
    <sheetView showGridLines="0" topLeftCell="A7" zoomScale="70" zoomScaleNormal="70" zoomScaleSheetLayoutView="100" workbookViewId="0">
      <selection activeCell="C24" activeCellId="2" sqref="C16 D20:D21 C24"/>
    </sheetView>
  </sheetViews>
  <sheetFormatPr defaultColWidth="8.625" defaultRowHeight="14.25"/>
  <cols>
    <col min="1" max="1" width="1.625" style="224" customWidth="1"/>
    <col min="2" max="2" width="47.25" style="224" customWidth="1"/>
    <col min="3" max="3" width="11.75" style="472" bestFit="1" customWidth="1"/>
    <col min="4" max="4" width="15.625" style="472" customWidth="1"/>
    <col min="5" max="5" width="19.625" style="472" customWidth="1"/>
    <col min="6" max="6" width="1.625" style="224" customWidth="1"/>
    <col min="7" max="7" width="9.5" style="224" bestFit="1" customWidth="1"/>
    <col min="8" max="8" width="1.625" style="224" customWidth="1"/>
    <col min="9" max="9" width="29.5" style="224" bestFit="1" customWidth="1"/>
    <col min="10" max="11" width="1.625" style="224" customWidth="1"/>
    <col min="12" max="12" width="20.25" style="224" bestFit="1" customWidth="1"/>
    <col min="13" max="13" width="1.625" style="263" customWidth="1"/>
    <col min="14" max="14" width="20.25" style="263" hidden="1" customWidth="1"/>
    <col min="15" max="16" width="1.625" style="263"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89" customFormat="1" ht="23.25">
      <c r="B1" s="2661" t="s">
        <v>8996</v>
      </c>
      <c r="C1" s="2661"/>
      <c r="D1" s="2787"/>
      <c r="E1" s="2787"/>
      <c r="K1" s="340"/>
      <c r="L1" s="284"/>
      <c r="M1" s="262"/>
      <c r="N1" s="263"/>
      <c r="O1" s="263"/>
      <c r="P1" s="262"/>
      <c r="Q1" s="649"/>
      <c r="R1" s="2661" t="s">
        <v>7220</v>
      </c>
      <c r="S1" s="2661"/>
      <c r="T1" s="2661"/>
      <c r="U1" s="2661"/>
    </row>
    <row r="2" spans="1:21" s="389" customFormat="1" ht="23.25">
      <c r="B2" s="2661" t="str">
        <f>SelectCompany!B4</f>
        <v>Northumbrian Water</v>
      </c>
      <c r="C2" s="2661"/>
      <c r="D2" s="592"/>
      <c r="E2" s="592"/>
      <c r="K2" s="340"/>
      <c r="L2" s="284"/>
      <c r="M2" s="262"/>
      <c r="N2" s="263"/>
      <c r="O2" s="263"/>
      <c r="P2" s="262"/>
      <c r="Q2" s="649"/>
      <c r="R2" s="2661"/>
      <c r="S2" s="2661"/>
      <c r="T2" s="529"/>
      <c r="U2" s="529"/>
    </row>
    <row r="3" spans="1:21" ht="19.5">
      <c r="B3" s="2705" t="s">
        <v>8997</v>
      </c>
      <c r="C3" s="2706"/>
      <c r="D3" s="2706"/>
      <c r="E3" s="2706"/>
      <c r="F3" s="2706"/>
      <c r="G3" s="2706"/>
      <c r="H3" s="2706"/>
      <c r="I3" s="2706"/>
      <c r="K3" s="342"/>
      <c r="L3" s="650" t="s">
        <v>7222</v>
      </c>
      <c r="M3" s="262"/>
      <c r="P3" s="262"/>
      <c r="Q3" s="651"/>
      <c r="R3" s="2788" t="s">
        <v>8997</v>
      </c>
      <c r="S3" s="2789"/>
      <c r="T3" s="2789"/>
      <c r="U3" s="2789"/>
    </row>
    <row r="4" spans="1:21" ht="19.5" thickBot="1">
      <c r="B4" s="480"/>
      <c r="C4" s="596"/>
      <c r="D4" s="596"/>
      <c r="E4" s="596"/>
      <c r="G4" s="261"/>
      <c r="K4" s="345"/>
      <c r="L4" s="284"/>
      <c r="M4" s="262"/>
      <c r="N4" s="2668" t="s">
        <v>7223</v>
      </c>
      <c r="O4" s="2668"/>
      <c r="P4" s="262"/>
      <c r="R4" s="480"/>
      <c r="S4" s="480"/>
      <c r="T4" s="480"/>
      <c r="U4" s="480"/>
    </row>
    <row r="5" spans="1:21" ht="45.75" thickTop="1">
      <c r="A5" s="197"/>
      <c r="B5" s="652" t="s">
        <v>7224</v>
      </c>
      <c r="C5" s="653" t="s">
        <v>7235</v>
      </c>
      <c r="D5" s="653" t="s">
        <v>8998</v>
      </c>
      <c r="E5" s="654" t="s">
        <v>8999</v>
      </c>
      <c r="F5" s="197"/>
      <c r="G5" s="2790" t="s">
        <v>7229</v>
      </c>
      <c r="H5" s="197"/>
      <c r="I5" s="2790" t="s">
        <v>7230</v>
      </c>
      <c r="J5" s="197"/>
      <c r="K5" s="345"/>
      <c r="L5" s="284"/>
      <c r="M5" s="262"/>
      <c r="N5" s="269" t="s">
        <v>7231</v>
      </c>
      <c r="O5" s="270"/>
      <c r="P5" s="262"/>
      <c r="R5" s="652" t="s">
        <v>7224</v>
      </c>
      <c r="S5" s="653" t="s">
        <v>7235</v>
      </c>
      <c r="T5" s="653" t="s">
        <v>8998</v>
      </c>
      <c r="U5" s="654" t="s">
        <v>8999</v>
      </c>
    </row>
    <row r="6" spans="1:21" ht="15">
      <c r="A6" s="197"/>
      <c r="B6" s="429" t="s">
        <v>7225</v>
      </c>
      <c r="C6" s="655" t="s">
        <v>681</v>
      </c>
      <c r="D6" s="655" t="s">
        <v>3222</v>
      </c>
      <c r="E6" s="656" t="s">
        <v>9000</v>
      </c>
      <c r="F6" s="197"/>
      <c r="G6" s="2791"/>
      <c r="H6" s="197"/>
      <c r="I6" s="2791"/>
      <c r="J6" s="197"/>
      <c r="K6" s="345"/>
      <c r="L6" s="284"/>
      <c r="M6" s="262"/>
      <c r="N6" s="269"/>
      <c r="O6" s="270"/>
      <c r="P6" s="262"/>
      <c r="R6" s="429" t="s">
        <v>7225</v>
      </c>
      <c r="S6" s="655" t="s">
        <v>681</v>
      </c>
      <c r="T6" s="655" t="s">
        <v>3222</v>
      </c>
      <c r="U6" s="656" t="s">
        <v>9000</v>
      </c>
    </row>
    <row r="7" spans="1:21" ht="15.75" thickBot="1">
      <c r="A7" s="197"/>
      <c r="B7" s="430" t="s">
        <v>670</v>
      </c>
      <c r="C7" s="657">
        <v>3</v>
      </c>
      <c r="D7" s="657">
        <v>3</v>
      </c>
      <c r="E7" s="658">
        <v>3</v>
      </c>
      <c r="F7" s="197"/>
      <c r="G7" s="2792"/>
      <c r="H7" s="197"/>
      <c r="I7" s="2792"/>
      <c r="J7" s="197"/>
      <c r="K7" s="345"/>
      <c r="L7" s="284"/>
      <c r="M7" s="262"/>
      <c r="N7" s="224"/>
      <c r="O7" s="224"/>
      <c r="P7" s="262"/>
      <c r="R7" s="430" t="s">
        <v>670</v>
      </c>
      <c r="S7" s="657" t="s">
        <v>681</v>
      </c>
      <c r="T7" s="657" t="s">
        <v>3222</v>
      </c>
      <c r="U7" s="658" t="s">
        <v>9000</v>
      </c>
    </row>
    <row r="8" spans="1:21" ht="17.2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9001</v>
      </c>
      <c r="C9" s="309"/>
      <c r="D9" s="660"/>
      <c r="E9" s="660"/>
      <c r="F9" s="197"/>
      <c r="G9" s="260"/>
      <c r="H9" s="197"/>
      <c r="I9" s="197"/>
      <c r="J9" s="197"/>
      <c r="K9" s="345"/>
      <c r="L9" s="284"/>
      <c r="M9" s="262"/>
      <c r="N9" s="270"/>
      <c r="O9" s="270"/>
      <c r="P9" s="262"/>
      <c r="R9" s="393" t="s">
        <v>9001</v>
      </c>
      <c r="S9" s="309"/>
      <c r="T9" s="660"/>
      <c r="U9" s="660"/>
    </row>
    <row r="10" spans="1:21" ht="15.75" customHeight="1" thickTop="1">
      <c r="A10" s="197"/>
      <c r="B10" s="451" t="s">
        <v>9002</v>
      </c>
      <c r="C10" s="1952">
        <f>IFERROR('2I'!E30,0)</f>
        <v>544.64499999999998</v>
      </c>
      <c r="D10" s="662"/>
      <c r="E10" s="663"/>
      <c r="F10" s="197"/>
      <c r="G10" s="281" t="s">
        <v>9003</v>
      </c>
      <c r="H10" s="197"/>
      <c r="I10" s="283"/>
      <c r="J10" s="197"/>
      <c r="K10" s="363"/>
      <c r="L10" s="284"/>
      <c r="M10" s="262"/>
      <c r="N10" s="270"/>
      <c r="O10" s="270"/>
      <c r="P10" s="262"/>
      <c r="R10" s="451" t="s">
        <v>9004</v>
      </c>
      <c r="S10" s="350" t="s">
        <v>9005</v>
      </c>
      <c r="T10" s="662"/>
      <c r="U10" s="663"/>
    </row>
    <row r="11" spans="1:21" ht="15.75" customHeight="1">
      <c r="A11" s="197"/>
      <c r="B11" s="460" t="s">
        <v>9006</v>
      </c>
      <c r="C11" s="1956">
        <f>IFERROR('2I'!E36,0)</f>
        <v>61.295999999999999</v>
      </c>
      <c r="D11" s="664"/>
      <c r="E11" s="665"/>
      <c r="F11" s="197"/>
      <c r="G11" s="290" t="s">
        <v>9007</v>
      </c>
      <c r="H11" s="197"/>
      <c r="I11" s="291"/>
      <c r="J11" s="197"/>
      <c r="K11" s="363"/>
      <c r="L11" s="284"/>
      <c r="M11" s="262"/>
      <c r="N11" s="270"/>
      <c r="O11" s="270"/>
      <c r="P11" s="262"/>
      <c r="R11" s="460" t="s">
        <v>9006</v>
      </c>
      <c r="S11" s="381" t="s">
        <v>9008</v>
      </c>
      <c r="T11" s="664"/>
      <c r="U11" s="665"/>
    </row>
    <row r="12" spans="1:21" ht="15.75" customHeight="1" thickBot="1">
      <c r="A12" s="197"/>
      <c r="B12" s="463" t="s">
        <v>9009</v>
      </c>
      <c r="C12" s="1939">
        <f>IFERROR(C10 + C11,0)</f>
        <v>605.94100000000003</v>
      </c>
      <c r="D12" s="408"/>
      <c r="E12" s="666"/>
      <c r="F12" s="197"/>
      <c r="G12" s="356" t="s">
        <v>9010</v>
      </c>
      <c r="H12" s="197"/>
      <c r="I12" s="302"/>
      <c r="J12" s="197"/>
      <c r="K12" s="363"/>
      <c r="L12" s="284"/>
      <c r="M12" s="262"/>
      <c r="N12" s="270"/>
      <c r="O12" s="270"/>
      <c r="P12" s="262"/>
      <c r="R12" s="463" t="s">
        <v>9009</v>
      </c>
      <c r="S12" s="298" t="s">
        <v>9011</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9006</v>
      </c>
      <c r="C14" s="309"/>
      <c r="D14" s="309"/>
      <c r="E14" s="660"/>
      <c r="F14" s="197"/>
      <c r="G14" s="260"/>
      <c r="H14" s="197"/>
      <c r="I14" s="197"/>
      <c r="J14" s="197"/>
      <c r="K14" s="363"/>
      <c r="L14" s="284"/>
      <c r="M14" s="262"/>
      <c r="N14" s="270"/>
      <c r="O14" s="270"/>
      <c r="P14" s="262"/>
      <c r="R14" s="393" t="s">
        <v>9006</v>
      </c>
      <c r="S14" s="309"/>
      <c r="T14" s="309"/>
      <c r="U14" s="660"/>
    </row>
    <row r="15" spans="1:21" ht="15.75" customHeight="1" thickTop="1">
      <c r="A15" s="197"/>
      <c r="B15" s="451" t="s">
        <v>9012</v>
      </c>
      <c r="C15" s="278">
        <v>61.295999999999999</v>
      </c>
      <c r="D15" s="662"/>
      <c r="E15" s="663"/>
      <c r="F15" s="197"/>
      <c r="G15" s="281" t="s">
        <v>9013</v>
      </c>
      <c r="H15" s="197"/>
      <c r="I15" s="283"/>
      <c r="J15" s="197"/>
      <c r="K15" s="363"/>
      <c r="L15" s="284">
        <f>IF( SUM( N15:O15 ) = 0, 0, $N$5 )</f>
        <v>0</v>
      </c>
      <c r="M15" s="262"/>
      <c r="N15" s="285">
        <f t="shared" ref="N15:N16" si="0" xml:space="preserve"> IF( ISNUMBER(C15 ), 0, 1 )</f>
        <v>0</v>
      </c>
      <c r="O15" s="270"/>
      <c r="P15" s="262"/>
      <c r="R15" s="451" t="s">
        <v>9012</v>
      </c>
      <c r="S15" s="278" t="s">
        <v>9014</v>
      </c>
      <c r="T15" s="662"/>
      <c r="U15" s="663"/>
    </row>
    <row r="16" spans="1:21" ht="15.75" customHeight="1">
      <c r="A16" s="197"/>
      <c r="B16" s="460" t="s">
        <v>9015</v>
      </c>
      <c r="C16" s="287">
        <v>0</v>
      </c>
      <c r="D16" s="664"/>
      <c r="E16" s="665"/>
      <c r="F16" s="197"/>
      <c r="G16" s="290" t="s">
        <v>9016</v>
      </c>
      <c r="H16" s="197"/>
      <c r="I16" s="291"/>
      <c r="J16" s="197"/>
      <c r="K16" s="363"/>
      <c r="L16" s="284">
        <f>IF( SUM( N16:O16 ) = 0, 0, $N$5 )</f>
        <v>0</v>
      </c>
      <c r="M16" s="262"/>
      <c r="N16" s="285">
        <f t="shared" si="0"/>
        <v>0</v>
      </c>
      <c r="O16" s="270"/>
      <c r="P16" s="262"/>
      <c r="R16" s="460" t="s">
        <v>9015</v>
      </c>
      <c r="S16" s="287" t="s">
        <v>9017</v>
      </c>
      <c r="T16" s="664"/>
      <c r="U16" s="665"/>
    </row>
    <row r="17" spans="1:21" ht="15.75" customHeight="1" thickBot="1">
      <c r="A17" s="197"/>
      <c r="B17" s="463" t="s">
        <v>9018</v>
      </c>
      <c r="C17" s="1939">
        <f>IFERROR(C15+C16,0)</f>
        <v>61.295999999999999</v>
      </c>
      <c r="D17" s="408"/>
      <c r="E17" s="666"/>
      <c r="F17" s="197"/>
      <c r="G17" s="356" t="s">
        <v>9019</v>
      </c>
      <c r="H17" s="197"/>
      <c r="I17" s="302"/>
      <c r="J17" s="197"/>
      <c r="K17" s="363"/>
      <c r="L17" s="284"/>
      <c r="M17" s="262"/>
      <c r="N17" s="270"/>
      <c r="O17" s="270"/>
      <c r="P17" s="262"/>
      <c r="R17" s="463" t="s">
        <v>9018</v>
      </c>
      <c r="S17" s="298" t="s">
        <v>9020</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9021</v>
      </c>
      <c r="C19" s="366"/>
      <c r="D19" s="366"/>
      <c r="E19" s="366"/>
      <c r="F19" s="197"/>
      <c r="G19" s="282"/>
      <c r="H19" s="197"/>
      <c r="I19" s="197"/>
      <c r="J19" s="197"/>
      <c r="K19" s="363"/>
      <c r="L19" s="284"/>
      <c r="M19" s="262"/>
      <c r="N19" s="270"/>
      <c r="O19" s="270"/>
      <c r="P19" s="262"/>
      <c r="R19" s="393" t="s">
        <v>9021</v>
      </c>
      <c r="S19" s="366"/>
      <c r="T19" s="366"/>
      <c r="U19" s="366"/>
    </row>
    <row r="20" spans="1:21" ht="15.75" customHeight="1" thickTop="1">
      <c r="A20" s="197"/>
      <c r="B20" s="451" t="s">
        <v>9022</v>
      </c>
      <c r="C20" s="667"/>
      <c r="D20" s="278">
        <v>1971.7070000000001</v>
      </c>
      <c r="E20" s="663"/>
      <c r="F20" s="197"/>
      <c r="G20" s="281" t="s">
        <v>9023</v>
      </c>
      <c r="H20" s="197"/>
      <c r="I20" s="283"/>
      <c r="J20" s="197"/>
      <c r="K20" s="363"/>
      <c r="L20" s="284">
        <f t="shared" ref="L20:L21" si="1">IF( SUM( N20:O20 ) = 0, 0, $N$5 )</f>
        <v>0</v>
      </c>
      <c r="M20" s="262"/>
      <c r="N20" s="270"/>
      <c r="O20" s="285">
        <f t="shared" ref="O20:O21" si="2" xml:space="preserve"> IF( ISNUMBER(D20 ), 0, 1 )</f>
        <v>0</v>
      </c>
      <c r="P20" s="262"/>
      <c r="R20" s="451" t="s">
        <v>9022</v>
      </c>
      <c r="S20" s="667"/>
      <c r="T20" s="278" t="s">
        <v>9024</v>
      </c>
      <c r="U20" s="663"/>
    </row>
    <row r="21" spans="1:21" ht="15.75" customHeight="1" thickBot="1">
      <c r="A21" s="197"/>
      <c r="B21" s="463" t="s">
        <v>9025</v>
      </c>
      <c r="C21" s="668"/>
      <c r="D21" s="297">
        <v>1961.3530000000001</v>
      </c>
      <c r="E21" s="666"/>
      <c r="F21" s="197"/>
      <c r="G21" s="356" t="s">
        <v>9026</v>
      </c>
      <c r="H21" s="197"/>
      <c r="I21" s="302"/>
      <c r="J21" s="197"/>
      <c r="K21" s="363"/>
      <c r="L21" s="284">
        <f t="shared" si="1"/>
        <v>0</v>
      </c>
      <c r="M21" s="262"/>
      <c r="N21" s="270"/>
      <c r="O21" s="285">
        <f t="shared" si="2"/>
        <v>0</v>
      </c>
      <c r="P21" s="262"/>
      <c r="R21" s="463" t="s">
        <v>9025</v>
      </c>
      <c r="S21" s="668"/>
      <c r="T21" s="297" t="s">
        <v>9027</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9028</v>
      </c>
      <c r="C23" s="309"/>
      <c r="D23" s="309"/>
      <c r="E23" s="660"/>
      <c r="F23" s="197"/>
      <c r="G23" s="260"/>
      <c r="H23" s="197"/>
      <c r="I23" s="197"/>
      <c r="J23" s="197"/>
      <c r="K23" s="363"/>
      <c r="L23" s="284"/>
      <c r="M23" s="262"/>
      <c r="N23" s="270"/>
      <c r="O23" s="270"/>
      <c r="P23" s="262"/>
      <c r="R23" s="393" t="s">
        <v>9028</v>
      </c>
      <c r="S23" s="309"/>
      <c r="T23" s="309"/>
      <c r="U23" s="660"/>
    </row>
    <row r="24" spans="1:21" ht="15.75" customHeight="1" thickTop="1">
      <c r="A24" s="197"/>
      <c r="B24" s="451" t="s">
        <v>9029</v>
      </c>
      <c r="C24" s="278">
        <v>62.366</v>
      </c>
      <c r="D24" s="662"/>
      <c r="E24" s="663"/>
      <c r="F24" s="197"/>
      <c r="G24" s="281" t="s">
        <v>9030</v>
      </c>
      <c r="H24" s="197"/>
      <c r="I24" s="283"/>
      <c r="J24" s="197"/>
      <c r="K24" s="363"/>
      <c r="L24" s="284">
        <f>IF( SUM( N24:O24 ) = 0, 0, $N$5 )</f>
        <v>0</v>
      </c>
      <c r="M24" s="262"/>
      <c r="N24" s="285">
        <f t="shared" ref="N24" si="3" xml:space="preserve"> IF( ISNUMBER(C24 ), 0, 1 )</f>
        <v>0</v>
      </c>
      <c r="O24" s="270"/>
      <c r="P24" s="262"/>
      <c r="R24" s="451" t="s">
        <v>9029</v>
      </c>
      <c r="S24" s="278" t="s">
        <v>9031</v>
      </c>
      <c r="T24" s="662"/>
      <c r="U24" s="663"/>
    </row>
    <row r="25" spans="1:21" ht="15.75" customHeight="1" thickBot="1">
      <c r="A25" s="197"/>
      <c r="B25" s="463" t="s">
        <v>9032</v>
      </c>
      <c r="C25" s="1939">
        <f>IFERROR(C24 - C17,0)</f>
        <v>1.0700000000000003</v>
      </c>
      <c r="D25" s="408"/>
      <c r="E25" s="666"/>
      <c r="F25" s="197"/>
      <c r="G25" s="356" t="s">
        <v>9033</v>
      </c>
      <c r="H25" s="197"/>
      <c r="I25" s="302"/>
      <c r="J25" s="197"/>
      <c r="K25" s="363"/>
      <c r="L25" s="284"/>
      <c r="M25" s="262"/>
      <c r="N25" s="270"/>
      <c r="O25" s="270"/>
      <c r="P25" s="262"/>
      <c r="R25" s="463" t="s">
        <v>9032</v>
      </c>
      <c r="S25" s="669" t="s">
        <v>9034</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9035</v>
      </c>
      <c r="C27" s="309"/>
      <c r="D27" s="309"/>
      <c r="E27" s="660"/>
      <c r="F27" s="197"/>
      <c r="G27" s="260"/>
      <c r="H27" s="197"/>
      <c r="I27" s="197"/>
      <c r="J27" s="197"/>
      <c r="K27" s="363"/>
      <c r="L27" s="284"/>
      <c r="M27" s="262"/>
      <c r="N27" s="270"/>
      <c r="O27" s="270"/>
      <c r="P27" s="262"/>
      <c r="R27" s="393" t="s">
        <v>9035</v>
      </c>
      <c r="S27" s="309"/>
      <c r="T27" s="309"/>
      <c r="U27" s="660"/>
    </row>
    <row r="28" spans="1:21" ht="15.75" customHeight="1" thickTop="1" thickBot="1">
      <c r="A28" s="197"/>
      <c r="B28" s="469" t="s">
        <v>9036</v>
      </c>
      <c r="C28" s="474"/>
      <c r="D28" s="474"/>
      <c r="E28" s="1974">
        <f>IFERROR(IF(OR(C17=0, D20=0), 0, C17/(D20/1000)),0)</f>
        <v>31.087783326833041</v>
      </c>
      <c r="F28" s="197"/>
      <c r="G28" s="374" t="s">
        <v>9037</v>
      </c>
      <c r="H28" s="197"/>
      <c r="I28" s="375"/>
      <c r="J28" s="197"/>
      <c r="K28" s="363"/>
      <c r="L28" s="284"/>
      <c r="M28" s="262"/>
      <c r="N28" s="270"/>
      <c r="O28" s="270"/>
      <c r="P28" s="262"/>
      <c r="R28" s="469" t="s">
        <v>9038</v>
      </c>
      <c r="S28" s="474"/>
      <c r="T28" s="474"/>
      <c r="U28" s="471" t="s">
        <v>9039</v>
      </c>
    </row>
    <row r="29" spans="1:21" ht="15.75"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theme="0" tint="-0.499984740745262"/>
    <pageSetUpPr fitToPage="1"/>
  </sheetPr>
  <dimension ref="A1:AR41"/>
  <sheetViews>
    <sheetView showGridLines="0" zoomScale="50" zoomScaleNormal="50" zoomScaleSheetLayoutView="100" workbookViewId="0">
      <selection activeCell="A24" sqref="A24"/>
    </sheetView>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63" customWidth="1"/>
    <col min="21" max="21" width="20.6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625" style="263"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89" customFormat="1" ht="23.25">
      <c r="A1" s="389" t="s">
        <v>7211</v>
      </c>
      <c r="B1" s="2661" t="s">
        <v>9040</v>
      </c>
      <c r="C1" s="2661"/>
      <c r="D1" s="2661"/>
      <c r="E1" s="2661"/>
      <c r="F1" s="2661"/>
      <c r="G1" s="2661"/>
      <c r="H1" s="2661"/>
      <c r="I1" s="2661"/>
      <c r="J1" s="561"/>
      <c r="K1" s="561"/>
      <c r="L1" s="561"/>
      <c r="M1" s="561"/>
      <c r="R1" s="340"/>
      <c r="S1" s="284"/>
      <c r="T1" s="361"/>
      <c r="U1" s="263"/>
      <c r="V1" s="263"/>
      <c r="W1" s="263"/>
      <c r="X1" s="263"/>
      <c r="Y1" s="263"/>
      <c r="Z1" s="263"/>
      <c r="AA1" s="263"/>
      <c r="AB1" s="263"/>
      <c r="AC1" s="263"/>
      <c r="AD1" s="263"/>
      <c r="AE1" s="361"/>
      <c r="AG1" s="2661" t="s">
        <v>7220</v>
      </c>
      <c r="AH1" s="2661"/>
      <c r="AI1" s="2661"/>
      <c r="AJ1" s="2661"/>
      <c r="AK1" s="2661"/>
      <c r="AL1" s="2661"/>
      <c r="AM1" s="2661"/>
      <c r="AN1" s="2661"/>
      <c r="AO1" s="2661"/>
      <c r="AP1" s="2661"/>
      <c r="AQ1" s="2661"/>
    </row>
    <row r="2" spans="1:44" s="389" customFormat="1" ht="23.25">
      <c r="B2" s="2661" t="str">
        <f>SelectCompany!B4</f>
        <v>Northumbrian Water</v>
      </c>
      <c r="C2" s="2661"/>
      <c r="D2" s="2661"/>
      <c r="E2" s="2661"/>
      <c r="F2" s="2661"/>
      <c r="G2" s="529"/>
      <c r="H2" s="529"/>
      <c r="I2" s="529"/>
      <c r="J2" s="529"/>
      <c r="K2" s="529"/>
      <c r="L2" s="529"/>
      <c r="M2" s="529"/>
      <c r="R2" s="340"/>
      <c r="S2" s="284"/>
      <c r="T2" s="361"/>
      <c r="U2" s="263"/>
      <c r="V2" s="263"/>
      <c r="W2" s="263"/>
      <c r="X2" s="263"/>
      <c r="Y2" s="263"/>
      <c r="Z2" s="263"/>
      <c r="AA2" s="263"/>
      <c r="AB2" s="263"/>
      <c r="AC2" s="263"/>
      <c r="AD2" s="263"/>
      <c r="AE2" s="361"/>
      <c r="AG2" s="2661"/>
      <c r="AH2" s="2661"/>
      <c r="AI2" s="2661"/>
      <c r="AJ2" s="2661"/>
      <c r="AK2" s="2661"/>
      <c r="AL2" s="529"/>
      <c r="AM2" s="529"/>
      <c r="AN2" s="529"/>
      <c r="AO2" s="529"/>
      <c r="AP2" s="529"/>
      <c r="AQ2" s="529"/>
    </row>
    <row r="3" spans="1:44" ht="19.5">
      <c r="B3" s="2705" t="s">
        <v>9041</v>
      </c>
      <c r="C3" s="2706"/>
      <c r="D3" s="2706"/>
      <c r="E3" s="2706"/>
      <c r="F3" s="2706"/>
      <c r="G3" s="2706"/>
      <c r="H3" s="2706"/>
      <c r="I3" s="2706"/>
      <c r="J3" s="2706"/>
      <c r="K3" s="2706"/>
      <c r="L3" s="2706"/>
      <c r="M3" s="2706"/>
      <c r="N3" s="2706"/>
      <c r="O3" s="2706"/>
      <c r="P3" s="2706"/>
      <c r="R3" s="342"/>
      <c r="S3" s="425" t="s">
        <v>7222</v>
      </c>
      <c r="T3" s="361"/>
      <c r="U3" s="2668" t="s">
        <v>7223</v>
      </c>
      <c r="V3" s="2668"/>
      <c r="W3" s="2668"/>
      <c r="X3" s="2668"/>
      <c r="Y3" s="2668"/>
      <c r="Z3" s="2668"/>
      <c r="AA3" s="2668"/>
      <c r="AB3" s="2668"/>
      <c r="AC3" s="2668"/>
      <c r="AD3" s="2668"/>
      <c r="AE3" s="361"/>
      <c r="AG3" s="2707" t="s">
        <v>9041</v>
      </c>
      <c r="AH3" s="2708"/>
      <c r="AI3" s="2708"/>
      <c r="AJ3" s="2708"/>
      <c r="AK3" s="2708"/>
      <c r="AL3" s="2708"/>
      <c r="AM3" s="2708"/>
      <c r="AN3" s="2708"/>
      <c r="AO3" s="2708"/>
      <c r="AP3" s="2708"/>
      <c r="AQ3" s="2708"/>
      <c r="AR3" s="260"/>
    </row>
    <row r="4" spans="1:44" ht="16.5" thickBot="1">
      <c r="B4" s="389"/>
      <c r="C4" s="389"/>
      <c r="D4" s="389"/>
      <c r="E4" s="389"/>
      <c r="F4" s="389"/>
      <c r="G4" s="389"/>
      <c r="H4" s="389"/>
      <c r="I4" s="389"/>
      <c r="J4" s="389"/>
      <c r="K4" s="389"/>
      <c r="L4" s="389"/>
      <c r="M4" s="389"/>
      <c r="N4" s="389"/>
      <c r="R4" s="345"/>
      <c r="S4" s="284"/>
      <c r="T4" s="361"/>
      <c r="U4" s="269" t="s">
        <v>7231</v>
      </c>
      <c r="Z4" s="224"/>
      <c r="AA4" s="269"/>
      <c r="AB4" s="269"/>
      <c r="AC4" s="270"/>
      <c r="AD4" s="270"/>
      <c r="AE4" s="361"/>
      <c r="AG4" s="389"/>
      <c r="AH4" s="389"/>
      <c r="AI4" s="389"/>
      <c r="AJ4" s="389"/>
      <c r="AK4" s="389"/>
      <c r="AL4" s="389"/>
      <c r="AM4" s="389"/>
      <c r="AN4" s="389"/>
      <c r="AO4" s="389"/>
      <c r="AP4" s="389"/>
      <c r="AQ4" s="389"/>
      <c r="AR4" s="260"/>
    </row>
    <row r="5" spans="1:44" ht="75.75" thickTop="1">
      <c r="A5" s="197"/>
      <c r="B5" s="652" t="s">
        <v>7224</v>
      </c>
      <c r="C5" s="670" t="s">
        <v>9042</v>
      </c>
      <c r="D5" s="670" t="s">
        <v>9006</v>
      </c>
      <c r="E5" s="670" t="s">
        <v>9043</v>
      </c>
      <c r="F5" s="670" t="s">
        <v>9044</v>
      </c>
      <c r="G5" s="670" t="s">
        <v>9045</v>
      </c>
      <c r="H5" s="670" t="s">
        <v>9046</v>
      </c>
      <c r="I5" s="670" t="s">
        <v>9047</v>
      </c>
      <c r="J5" s="670" t="s">
        <v>9048</v>
      </c>
      <c r="K5" s="670" t="s">
        <v>9049</v>
      </c>
      <c r="L5" s="671" t="s">
        <v>9050</v>
      </c>
      <c r="M5" s="197"/>
      <c r="N5" s="2790" t="s">
        <v>7229</v>
      </c>
      <c r="O5" s="197"/>
      <c r="P5" s="2790" t="s">
        <v>7230</v>
      </c>
      <c r="Q5" s="197"/>
      <c r="R5" s="345"/>
      <c r="S5" s="284"/>
      <c r="T5" s="361"/>
      <c r="Z5" s="224"/>
      <c r="AA5" s="224"/>
      <c r="AB5" s="224"/>
      <c r="AC5" s="224"/>
      <c r="AD5" s="224"/>
      <c r="AE5" s="361"/>
      <c r="AG5" s="652" t="s">
        <v>7224</v>
      </c>
      <c r="AH5" s="670" t="s">
        <v>9042</v>
      </c>
      <c r="AI5" s="670" t="s">
        <v>9006</v>
      </c>
      <c r="AJ5" s="670" t="s">
        <v>9043</v>
      </c>
      <c r="AK5" s="670" t="s">
        <v>9044</v>
      </c>
      <c r="AL5" s="670" t="s">
        <v>9045</v>
      </c>
      <c r="AM5" s="670" t="s">
        <v>9046</v>
      </c>
      <c r="AN5" s="670" t="s">
        <v>9047</v>
      </c>
      <c r="AO5" s="670" t="s">
        <v>9048</v>
      </c>
      <c r="AP5" s="670" t="s">
        <v>9049</v>
      </c>
      <c r="AQ5" s="671" t="s">
        <v>9050</v>
      </c>
    </row>
    <row r="6" spans="1:44" ht="15">
      <c r="A6" s="197"/>
      <c r="B6" s="429" t="s">
        <v>7225</v>
      </c>
      <c r="C6" s="427" t="s">
        <v>681</v>
      </c>
      <c r="D6" s="427" t="s">
        <v>681</v>
      </c>
      <c r="E6" s="427" t="s">
        <v>681</v>
      </c>
      <c r="F6" s="427" t="s">
        <v>3222</v>
      </c>
      <c r="G6" s="427" t="s">
        <v>9000</v>
      </c>
      <c r="H6" s="427" t="s">
        <v>9000</v>
      </c>
      <c r="I6" s="427" t="s">
        <v>9000</v>
      </c>
      <c r="J6" s="427" t="s">
        <v>9000</v>
      </c>
      <c r="K6" s="427" t="s">
        <v>3137</v>
      </c>
      <c r="L6" s="428" t="s">
        <v>9000</v>
      </c>
      <c r="M6" s="197"/>
      <c r="N6" s="2791"/>
      <c r="O6" s="197"/>
      <c r="P6" s="2791"/>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4" ht="15.75" thickBot="1">
      <c r="A7" s="197"/>
      <c r="B7" s="430" t="s">
        <v>670</v>
      </c>
      <c r="C7" s="271">
        <v>3</v>
      </c>
      <c r="D7" s="271">
        <v>3</v>
      </c>
      <c r="E7" s="271">
        <v>3</v>
      </c>
      <c r="F7" s="271">
        <v>3</v>
      </c>
      <c r="G7" s="271">
        <v>3</v>
      </c>
      <c r="H7" s="271">
        <v>3</v>
      </c>
      <c r="I7" s="271">
        <v>3</v>
      </c>
      <c r="J7" s="271">
        <v>3</v>
      </c>
      <c r="K7" s="271">
        <v>3</v>
      </c>
      <c r="L7" s="672">
        <v>3</v>
      </c>
      <c r="M7" s="197"/>
      <c r="N7" s="2792"/>
      <c r="O7" s="197"/>
      <c r="P7" s="2792"/>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9051</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9051</v>
      </c>
      <c r="AH9" s="482"/>
      <c r="AI9" s="482"/>
      <c r="AJ9" s="673"/>
      <c r="AK9" s="106"/>
      <c r="AL9" s="106"/>
      <c r="AM9" s="674"/>
      <c r="AN9" s="674"/>
      <c r="AO9" s="674"/>
      <c r="AP9" s="674"/>
      <c r="AQ9" s="674"/>
    </row>
    <row r="10" spans="1:44" ht="15.75" customHeight="1" thickTop="1">
      <c r="A10" s="197"/>
      <c r="B10" s="451" t="s">
        <v>9052</v>
      </c>
      <c r="C10" s="278"/>
      <c r="D10" s="278"/>
      <c r="E10" s="2231">
        <f>IFERROR(SUM(C10:D10),0)</f>
        <v>0</v>
      </c>
      <c r="F10" s="278"/>
      <c r="G10" s="2231">
        <f>IFERROR(IF(OR(D10=0,F10=0),0,D10/(F10/1000)),0)</f>
        <v>0</v>
      </c>
      <c r="H10" s="278"/>
      <c r="I10" s="278"/>
      <c r="J10" s="2231">
        <f>IFERROR(H10 + I10,0)</f>
        <v>0</v>
      </c>
      <c r="K10" s="278"/>
      <c r="L10" s="1276"/>
      <c r="M10" s="197"/>
      <c r="N10" s="281" t="s">
        <v>9053</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9052</v>
      </c>
      <c r="AH10" s="278" t="s">
        <v>9054</v>
      </c>
      <c r="AI10" s="278" t="s">
        <v>9055</v>
      </c>
      <c r="AJ10" s="675" t="s">
        <v>9056</v>
      </c>
      <c r="AK10" s="278" t="s">
        <v>9057</v>
      </c>
      <c r="AL10" s="675" t="s">
        <v>9058</v>
      </c>
      <c r="AM10" s="278" t="s">
        <v>9059</v>
      </c>
      <c r="AN10" s="278" t="s">
        <v>9060</v>
      </c>
      <c r="AO10" s="675" t="s">
        <v>9061</v>
      </c>
      <c r="AP10" s="278" t="s">
        <v>9062</v>
      </c>
      <c r="AQ10" s="676" t="s">
        <v>9063</v>
      </c>
    </row>
    <row r="11" spans="1:44" ht="15.75" customHeight="1">
      <c r="A11" s="197"/>
      <c r="B11" s="460" t="s">
        <v>9064</v>
      </c>
      <c r="C11" s="287"/>
      <c r="D11" s="287"/>
      <c r="E11" s="2232">
        <f>IFERROR(SUM(C11:D11),0)</f>
        <v>0</v>
      </c>
      <c r="F11" s="287"/>
      <c r="G11" s="2232">
        <f>IFERROR(IF(OR(D11=0,F11=0),0,D11/(F11/1100)),0)</f>
        <v>0</v>
      </c>
      <c r="H11" s="287"/>
      <c r="I11" s="287"/>
      <c r="J11" s="2232">
        <f>IFERROR(H11 + I11,0)</f>
        <v>0</v>
      </c>
      <c r="K11" s="287"/>
      <c r="L11" s="1266"/>
      <c r="M11" s="197"/>
      <c r="N11" s="290" t="s">
        <v>9065</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9064</v>
      </c>
      <c r="AH11" s="287" t="s">
        <v>9066</v>
      </c>
      <c r="AI11" s="287" t="s">
        <v>9067</v>
      </c>
      <c r="AJ11" s="677" t="s">
        <v>9068</v>
      </c>
      <c r="AK11" s="287" t="s">
        <v>9069</v>
      </c>
      <c r="AL11" s="677" t="s">
        <v>9070</v>
      </c>
      <c r="AM11" s="287" t="s">
        <v>9071</v>
      </c>
      <c r="AN11" s="287" t="s">
        <v>9072</v>
      </c>
      <c r="AO11" s="677" t="s">
        <v>9073</v>
      </c>
      <c r="AP11" s="287" t="s">
        <v>9074</v>
      </c>
      <c r="AQ11" s="678" t="s">
        <v>9075</v>
      </c>
    </row>
    <row r="12" spans="1:44" ht="15.75" customHeight="1" thickBot="1">
      <c r="A12" s="197"/>
      <c r="B12" s="463" t="s">
        <v>9076</v>
      </c>
      <c r="C12" s="2233">
        <f t="shared" ref="C12:L12" si="7">IFERROR(SUM(C10:C11),0)</f>
        <v>0</v>
      </c>
      <c r="D12" s="2233">
        <f t="shared" si="7"/>
        <v>0</v>
      </c>
      <c r="E12" s="2233">
        <f t="shared" si="7"/>
        <v>0</v>
      </c>
      <c r="F12" s="2233">
        <f t="shared" si="7"/>
        <v>0</v>
      </c>
      <c r="G12" s="2233">
        <f t="shared" si="7"/>
        <v>0</v>
      </c>
      <c r="H12" s="2233">
        <f t="shared" si="7"/>
        <v>0</v>
      </c>
      <c r="I12" s="2233">
        <f t="shared" si="7"/>
        <v>0</v>
      </c>
      <c r="J12" s="2233">
        <f t="shared" si="7"/>
        <v>0</v>
      </c>
      <c r="K12" s="2234">
        <f t="shared" si="7"/>
        <v>0</v>
      </c>
      <c r="L12" s="2235">
        <f t="shared" si="7"/>
        <v>0</v>
      </c>
      <c r="M12" s="197"/>
      <c r="N12" s="356" t="s">
        <v>9077</v>
      </c>
      <c r="O12" s="197"/>
      <c r="P12" s="302"/>
      <c r="Q12" s="197"/>
      <c r="R12" s="363"/>
      <c r="S12" s="284"/>
      <c r="T12" s="361"/>
      <c r="U12" s="270"/>
      <c r="V12" s="270"/>
      <c r="W12" s="270"/>
      <c r="X12" s="270"/>
      <c r="Y12" s="270"/>
      <c r="Z12" s="270"/>
      <c r="AA12" s="270"/>
      <c r="AB12" s="270"/>
      <c r="AC12" s="270"/>
      <c r="AD12" s="270"/>
      <c r="AE12" s="361"/>
      <c r="AG12" s="463" t="s">
        <v>9076</v>
      </c>
      <c r="AH12" s="679" t="s">
        <v>9078</v>
      </c>
      <c r="AI12" s="679" t="s">
        <v>9079</v>
      </c>
      <c r="AJ12" s="679" t="s">
        <v>9080</v>
      </c>
      <c r="AK12" s="679" t="s">
        <v>9081</v>
      </c>
      <c r="AL12" s="679" t="s">
        <v>9082</v>
      </c>
      <c r="AM12" s="679" t="s">
        <v>9083</v>
      </c>
      <c r="AN12" s="679" t="s">
        <v>9084</v>
      </c>
      <c r="AO12" s="679" t="s">
        <v>9085</v>
      </c>
      <c r="AP12" s="680" t="s">
        <v>9086</v>
      </c>
      <c r="AQ12" s="417" t="s">
        <v>9087</v>
      </c>
    </row>
    <row r="13" spans="1:44" ht="15.75" customHeight="1" thickTop="1" thickBot="1">
      <c r="A13" s="197"/>
      <c r="B13" s="580"/>
      <c r="C13" s="2112"/>
      <c r="D13" s="2112"/>
      <c r="E13" s="2112"/>
      <c r="F13" s="2112"/>
      <c r="G13" s="2112"/>
      <c r="H13" s="2236"/>
      <c r="I13" s="2236"/>
      <c r="J13" s="2236"/>
      <c r="K13" s="2236"/>
      <c r="L13" s="2236"/>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9088</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9088</v>
      </c>
      <c r="AH14" s="106"/>
      <c r="AI14" s="106"/>
      <c r="AJ14" s="106"/>
      <c r="AK14" s="106"/>
      <c r="AL14" s="106"/>
      <c r="AM14" s="106"/>
      <c r="AN14" s="106"/>
      <c r="AO14" s="106"/>
      <c r="AP14" s="106"/>
      <c r="AQ14" s="106"/>
    </row>
    <row r="15" spans="1:44" ht="15.75" customHeight="1" thickTop="1" thickBot="1">
      <c r="A15" s="197"/>
      <c r="B15" s="420" t="s">
        <v>9052</v>
      </c>
      <c r="C15" s="421"/>
      <c r="D15" s="421"/>
      <c r="E15" s="1132">
        <f>IFERROR(SUM(C15:D15),0)</f>
        <v>0</v>
      </c>
      <c r="F15" s="421"/>
      <c r="G15" s="1132">
        <f>IFERROR(IF(OR(E15=0,F15=0),0,E15/(F15/1000)),0)</f>
        <v>0</v>
      </c>
      <c r="H15" s="421"/>
      <c r="I15" s="421"/>
      <c r="J15" s="2045"/>
      <c r="K15" s="421"/>
      <c r="L15" s="422">
        <f>IFERROR( J15 / F15,0)</f>
        <v>0</v>
      </c>
      <c r="M15" s="197"/>
      <c r="N15" s="374" t="s">
        <v>9089</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9052</v>
      </c>
      <c r="AH15" s="421" t="s">
        <v>9090</v>
      </c>
      <c r="AI15" s="421" t="s">
        <v>9091</v>
      </c>
      <c r="AJ15" s="372" t="s">
        <v>9092</v>
      </c>
      <c r="AK15" s="421" t="s">
        <v>9093</v>
      </c>
      <c r="AL15" s="372" t="s">
        <v>9094</v>
      </c>
      <c r="AM15" s="421" t="s">
        <v>9095</v>
      </c>
      <c r="AN15" s="421" t="s">
        <v>9096</v>
      </c>
      <c r="AO15" s="1429" t="s">
        <v>9097</v>
      </c>
      <c r="AP15" s="421" t="s">
        <v>9098</v>
      </c>
      <c r="AQ15" s="422" t="s">
        <v>9099</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9100</v>
      </c>
      <c r="C17" s="1132">
        <f>IFERROR(C12+C15,0)</f>
        <v>0</v>
      </c>
      <c r="D17" s="1132">
        <f>IFERROR(D12+D15,0)</f>
        <v>0</v>
      </c>
      <c r="E17" s="1132">
        <f>IFERROR(E12+E15,0)</f>
        <v>0</v>
      </c>
      <c r="F17" s="1132">
        <f>IFERROR(F12+F15,0)</f>
        <v>0</v>
      </c>
      <c r="G17" s="1132">
        <f>IFERROR(IF(OR(E17=0,F17=0),0,E17/(F17/1000)),0)</f>
        <v>0</v>
      </c>
      <c r="H17" s="1132">
        <f>IFERROR(H12+H15,0)</f>
        <v>0</v>
      </c>
      <c r="I17" s="1132">
        <f>IFERROR(I12+I15,0)</f>
        <v>0</v>
      </c>
      <c r="J17" s="1132">
        <f>IFERROR(H17-I17,0)</f>
        <v>0</v>
      </c>
      <c r="K17" s="2237">
        <f>IFERROR(K12+K15,0)</f>
        <v>0</v>
      </c>
      <c r="L17" s="682">
        <f>IFERROR(L12 + L15,0)</f>
        <v>0</v>
      </c>
      <c r="M17" s="197"/>
      <c r="N17" s="374" t="s">
        <v>9101</v>
      </c>
      <c r="O17" s="197"/>
      <c r="P17" s="375"/>
      <c r="Q17" s="197"/>
      <c r="R17" s="363"/>
      <c r="S17" s="284"/>
      <c r="T17" s="361"/>
      <c r="U17" s="270"/>
      <c r="V17" s="270"/>
      <c r="W17" s="270"/>
      <c r="X17" s="270"/>
      <c r="Y17" s="270"/>
      <c r="Z17" s="270"/>
      <c r="AA17" s="270"/>
      <c r="AB17" s="270"/>
      <c r="AC17" s="270"/>
      <c r="AD17" s="270"/>
      <c r="AE17" s="361"/>
      <c r="AG17" s="420" t="s">
        <v>9100</v>
      </c>
      <c r="AH17" s="372" t="s">
        <v>9102</v>
      </c>
      <c r="AI17" s="372" t="s">
        <v>9103</v>
      </c>
      <c r="AJ17" s="372" t="s">
        <v>9104</v>
      </c>
      <c r="AK17" s="372" t="s">
        <v>9105</v>
      </c>
      <c r="AL17" s="372" t="s">
        <v>9106</v>
      </c>
      <c r="AM17" s="372" t="s">
        <v>9107</v>
      </c>
      <c r="AN17" s="372" t="s">
        <v>9108</v>
      </c>
      <c r="AO17" s="372" t="s">
        <v>9109</v>
      </c>
      <c r="AP17" s="681" t="s">
        <v>9110</v>
      </c>
      <c r="AQ17" s="682" t="s">
        <v>9111</v>
      </c>
    </row>
    <row r="18" spans="1:43" ht="15.75" customHeight="1" thickTop="1" thickBot="1">
      <c r="A18" s="197"/>
      <c r="B18" s="683"/>
      <c r="C18" s="2238"/>
      <c r="D18" s="2238"/>
      <c r="E18" s="2238"/>
      <c r="F18" s="2238"/>
      <c r="G18" s="2238"/>
      <c r="H18" s="2239"/>
      <c r="I18" s="2239"/>
      <c r="J18" s="2239"/>
      <c r="K18" s="2239"/>
      <c r="L18" s="2239"/>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9112</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9112</v>
      </c>
      <c r="AH19" s="106"/>
      <c r="AI19" s="106"/>
      <c r="AJ19" s="106"/>
      <c r="AK19" s="106"/>
      <c r="AL19" s="106"/>
      <c r="AM19" s="106"/>
      <c r="AN19" s="106"/>
      <c r="AO19" s="106"/>
      <c r="AP19" s="106"/>
      <c r="AQ19" s="106"/>
    </row>
    <row r="20" spans="1:43" ht="15.75" customHeight="1" thickTop="1" thickBot="1">
      <c r="A20" s="197"/>
      <c r="B20" s="420" t="s">
        <v>9113</v>
      </c>
      <c r="C20" s="421"/>
      <c r="D20" s="421"/>
      <c r="E20" s="1132">
        <f>IFERROR(SUM(C20:D20),0)</f>
        <v>0</v>
      </c>
      <c r="F20" s="421"/>
      <c r="G20" s="1132">
        <f>IFERROR(IF(OR(E20=0,F20=0),0,E20/(F20/1000)),0)</f>
        <v>0</v>
      </c>
      <c r="H20" s="684"/>
      <c r="I20" s="684"/>
      <c r="J20" s="684"/>
      <c r="K20" s="684"/>
      <c r="L20" s="685"/>
      <c r="M20" s="197"/>
      <c r="N20" s="374" t="s">
        <v>9114</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9113</v>
      </c>
      <c r="AH20" s="421" t="s">
        <v>9115</v>
      </c>
      <c r="AI20" s="421" t="s">
        <v>9116</v>
      </c>
      <c r="AJ20" s="372" t="s">
        <v>9117</v>
      </c>
      <c r="AK20" s="421" t="s">
        <v>9118</v>
      </c>
      <c r="AL20" s="372" t="s">
        <v>9119</v>
      </c>
      <c r="AM20" s="684"/>
      <c r="AN20" s="684"/>
      <c r="AO20" s="684"/>
      <c r="AP20" s="684"/>
      <c r="AQ20" s="685"/>
    </row>
    <row r="21" spans="1:43" ht="15.75" customHeight="1" thickTop="1" thickBot="1">
      <c r="A21" s="197"/>
      <c r="B21" s="683"/>
      <c r="C21" s="943"/>
      <c r="D21" s="943"/>
      <c r="E21" s="943"/>
      <c r="F21" s="943"/>
      <c r="G21" s="943"/>
      <c r="H21" s="2239"/>
      <c r="I21" s="2239"/>
      <c r="J21" s="2239"/>
      <c r="K21" s="2239"/>
      <c r="L21" s="2239"/>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7445</v>
      </c>
      <c r="C22" s="1132">
        <f>IFERROR(C17+C20,0)</f>
        <v>0</v>
      </c>
      <c r="D22" s="1132">
        <f>IFERROR(D17+D20,0)</f>
        <v>0</v>
      </c>
      <c r="E22" s="1132">
        <f>IFERROR(E17+E20,0)</f>
        <v>0</v>
      </c>
      <c r="F22" s="1132">
        <f>IFERROR(F17+F20,0)</f>
        <v>0</v>
      </c>
      <c r="G22" s="1132">
        <f>IFERROR(IF(OR(D22=0,F22=0),0,D22/(F22/1000)),0)</f>
        <v>0</v>
      </c>
      <c r="H22" s="684"/>
      <c r="I22" s="684"/>
      <c r="J22" s="684"/>
      <c r="K22" s="684"/>
      <c r="L22" s="685"/>
      <c r="M22" s="197"/>
      <c r="N22" s="374" t="s">
        <v>9120</v>
      </c>
      <c r="O22" s="197"/>
      <c r="P22" s="375"/>
      <c r="Q22" s="197"/>
      <c r="R22" s="363"/>
      <c r="S22" s="284"/>
      <c r="T22" s="361"/>
      <c r="U22" s="270"/>
      <c r="V22" s="270"/>
      <c r="W22" s="270"/>
      <c r="X22" s="270"/>
      <c r="Y22" s="270"/>
      <c r="Z22" s="270"/>
      <c r="AA22" s="270"/>
      <c r="AB22" s="270"/>
      <c r="AC22" s="270"/>
      <c r="AD22" s="270"/>
      <c r="AE22" s="361"/>
      <c r="AG22" s="420" t="s">
        <v>7445</v>
      </c>
      <c r="AH22" s="372" t="s">
        <v>9121</v>
      </c>
      <c r="AI22" s="372" t="s">
        <v>9122</v>
      </c>
      <c r="AJ22" s="372" t="s">
        <v>9123</v>
      </c>
      <c r="AK22" s="372" t="s">
        <v>9124</v>
      </c>
      <c r="AL22" s="372" t="s">
        <v>9125</v>
      </c>
      <c r="AM22" s="684"/>
      <c r="AN22" s="684"/>
      <c r="AO22" s="684"/>
      <c r="AP22" s="684"/>
      <c r="AQ22" s="685"/>
    </row>
    <row r="23" spans="1:43" ht="17.2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75" thickTop="1">
      <c r="A24" s="197"/>
      <c r="B24" s="652" t="s">
        <v>7224</v>
      </c>
      <c r="C24" s="670" t="s">
        <v>8998</v>
      </c>
      <c r="D24" s="671" t="s">
        <v>9126</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7224</v>
      </c>
      <c r="AH24" s="670" t="s">
        <v>8998</v>
      </c>
      <c r="AI24" s="671" t="s">
        <v>9126</v>
      </c>
      <c r="AJ24" s="482"/>
      <c r="AK24" s="482"/>
      <c r="AL24" s="482"/>
      <c r="AM24" s="197"/>
      <c r="AN24" s="197"/>
      <c r="AO24" s="197"/>
      <c r="AP24" s="197"/>
      <c r="AQ24" s="197"/>
    </row>
    <row r="25" spans="1:43" ht="15.75" customHeight="1">
      <c r="A25" s="197"/>
      <c r="B25" s="429" t="s">
        <v>7225</v>
      </c>
      <c r="C25" s="427" t="s">
        <v>3222</v>
      </c>
      <c r="D25" s="428" t="s">
        <v>9000</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7225</v>
      </c>
      <c r="AH25" s="427" t="s">
        <v>3222</v>
      </c>
      <c r="AI25" s="428" t="s">
        <v>9000</v>
      </c>
      <c r="AJ25" s="482"/>
      <c r="AK25" s="482"/>
      <c r="AL25" s="482"/>
      <c r="AM25" s="197"/>
      <c r="AN25" s="197"/>
      <c r="AO25" s="197"/>
      <c r="AP25" s="197"/>
      <c r="AQ25" s="197"/>
    </row>
    <row r="26" spans="1:43" ht="15.75" customHeight="1" thickBot="1">
      <c r="A26" s="197"/>
      <c r="B26" s="430" t="s">
        <v>670</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670</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9127</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9127</v>
      </c>
      <c r="AH28" s="106"/>
      <c r="AI28" s="106"/>
      <c r="AJ28" s="106"/>
      <c r="AK28" s="106"/>
      <c r="AL28" s="106"/>
      <c r="AM28" s="686"/>
      <c r="AN28" s="686"/>
      <c r="AO28" s="686"/>
      <c r="AP28" s="686"/>
      <c r="AQ28" s="686"/>
    </row>
    <row r="29" spans="1:43" ht="15.75" customHeight="1" thickTop="1" thickBot="1">
      <c r="A29" s="197"/>
      <c r="B29" s="420" t="s">
        <v>7445</v>
      </c>
      <c r="C29" s="421"/>
      <c r="D29" s="682">
        <f>IFERROR(IF(OR(D22=0,C29=0),0,D22/(C29/1000)),0)</f>
        <v>0</v>
      </c>
      <c r="E29" s="358"/>
      <c r="F29" s="83"/>
      <c r="G29" s="83"/>
      <c r="H29" s="688"/>
      <c r="I29" s="688"/>
      <c r="J29" s="688"/>
      <c r="K29" s="688"/>
      <c r="L29" s="688"/>
      <c r="M29" s="197"/>
      <c r="N29" s="374" t="s">
        <v>9128</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7445</v>
      </c>
      <c r="AH29" s="421" t="s">
        <v>9129</v>
      </c>
      <c r="AI29" s="687" t="s">
        <v>9130</v>
      </c>
      <c r="AJ29" s="358"/>
      <c r="AK29" s="83"/>
      <c r="AL29" s="83"/>
      <c r="AM29" s="688"/>
      <c r="AN29" s="688"/>
      <c r="AO29" s="688"/>
      <c r="AP29" s="688"/>
      <c r="AQ29" s="688"/>
    </row>
    <row r="30" spans="1:43" ht="15.75"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theme="2" tint="-0.499984740745262"/>
    <pageSetUpPr fitToPage="1"/>
  </sheetPr>
  <dimension ref="A1:AU37"/>
  <sheetViews>
    <sheetView showGridLines="0" topLeftCell="M6" zoomScaleNormal="100" zoomScaleSheetLayoutView="100" workbookViewId="0"/>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63" customWidth="1"/>
    <col min="21" max="21" width="20.25" style="263" hidden="1" customWidth="1"/>
    <col min="22" max="22" width="1.625" style="263" hidden="1" customWidth="1"/>
    <col min="23" max="23" width="5.75" style="263" hidden="1" customWidth="1"/>
    <col min="24" max="24" width="1.625" style="263" hidden="1" customWidth="1"/>
    <col min="25" max="25" width="5.75" style="263" hidden="1" customWidth="1"/>
    <col min="26" max="27" width="1.625" style="263" hidden="1" customWidth="1"/>
    <col min="28" max="28" width="5.75" style="263" hidden="1" customWidth="1"/>
    <col min="29" max="31" width="1.625" style="263"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89" customFormat="1" ht="30" customHeight="1">
      <c r="B1" s="2661" t="s">
        <v>9131</v>
      </c>
      <c r="C1" s="2661"/>
      <c r="D1" s="2661"/>
      <c r="E1" s="2661"/>
      <c r="F1" s="2661"/>
      <c r="G1" s="2661"/>
      <c r="H1" s="2661"/>
      <c r="I1" s="2661"/>
      <c r="J1" s="561"/>
      <c r="K1" s="561"/>
      <c r="L1" s="561"/>
      <c r="M1" s="561"/>
      <c r="N1" s="529"/>
      <c r="R1" s="340"/>
      <c r="S1" s="259"/>
      <c r="T1" s="361"/>
      <c r="U1" s="263"/>
      <c r="V1" s="263"/>
      <c r="W1" s="263"/>
      <c r="X1" s="263"/>
      <c r="Y1" s="263"/>
      <c r="Z1" s="263"/>
      <c r="AA1" s="263"/>
      <c r="AB1" s="263"/>
      <c r="AC1" s="263"/>
      <c r="AD1" s="263"/>
      <c r="AE1" s="361"/>
      <c r="AG1" s="2661" t="s">
        <v>7220</v>
      </c>
      <c r="AH1" s="2661"/>
      <c r="AI1" s="2661"/>
      <c r="AJ1" s="2661"/>
      <c r="AK1" s="2661"/>
      <c r="AL1" s="2661"/>
      <c r="AM1" s="2661"/>
      <c r="AN1" s="2661"/>
      <c r="AS1" s="224"/>
    </row>
    <row r="2" spans="1:47" s="389" customFormat="1" ht="30" customHeight="1">
      <c r="B2" s="424" t="str">
        <f>SelectCompany!B4</f>
        <v>Northumbrian Water</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61"/>
      <c r="AH2" s="2661"/>
      <c r="AI2" s="2661"/>
      <c r="AJ2" s="2661"/>
      <c r="AK2" s="2661"/>
      <c r="AL2" s="529"/>
      <c r="AM2" s="529"/>
      <c r="AN2" s="529"/>
      <c r="AO2" s="529"/>
      <c r="AP2" s="529"/>
      <c r="AQ2" s="529"/>
    </row>
    <row r="3" spans="1:47" ht="38.25" customHeight="1">
      <c r="B3" s="2705" t="s">
        <v>9132</v>
      </c>
      <c r="C3" s="2706"/>
      <c r="D3" s="2706"/>
      <c r="E3" s="2706"/>
      <c r="F3" s="2706"/>
      <c r="G3" s="2706"/>
      <c r="H3" s="2706"/>
      <c r="I3" s="2706"/>
      <c r="J3" s="2706"/>
      <c r="K3" s="2706"/>
      <c r="L3" s="2706"/>
      <c r="M3" s="2706"/>
      <c r="N3" s="2706"/>
      <c r="O3" s="2706"/>
      <c r="P3" s="2706"/>
      <c r="Q3" s="260"/>
      <c r="R3" s="342"/>
      <c r="S3" s="425" t="s">
        <v>7222</v>
      </c>
      <c r="T3" s="361"/>
      <c r="U3" s="2668" t="s">
        <v>7223</v>
      </c>
      <c r="V3" s="2668"/>
      <c r="W3" s="2668"/>
      <c r="X3" s="2668"/>
      <c r="Y3" s="2668"/>
      <c r="Z3" s="2668"/>
      <c r="AA3" s="2668"/>
      <c r="AB3" s="2668"/>
      <c r="AC3" s="2668"/>
      <c r="AD3" s="2668"/>
      <c r="AE3" s="361"/>
      <c r="AG3" s="2705" t="s">
        <v>9132</v>
      </c>
      <c r="AH3" s="2706"/>
      <c r="AI3" s="2706"/>
      <c r="AJ3" s="2706"/>
      <c r="AK3" s="2706"/>
      <c r="AL3" s="2706"/>
      <c r="AM3" s="2706"/>
      <c r="AN3" s="2706"/>
      <c r="AO3" s="2706"/>
      <c r="AP3" s="2706"/>
      <c r="AQ3" s="2706"/>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7231</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7224</v>
      </c>
      <c r="C5" s="670" t="s">
        <v>9042</v>
      </c>
      <c r="D5" s="670" t="s">
        <v>9006</v>
      </c>
      <c r="E5" s="670" t="s">
        <v>9043</v>
      </c>
      <c r="F5" s="670" t="s">
        <v>9044</v>
      </c>
      <c r="G5" s="670" t="s">
        <v>9045</v>
      </c>
      <c r="H5" s="670" t="s">
        <v>9046</v>
      </c>
      <c r="I5" s="670" t="s">
        <v>9047</v>
      </c>
      <c r="J5" s="670" t="s">
        <v>9048</v>
      </c>
      <c r="K5" s="670" t="s">
        <v>9049</v>
      </c>
      <c r="L5" s="671" t="s">
        <v>9050</v>
      </c>
      <c r="M5" s="692"/>
      <c r="N5" s="2790" t="s">
        <v>7229</v>
      </c>
      <c r="O5" s="197"/>
      <c r="P5" s="2790" t="s">
        <v>7230</v>
      </c>
      <c r="Q5" s="197"/>
      <c r="R5" s="345"/>
      <c r="S5" s="284"/>
      <c r="T5" s="361"/>
      <c r="Z5" s="224"/>
      <c r="AA5" s="224"/>
      <c r="AB5" s="224"/>
      <c r="AC5" s="224"/>
      <c r="AD5" s="224"/>
      <c r="AE5" s="361"/>
      <c r="AG5" s="652" t="s">
        <v>7224</v>
      </c>
      <c r="AH5" s="670" t="s">
        <v>9042</v>
      </c>
      <c r="AI5" s="670" t="s">
        <v>9006</v>
      </c>
      <c r="AJ5" s="670" t="s">
        <v>9043</v>
      </c>
      <c r="AK5" s="670" t="s">
        <v>9044</v>
      </c>
      <c r="AL5" s="670" t="s">
        <v>9045</v>
      </c>
      <c r="AM5" s="670" t="s">
        <v>9046</v>
      </c>
      <c r="AN5" s="670" t="s">
        <v>9047</v>
      </c>
      <c r="AO5" s="670" t="s">
        <v>9048</v>
      </c>
      <c r="AP5" s="670" t="s">
        <v>9049</v>
      </c>
      <c r="AQ5" s="671" t="s">
        <v>9050</v>
      </c>
    </row>
    <row r="6" spans="1:47" ht="15" customHeight="1">
      <c r="A6" s="197"/>
      <c r="B6" s="429" t="s">
        <v>7225</v>
      </c>
      <c r="C6" s="427" t="s">
        <v>681</v>
      </c>
      <c r="D6" s="427" t="s">
        <v>681</v>
      </c>
      <c r="E6" s="427" t="s">
        <v>681</v>
      </c>
      <c r="F6" s="427" t="s">
        <v>3222</v>
      </c>
      <c r="G6" s="427" t="s">
        <v>9000</v>
      </c>
      <c r="H6" s="427" t="s">
        <v>9000</v>
      </c>
      <c r="I6" s="427" t="s">
        <v>9000</v>
      </c>
      <c r="J6" s="427" t="s">
        <v>9000</v>
      </c>
      <c r="K6" s="427" t="s">
        <v>3137</v>
      </c>
      <c r="L6" s="428" t="s">
        <v>9000</v>
      </c>
      <c r="M6" s="692"/>
      <c r="N6" s="2791"/>
      <c r="O6" s="197"/>
      <c r="P6" s="2791"/>
      <c r="Q6" s="197"/>
      <c r="R6" s="345"/>
      <c r="S6" s="284"/>
      <c r="T6" s="361"/>
      <c r="Z6" s="224"/>
      <c r="AA6" s="224"/>
      <c r="AB6" s="224"/>
      <c r="AC6" s="224"/>
      <c r="AD6" s="224"/>
      <c r="AE6" s="361"/>
      <c r="AG6" s="429" t="s">
        <v>7225</v>
      </c>
      <c r="AH6" s="427" t="s">
        <v>681</v>
      </c>
      <c r="AI6" s="427" t="s">
        <v>681</v>
      </c>
      <c r="AJ6" s="427" t="s">
        <v>681</v>
      </c>
      <c r="AK6" s="427" t="s">
        <v>3222</v>
      </c>
      <c r="AL6" s="427" t="s">
        <v>9000</v>
      </c>
      <c r="AM6" s="427" t="s">
        <v>9000</v>
      </c>
      <c r="AN6" s="427" t="s">
        <v>9000</v>
      </c>
      <c r="AO6" s="427" t="s">
        <v>9000</v>
      </c>
      <c r="AP6" s="427" t="s">
        <v>3137</v>
      </c>
      <c r="AQ6" s="428" t="s">
        <v>9000</v>
      </c>
    </row>
    <row r="7" spans="1:47" ht="15" customHeight="1" thickBot="1">
      <c r="A7" s="197"/>
      <c r="B7" s="430" t="s">
        <v>670</v>
      </c>
      <c r="C7" s="271">
        <v>3</v>
      </c>
      <c r="D7" s="271">
        <v>3</v>
      </c>
      <c r="E7" s="271">
        <v>3</v>
      </c>
      <c r="F7" s="271">
        <v>3</v>
      </c>
      <c r="G7" s="271">
        <v>3</v>
      </c>
      <c r="H7" s="271">
        <v>3</v>
      </c>
      <c r="I7" s="271">
        <v>3</v>
      </c>
      <c r="J7" s="271">
        <v>3</v>
      </c>
      <c r="K7" s="271">
        <v>3</v>
      </c>
      <c r="L7" s="672">
        <v>3</v>
      </c>
      <c r="M7" s="693"/>
      <c r="N7" s="2792"/>
      <c r="O7" s="197"/>
      <c r="P7" s="2792"/>
      <c r="Q7" s="197"/>
      <c r="R7" s="345"/>
      <c r="S7" s="284"/>
      <c r="T7" s="361"/>
      <c r="Z7" s="267"/>
      <c r="AA7" s="267"/>
      <c r="AB7" s="267"/>
      <c r="AC7" s="267"/>
      <c r="AD7" s="267"/>
      <c r="AE7" s="361"/>
      <c r="AG7" s="430" t="s">
        <v>670</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9051</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9051</v>
      </c>
      <c r="AH9" s="482"/>
      <c r="AI9" s="482"/>
      <c r="AJ9" s="673"/>
      <c r="AK9" s="106"/>
      <c r="AL9" s="106"/>
      <c r="AM9" s="674"/>
      <c r="AN9" s="674"/>
      <c r="AO9" s="674"/>
      <c r="AP9" s="674"/>
      <c r="AQ9" s="197"/>
    </row>
    <row r="10" spans="1:47" ht="15.75" customHeight="1" thickTop="1">
      <c r="A10" s="197"/>
      <c r="B10" s="451" t="s">
        <v>9052</v>
      </c>
      <c r="C10" s="278"/>
      <c r="D10" s="694"/>
      <c r="E10" s="2231">
        <f>IFERROR(SUM(C10:D10),0)</f>
        <v>0</v>
      </c>
      <c r="F10" s="694"/>
      <c r="G10" s="2231">
        <f>IFERROR(IF(OR(D10=0,F10=0),0,D10/(F10/1000)),0)</f>
        <v>0</v>
      </c>
      <c r="H10" s="694"/>
      <c r="I10" s="694"/>
      <c r="J10" s="2231">
        <f>IFERROR(H10 + I10,0)</f>
        <v>0</v>
      </c>
      <c r="K10" s="694"/>
      <c r="L10" s="695"/>
      <c r="M10" s="282"/>
      <c r="N10" s="696" t="s">
        <v>9133</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9052</v>
      </c>
      <c r="AH10" s="278" t="s">
        <v>9134</v>
      </c>
      <c r="AI10" s="694" t="s">
        <v>9135</v>
      </c>
      <c r="AJ10" s="675" t="s">
        <v>9136</v>
      </c>
      <c r="AK10" s="694" t="s">
        <v>9137</v>
      </c>
      <c r="AL10" s="675" t="s">
        <v>9138</v>
      </c>
      <c r="AM10" s="694" t="s">
        <v>9139</v>
      </c>
      <c r="AN10" s="694" t="s">
        <v>9140</v>
      </c>
      <c r="AO10" s="675" t="s">
        <v>9141</v>
      </c>
      <c r="AP10" s="694" t="s">
        <v>9142</v>
      </c>
      <c r="AQ10" s="695" t="s">
        <v>9143</v>
      </c>
    </row>
    <row r="11" spans="1:47" ht="15.75" customHeight="1">
      <c r="A11" s="197"/>
      <c r="B11" s="460" t="s">
        <v>9064</v>
      </c>
      <c r="C11" s="697"/>
      <c r="D11" s="697"/>
      <c r="E11" s="2232">
        <f>IFERROR(SUM(C11:D11),0)</f>
        <v>0</v>
      </c>
      <c r="F11" s="697"/>
      <c r="G11" s="2232">
        <f>IFERROR(IF(OR(D11=0,F11=0),0,D11/(F11/1100)),0)</f>
        <v>0</v>
      </c>
      <c r="H11" s="697"/>
      <c r="I11" s="697"/>
      <c r="J11" s="2232">
        <f>IFERROR(H11 + I11,0)</f>
        <v>0</v>
      </c>
      <c r="K11" s="697"/>
      <c r="L11" s="698"/>
      <c r="M11" s="282"/>
      <c r="N11" s="699" t="s">
        <v>9144</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9064</v>
      </c>
      <c r="AH11" s="697" t="s">
        <v>9145</v>
      </c>
      <c r="AI11" s="697" t="s">
        <v>9146</v>
      </c>
      <c r="AJ11" s="677" t="s">
        <v>9147</v>
      </c>
      <c r="AK11" s="697" t="s">
        <v>9148</v>
      </c>
      <c r="AL11" s="677" t="s">
        <v>9149</v>
      </c>
      <c r="AM11" s="697" t="s">
        <v>9150</v>
      </c>
      <c r="AN11" s="697" t="s">
        <v>9151</v>
      </c>
      <c r="AO11" s="677" t="s">
        <v>9152</v>
      </c>
      <c r="AP11" s="697" t="s">
        <v>9153</v>
      </c>
      <c r="AQ11" s="698" t="s">
        <v>9154</v>
      </c>
    </row>
    <row r="12" spans="1:47" ht="15.75" customHeight="1">
      <c r="A12" s="197"/>
      <c r="B12" s="460" t="s">
        <v>9155</v>
      </c>
      <c r="C12" s="697"/>
      <c r="D12" s="697"/>
      <c r="E12" s="2232">
        <f>IFERROR(SUM(C12:D12),0)</f>
        <v>0</v>
      </c>
      <c r="F12" s="697"/>
      <c r="G12" s="2232">
        <f>IFERROR(IF(OR(D12=0,F12=0),0,D12/(F12/1200)),0)</f>
        <v>0</v>
      </c>
      <c r="H12" s="697"/>
      <c r="I12" s="697"/>
      <c r="J12" s="2232">
        <f>IFERROR(H12 + I12,0)</f>
        <v>0</v>
      </c>
      <c r="K12" s="697"/>
      <c r="L12" s="698"/>
      <c r="M12" s="260"/>
      <c r="N12" s="699" t="s">
        <v>9156</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9155</v>
      </c>
      <c r="AH12" s="697" t="s">
        <v>9157</v>
      </c>
      <c r="AI12" s="697" t="s">
        <v>9158</v>
      </c>
      <c r="AJ12" s="677" t="s">
        <v>9159</v>
      </c>
      <c r="AK12" s="697" t="s">
        <v>9160</v>
      </c>
      <c r="AL12" s="677" t="s">
        <v>9161</v>
      </c>
      <c r="AM12" s="697" t="s">
        <v>9162</v>
      </c>
      <c r="AN12" s="697" t="s">
        <v>9163</v>
      </c>
      <c r="AO12" s="677" t="s">
        <v>9164</v>
      </c>
      <c r="AP12" s="697" t="s">
        <v>9165</v>
      </c>
      <c r="AQ12" s="698" t="s">
        <v>9166</v>
      </c>
    </row>
    <row r="13" spans="1:47" ht="15.75" customHeight="1" thickBot="1">
      <c r="A13" s="197"/>
      <c r="B13" s="463" t="s">
        <v>9100</v>
      </c>
      <c r="C13" s="2233">
        <f t="shared" ref="C13:L13" si="8">IFERROR(SUM(C10:C12),0)</f>
        <v>0</v>
      </c>
      <c r="D13" s="2233">
        <f t="shared" si="8"/>
        <v>0</v>
      </c>
      <c r="E13" s="2233">
        <f t="shared" si="8"/>
        <v>0</v>
      </c>
      <c r="F13" s="2233">
        <f t="shared" si="8"/>
        <v>0</v>
      </c>
      <c r="G13" s="2233">
        <f t="shared" si="8"/>
        <v>0</v>
      </c>
      <c r="H13" s="2233">
        <f t="shared" si="8"/>
        <v>0</v>
      </c>
      <c r="I13" s="2233">
        <f t="shared" si="8"/>
        <v>0</v>
      </c>
      <c r="J13" s="2233">
        <f t="shared" si="8"/>
        <v>0</v>
      </c>
      <c r="K13" s="2234">
        <f t="shared" si="8"/>
        <v>0</v>
      </c>
      <c r="L13" s="2235">
        <f t="shared" si="8"/>
        <v>0</v>
      </c>
      <c r="M13" s="693"/>
      <c r="N13" s="700" t="s">
        <v>9167</v>
      </c>
      <c r="O13" s="197"/>
      <c r="P13" s="302"/>
      <c r="Q13" s="197"/>
      <c r="R13" s="363"/>
      <c r="S13" s="284"/>
      <c r="T13" s="361"/>
      <c r="U13" s="270"/>
      <c r="V13" s="270"/>
      <c r="W13" s="270"/>
      <c r="X13" s="270"/>
      <c r="Y13" s="270"/>
      <c r="Z13" s="270"/>
      <c r="AA13" s="270"/>
      <c r="AB13" s="270"/>
      <c r="AC13" s="270"/>
      <c r="AD13" s="270"/>
      <c r="AE13" s="361"/>
      <c r="AG13" s="463" t="s">
        <v>9100</v>
      </c>
      <c r="AH13" s="679" t="s">
        <v>9168</v>
      </c>
      <c r="AI13" s="679" t="s">
        <v>9169</v>
      </c>
      <c r="AJ13" s="679" t="s">
        <v>9170</v>
      </c>
      <c r="AK13" s="679" t="s">
        <v>9171</v>
      </c>
      <c r="AL13" s="679" t="s">
        <v>9172</v>
      </c>
      <c r="AM13" s="679" t="s">
        <v>9173</v>
      </c>
      <c r="AN13" s="679" t="s">
        <v>9174</v>
      </c>
      <c r="AO13" s="679" t="s">
        <v>9175</v>
      </c>
      <c r="AP13" s="680" t="s">
        <v>9176</v>
      </c>
      <c r="AQ13" s="417" t="s">
        <v>9177</v>
      </c>
    </row>
    <row r="14" spans="1:47" ht="15.75" customHeight="1" thickTop="1" thickBot="1">
      <c r="A14" s="197"/>
      <c r="B14" s="580"/>
      <c r="C14" s="2112"/>
      <c r="D14" s="2112"/>
      <c r="E14" s="2112"/>
      <c r="F14" s="2112"/>
      <c r="G14" s="2112"/>
      <c r="H14" s="2236"/>
      <c r="I14" s="2236"/>
      <c r="J14" s="2236"/>
      <c r="K14" s="2236"/>
      <c r="L14" s="2236"/>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9112</v>
      </c>
      <c r="C15" s="2240"/>
      <c r="D15" s="2240"/>
      <c r="E15" s="2241"/>
      <c r="F15" s="1971"/>
      <c r="G15" s="1971"/>
      <c r="H15" s="2242"/>
      <c r="I15" s="2242"/>
      <c r="J15" s="2242"/>
      <c r="K15" s="2242"/>
      <c r="L15" s="2242"/>
      <c r="M15" s="674"/>
      <c r="N15" s="260"/>
      <c r="O15" s="197"/>
      <c r="P15" s="197"/>
      <c r="Q15" s="197"/>
      <c r="R15" s="363"/>
      <c r="S15" s="284"/>
      <c r="T15" s="361"/>
      <c r="U15" s="270"/>
      <c r="V15" s="270"/>
      <c r="W15" s="270"/>
      <c r="X15" s="270"/>
      <c r="Y15" s="270"/>
      <c r="Z15" s="270"/>
      <c r="AA15" s="270"/>
      <c r="AB15" s="270"/>
      <c r="AC15" s="270"/>
      <c r="AD15" s="270"/>
      <c r="AE15" s="361"/>
      <c r="AG15" s="393" t="s">
        <v>9112</v>
      </c>
      <c r="AH15" s="482"/>
      <c r="AI15" s="482"/>
      <c r="AJ15" s="673"/>
      <c r="AK15" s="106"/>
      <c r="AL15" s="106"/>
      <c r="AM15" s="674"/>
      <c r="AN15" s="674"/>
      <c r="AO15" s="674"/>
      <c r="AP15" s="674"/>
      <c r="AQ15" s="674"/>
    </row>
    <row r="16" spans="1:47" ht="15.75" customHeight="1" thickTop="1" thickBot="1">
      <c r="A16" s="197"/>
      <c r="B16" s="469" t="s">
        <v>9113</v>
      </c>
      <c r="C16" s="701"/>
      <c r="D16" s="701"/>
      <c r="E16" s="1132">
        <f>IFERROR(SUM(C16:D16),0)</f>
        <v>0</v>
      </c>
      <c r="F16" s="701"/>
      <c r="G16" s="682">
        <f>IFERROR(IF(OR(E16=0,F16=0),0,E16/(F16/1000)),0)</f>
        <v>0</v>
      </c>
      <c r="H16" s="2112"/>
      <c r="I16" s="2112"/>
      <c r="J16" s="2243"/>
      <c r="K16" s="2112"/>
      <c r="L16" s="2243"/>
      <c r="M16" s="674"/>
      <c r="N16" s="374" t="s">
        <v>9178</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9113</v>
      </c>
      <c r="AH16" s="701" t="s">
        <v>9179</v>
      </c>
      <c r="AI16" s="701" t="s">
        <v>9180</v>
      </c>
      <c r="AJ16" s="372" t="s">
        <v>9181</v>
      </c>
      <c r="AK16" s="701" t="s">
        <v>9182</v>
      </c>
      <c r="AL16" s="687" t="s">
        <v>9183</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7481</v>
      </c>
      <c r="C18" s="1132">
        <f>IFERROR(C13+C16,0)</f>
        <v>0</v>
      </c>
      <c r="D18" s="1132">
        <f>IFERROR(D13+D16,0)</f>
        <v>0</v>
      </c>
      <c r="E18" s="1132">
        <f>IFERROR(SUM(C18:D18),0)</f>
        <v>0</v>
      </c>
      <c r="F18" s="1132">
        <f>IFERROR(F13+F16,0)</f>
        <v>0</v>
      </c>
      <c r="G18" s="1132">
        <f>IFERROR(IF(OR(D18=0,F18=0),0,D18/(F18/1000)),0)</f>
        <v>0</v>
      </c>
      <c r="H18" s="1132"/>
      <c r="I18" s="1132"/>
      <c r="J18" s="1132"/>
      <c r="K18" s="1132"/>
      <c r="L18" s="682"/>
      <c r="M18" s="674"/>
      <c r="N18" s="374" t="s">
        <v>9184</v>
      </c>
      <c r="O18" s="197"/>
      <c r="P18" s="375"/>
      <c r="Q18" s="197"/>
      <c r="R18" s="363"/>
      <c r="S18" s="284"/>
      <c r="T18" s="361"/>
      <c r="U18" s="270"/>
      <c r="V18" s="270"/>
      <c r="W18" s="270"/>
      <c r="X18" s="270"/>
      <c r="Y18" s="270"/>
      <c r="Z18" s="270"/>
      <c r="AA18" s="270"/>
      <c r="AB18" s="270"/>
      <c r="AC18" s="270"/>
      <c r="AD18" s="270"/>
      <c r="AE18" s="361"/>
      <c r="AG18" s="469" t="s">
        <v>7481</v>
      </c>
      <c r="AH18" s="372" t="s">
        <v>9185</v>
      </c>
      <c r="AI18" s="372" t="s">
        <v>9186</v>
      </c>
      <c r="AJ18" s="372" t="s">
        <v>9187</v>
      </c>
      <c r="AK18" s="372" t="s">
        <v>9188</v>
      </c>
      <c r="AL18" s="372" t="s">
        <v>9189</v>
      </c>
      <c r="AM18" s="372" t="s">
        <v>9190</v>
      </c>
      <c r="AN18" s="372" t="s">
        <v>9191</v>
      </c>
      <c r="AO18" s="372" t="s">
        <v>9192</v>
      </c>
      <c r="AP18" s="372" t="s">
        <v>9193</v>
      </c>
      <c r="AQ18" s="687" t="s">
        <v>9194</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11" t="s">
        <v>7224</v>
      </c>
      <c r="C20" s="2673"/>
      <c r="D20" s="2673"/>
      <c r="E20" s="2673"/>
      <c r="F20" s="670" t="s">
        <v>8998</v>
      </c>
      <c r="G20" s="671" t="s">
        <v>9126</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11" t="s">
        <v>7224</v>
      </c>
      <c r="AH20" s="2673"/>
      <c r="AI20" s="2673"/>
      <c r="AJ20" s="2673"/>
      <c r="AK20" s="670" t="s">
        <v>8998</v>
      </c>
      <c r="AL20" s="671" t="s">
        <v>9126</v>
      </c>
      <c r="AM20" s="197"/>
      <c r="AN20" s="197"/>
      <c r="AO20" s="197"/>
      <c r="AP20" s="197"/>
      <c r="AQ20" s="197"/>
    </row>
    <row r="21" spans="1:43" ht="15.75" customHeight="1">
      <c r="A21" s="197"/>
      <c r="B21" s="2795" t="s">
        <v>7225</v>
      </c>
      <c r="C21" s="2796"/>
      <c r="D21" s="2796"/>
      <c r="E21" s="2796"/>
      <c r="F21" s="427" t="s">
        <v>3222</v>
      </c>
      <c r="G21" s="428" t="s">
        <v>9000</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795" t="s">
        <v>7225</v>
      </c>
      <c r="AH21" s="2796"/>
      <c r="AI21" s="2796"/>
      <c r="AJ21" s="2796"/>
      <c r="AK21" s="427" t="s">
        <v>3222</v>
      </c>
      <c r="AL21" s="428" t="s">
        <v>9000</v>
      </c>
      <c r="AM21" s="197"/>
      <c r="AN21" s="197"/>
      <c r="AO21" s="197"/>
      <c r="AP21" s="197"/>
      <c r="AQ21" s="197"/>
    </row>
    <row r="22" spans="1:43" ht="15.75" customHeight="1" thickBot="1">
      <c r="A22" s="197"/>
      <c r="B22" s="2712" t="s">
        <v>670</v>
      </c>
      <c r="C22" s="2674"/>
      <c r="D22" s="2674"/>
      <c r="E22" s="2674"/>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12" t="s">
        <v>670</v>
      </c>
      <c r="AH22" s="2674"/>
      <c r="AI22" s="2674"/>
      <c r="AJ22" s="2674"/>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9127</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9127</v>
      </c>
      <c r="AH24" s="106"/>
      <c r="AI24" s="106"/>
      <c r="AJ24" s="106"/>
      <c r="AK24" s="106"/>
      <c r="AL24" s="106"/>
      <c r="AM24" s="686"/>
      <c r="AN24" s="686"/>
      <c r="AO24" s="686"/>
      <c r="AP24" s="686"/>
      <c r="AQ24" s="686"/>
    </row>
    <row r="25" spans="1:43" ht="15.75" customHeight="1" thickTop="1" thickBot="1">
      <c r="A25" s="197"/>
      <c r="B25" s="2793" t="s">
        <v>7481</v>
      </c>
      <c r="C25" s="2794"/>
      <c r="D25" s="2794"/>
      <c r="E25" s="2794"/>
      <c r="F25" s="703"/>
      <c r="G25" s="682">
        <f>IFERROR(IF(OR(D18=0,F25=0),0,D18/(F25/1000)),0)</f>
        <v>0</v>
      </c>
      <c r="H25" s="86"/>
      <c r="I25" s="86"/>
      <c r="J25" s="702"/>
      <c r="K25" s="86"/>
      <c r="L25" s="702"/>
      <c r="M25" s="197"/>
      <c r="N25" s="374" t="s">
        <v>9195</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793" t="s">
        <v>7445</v>
      </c>
      <c r="AH25" s="2794"/>
      <c r="AI25" s="2794"/>
      <c r="AJ25" s="2794"/>
      <c r="AK25" s="703" t="s">
        <v>9196</v>
      </c>
      <c r="AL25" s="687" t="s">
        <v>9197</v>
      </c>
      <c r="AM25" s="86"/>
      <c r="AN25" s="86"/>
      <c r="AO25" s="702"/>
      <c r="AP25" s="86"/>
      <c r="AQ25" s="702"/>
    </row>
    <row r="26" spans="1:43" ht="16.5"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tabColor rgb="FF00B050"/>
    <pageSetUpPr fitToPage="1"/>
  </sheetPr>
  <dimension ref="A1:AH57"/>
  <sheetViews>
    <sheetView showGridLines="0" topLeftCell="D1" zoomScale="50" zoomScaleNormal="50" zoomScaleSheetLayoutView="100" workbookViewId="0">
      <selection activeCell="E33" activeCellId="2" sqref="G44 G39:G41 E33:F35"/>
    </sheetView>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0.625" style="224" bestFit="1" customWidth="1"/>
    <col min="6" max="6" width="15" style="224" customWidth="1"/>
    <col min="7" max="7" width="12.25" style="224" customWidth="1"/>
    <col min="8" max="8" width="20.25" style="224" customWidth="1"/>
    <col min="9" max="9" width="16.125" style="224" customWidth="1"/>
    <col min="10" max="10" width="12.25" style="224" customWidth="1"/>
    <col min="11" max="11" width="1.625" style="224" customWidth="1"/>
    <col min="12" max="12" width="9.25" style="224" bestFit="1" customWidth="1"/>
    <col min="13" max="13" width="1.625" style="260" customWidth="1"/>
    <col min="14" max="14" width="25.75" style="224" customWidth="1"/>
    <col min="15" max="16" width="1.625" style="224" customWidth="1"/>
    <col min="17" max="17" width="20.625" style="224" bestFit="1" customWidth="1"/>
    <col min="18" max="18" width="1.625" style="263" customWidth="1"/>
    <col min="19" max="19" width="20.625" style="263" hidden="1" customWidth="1"/>
    <col min="20" max="23" width="1.75" style="263" hidden="1" customWidth="1"/>
    <col min="24" max="24" width="1.625" style="263"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89" customFormat="1" ht="23.25">
      <c r="B1" s="2797" t="s">
        <v>9198</v>
      </c>
      <c r="C1" s="2797"/>
      <c r="D1" s="2797"/>
      <c r="E1" s="2797"/>
      <c r="F1" s="2797"/>
      <c r="G1" s="2797"/>
      <c r="H1" s="529"/>
      <c r="I1" s="528"/>
      <c r="J1" s="528"/>
      <c r="K1" s="528"/>
      <c r="L1" s="528"/>
      <c r="M1" s="260"/>
      <c r="P1" s="340"/>
      <c r="Q1" s="267"/>
      <c r="R1" s="361"/>
      <c r="S1" s="263"/>
      <c r="T1" s="263"/>
      <c r="U1" s="263"/>
      <c r="V1" s="263"/>
      <c r="W1" s="263"/>
      <c r="X1" s="361"/>
      <c r="Z1" s="2797" t="s">
        <v>7220</v>
      </c>
      <c r="AA1" s="2797"/>
      <c r="AB1" s="2797"/>
      <c r="AC1" s="2797"/>
      <c r="AD1" s="2797"/>
      <c r="AE1" s="2797"/>
    </row>
    <row r="2" spans="1:34" s="389" customFormat="1" ht="23.25">
      <c r="B2" s="2797" t="str">
        <f>SelectCompany!B4</f>
        <v>Northumbrian Water</v>
      </c>
      <c r="C2" s="2797"/>
      <c r="D2" s="2797"/>
      <c r="E2" s="2797"/>
      <c r="F2" s="2797"/>
      <c r="G2" s="2797"/>
      <c r="H2" s="529"/>
      <c r="I2" s="528"/>
      <c r="J2" s="528"/>
      <c r="K2" s="528"/>
      <c r="L2" s="528"/>
      <c r="M2" s="260"/>
      <c r="P2" s="340"/>
      <c r="Q2" s="267"/>
      <c r="R2" s="361"/>
      <c r="S2" s="263"/>
      <c r="T2" s="263"/>
      <c r="U2" s="263"/>
      <c r="V2" s="263"/>
      <c r="W2" s="263"/>
      <c r="X2" s="361"/>
      <c r="Z2" s="2797"/>
      <c r="AA2" s="2797"/>
      <c r="AB2" s="2797"/>
      <c r="AC2" s="2797"/>
      <c r="AD2" s="2797"/>
      <c r="AE2" s="2797"/>
    </row>
    <row r="3" spans="1:34" s="704" customFormat="1" ht="19.5">
      <c r="B3" s="2706" t="s">
        <v>9199</v>
      </c>
      <c r="C3" s="2706"/>
      <c r="D3" s="2706"/>
      <c r="E3" s="2706"/>
      <c r="F3" s="2706"/>
      <c r="G3" s="2706"/>
      <c r="H3" s="2706"/>
      <c r="I3" s="2706"/>
      <c r="J3" s="2706"/>
      <c r="K3" s="2706"/>
      <c r="L3" s="2706"/>
      <c r="M3" s="2706"/>
      <c r="N3" s="2706"/>
      <c r="P3" s="342"/>
      <c r="Q3" s="265" t="s">
        <v>7222</v>
      </c>
      <c r="R3" s="361"/>
      <c r="S3" s="263"/>
      <c r="T3" s="263"/>
      <c r="U3" s="263"/>
      <c r="V3" s="263"/>
      <c r="W3" s="263"/>
      <c r="X3" s="361"/>
      <c r="Z3" s="2707" t="s">
        <v>9199</v>
      </c>
      <c r="AA3" s="2708"/>
      <c r="AB3" s="2708"/>
      <c r="AC3" s="2708"/>
      <c r="AD3" s="2708"/>
      <c r="AE3" s="2708"/>
      <c r="AF3" s="2708"/>
    </row>
    <row r="4" spans="1:34" ht="16.5" thickBot="1">
      <c r="B4" s="392"/>
      <c r="C4" s="392"/>
      <c r="D4" s="392"/>
      <c r="E4" s="83"/>
      <c r="F4" s="83"/>
      <c r="G4" s="83"/>
      <c r="H4" s="83"/>
      <c r="I4" s="705"/>
      <c r="J4" s="705"/>
      <c r="K4" s="705"/>
      <c r="P4" s="345"/>
      <c r="Q4" s="267"/>
      <c r="R4" s="361"/>
      <c r="S4" s="2668" t="s">
        <v>7223</v>
      </c>
      <c r="T4" s="2668"/>
      <c r="U4" s="2668"/>
      <c r="V4" s="2668"/>
      <c r="W4" s="2668"/>
      <c r="X4" s="361"/>
      <c r="Z4" s="392"/>
      <c r="AA4" s="392"/>
      <c r="AB4" s="392"/>
      <c r="AC4" s="83"/>
      <c r="AD4" s="83"/>
      <c r="AE4" s="83"/>
      <c r="AF4" s="83"/>
      <c r="AG4" s="705"/>
      <c r="AH4" s="705"/>
    </row>
    <row r="5" spans="1:34" ht="46.5" thickTop="1" thickBot="1">
      <c r="A5" s="197"/>
      <c r="B5" s="445" t="s">
        <v>7224</v>
      </c>
      <c r="C5" s="446" t="s">
        <v>7225</v>
      </c>
      <c r="D5" s="446" t="s">
        <v>670</v>
      </c>
      <c r="E5" s="566" t="s">
        <v>9200</v>
      </c>
      <c r="F5" s="566" t="s">
        <v>9201</v>
      </c>
      <c r="G5" s="566" t="s">
        <v>7445</v>
      </c>
      <c r="H5" s="566" t="s">
        <v>8160</v>
      </c>
      <c r="I5" s="566" t="s">
        <v>9202</v>
      </c>
      <c r="J5" s="706" t="s">
        <v>7445</v>
      </c>
      <c r="K5" s="197"/>
      <c r="L5" s="449" t="s">
        <v>7229</v>
      </c>
      <c r="M5" s="197"/>
      <c r="N5" s="449" t="s">
        <v>7230</v>
      </c>
      <c r="O5" s="197"/>
      <c r="P5" s="345"/>
      <c r="Q5" s="267"/>
      <c r="R5" s="361"/>
      <c r="S5" s="269" t="s">
        <v>7231</v>
      </c>
      <c r="T5" s="270"/>
      <c r="U5" s="270"/>
      <c r="V5" s="270"/>
      <c r="W5" s="270"/>
      <c r="X5" s="361"/>
      <c r="Z5" s="445" t="s">
        <v>7224</v>
      </c>
      <c r="AA5" s="566" t="s">
        <v>9200</v>
      </c>
      <c r="AB5" s="566" t="s">
        <v>9201</v>
      </c>
      <c r="AC5" s="566" t="s">
        <v>7445</v>
      </c>
      <c r="AD5" s="566" t="s">
        <v>8160</v>
      </c>
      <c r="AE5" s="566" t="s">
        <v>9202</v>
      </c>
      <c r="AF5" s="706" t="s">
        <v>7445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9203</v>
      </c>
      <c r="C7" s="394"/>
      <c r="D7" s="394"/>
      <c r="E7" s="106"/>
      <c r="F7" s="106"/>
      <c r="G7" s="661"/>
      <c r="H7" s="661"/>
      <c r="I7" s="661"/>
      <c r="J7" s="661"/>
      <c r="K7" s="197"/>
      <c r="L7" s="260"/>
      <c r="M7" s="197"/>
      <c r="N7" s="197"/>
      <c r="O7" s="197"/>
      <c r="P7" s="345"/>
      <c r="Q7" s="267"/>
      <c r="R7" s="361"/>
      <c r="S7" s="267"/>
      <c r="T7" s="267"/>
      <c r="U7" s="267"/>
      <c r="V7" s="267"/>
      <c r="W7" s="267"/>
      <c r="X7" s="361"/>
      <c r="Z7" s="393" t="s">
        <v>9203</v>
      </c>
      <c r="AA7" s="106"/>
      <c r="AB7" s="106"/>
      <c r="AC7" s="661"/>
      <c r="AD7" s="661"/>
      <c r="AE7" s="661"/>
      <c r="AF7" s="661"/>
    </row>
    <row r="8" spans="1:34" ht="15.75" customHeight="1" thickTop="1">
      <c r="A8" s="197"/>
      <c r="B8" s="451" t="s">
        <v>9204</v>
      </c>
      <c r="C8" s="277" t="s">
        <v>681</v>
      </c>
      <c r="D8" s="277">
        <v>3</v>
      </c>
      <c r="E8" s="278">
        <v>180.49600000000001</v>
      </c>
      <c r="F8" s="278">
        <v>1.4550000000000001</v>
      </c>
      <c r="G8" s="279">
        <f>IFERROR(SUM(E8:F8),0)</f>
        <v>181.95100000000002</v>
      </c>
      <c r="H8" s="278">
        <v>45.942</v>
      </c>
      <c r="I8" s="278">
        <v>136.00900000000001</v>
      </c>
      <c r="J8" s="280">
        <f>IFERROR(SUM(H8:I8),0)</f>
        <v>181.95100000000002</v>
      </c>
      <c r="K8" s="197"/>
      <c r="L8" s="696" t="s">
        <v>9205</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9204</v>
      </c>
      <c r="AA8" s="278" t="s">
        <v>9206</v>
      </c>
      <c r="AB8" s="278" t="s">
        <v>9207</v>
      </c>
      <c r="AC8" s="279" t="s">
        <v>9208</v>
      </c>
      <c r="AD8" s="278" t="s">
        <v>9209</v>
      </c>
      <c r="AE8" s="278" t="s">
        <v>9210</v>
      </c>
      <c r="AF8" s="280" t="s">
        <v>9211</v>
      </c>
    </row>
    <row r="9" spans="1:34" ht="15.75" customHeight="1">
      <c r="A9" s="197"/>
      <c r="B9" s="460" t="s">
        <v>9212</v>
      </c>
      <c r="C9" s="286" t="s">
        <v>681</v>
      </c>
      <c r="D9" s="286">
        <v>3</v>
      </c>
      <c r="E9" s="287">
        <v>156.19200000000001</v>
      </c>
      <c r="F9" s="287">
        <v>85.564999999999998</v>
      </c>
      <c r="G9" s="288">
        <f>IFERROR(SUM(E9:F9),0)</f>
        <v>241.75700000000001</v>
      </c>
      <c r="H9" s="287">
        <v>54.741</v>
      </c>
      <c r="I9" s="287">
        <v>187.01599999999999</v>
      </c>
      <c r="J9" s="289">
        <f>IFERROR(SUM(H9:I9),0)</f>
        <v>241.75700000000001</v>
      </c>
      <c r="K9" s="197"/>
      <c r="L9" s="699" t="s">
        <v>9213</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9212</v>
      </c>
      <c r="AA9" s="287" t="s">
        <v>9214</v>
      </c>
      <c r="AB9" s="287" t="s">
        <v>9215</v>
      </c>
      <c r="AC9" s="288" t="s">
        <v>9216</v>
      </c>
      <c r="AD9" s="287" t="s">
        <v>9217</v>
      </c>
      <c r="AE9" s="287" t="s">
        <v>9218</v>
      </c>
      <c r="AF9" s="289" t="s">
        <v>9219</v>
      </c>
    </row>
    <row r="10" spans="1:34" ht="15.75" customHeight="1">
      <c r="A10" s="197"/>
      <c r="B10" s="460" t="s">
        <v>9220</v>
      </c>
      <c r="C10" s="286" t="s">
        <v>681</v>
      </c>
      <c r="D10" s="286">
        <v>3</v>
      </c>
      <c r="E10" s="287">
        <v>0.84199999999999997</v>
      </c>
      <c r="F10" s="287">
        <v>4.4029999999999996</v>
      </c>
      <c r="G10" s="288">
        <f>IFERROR(SUM(E10:F10),0)</f>
        <v>5.2449999999999992</v>
      </c>
      <c r="H10" s="287">
        <v>0.497</v>
      </c>
      <c r="I10" s="287">
        <v>4.7480000000000002</v>
      </c>
      <c r="J10" s="289">
        <f>IFERROR(SUM(H10:I10),0)</f>
        <v>5.2450000000000001</v>
      </c>
      <c r="K10" s="197"/>
      <c r="L10" s="699" t="s">
        <v>9221</v>
      </c>
      <c r="M10" s="197"/>
      <c r="N10" s="291"/>
      <c r="O10" s="197"/>
      <c r="P10" s="363"/>
      <c r="Q10" s="284">
        <f t="shared" si="3"/>
        <v>0</v>
      </c>
      <c r="R10" s="361"/>
      <c r="S10" s="285">
        <f t="shared" si="4"/>
        <v>0</v>
      </c>
      <c r="T10" s="285">
        <f t="shared" si="0"/>
        <v>0</v>
      </c>
      <c r="U10" s="270"/>
      <c r="V10" s="285">
        <f t="shared" si="1"/>
        <v>0</v>
      </c>
      <c r="W10" s="285">
        <f t="shared" si="2"/>
        <v>0</v>
      </c>
      <c r="X10" s="361"/>
      <c r="Z10" s="460" t="s">
        <v>9220</v>
      </c>
      <c r="AA10" s="287" t="s">
        <v>9222</v>
      </c>
      <c r="AB10" s="287" t="s">
        <v>9223</v>
      </c>
      <c r="AC10" s="288" t="s">
        <v>9224</v>
      </c>
      <c r="AD10" s="287" t="s">
        <v>9225</v>
      </c>
      <c r="AE10" s="287" t="s">
        <v>9226</v>
      </c>
      <c r="AF10" s="289" t="s">
        <v>9227</v>
      </c>
    </row>
    <row r="11" spans="1:34" ht="15.75" customHeight="1" thickBot="1">
      <c r="A11" s="197"/>
      <c r="B11" s="463" t="s">
        <v>9228</v>
      </c>
      <c r="C11" s="355" t="s">
        <v>681</v>
      </c>
      <c r="D11" s="355">
        <v>3</v>
      </c>
      <c r="E11" s="298">
        <f t="shared" ref="E11:J11" si="5">IFERROR(SUM(E8:E10),0)</f>
        <v>337.53</v>
      </c>
      <c r="F11" s="298">
        <f t="shared" si="5"/>
        <v>91.423000000000002</v>
      </c>
      <c r="G11" s="298">
        <f t="shared" si="5"/>
        <v>428.95300000000003</v>
      </c>
      <c r="H11" s="708">
        <f t="shared" si="5"/>
        <v>101.17999999999999</v>
      </c>
      <c r="I11" s="708">
        <f t="shared" si="5"/>
        <v>327.77299999999997</v>
      </c>
      <c r="J11" s="299">
        <f t="shared" si="5"/>
        <v>428.95300000000003</v>
      </c>
      <c r="K11" s="197"/>
      <c r="L11" s="700" t="s">
        <v>9229</v>
      </c>
      <c r="M11" s="197"/>
      <c r="N11" s="302"/>
      <c r="O11" s="197"/>
      <c r="P11" s="363"/>
      <c r="Q11" s="284"/>
      <c r="R11" s="361"/>
      <c r="S11" s="270"/>
      <c r="T11" s="270"/>
      <c r="U11" s="270"/>
      <c r="V11" s="270"/>
      <c r="W11" s="270"/>
      <c r="X11" s="361"/>
      <c r="Z11" s="463" t="s">
        <v>9228</v>
      </c>
      <c r="AA11" s="298" t="s">
        <v>9230</v>
      </c>
      <c r="AB11" s="298" t="s">
        <v>9231</v>
      </c>
      <c r="AC11" s="298" t="s">
        <v>9232</v>
      </c>
      <c r="AD11" s="708" t="s">
        <v>9233</v>
      </c>
      <c r="AE11" s="708" t="s">
        <v>9234</v>
      </c>
      <c r="AF11" s="299" t="s">
        <v>9235</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7224</v>
      </c>
      <c r="C13" s="446" t="s">
        <v>7225</v>
      </c>
      <c r="D13" s="446" t="s">
        <v>670</v>
      </c>
      <c r="E13" s="709" t="s">
        <v>9200</v>
      </c>
      <c r="F13" s="709" t="s">
        <v>9201</v>
      </c>
      <c r="G13" s="709" t="s">
        <v>7445</v>
      </c>
      <c r="H13" s="709" t="s">
        <v>8969</v>
      </c>
      <c r="I13" s="709" t="s">
        <v>8163</v>
      </c>
      <c r="J13" s="710" t="s">
        <v>7445</v>
      </c>
      <c r="K13" s="197"/>
      <c r="L13" s="260"/>
      <c r="M13" s="197"/>
      <c r="N13" s="197"/>
      <c r="O13" s="197"/>
      <c r="P13" s="363"/>
      <c r="Q13" s="284"/>
      <c r="R13" s="361"/>
      <c r="S13" s="270"/>
      <c r="T13" s="270"/>
      <c r="U13" s="270"/>
      <c r="V13" s="270"/>
      <c r="W13" s="270"/>
      <c r="X13" s="361"/>
      <c r="Z13" s="445" t="s">
        <v>7224</v>
      </c>
      <c r="AA13" s="709" t="s">
        <v>9200</v>
      </c>
      <c r="AB13" s="709" t="s">
        <v>9201</v>
      </c>
      <c r="AC13" s="709" t="s">
        <v>7445</v>
      </c>
      <c r="AD13" s="709" t="s">
        <v>8969</v>
      </c>
      <c r="AE13" s="709" t="s">
        <v>8163</v>
      </c>
      <c r="AF13" s="710" t="s">
        <v>7445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9236</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9236</v>
      </c>
      <c r="AA15" s="309"/>
      <c r="AB15" s="309"/>
      <c r="AC15" s="660"/>
      <c r="AD15" s="660"/>
      <c r="AE15" s="660"/>
      <c r="AF15" s="660"/>
    </row>
    <row r="16" spans="1:34" ht="15.75" customHeight="1" thickTop="1">
      <c r="A16" s="197"/>
      <c r="B16" s="451" t="s">
        <v>9237</v>
      </c>
      <c r="C16" s="277" t="s">
        <v>681</v>
      </c>
      <c r="D16" s="277">
        <v>3</v>
      </c>
      <c r="E16" s="278">
        <v>131.72499999999999</v>
      </c>
      <c r="F16" s="278">
        <v>0.72399999999999998</v>
      </c>
      <c r="G16" s="279">
        <f t="shared" ref="G16:G22" si="6">IFERROR(SUM(E16:F16),0)</f>
        <v>132.44899999999998</v>
      </c>
      <c r="H16" s="278">
        <v>120.806</v>
      </c>
      <c r="I16" s="278">
        <v>11.643000000000001</v>
      </c>
      <c r="J16" s="280">
        <f t="shared" ref="J16:J22" si="7">IFERROR(SUM(H16:I16),0)</f>
        <v>132.44900000000001</v>
      </c>
      <c r="K16" s="197"/>
      <c r="L16" s="696" t="s">
        <v>9238</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9237</v>
      </c>
      <c r="AA16" s="278" t="s">
        <v>9239</v>
      </c>
      <c r="AB16" s="278" t="s">
        <v>9240</v>
      </c>
      <c r="AC16" s="279" t="s">
        <v>9241</v>
      </c>
      <c r="AD16" s="278" t="s">
        <v>9242</v>
      </c>
      <c r="AE16" s="278" t="s">
        <v>9243</v>
      </c>
      <c r="AF16" s="280" t="s">
        <v>9244</v>
      </c>
    </row>
    <row r="17" spans="1:32" ht="15.75" customHeight="1">
      <c r="A17" s="197"/>
      <c r="B17" s="460" t="s">
        <v>9245</v>
      </c>
      <c r="C17" s="286" t="s">
        <v>681</v>
      </c>
      <c r="D17" s="286">
        <v>3</v>
      </c>
      <c r="E17" s="287">
        <v>0.34</v>
      </c>
      <c r="F17" s="287">
        <v>1.728</v>
      </c>
      <c r="G17" s="288">
        <f t="shared" si="6"/>
        <v>2.0680000000000001</v>
      </c>
      <c r="H17" s="287">
        <v>1.875</v>
      </c>
      <c r="I17" s="287">
        <v>0.193</v>
      </c>
      <c r="J17" s="289">
        <f t="shared" si="7"/>
        <v>2.0680000000000001</v>
      </c>
      <c r="K17" s="197"/>
      <c r="L17" s="699" t="s">
        <v>9246</v>
      </c>
      <c r="M17" s="197"/>
      <c r="N17" s="291"/>
      <c r="O17" s="197"/>
      <c r="P17" s="363"/>
      <c r="Q17" s="284">
        <f t="shared" si="8"/>
        <v>0</v>
      </c>
      <c r="R17" s="361"/>
      <c r="S17" s="285">
        <f t="shared" si="9"/>
        <v>0</v>
      </c>
      <c r="T17" s="285">
        <f t="shared" si="10"/>
        <v>0</v>
      </c>
      <c r="U17" s="270"/>
      <c r="V17" s="285">
        <f t="shared" si="11"/>
        <v>0</v>
      </c>
      <c r="W17" s="285">
        <f t="shared" si="12"/>
        <v>0</v>
      </c>
      <c r="X17" s="361"/>
      <c r="Z17" s="460" t="s">
        <v>9245</v>
      </c>
      <c r="AA17" s="287" t="s">
        <v>9247</v>
      </c>
      <c r="AB17" s="287" t="s">
        <v>9248</v>
      </c>
      <c r="AC17" s="288" t="s">
        <v>9249</v>
      </c>
      <c r="AD17" s="287" t="s">
        <v>9250</v>
      </c>
      <c r="AE17" s="287" t="s">
        <v>9251</v>
      </c>
      <c r="AF17" s="289" t="s">
        <v>9252</v>
      </c>
    </row>
    <row r="18" spans="1:32" ht="15.75" customHeight="1">
      <c r="A18" s="197"/>
      <c r="B18" s="460" t="s">
        <v>9253</v>
      </c>
      <c r="C18" s="286" t="s">
        <v>681</v>
      </c>
      <c r="D18" s="286">
        <v>3</v>
      </c>
      <c r="E18" s="287">
        <v>0.17199999999999999</v>
      </c>
      <c r="F18" s="287">
        <v>0.82299999999999995</v>
      </c>
      <c r="G18" s="288">
        <f t="shared" si="6"/>
        <v>0.99499999999999988</v>
      </c>
      <c r="H18" s="287">
        <v>0.85</v>
      </c>
      <c r="I18" s="287">
        <v>0.14499999999999999</v>
      </c>
      <c r="J18" s="289">
        <f t="shared" si="7"/>
        <v>0.995</v>
      </c>
      <c r="K18" s="197"/>
      <c r="L18" s="699" t="s">
        <v>9254</v>
      </c>
      <c r="M18" s="197"/>
      <c r="N18" s="291"/>
      <c r="O18" s="197"/>
      <c r="P18" s="363"/>
      <c r="Q18" s="284">
        <f t="shared" si="8"/>
        <v>0</v>
      </c>
      <c r="R18" s="361"/>
      <c r="S18" s="285">
        <f t="shared" si="9"/>
        <v>0</v>
      </c>
      <c r="T18" s="285">
        <f t="shared" si="10"/>
        <v>0</v>
      </c>
      <c r="U18" s="270"/>
      <c r="V18" s="285">
        <f t="shared" si="11"/>
        <v>0</v>
      </c>
      <c r="W18" s="285">
        <f t="shared" si="12"/>
        <v>0</v>
      </c>
      <c r="X18" s="361"/>
      <c r="Z18" s="460" t="s">
        <v>9253</v>
      </c>
      <c r="AA18" s="287" t="s">
        <v>9255</v>
      </c>
      <c r="AB18" s="287" t="s">
        <v>9256</v>
      </c>
      <c r="AC18" s="288" t="s">
        <v>9257</v>
      </c>
      <c r="AD18" s="287" t="s">
        <v>9258</v>
      </c>
      <c r="AE18" s="287" t="s">
        <v>9259</v>
      </c>
      <c r="AF18" s="289" t="s">
        <v>9260</v>
      </c>
    </row>
    <row r="19" spans="1:32" ht="15.75" customHeight="1">
      <c r="A19" s="197"/>
      <c r="B19" s="460" t="s">
        <v>9261</v>
      </c>
      <c r="C19" s="286" t="s">
        <v>681</v>
      </c>
      <c r="D19" s="286">
        <v>3</v>
      </c>
      <c r="E19" s="287">
        <v>38.137</v>
      </c>
      <c r="F19" s="287">
        <v>39.198999999999998</v>
      </c>
      <c r="G19" s="288">
        <f t="shared" si="6"/>
        <v>77.335999999999999</v>
      </c>
      <c r="H19" s="287">
        <v>70.902000000000001</v>
      </c>
      <c r="I19" s="287">
        <v>6.4340000000000002</v>
      </c>
      <c r="J19" s="289">
        <f t="shared" si="7"/>
        <v>77.335999999999999</v>
      </c>
      <c r="K19" s="197"/>
      <c r="L19" s="699" t="s">
        <v>9262</v>
      </c>
      <c r="M19" s="197"/>
      <c r="N19" s="291"/>
      <c r="O19" s="197"/>
      <c r="P19" s="363"/>
      <c r="Q19" s="284">
        <f t="shared" si="8"/>
        <v>0</v>
      </c>
      <c r="R19" s="361"/>
      <c r="S19" s="285">
        <f t="shared" si="9"/>
        <v>0</v>
      </c>
      <c r="T19" s="285">
        <f t="shared" si="10"/>
        <v>0</v>
      </c>
      <c r="U19" s="270"/>
      <c r="V19" s="285">
        <f t="shared" si="11"/>
        <v>0</v>
      </c>
      <c r="W19" s="285">
        <f t="shared" si="12"/>
        <v>0</v>
      </c>
      <c r="X19" s="361"/>
      <c r="Z19" s="460" t="s">
        <v>9261</v>
      </c>
      <c r="AA19" s="287" t="s">
        <v>9263</v>
      </c>
      <c r="AB19" s="287" t="s">
        <v>9264</v>
      </c>
      <c r="AC19" s="288" t="s">
        <v>9265</v>
      </c>
      <c r="AD19" s="287" t="s">
        <v>9266</v>
      </c>
      <c r="AE19" s="287" t="s">
        <v>9267</v>
      </c>
      <c r="AF19" s="289" t="s">
        <v>9268</v>
      </c>
    </row>
    <row r="20" spans="1:32" ht="15.75" customHeight="1">
      <c r="A20" s="197"/>
      <c r="B20" s="460" t="s">
        <v>9269</v>
      </c>
      <c r="C20" s="286" t="s">
        <v>681</v>
      </c>
      <c r="D20" s="286">
        <v>3</v>
      </c>
      <c r="E20" s="287">
        <v>23.347000000000001</v>
      </c>
      <c r="F20" s="287">
        <v>23.228000000000002</v>
      </c>
      <c r="G20" s="288">
        <f t="shared" si="6"/>
        <v>46.575000000000003</v>
      </c>
      <c r="H20" s="287">
        <v>42.494999999999997</v>
      </c>
      <c r="I20" s="287">
        <v>4.08</v>
      </c>
      <c r="J20" s="289">
        <f t="shared" si="7"/>
        <v>46.574999999999996</v>
      </c>
      <c r="K20" s="197"/>
      <c r="L20" s="699" t="s">
        <v>9270</v>
      </c>
      <c r="M20" s="197"/>
      <c r="N20" s="291"/>
      <c r="O20" s="197"/>
      <c r="P20" s="363"/>
      <c r="Q20" s="284">
        <f t="shared" si="8"/>
        <v>0</v>
      </c>
      <c r="R20" s="361"/>
      <c r="S20" s="285">
        <f t="shared" si="9"/>
        <v>0</v>
      </c>
      <c r="T20" s="285">
        <f t="shared" si="10"/>
        <v>0</v>
      </c>
      <c r="U20" s="270"/>
      <c r="V20" s="285">
        <f t="shared" si="11"/>
        <v>0</v>
      </c>
      <c r="W20" s="285">
        <f t="shared" si="12"/>
        <v>0</v>
      </c>
      <c r="X20" s="361"/>
      <c r="Z20" s="460" t="s">
        <v>9269</v>
      </c>
      <c r="AA20" s="287" t="s">
        <v>9271</v>
      </c>
      <c r="AB20" s="287" t="s">
        <v>9272</v>
      </c>
      <c r="AC20" s="288" t="s">
        <v>9273</v>
      </c>
      <c r="AD20" s="287" t="s">
        <v>9274</v>
      </c>
      <c r="AE20" s="287" t="s">
        <v>9275</v>
      </c>
      <c r="AF20" s="289" t="s">
        <v>9276</v>
      </c>
    </row>
    <row r="21" spans="1:32" ht="15.75" customHeight="1">
      <c r="A21" s="197"/>
      <c r="B21" s="460" t="s">
        <v>9277</v>
      </c>
      <c r="C21" s="286" t="s">
        <v>681</v>
      </c>
      <c r="D21" s="286">
        <v>3</v>
      </c>
      <c r="E21" s="287">
        <v>12.313000000000001</v>
      </c>
      <c r="F21" s="287">
        <v>10.808</v>
      </c>
      <c r="G21" s="288">
        <f t="shared" si="6"/>
        <v>23.121000000000002</v>
      </c>
      <c r="H21" s="287">
        <v>21.216000000000001</v>
      </c>
      <c r="I21" s="287">
        <v>1.905</v>
      </c>
      <c r="J21" s="289">
        <f t="shared" si="7"/>
        <v>23.121000000000002</v>
      </c>
      <c r="K21" s="197"/>
      <c r="L21" s="699" t="s">
        <v>9278</v>
      </c>
      <c r="M21" s="197"/>
      <c r="N21" s="291"/>
      <c r="O21" s="197"/>
      <c r="P21" s="363"/>
      <c r="Q21" s="284">
        <f t="shared" si="8"/>
        <v>0</v>
      </c>
      <c r="R21" s="361"/>
      <c r="S21" s="285">
        <f t="shared" si="9"/>
        <v>0</v>
      </c>
      <c r="T21" s="285">
        <f t="shared" si="10"/>
        <v>0</v>
      </c>
      <c r="U21" s="270"/>
      <c r="V21" s="285">
        <f t="shared" si="11"/>
        <v>0</v>
      </c>
      <c r="W21" s="285">
        <f t="shared" si="12"/>
        <v>0</v>
      </c>
      <c r="X21" s="361"/>
      <c r="Z21" s="460" t="s">
        <v>9277</v>
      </c>
      <c r="AA21" s="287" t="s">
        <v>9279</v>
      </c>
      <c r="AB21" s="287" t="s">
        <v>9280</v>
      </c>
      <c r="AC21" s="288" t="s">
        <v>9281</v>
      </c>
      <c r="AD21" s="287" t="s">
        <v>9282</v>
      </c>
      <c r="AE21" s="287" t="s">
        <v>9283</v>
      </c>
      <c r="AF21" s="289" t="s">
        <v>9284</v>
      </c>
    </row>
    <row r="22" spans="1:32" ht="15.75" customHeight="1">
      <c r="A22" s="197"/>
      <c r="B22" s="460" t="s">
        <v>9220</v>
      </c>
      <c r="C22" s="286" t="s">
        <v>681</v>
      </c>
      <c r="D22" s="286">
        <v>3</v>
      </c>
      <c r="E22" s="287">
        <v>1.081</v>
      </c>
      <c r="F22" s="287">
        <v>0</v>
      </c>
      <c r="G22" s="288">
        <f t="shared" si="6"/>
        <v>1.081</v>
      </c>
      <c r="H22" s="287">
        <v>1.081</v>
      </c>
      <c r="I22" s="287">
        <v>0</v>
      </c>
      <c r="J22" s="289">
        <f t="shared" si="7"/>
        <v>1.081</v>
      </c>
      <c r="K22" s="197"/>
      <c r="L22" s="699" t="s">
        <v>9285</v>
      </c>
      <c r="M22" s="197"/>
      <c r="N22" s="291"/>
      <c r="O22" s="197"/>
      <c r="P22" s="363"/>
      <c r="Q22" s="284">
        <f t="shared" si="8"/>
        <v>0</v>
      </c>
      <c r="R22" s="361"/>
      <c r="S22" s="285">
        <f t="shared" si="9"/>
        <v>0</v>
      </c>
      <c r="T22" s="285">
        <f t="shared" si="10"/>
        <v>0</v>
      </c>
      <c r="U22" s="270"/>
      <c r="V22" s="285">
        <f t="shared" si="11"/>
        <v>0</v>
      </c>
      <c r="W22" s="285">
        <f t="shared" si="12"/>
        <v>0</v>
      </c>
      <c r="X22" s="361"/>
      <c r="Z22" s="460" t="s">
        <v>9220</v>
      </c>
      <c r="AA22" s="287" t="s">
        <v>9286</v>
      </c>
      <c r="AB22" s="287" t="s">
        <v>9287</v>
      </c>
      <c r="AC22" s="288" t="s">
        <v>9288</v>
      </c>
      <c r="AD22" s="287" t="s">
        <v>9289</v>
      </c>
      <c r="AE22" s="287" t="s">
        <v>9290</v>
      </c>
      <c r="AF22" s="289" t="s">
        <v>9291</v>
      </c>
    </row>
    <row r="23" spans="1:32" ht="15.75" customHeight="1" thickBot="1">
      <c r="A23" s="197"/>
      <c r="B23" s="463" t="s">
        <v>9292</v>
      </c>
      <c r="C23" s="355" t="s">
        <v>681</v>
      </c>
      <c r="D23" s="355">
        <v>3</v>
      </c>
      <c r="E23" s="298">
        <f t="shared" ref="E23:J23" si="13">IFERROR(SUM(E16:E22),0)</f>
        <v>207.11499999999998</v>
      </c>
      <c r="F23" s="298">
        <f t="shared" si="13"/>
        <v>76.509999999999991</v>
      </c>
      <c r="G23" s="298">
        <f t="shared" si="13"/>
        <v>283.625</v>
      </c>
      <c r="H23" s="708">
        <f t="shared" si="13"/>
        <v>259.22500000000002</v>
      </c>
      <c r="I23" s="298">
        <f t="shared" si="13"/>
        <v>24.4</v>
      </c>
      <c r="J23" s="299">
        <f t="shared" si="13"/>
        <v>283.625</v>
      </c>
      <c r="K23" s="197"/>
      <c r="L23" s="700" t="s">
        <v>9293</v>
      </c>
      <c r="M23" s="197"/>
      <c r="N23" s="302"/>
      <c r="O23" s="197"/>
      <c r="P23" s="363"/>
      <c r="Q23" s="284"/>
      <c r="R23" s="361"/>
      <c r="S23" s="270"/>
      <c r="T23" s="270"/>
      <c r="U23" s="270"/>
      <c r="V23" s="270"/>
      <c r="W23" s="270"/>
      <c r="X23" s="361"/>
      <c r="Z23" s="463" t="s">
        <v>9292</v>
      </c>
      <c r="AA23" s="298" t="s">
        <v>9294</v>
      </c>
      <c r="AB23" s="298" t="s">
        <v>9295</v>
      </c>
      <c r="AC23" s="298" t="s">
        <v>9296</v>
      </c>
      <c r="AD23" s="708" t="s">
        <v>9297</v>
      </c>
      <c r="AE23" s="298" t="s">
        <v>9298</v>
      </c>
      <c r="AF23" s="299" t="s">
        <v>9299</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9300</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8260</v>
      </c>
      <c r="AA25" s="309"/>
      <c r="AB25" s="309"/>
      <c r="AC25" s="660"/>
      <c r="AD25" s="309"/>
      <c r="AE25" s="309"/>
      <c r="AF25" s="309"/>
    </row>
    <row r="26" spans="1:32" ht="15.75" customHeight="1" thickTop="1">
      <c r="A26" s="197"/>
      <c r="B26" s="451" t="s">
        <v>9204</v>
      </c>
      <c r="C26" s="277" t="s">
        <v>681</v>
      </c>
      <c r="D26" s="277">
        <v>3</v>
      </c>
      <c r="E26" s="278">
        <v>0</v>
      </c>
      <c r="F26" s="278">
        <v>0</v>
      </c>
      <c r="G26" s="280">
        <f>IFERROR(SUM(E26:F26),0)</f>
        <v>0</v>
      </c>
      <c r="H26" s="712"/>
      <c r="I26" s="712"/>
      <c r="J26" s="712"/>
      <c r="K26" s="197"/>
      <c r="L26" s="696" t="s">
        <v>9301</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9204</v>
      </c>
      <c r="AA26" s="278" t="s">
        <v>9302</v>
      </c>
      <c r="AB26" s="278" t="s">
        <v>9303</v>
      </c>
      <c r="AC26" s="280" t="s">
        <v>9304</v>
      </c>
      <c r="AD26" s="712"/>
      <c r="AE26" s="712"/>
      <c r="AF26" s="712"/>
    </row>
    <row r="27" spans="1:32" ht="15.75" customHeight="1">
      <c r="A27" s="197"/>
      <c r="B27" s="460" t="s">
        <v>9212</v>
      </c>
      <c r="C27" s="286" t="s">
        <v>681</v>
      </c>
      <c r="D27" s="286">
        <v>3</v>
      </c>
      <c r="E27" s="287">
        <v>0</v>
      </c>
      <c r="F27" s="287">
        <v>0</v>
      </c>
      <c r="G27" s="289">
        <f>IFERROR(SUM(E27:F27),0)</f>
        <v>0</v>
      </c>
      <c r="H27" s="713"/>
      <c r="I27" s="713"/>
      <c r="J27" s="713"/>
      <c r="K27" s="197"/>
      <c r="L27" s="699" t="s">
        <v>9305</v>
      </c>
      <c r="M27" s="197"/>
      <c r="N27" s="291"/>
      <c r="O27" s="197"/>
      <c r="P27" s="363"/>
      <c r="Q27" s="284">
        <f t="shared" si="14"/>
        <v>0</v>
      </c>
      <c r="R27" s="361"/>
      <c r="S27" s="285">
        <f t="shared" si="15"/>
        <v>0</v>
      </c>
      <c r="T27" s="285">
        <f t="shared" si="16"/>
        <v>0</v>
      </c>
      <c r="U27" s="270"/>
      <c r="V27" s="270"/>
      <c r="W27" s="270"/>
      <c r="X27" s="361"/>
      <c r="Z27" s="460" t="s">
        <v>9306</v>
      </c>
      <c r="AA27" s="287" t="s">
        <v>9307</v>
      </c>
      <c r="AB27" s="287" t="s">
        <v>9308</v>
      </c>
      <c r="AC27" s="289" t="s">
        <v>9309</v>
      </c>
      <c r="AD27" s="713"/>
      <c r="AE27" s="713"/>
      <c r="AF27" s="713"/>
    </row>
    <row r="28" spans="1:32" ht="15.75" customHeight="1" thickBot="1">
      <c r="A28" s="197"/>
      <c r="B28" s="463" t="s">
        <v>9310</v>
      </c>
      <c r="C28" s="355" t="s">
        <v>681</v>
      </c>
      <c r="D28" s="355">
        <v>3</v>
      </c>
      <c r="E28" s="298">
        <f>IFERROR(SUM(E26:E27),0)</f>
        <v>0</v>
      </c>
      <c r="F28" s="298">
        <f>IFERROR(SUM(F26:F27),0)</f>
        <v>0</v>
      </c>
      <c r="G28" s="714">
        <f>IFERROR(SUM(G26:G27),0)</f>
        <v>0</v>
      </c>
      <c r="H28" s="713"/>
      <c r="I28" s="713"/>
      <c r="J28" s="713"/>
      <c r="K28" s="197"/>
      <c r="L28" s="700" t="s">
        <v>9311</v>
      </c>
      <c r="M28" s="197"/>
      <c r="N28" s="302"/>
      <c r="O28" s="197"/>
      <c r="P28" s="363"/>
      <c r="Q28" s="284"/>
      <c r="R28" s="361"/>
      <c r="S28" s="270"/>
      <c r="T28" s="270"/>
      <c r="U28" s="270"/>
      <c r="V28" s="270"/>
      <c r="W28" s="270"/>
      <c r="X28" s="361"/>
      <c r="Z28" s="463" t="s">
        <v>7445</v>
      </c>
      <c r="AA28" s="298" t="s">
        <v>9312</v>
      </c>
      <c r="AB28" s="298" t="s">
        <v>9313</v>
      </c>
      <c r="AC28" s="714" t="s">
        <v>9314</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9315</v>
      </c>
      <c r="C30" s="371" t="s">
        <v>681</v>
      </c>
      <c r="D30" s="371">
        <v>3</v>
      </c>
      <c r="E30" s="385">
        <f>IFERROR(E11+E23+E28,0)</f>
        <v>544.64499999999998</v>
      </c>
      <c r="F30" s="385">
        <f>IFERROR(F11+F23+F28,0)</f>
        <v>167.93299999999999</v>
      </c>
      <c r="G30" s="471">
        <f>IFERROR(G11+G23+G28,0)</f>
        <v>712.57799999999997</v>
      </c>
      <c r="H30" s="552"/>
      <c r="I30" s="552"/>
      <c r="J30" s="552"/>
      <c r="K30" s="197"/>
      <c r="L30" s="716" t="s">
        <v>9316</v>
      </c>
      <c r="M30" s="197"/>
      <c r="N30" s="375"/>
      <c r="O30" s="197"/>
      <c r="P30" s="363"/>
      <c r="Q30" s="284"/>
      <c r="R30" s="361"/>
      <c r="S30" s="270"/>
      <c r="T30" s="270"/>
      <c r="U30" s="270"/>
      <c r="V30" s="270"/>
      <c r="W30" s="270"/>
      <c r="X30" s="361"/>
      <c r="Z30" s="469" t="s">
        <v>9315</v>
      </c>
      <c r="AA30" s="385" t="s">
        <v>9317</v>
      </c>
      <c r="AB30" s="385" t="s">
        <v>9318</v>
      </c>
      <c r="AC30" s="471" t="s">
        <v>9319</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9006</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9006</v>
      </c>
      <c r="AA32" s="309"/>
      <c r="AB32" s="309"/>
      <c r="AC32" s="660"/>
      <c r="AD32" s="712"/>
      <c r="AE32" s="712"/>
      <c r="AF32" s="712"/>
    </row>
    <row r="33" spans="1:32" ht="15.75" customHeight="1" thickTop="1">
      <c r="A33" s="197"/>
      <c r="B33" s="451" t="s">
        <v>9204</v>
      </c>
      <c r="C33" s="277" t="s">
        <v>681</v>
      </c>
      <c r="D33" s="277">
        <v>3</v>
      </c>
      <c r="E33" s="278">
        <v>27.11</v>
      </c>
      <c r="F33" s="278">
        <v>0</v>
      </c>
      <c r="G33" s="280">
        <f>IFERROR(SUM(E33:F33),0)</f>
        <v>27.11</v>
      </c>
      <c r="H33" s="712"/>
      <c r="I33" s="712"/>
      <c r="J33" s="712"/>
      <c r="K33" s="197"/>
      <c r="L33" s="696" t="s">
        <v>9320</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9204</v>
      </c>
      <c r="AA33" s="278" t="s">
        <v>9321</v>
      </c>
      <c r="AB33" s="278" t="s">
        <v>9322</v>
      </c>
      <c r="AC33" s="280" t="s">
        <v>9323</v>
      </c>
      <c r="AD33" s="712"/>
      <c r="AE33" s="712"/>
      <c r="AF33" s="712"/>
    </row>
    <row r="34" spans="1:32" ht="15.75" customHeight="1">
      <c r="A34" s="197"/>
      <c r="B34" s="460" t="s">
        <v>9212</v>
      </c>
      <c r="C34" s="286" t="s">
        <v>681</v>
      </c>
      <c r="D34" s="286">
        <v>3</v>
      </c>
      <c r="E34" s="287">
        <v>34.186</v>
      </c>
      <c r="F34" s="287">
        <v>0</v>
      </c>
      <c r="G34" s="289">
        <f>IFERROR(SUM(E34:F34),0)</f>
        <v>34.186</v>
      </c>
      <c r="H34" s="713"/>
      <c r="I34" s="713"/>
      <c r="J34" s="713"/>
      <c r="K34" s="197"/>
      <c r="L34" s="699" t="s">
        <v>9324</v>
      </c>
      <c r="M34" s="197"/>
      <c r="N34" s="291"/>
      <c r="O34" s="197"/>
      <c r="P34" s="363"/>
      <c r="Q34" s="284">
        <f t="shared" si="17"/>
        <v>0</v>
      </c>
      <c r="R34" s="361"/>
      <c r="S34" s="285">
        <f t="shared" si="18"/>
        <v>0</v>
      </c>
      <c r="T34" s="285">
        <f t="shared" si="19"/>
        <v>0</v>
      </c>
      <c r="U34" s="270"/>
      <c r="V34" s="270"/>
      <c r="W34" s="270"/>
      <c r="X34" s="361"/>
      <c r="Z34" s="460" t="s">
        <v>9212</v>
      </c>
      <c r="AA34" s="287" t="s">
        <v>9325</v>
      </c>
      <c r="AB34" s="287" t="s">
        <v>9326</v>
      </c>
      <c r="AC34" s="289" t="s">
        <v>9327</v>
      </c>
      <c r="AD34" s="713"/>
      <c r="AE34" s="713"/>
      <c r="AF34" s="713"/>
    </row>
    <row r="35" spans="1:32" ht="15.75" customHeight="1">
      <c r="A35" s="197"/>
      <c r="B35" s="460" t="s">
        <v>9328</v>
      </c>
      <c r="C35" s="286" t="s">
        <v>681</v>
      </c>
      <c r="D35" s="286">
        <v>3</v>
      </c>
      <c r="E35" s="287">
        <v>0</v>
      </c>
      <c r="F35" s="287">
        <v>0</v>
      </c>
      <c r="G35" s="289">
        <f>IFERROR(SUM(E35:F35),0)</f>
        <v>0</v>
      </c>
      <c r="H35" s="713"/>
      <c r="I35" s="713"/>
      <c r="J35" s="713"/>
      <c r="K35" s="197"/>
      <c r="L35" s="699" t="s">
        <v>9329</v>
      </c>
      <c r="M35" s="197"/>
      <c r="N35" s="291"/>
      <c r="O35" s="197"/>
      <c r="P35" s="363"/>
      <c r="Q35" s="284">
        <f t="shared" si="17"/>
        <v>0</v>
      </c>
      <c r="R35" s="361"/>
      <c r="S35" s="285">
        <f t="shared" si="18"/>
        <v>0</v>
      </c>
      <c r="T35" s="285">
        <f t="shared" si="19"/>
        <v>0</v>
      </c>
      <c r="U35" s="270"/>
      <c r="V35" s="270"/>
      <c r="W35" s="270"/>
      <c r="X35" s="361"/>
      <c r="Z35" s="460" t="s">
        <v>9306</v>
      </c>
      <c r="AA35" s="287" t="s">
        <v>9330</v>
      </c>
      <c r="AB35" s="287" t="s">
        <v>9331</v>
      </c>
      <c r="AC35" s="289" t="s">
        <v>9332</v>
      </c>
      <c r="AD35" s="713"/>
      <c r="AE35" s="713"/>
      <c r="AF35" s="713"/>
    </row>
    <row r="36" spans="1:32" ht="15.75" customHeight="1" thickBot="1">
      <c r="A36" s="197"/>
      <c r="B36" s="463" t="s">
        <v>9333</v>
      </c>
      <c r="C36" s="355" t="s">
        <v>681</v>
      </c>
      <c r="D36" s="355">
        <v>3</v>
      </c>
      <c r="E36" s="298">
        <f>IFERROR(SUM(E33:E35),0)</f>
        <v>61.295999999999999</v>
      </c>
      <c r="F36" s="298">
        <f>IFERROR(SUM(F33:F35),0)</f>
        <v>0</v>
      </c>
      <c r="G36" s="299">
        <f>IFERROR(SUM(G33:G35),0)</f>
        <v>61.295999999999999</v>
      </c>
      <c r="H36" s="713"/>
      <c r="I36" s="713"/>
      <c r="J36" s="713"/>
      <c r="K36" s="197"/>
      <c r="L36" s="700" t="s">
        <v>9334</v>
      </c>
      <c r="M36" s="197"/>
      <c r="N36" s="302"/>
      <c r="O36" s="197"/>
      <c r="P36" s="363"/>
      <c r="Q36" s="284"/>
      <c r="R36" s="361"/>
      <c r="S36" s="270"/>
      <c r="T36" s="270"/>
      <c r="U36" s="270"/>
      <c r="V36" s="270"/>
      <c r="W36" s="270"/>
      <c r="X36" s="361"/>
      <c r="Z36" s="463" t="s">
        <v>9335</v>
      </c>
      <c r="AA36" s="298" t="s">
        <v>9336</v>
      </c>
      <c r="AB36" s="298" t="s">
        <v>9337</v>
      </c>
      <c r="AC36" s="299" t="s">
        <v>9338</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9339</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9339</v>
      </c>
      <c r="AA38" s="309"/>
      <c r="AB38" s="309"/>
      <c r="AC38" s="660"/>
      <c r="AD38" s="713"/>
      <c r="AE38" s="713"/>
      <c r="AF38" s="713"/>
    </row>
    <row r="39" spans="1:32" ht="15.75" customHeight="1" thickTop="1">
      <c r="A39" s="197"/>
      <c r="B39" s="451" t="s">
        <v>9340</v>
      </c>
      <c r="C39" s="277" t="s">
        <v>681</v>
      </c>
      <c r="D39" s="277">
        <v>3</v>
      </c>
      <c r="E39" s="662"/>
      <c r="F39" s="662"/>
      <c r="G39" s="717">
        <v>3.5169999999999999</v>
      </c>
      <c r="H39" s="713"/>
      <c r="I39" s="713"/>
      <c r="J39" s="713"/>
      <c r="K39" s="197"/>
      <c r="L39" s="696" t="s">
        <v>9341</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9340</v>
      </c>
      <c r="AA39" s="662"/>
      <c r="AB39" s="662"/>
      <c r="AC39" s="717" t="s">
        <v>9342</v>
      </c>
      <c r="AD39" s="713"/>
      <c r="AE39" s="713"/>
      <c r="AF39" s="713"/>
    </row>
    <row r="40" spans="1:32" ht="15.75" customHeight="1">
      <c r="A40" s="197"/>
      <c r="B40" s="460" t="s">
        <v>9343</v>
      </c>
      <c r="C40" s="286" t="s">
        <v>681</v>
      </c>
      <c r="D40" s="286">
        <v>3</v>
      </c>
      <c r="E40" s="399"/>
      <c r="F40" s="399"/>
      <c r="G40" s="405">
        <v>0</v>
      </c>
      <c r="H40" s="713"/>
      <c r="I40" s="713"/>
      <c r="J40" s="713"/>
      <c r="K40" s="197"/>
      <c r="L40" s="699" t="s">
        <v>9344</v>
      </c>
      <c r="M40" s="197"/>
      <c r="N40" s="291"/>
      <c r="O40" s="197"/>
      <c r="P40" s="363"/>
      <c r="Q40" s="284">
        <f t="shared" si="20"/>
        <v>0</v>
      </c>
      <c r="R40" s="370"/>
      <c r="S40" s="270"/>
      <c r="T40" s="270"/>
      <c r="U40" s="285">
        <f t="shared" si="21"/>
        <v>0</v>
      </c>
      <c r="V40" s="270"/>
      <c r="W40" s="270"/>
      <c r="X40" s="361"/>
      <c r="Z40" s="460" t="s">
        <v>9343</v>
      </c>
      <c r="AA40" s="399"/>
      <c r="AB40" s="399"/>
      <c r="AC40" s="405" t="s">
        <v>9345</v>
      </c>
      <c r="AD40" s="713"/>
      <c r="AE40" s="713"/>
      <c r="AF40" s="713"/>
    </row>
    <row r="41" spans="1:32" ht="15.75" customHeight="1" thickBot="1">
      <c r="A41" s="197"/>
      <c r="B41" s="463" t="s">
        <v>9346</v>
      </c>
      <c r="C41" s="355" t="s">
        <v>681</v>
      </c>
      <c r="D41" s="355">
        <v>3</v>
      </c>
      <c r="E41" s="408"/>
      <c r="F41" s="408"/>
      <c r="G41" s="718">
        <v>5.0170000000000003</v>
      </c>
      <c r="H41" s="713"/>
      <c r="I41" s="713"/>
      <c r="J41" s="713"/>
      <c r="K41" s="197"/>
      <c r="L41" s="700" t="s">
        <v>9347</v>
      </c>
      <c r="M41" s="197"/>
      <c r="N41" s="302"/>
      <c r="O41" s="197"/>
      <c r="P41" s="363"/>
      <c r="Q41" s="284">
        <f t="shared" si="20"/>
        <v>0</v>
      </c>
      <c r="R41" s="370"/>
      <c r="S41" s="270"/>
      <c r="T41" s="270"/>
      <c r="U41" s="285">
        <f t="shared" si="21"/>
        <v>0</v>
      </c>
      <c r="V41" s="270"/>
      <c r="W41" s="270"/>
      <c r="X41" s="370"/>
      <c r="Z41" s="463" t="s">
        <v>9306</v>
      </c>
      <c r="AA41" s="408"/>
      <c r="AB41" s="408"/>
      <c r="AC41" s="718" t="s">
        <v>9348</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9349</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9349</v>
      </c>
      <c r="AA43" s="309"/>
      <c r="AB43" s="309"/>
      <c r="AC43" s="660"/>
      <c r="AD43" s="713"/>
      <c r="AE43" s="713"/>
      <c r="AF43" s="713"/>
    </row>
    <row r="44" spans="1:32" ht="15.75" customHeight="1" thickTop="1" thickBot="1">
      <c r="A44" s="197"/>
      <c r="B44" s="469" t="s">
        <v>9350</v>
      </c>
      <c r="C44" s="371" t="s">
        <v>681</v>
      </c>
      <c r="D44" s="371">
        <v>3</v>
      </c>
      <c r="E44" s="636"/>
      <c r="F44" s="636"/>
      <c r="G44" s="719">
        <v>0.29099999999999998</v>
      </c>
      <c r="H44" s="552"/>
      <c r="I44" s="552"/>
      <c r="J44" s="552"/>
      <c r="K44" s="197"/>
      <c r="L44" s="716" t="s">
        <v>9351</v>
      </c>
      <c r="M44" s="197"/>
      <c r="N44" s="375"/>
      <c r="O44" s="197"/>
      <c r="P44" s="363"/>
      <c r="Q44" s="284">
        <f>IF( SUM( S44:W44 ) = 0, 0, $S$5 )</f>
        <v>0</v>
      </c>
      <c r="R44" s="370"/>
      <c r="S44" s="270"/>
      <c r="T44" s="270"/>
      <c r="U44" s="285">
        <f xml:space="preserve"> IF( ISNUMBER(G44), 0, 1 )</f>
        <v>0</v>
      </c>
      <c r="V44" s="270"/>
      <c r="W44" s="270"/>
      <c r="X44" s="370"/>
      <c r="Z44" s="469" t="s">
        <v>9350</v>
      </c>
      <c r="AA44" s="636"/>
      <c r="AB44" s="636"/>
      <c r="AC44" s="719" t="s">
        <v>9352</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9353</v>
      </c>
      <c r="C46" s="371" t="s">
        <v>681</v>
      </c>
      <c r="D46" s="371">
        <v>3</v>
      </c>
      <c r="E46" s="636"/>
      <c r="F46" s="636"/>
      <c r="G46" s="471">
        <f>IFERROR(G30+G36+G39+G40+G41+G44,0)</f>
        <v>782.69900000000018</v>
      </c>
      <c r="H46" s="552"/>
      <c r="I46" s="552"/>
      <c r="J46" s="552"/>
      <c r="K46" s="197"/>
      <c r="L46" s="716" t="s">
        <v>9354</v>
      </c>
      <c r="M46" s="197"/>
      <c r="N46" s="375"/>
      <c r="O46" s="197"/>
      <c r="P46" s="363"/>
      <c r="Q46" s="284"/>
      <c r="R46" s="370"/>
      <c r="S46" s="270"/>
      <c r="T46" s="270"/>
      <c r="U46" s="270"/>
      <c r="V46" s="270"/>
      <c r="W46" s="270"/>
      <c r="X46" s="370"/>
      <c r="Z46" s="469" t="s">
        <v>9353</v>
      </c>
      <c r="AA46" s="636"/>
      <c r="AB46" s="636"/>
      <c r="AC46" s="471" t="s">
        <v>9355</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tabColor rgb="FF00B050"/>
    <pageSetUpPr fitToPage="1"/>
  </sheetPr>
  <dimension ref="A1:U27"/>
  <sheetViews>
    <sheetView showGridLines="0" topLeftCell="C4" zoomScale="60" zoomScaleNormal="60" zoomScaleSheetLayoutView="100" workbookViewId="0">
      <selection activeCell="F22" sqref="F22"/>
    </sheetView>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5" width="16.125" style="224" customWidth="1"/>
    <col min="6" max="6" width="17.5" style="224" customWidth="1"/>
    <col min="7" max="7" width="3.5" style="224" customWidth="1"/>
    <col min="8" max="8" width="9.25" style="260" bestFit="1" customWidth="1"/>
    <col min="9" max="9" width="1.625" style="224" customWidth="1"/>
    <col min="10" max="10" width="33.625" style="224" customWidth="1"/>
    <col min="11" max="12" width="1.625" style="224" customWidth="1"/>
    <col min="13" max="13" width="25.125" style="224" customWidth="1"/>
    <col min="14" max="14" width="1.625" style="263" customWidth="1"/>
    <col min="15" max="16" width="12.5" style="263" hidden="1" customWidth="1"/>
    <col min="17" max="17" width="1.625" style="263"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89" customFormat="1" ht="30" customHeight="1">
      <c r="B1" s="479" t="s">
        <v>9356</v>
      </c>
      <c r="C1" s="479"/>
      <c r="D1" s="479"/>
      <c r="E1" s="479"/>
      <c r="F1" s="479"/>
      <c r="G1" s="528"/>
      <c r="H1" s="260"/>
      <c r="L1" s="340"/>
      <c r="M1" s="259"/>
      <c r="N1" s="262"/>
      <c r="O1" s="263"/>
      <c r="P1" s="263"/>
      <c r="Q1" s="262"/>
      <c r="S1" s="479" t="s">
        <v>7220</v>
      </c>
    </row>
    <row r="2" spans="1:21" s="389" customFormat="1" ht="30" customHeight="1">
      <c r="B2" s="479" t="str">
        <f>SelectCompany!B4</f>
        <v>Northumbrian Water</v>
      </c>
      <c r="C2" s="529"/>
      <c r="D2" s="529"/>
      <c r="E2" s="529"/>
      <c r="F2" s="529"/>
      <c r="G2" s="528"/>
      <c r="H2" s="260"/>
      <c r="L2" s="340"/>
      <c r="M2" s="259"/>
      <c r="N2" s="262"/>
      <c r="O2" s="263"/>
      <c r="P2" s="263"/>
      <c r="Q2" s="262"/>
      <c r="S2" s="479"/>
    </row>
    <row r="3" spans="1:21" s="704" customFormat="1" ht="44.25" customHeight="1">
      <c r="B3" s="2706" t="s">
        <v>9357</v>
      </c>
      <c r="C3" s="2706"/>
      <c r="D3" s="2706"/>
      <c r="E3" s="2706"/>
      <c r="F3" s="2706"/>
      <c r="G3" s="2706"/>
      <c r="H3" s="2706"/>
      <c r="I3" s="2706"/>
      <c r="J3" s="2706"/>
      <c r="L3" s="342"/>
      <c r="M3" s="265" t="s">
        <v>7222</v>
      </c>
      <c r="N3" s="262"/>
      <c r="O3" s="263"/>
      <c r="P3" s="263"/>
      <c r="Q3" s="262"/>
      <c r="S3" s="2707" t="s">
        <v>9358</v>
      </c>
      <c r="T3" s="2708"/>
      <c r="U3" s="2708"/>
    </row>
    <row r="4" spans="1:21" s="704" customFormat="1" ht="13.5" customHeight="1" thickBot="1">
      <c r="B4" s="690"/>
      <c r="C4" s="690"/>
      <c r="D4" s="690"/>
      <c r="E4" s="690"/>
      <c r="F4" s="690"/>
      <c r="H4" s="260"/>
      <c r="L4" s="345"/>
      <c r="M4" s="224"/>
      <c r="N4" s="262"/>
      <c r="O4" s="2668" t="s">
        <v>7223</v>
      </c>
      <c r="P4" s="2668"/>
      <c r="Q4" s="262"/>
      <c r="S4" s="690"/>
      <c r="T4" s="690"/>
      <c r="U4" s="690"/>
    </row>
    <row r="5" spans="1:21" ht="56.25" customHeight="1" thickTop="1" thickBot="1">
      <c r="A5" s="197"/>
      <c r="B5" s="445" t="s">
        <v>7224</v>
      </c>
      <c r="C5" s="446" t="s">
        <v>9359</v>
      </c>
      <c r="D5" s="446" t="s">
        <v>670</v>
      </c>
      <c r="E5" s="446" t="s">
        <v>9360</v>
      </c>
      <c r="F5" s="447" t="s">
        <v>9361</v>
      </c>
      <c r="G5" s="197"/>
      <c r="H5" s="449" t="s">
        <v>7229</v>
      </c>
      <c r="I5" s="197"/>
      <c r="J5" s="449" t="s">
        <v>7230</v>
      </c>
      <c r="K5" s="197"/>
      <c r="L5" s="345"/>
      <c r="N5" s="262"/>
      <c r="O5" s="269" t="s">
        <v>7231</v>
      </c>
      <c r="P5" s="270"/>
      <c r="Q5" s="262"/>
      <c r="S5" s="445" t="s">
        <v>7224</v>
      </c>
      <c r="T5" s="446" t="s">
        <v>9360</v>
      </c>
      <c r="U5" s="447" t="s">
        <v>9361</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9362</v>
      </c>
      <c r="C7" s="394"/>
      <c r="D7" s="394"/>
      <c r="E7" s="106"/>
      <c r="F7" s="106"/>
      <c r="G7" s="197"/>
      <c r="I7" s="197"/>
      <c r="J7" s="197"/>
      <c r="K7" s="197"/>
      <c r="L7" s="345"/>
      <c r="M7" s="267"/>
      <c r="N7" s="262"/>
      <c r="O7" s="267"/>
      <c r="P7" s="267"/>
      <c r="Q7" s="262"/>
      <c r="S7" s="393" t="s">
        <v>9362</v>
      </c>
      <c r="T7" s="106"/>
      <c r="U7" s="106"/>
    </row>
    <row r="8" spans="1:21" ht="15.75" customHeight="1" thickTop="1">
      <c r="A8" s="197"/>
      <c r="B8" s="451" t="s">
        <v>9363</v>
      </c>
      <c r="C8" s="277" t="s">
        <v>681</v>
      </c>
      <c r="D8" s="277">
        <v>3</v>
      </c>
      <c r="E8" s="278">
        <v>3.8170000000000002</v>
      </c>
      <c r="F8" s="717">
        <v>0</v>
      </c>
      <c r="G8" s="197"/>
      <c r="H8" s="696" t="s">
        <v>9364</v>
      </c>
      <c r="I8" s="197"/>
      <c r="J8" s="283"/>
      <c r="K8" s="197"/>
      <c r="L8" s="345"/>
      <c r="M8" s="284">
        <f>IF( SUM( O8:P8 ) = 0, 0, $O$5 )</f>
        <v>0</v>
      </c>
      <c r="N8" s="262"/>
      <c r="O8" s="285">
        <f xml:space="preserve"> IF( ISNUMBER(E8 ), 0, 1 )</f>
        <v>0</v>
      </c>
      <c r="P8" s="285">
        <f t="shared" ref="P8:P10" si="0" xml:space="preserve"> IF( ISNUMBER(F8 ), 0, 1 )</f>
        <v>0</v>
      </c>
      <c r="Q8" s="262"/>
      <c r="S8" s="451" t="s">
        <v>9363</v>
      </c>
      <c r="T8" s="278" t="s">
        <v>9365</v>
      </c>
      <c r="U8" s="717" t="s">
        <v>9366</v>
      </c>
    </row>
    <row r="9" spans="1:21" ht="15.75" customHeight="1">
      <c r="A9" s="197"/>
      <c r="B9" s="460" t="s">
        <v>9367</v>
      </c>
      <c r="C9" s="286" t="s">
        <v>681</v>
      </c>
      <c r="D9" s="286">
        <v>3</v>
      </c>
      <c r="E9" s="287">
        <v>1.1890000000000001</v>
      </c>
      <c r="F9" s="405">
        <v>0</v>
      </c>
      <c r="G9" s="197"/>
      <c r="H9" s="699" t="s">
        <v>9368</v>
      </c>
      <c r="I9" s="197"/>
      <c r="J9" s="291"/>
      <c r="K9" s="197"/>
      <c r="L9" s="345"/>
      <c r="M9" s="284">
        <f t="shared" ref="M9:M10" si="1">IF( SUM( O9:P9 ) = 0, 0, $O$5 )</f>
        <v>0</v>
      </c>
      <c r="N9" s="262"/>
      <c r="O9" s="285">
        <f t="shared" ref="O9:O10" si="2" xml:space="preserve"> IF( ISNUMBER(E9 ), 0, 1 )</f>
        <v>0</v>
      </c>
      <c r="P9" s="285">
        <f t="shared" si="0"/>
        <v>0</v>
      </c>
      <c r="Q9" s="262"/>
      <c r="S9" s="460" t="s">
        <v>9367</v>
      </c>
      <c r="T9" s="287" t="s">
        <v>9369</v>
      </c>
      <c r="U9" s="405" t="s">
        <v>9370</v>
      </c>
    </row>
    <row r="10" spans="1:21" ht="15.75" customHeight="1">
      <c r="A10" s="197"/>
      <c r="B10" s="460" t="s">
        <v>7742</v>
      </c>
      <c r="C10" s="286" t="s">
        <v>681</v>
      </c>
      <c r="D10" s="286">
        <v>3</v>
      </c>
      <c r="E10" s="287">
        <v>0</v>
      </c>
      <c r="F10" s="405">
        <v>0</v>
      </c>
      <c r="G10" s="197"/>
      <c r="H10" s="699" t="s">
        <v>9371</v>
      </c>
      <c r="I10" s="197"/>
      <c r="J10" s="291"/>
      <c r="K10" s="197"/>
      <c r="L10" s="345"/>
      <c r="M10" s="284">
        <f t="shared" si="1"/>
        <v>0</v>
      </c>
      <c r="N10" s="262"/>
      <c r="O10" s="285">
        <f t="shared" si="2"/>
        <v>0</v>
      </c>
      <c r="P10" s="285">
        <f t="shared" si="0"/>
        <v>0</v>
      </c>
      <c r="Q10" s="262"/>
      <c r="S10" s="460" t="s">
        <v>7742</v>
      </c>
      <c r="T10" s="287" t="s">
        <v>9372</v>
      </c>
      <c r="U10" s="405" t="s">
        <v>9373</v>
      </c>
    </row>
    <row r="11" spans="1:21" ht="15.75" customHeight="1" thickBot="1">
      <c r="A11" s="197"/>
      <c r="B11" s="463" t="s">
        <v>7481</v>
      </c>
      <c r="C11" s="355" t="s">
        <v>681</v>
      </c>
      <c r="D11" s="355">
        <v>3</v>
      </c>
      <c r="E11" s="298">
        <f>IFERROR(SUM(E8:E10),0)</f>
        <v>5.0060000000000002</v>
      </c>
      <c r="F11" s="299">
        <f>IFERROR(SUM(F8:F10),0)</f>
        <v>0</v>
      </c>
      <c r="G11" s="197"/>
      <c r="H11" s="700" t="s">
        <v>9374</v>
      </c>
      <c r="I11" s="197"/>
      <c r="J11" s="302"/>
      <c r="K11" s="197"/>
      <c r="L11" s="345"/>
      <c r="M11" s="284"/>
      <c r="N11" s="262"/>
      <c r="O11" s="270"/>
      <c r="P11" s="270"/>
      <c r="Q11" s="262"/>
      <c r="S11" s="463" t="s">
        <v>7481</v>
      </c>
      <c r="T11" s="298" t="s">
        <v>9375</v>
      </c>
      <c r="U11" s="299" t="s">
        <v>9376</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9377</v>
      </c>
      <c r="C13" s="394"/>
      <c r="D13" s="394"/>
      <c r="E13" s="309"/>
      <c r="F13" s="309"/>
      <c r="G13" s="197"/>
      <c r="I13" s="197"/>
      <c r="J13" s="197"/>
      <c r="K13" s="197"/>
      <c r="L13" s="345"/>
      <c r="M13" s="284"/>
      <c r="N13" s="262"/>
      <c r="O13" s="270"/>
      <c r="P13" s="270"/>
      <c r="Q13" s="262"/>
      <c r="S13" s="393" t="s">
        <v>9377</v>
      </c>
      <c r="T13" s="309"/>
      <c r="U13" s="309"/>
    </row>
    <row r="14" spans="1:21" ht="15.75" customHeight="1" thickTop="1">
      <c r="A14" s="197"/>
      <c r="B14" s="451" t="s">
        <v>9378</v>
      </c>
      <c r="C14" s="277" t="s">
        <v>681</v>
      </c>
      <c r="D14" s="277">
        <v>3</v>
      </c>
      <c r="E14" s="278">
        <v>4.7E-2</v>
      </c>
      <c r="F14" s="717">
        <v>0</v>
      </c>
      <c r="G14" s="197"/>
      <c r="H14" s="696" t="s">
        <v>9379</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9378</v>
      </c>
      <c r="T14" s="278" t="s">
        <v>9380</v>
      </c>
      <c r="U14" s="717" t="s">
        <v>9381</v>
      </c>
    </row>
    <row r="15" spans="1:21" ht="15.75" customHeight="1">
      <c r="A15" s="197"/>
      <c r="B15" s="460" t="s">
        <v>9382</v>
      </c>
      <c r="C15" s="286" t="s">
        <v>681</v>
      </c>
      <c r="D15" s="286">
        <v>3</v>
      </c>
      <c r="E15" s="287">
        <v>0</v>
      </c>
      <c r="F15" s="405">
        <v>0</v>
      </c>
      <c r="G15" s="197"/>
      <c r="H15" s="699" t="s">
        <v>9383</v>
      </c>
      <c r="I15" s="197"/>
      <c r="J15" s="291"/>
      <c r="K15" s="197"/>
      <c r="L15" s="345"/>
      <c r="M15" s="284">
        <f t="shared" si="3"/>
        <v>0</v>
      </c>
      <c r="N15" s="262"/>
      <c r="O15" s="285">
        <f t="shared" si="4"/>
        <v>0</v>
      </c>
      <c r="P15" s="285">
        <f t="shared" si="5"/>
        <v>0</v>
      </c>
      <c r="Q15" s="262"/>
      <c r="S15" s="460" t="s">
        <v>9382</v>
      </c>
      <c r="T15" s="287" t="s">
        <v>9384</v>
      </c>
      <c r="U15" s="405" t="s">
        <v>9385</v>
      </c>
    </row>
    <row r="16" spans="1:21" ht="15.75" customHeight="1">
      <c r="A16" s="197"/>
      <c r="B16" s="460" t="s">
        <v>9367</v>
      </c>
      <c r="C16" s="286" t="s">
        <v>681</v>
      </c>
      <c r="D16" s="286">
        <v>3</v>
      </c>
      <c r="E16" s="287">
        <v>0</v>
      </c>
      <c r="F16" s="405">
        <v>0</v>
      </c>
      <c r="G16" s="197"/>
      <c r="H16" s="699" t="s">
        <v>9386</v>
      </c>
      <c r="I16" s="197"/>
      <c r="J16" s="291"/>
      <c r="K16" s="197"/>
      <c r="L16" s="345"/>
      <c r="M16" s="284">
        <f t="shared" si="3"/>
        <v>0</v>
      </c>
      <c r="N16" s="262"/>
      <c r="O16" s="285">
        <f t="shared" si="4"/>
        <v>0</v>
      </c>
      <c r="P16" s="285">
        <f t="shared" si="5"/>
        <v>0</v>
      </c>
      <c r="Q16" s="262"/>
      <c r="S16" s="460" t="s">
        <v>9367</v>
      </c>
      <c r="T16" s="287" t="s">
        <v>9387</v>
      </c>
      <c r="U16" s="405" t="s">
        <v>9388</v>
      </c>
    </row>
    <row r="17" spans="1:21" ht="15.75" customHeight="1">
      <c r="A17" s="197"/>
      <c r="B17" s="460" t="s">
        <v>7742</v>
      </c>
      <c r="C17" s="286" t="s">
        <v>681</v>
      </c>
      <c r="D17" s="286">
        <v>3</v>
      </c>
      <c r="E17" s="287">
        <v>0</v>
      </c>
      <c r="F17" s="405">
        <v>0</v>
      </c>
      <c r="G17" s="197"/>
      <c r="H17" s="699" t="s">
        <v>9389</v>
      </c>
      <c r="I17" s="197"/>
      <c r="J17" s="291"/>
      <c r="K17" s="197"/>
      <c r="L17" s="345"/>
      <c r="M17" s="284">
        <f t="shared" si="3"/>
        <v>0</v>
      </c>
      <c r="N17" s="262"/>
      <c r="O17" s="285">
        <f t="shared" si="4"/>
        <v>0</v>
      </c>
      <c r="P17" s="285">
        <f t="shared" si="5"/>
        <v>0</v>
      </c>
      <c r="Q17" s="262"/>
      <c r="S17" s="460" t="s">
        <v>7742</v>
      </c>
      <c r="T17" s="287" t="s">
        <v>9390</v>
      </c>
      <c r="U17" s="405" t="s">
        <v>9391</v>
      </c>
    </row>
    <row r="18" spans="1:21" ht="15.75" customHeight="1" thickBot="1">
      <c r="A18" s="197"/>
      <c r="B18" s="463" t="s">
        <v>7481</v>
      </c>
      <c r="C18" s="355" t="s">
        <v>681</v>
      </c>
      <c r="D18" s="355">
        <v>3</v>
      </c>
      <c r="E18" s="298">
        <f>IFERROR(SUM(E14:E17),0)</f>
        <v>4.7E-2</v>
      </c>
      <c r="F18" s="299">
        <f>IFERROR(SUM(F14:F17),0)</f>
        <v>0</v>
      </c>
      <c r="G18" s="197"/>
      <c r="H18" s="700" t="s">
        <v>9392</v>
      </c>
      <c r="I18" s="197"/>
      <c r="J18" s="302"/>
      <c r="K18" s="197"/>
      <c r="L18" s="345"/>
      <c r="M18" s="284"/>
      <c r="N18" s="262"/>
      <c r="O18" s="270"/>
      <c r="P18" s="270"/>
      <c r="Q18" s="262"/>
      <c r="S18" s="463" t="s">
        <v>7481</v>
      </c>
      <c r="T18" s="298" t="s">
        <v>9393</v>
      </c>
      <c r="U18" s="299" t="s">
        <v>9394</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tabColor rgb="FF00B050"/>
    <pageSetUpPr fitToPage="1"/>
  </sheetPr>
  <dimension ref="A1:W23"/>
  <sheetViews>
    <sheetView showGridLines="0" zoomScale="70" zoomScaleNormal="70" zoomScaleSheetLayoutView="100" workbookViewId="0">
      <selection activeCell="I13" sqref="I13"/>
    </sheetView>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730"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63" customWidth="1"/>
    <col min="16" max="17" width="12.5" style="263" hidden="1" customWidth="1"/>
    <col min="18" max="18" width="1.625" style="263"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722" customFormat="1" ht="30" customHeight="1">
      <c r="B1" s="2797" t="s">
        <v>9395</v>
      </c>
      <c r="C1" s="2797"/>
      <c r="D1" s="2797"/>
      <c r="E1" s="2797"/>
      <c r="F1" s="2797"/>
      <c r="G1" s="723"/>
      <c r="H1" s="724"/>
      <c r="I1" s="725"/>
      <c r="M1" s="340"/>
      <c r="N1" s="284"/>
      <c r="O1" s="262"/>
      <c r="P1" s="263"/>
      <c r="Q1" s="263"/>
      <c r="R1" s="262"/>
      <c r="T1" s="2797" t="s">
        <v>7220</v>
      </c>
      <c r="U1" s="2797"/>
      <c r="V1" s="2797"/>
      <c r="W1" s="723"/>
    </row>
    <row r="2" spans="1:23" s="722" customFormat="1" ht="30" customHeight="1">
      <c r="B2" s="2797" t="str">
        <f>SelectCompany!B4</f>
        <v>Northumbrian Water</v>
      </c>
      <c r="C2" s="2797"/>
      <c r="D2" s="2797"/>
      <c r="E2" s="2797"/>
      <c r="F2" s="2797"/>
      <c r="G2" s="529"/>
      <c r="H2" s="724"/>
      <c r="I2" s="725"/>
      <c r="M2" s="340"/>
      <c r="N2" s="284"/>
      <c r="O2" s="262"/>
      <c r="P2" s="263"/>
      <c r="Q2" s="263"/>
      <c r="R2" s="262"/>
      <c r="T2" s="2797"/>
      <c r="U2" s="2797"/>
      <c r="V2" s="2797"/>
      <c r="W2" s="529"/>
    </row>
    <row r="3" spans="1:23" s="239" customFormat="1" ht="45" customHeight="1">
      <c r="B3" s="2706" t="s">
        <v>9396</v>
      </c>
      <c r="C3" s="2706"/>
      <c r="D3" s="2706"/>
      <c r="E3" s="2706"/>
      <c r="F3" s="2706"/>
      <c r="G3" s="2706"/>
      <c r="H3" s="2706"/>
      <c r="I3" s="2706"/>
      <c r="J3" s="2706"/>
      <c r="K3" s="2706"/>
      <c r="M3" s="342"/>
      <c r="N3" s="265" t="s">
        <v>7222</v>
      </c>
      <c r="O3" s="262"/>
      <c r="P3" s="263"/>
      <c r="Q3" s="263"/>
      <c r="R3" s="262"/>
      <c r="T3" s="2706" t="s">
        <v>9396</v>
      </c>
      <c r="U3" s="2706"/>
      <c r="V3" s="2706"/>
      <c r="W3" s="2706"/>
    </row>
    <row r="4" spans="1:23" s="239" customFormat="1" ht="12" customHeight="1" thickBot="1">
      <c r="B4" s="690"/>
      <c r="C4" s="690"/>
      <c r="D4" s="690"/>
      <c r="E4" s="690"/>
      <c r="F4" s="690"/>
      <c r="G4" s="690"/>
      <c r="H4" s="219"/>
      <c r="I4" s="725"/>
      <c r="M4" s="345"/>
      <c r="N4" s="284"/>
      <c r="O4" s="262"/>
      <c r="P4" s="2668" t="s">
        <v>7223</v>
      </c>
      <c r="Q4" s="2668"/>
      <c r="R4" s="262"/>
      <c r="T4" s="690"/>
      <c r="U4" s="690"/>
      <c r="V4" s="690"/>
      <c r="W4" s="690"/>
    </row>
    <row r="5" spans="1:23" ht="55.5" customHeight="1" thickTop="1" thickBot="1">
      <c r="A5" s="242"/>
      <c r="B5" s="445" t="s">
        <v>7224</v>
      </c>
      <c r="C5" s="446" t="s">
        <v>7225</v>
      </c>
      <c r="D5" s="446" t="s">
        <v>670</v>
      </c>
      <c r="E5" s="446" t="s">
        <v>9397</v>
      </c>
      <c r="F5" s="446" t="s">
        <v>9398</v>
      </c>
      <c r="G5" s="447" t="s">
        <v>7445</v>
      </c>
      <c r="H5" s="242"/>
      <c r="I5" s="449" t="s">
        <v>7229</v>
      </c>
      <c r="J5" s="242"/>
      <c r="K5" s="449" t="s">
        <v>7230</v>
      </c>
      <c r="L5" s="242"/>
      <c r="M5" s="345"/>
      <c r="N5" s="284"/>
      <c r="O5" s="262"/>
      <c r="P5" s="269" t="s">
        <v>7231</v>
      </c>
      <c r="Q5" s="270"/>
      <c r="R5" s="262"/>
      <c r="T5" s="445" t="s">
        <v>7224</v>
      </c>
      <c r="U5" s="446" t="s">
        <v>9397</v>
      </c>
      <c r="V5" s="446" t="s">
        <v>9398</v>
      </c>
      <c r="W5" s="447" t="s">
        <v>7445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9399</v>
      </c>
      <c r="C7" s="394"/>
      <c r="D7" s="394"/>
      <c r="E7" s="106"/>
      <c r="F7" s="106"/>
      <c r="G7" s="661"/>
      <c r="H7" s="242"/>
      <c r="I7" s="725"/>
      <c r="J7" s="242"/>
      <c r="K7" s="242"/>
      <c r="L7" s="242"/>
      <c r="M7" s="345"/>
      <c r="N7" s="284"/>
      <c r="O7" s="262"/>
      <c r="P7" s="267"/>
      <c r="Q7" s="267"/>
      <c r="R7" s="262"/>
      <c r="T7" s="393" t="s">
        <v>9399</v>
      </c>
      <c r="U7" s="106"/>
      <c r="V7" s="106"/>
      <c r="W7" s="661"/>
    </row>
    <row r="8" spans="1:23" ht="15.75" customHeight="1" thickTop="1">
      <c r="A8" s="242"/>
      <c r="B8" s="451" t="s">
        <v>9400</v>
      </c>
      <c r="C8" s="277" t="s">
        <v>681</v>
      </c>
      <c r="D8" s="277">
        <v>3</v>
      </c>
      <c r="E8" s="350">
        <f>IFERROR('2E'!H20,0)</f>
        <v>1.153</v>
      </c>
      <c r="F8" s="350">
        <f>IFERROR('2E'!H36,0)</f>
        <v>0.68100000000000005</v>
      </c>
      <c r="G8" s="280">
        <f>IFERROR(SUM(E8:F8),0)</f>
        <v>1.8340000000000001</v>
      </c>
      <c r="H8" s="426"/>
      <c r="I8" s="696" t="s">
        <v>9401</v>
      </c>
      <c r="J8" s="242"/>
      <c r="K8" s="283"/>
      <c r="L8" s="242"/>
      <c r="M8" s="345"/>
      <c r="N8" s="284"/>
      <c r="O8" s="262"/>
      <c r="P8" s="270"/>
      <c r="Q8" s="270"/>
      <c r="R8" s="262"/>
      <c r="T8" s="451" t="s">
        <v>9400</v>
      </c>
      <c r="U8" s="350" t="s">
        <v>9402</v>
      </c>
      <c r="V8" s="350" t="s">
        <v>8916</v>
      </c>
      <c r="W8" s="280" t="s">
        <v>9403</v>
      </c>
    </row>
    <row r="9" spans="1:23" ht="15.75" customHeight="1">
      <c r="A9" s="242"/>
      <c r="B9" s="460" t="s">
        <v>9404</v>
      </c>
      <c r="C9" s="286" t="s">
        <v>681</v>
      </c>
      <c r="D9" s="286">
        <v>3</v>
      </c>
      <c r="E9" s="287">
        <v>8.4000000000000005E-2</v>
      </c>
      <c r="F9" s="287">
        <v>0.14899999999999999</v>
      </c>
      <c r="G9" s="289">
        <f>IFERROR(SUM(E9:F9),0)</f>
        <v>0.23299999999999998</v>
      </c>
      <c r="H9" s="426"/>
      <c r="I9" s="699" t="s">
        <v>9405</v>
      </c>
      <c r="J9" s="242"/>
      <c r="K9" s="291"/>
      <c r="L9" s="242"/>
      <c r="M9" s="345"/>
      <c r="N9" s="284">
        <f>IF( SUM( P9:Q9 ) = 0, 0, $P$5 )</f>
        <v>0</v>
      </c>
      <c r="O9" s="262"/>
      <c r="P9" s="285">
        <f xml:space="preserve"> IF( ISNUMBER(E9 ), 0, 1 )</f>
        <v>0</v>
      </c>
      <c r="Q9" s="285">
        <f xml:space="preserve"> IF( ISNUMBER(F9 ), 0, 1 )</f>
        <v>0</v>
      </c>
      <c r="R9" s="262"/>
      <c r="T9" s="460" t="s">
        <v>9404</v>
      </c>
      <c r="U9" s="287" t="s">
        <v>9406</v>
      </c>
      <c r="V9" s="287" t="s">
        <v>9407</v>
      </c>
      <c r="W9" s="289" t="s">
        <v>9408</v>
      </c>
    </row>
    <row r="10" spans="1:23" ht="15.75" customHeight="1" thickBot="1">
      <c r="A10" s="242"/>
      <c r="B10" s="463" t="s">
        <v>9409</v>
      </c>
      <c r="C10" s="355" t="s">
        <v>681</v>
      </c>
      <c r="D10" s="355">
        <v>3</v>
      </c>
      <c r="E10" s="298">
        <f>IFERROR(SUM(E8:E9),0)</f>
        <v>1.2370000000000001</v>
      </c>
      <c r="F10" s="298">
        <f>IFERROR(SUM(F8:F9),0)</f>
        <v>0.83000000000000007</v>
      </c>
      <c r="G10" s="299">
        <f>IFERROR(SUM(E10:F10),0)</f>
        <v>2.0670000000000002</v>
      </c>
      <c r="H10" s="426"/>
      <c r="I10" s="700" t="s">
        <v>9410</v>
      </c>
      <c r="J10" s="242"/>
      <c r="K10" s="302"/>
      <c r="L10" s="242"/>
      <c r="M10" s="345"/>
      <c r="N10" s="284"/>
      <c r="O10" s="262"/>
      <c r="P10" s="270"/>
      <c r="Q10" s="270"/>
      <c r="R10" s="262"/>
      <c r="T10" s="463" t="s">
        <v>9409</v>
      </c>
      <c r="U10" s="298" t="s">
        <v>9411</v>
      </c>
      <c r="V10" s="298" t="s">
        <v>9412</v>
      </c>
      <c r="W10" s="299" t="s">
        <v>9413</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9414</v>
      </c>
      <c r="C12" s="394"/>
      <c r="D12" s="729"/>
      <c r="E12" s="309"/>
      <c r="F12" s="309"/>
      <c r="G12" s="660"/>
      <c r="H12" s="242"/>
      <c r="I12" s="303"/>
      <c r="J12" s="242"/>
      <c r="K12" s="242"/>
      <c r="L12" s="242"/>
      <c r="M12" s="345"/>
      <c r="N12" s="284"/>
      <c r="O12" s="262"/>
      <c r="P12" s="270"/>
      <c r="Q12" s="270"/>
      <c r="R12" s="262"/>
      <c r="T12" s="393" t="s">
        <v>9414</v>
      </c>
      <c r="U12" s="309"/>
      <c r="V12" s="309"/>
      <c r="W12" s="660"/>
    </row>
    <row r="13" spans="1:23" s="224" customFormat="1" ht="15.75" customHeight="1" thickTop="1">
      <c r="A13" s="197"/>
      <c r="B13" s="451" t="s">
        <v>9415</v>
      </c>
      <c r="C13" s="277" t="s">
        <v>681</v>
      </c>
      <c r="D13" s="277">
        <v>3</v>
      </c>
      <c r="E13" s="2623">
        <v>3.5110000000000001</v>
      </c>
      <c r="F13" s="2623">
        <v>0.28199999999999997</v>
      </c>
      <c r="G13" s="280">
        <f>IFERROR(SUM(E13:F13),0)</f>
        <v>3.7930000000000001</v>
      </c>
      <c r="H13" s="200"/>
      <c r="I13" s="696" t="s">
        <v>9416</v>
      </c>
      <c r="J13" s="197"/>
      <c r="K13" s="283"/>
      <c r="L13" s="197"/>
      <c r="M13" s="345"/>
      <c r="N13" s="284">
        <f>IF( SUM( P13:Q13 ) = 0, 0, $P$5 )</f>
        <v>0</v>
      </c>
      <c r="O13" s="262"/>
      <c r="P13" s="285">
        <f t="shared" ref="P13:Q13" si="0" xml:space="preserve"> IF( ISNUMBER(E13 ), 0, 1 )</f>
        <v>0</v>
      </c>
      <c r="Q13" s="285">
        <f t="shared" si="0"/>
        <v>0</v>
      </c>
      <c r="R13" s="262"/>
      <c r="T13" s="451" t="s">
        <v>9415</v>
      </c>
      <c r="U13" s="278" t="s">
        <v>9417</v>
      </c>
      <c r="V13" s="278" t="s">
        <v>9418</v>
      </c>
      <c r="W13" s="280" t="s">
        <v>9419</v>
      </c>
    </row>
    <row r="14" spans="1:23" s="224" customFormat="1" ht="15.75" customHeight="1">
      <c r="A14" s="197"/>
      <c r="B14" s="460" t="s">
        <v>7235</v>
      </c>
      <c r="C14" s="286" t="s">
        <v>681</v>
      </c>
      <c r="D14" s="286">
        <v>3</v>
      </c>
      <c r="E14" s="381">
        <f>IFERROR(E8,0)</f>
        <v>1.153</v>
      </c>
      <c r="F14" s="381">
        <f>IFERROR(F8,0)</f>
        <v>0.68100000000000005</v>
      </c>
      <c r="G14" s="289">
        <f>IFERROR(SUM(E14:F14),0)</f>
        <v>1.8340000000000001</v>
      </c>
      <c r="H14" s="200"/>
      <c r="I14" s="699" t="s">
        <v>9420</v>
      </c>
      <c r="J14" s="197"/>
      <c r="K14" s="291"/>
      <c r="L14" s="197"/>
      <c r="M14" s="345"/>
      <c r="N14" s="284"/>
      <c r="O14" s="262"/>
      <c r="P14" s="270"/>
      <c r="Q14" s="270"/>
      <c r="R14" s="262"/>
      <c r="T14" s="460" t="s">
        <v>7235</v>
      </c>
      <c r="U14" s="381" t="s">
        <v>9402</v>
      </c>
      <c r="V14" s="381" t="s">
        <v>8916</v>
      </c>
      <c r="W14" s="289" t="s">
        <v>9403</v>
      </c>
    </row>
    <row r="15" spans="1:23" s="224" customFormat="1" ht="15.75" customHeight="1">
      <c r="A15" s="197"/>
      <c r="B15" s="460" t="s">
        <v>9421</v>
      </c>
      <c r="C15" s="286" t="s">
        <v>681</v>
      </c>
      <c r="D15" s="286">
        <v>3</v>
      </c>
      <c r="E15" s="288">
        <f>IFERROR('2J'!E11*(-1),0)</f>
        <v>-5.0060000000000002</v>
      </c>
      <c r="F15" s="288">
        <f>IFERROR('2J'!E18*(-1),0)</f>
        <v>-4.7E-2</v>
      </c>
      <c r="G15" s="289">
        <f>IFERROR(SUM(E15:F15),0)</f>
        <v>-5.0529999999999999</v>
      </c>
      <c r="H15" s="200"/>
      <c r="I15" s="699" t="s">
        <v>9422</v>
      </c>
      <c r="J15" s="197"/>
      <c r="K15" s="291"/>
      <c r="L15" s="197"/>
      <c r="M15" s="345"/>
      <c r="N15" s="284"/>
      <c r="O15" s="262"/>
      <c r="P15" s="270"/>
      <c r="Q15" s="270"/>
      <c r="R15" s="262"/>
      <c r="T15" s="460" t="s">
        <v>9421</v>
      </c>
      <c r="U15" s="288" t="s">
        <v>9423</v>
      </c>
      <c r="V15" s="288" t="s">
        <v>9424</v>
      </c>
      <c r="W15" s="289" t="s">
        <v>9425</v>
      </c>
    </row>
    <row r="16" spans="1:23" s="224" customFormat="1" ht="15.75" customHeight="1" thickBot="1">
      <c r="A16" s="197"/>
      <c r="B16" s="463" t="s">
        <v>9426</v>
      </c>
      <c r="C16" s="355" t="s">
        <v>681</v>
      </c>
      <c r="D16" s="355">
        <v>3</v>
      </c>
      <c r="E16" s="298">
        <f>IFERROR(SUM(E13:E15),0)</f>
        <v>-0.34200000000000053</v>
      </c>
      <c r="F16" s="298">
        <f>IFERROR(SUM(F13:F15),0)</f>
        <v>0.91600000000000004</v>
      </c>
      <c r="G16" s="299">
        <f>IFERROR(SUM(E16:F16),0)</f>
        <v>0.57399999999999951</v>
      </c>
      <c r="H16" s="200"/>
      <c r="I16" s="700" t="s">
        <v>9427</v>
      </c>
      <c r="J16" s="197"/>
      <c r="K16" s="302"/>
      <c r="L16" s="197"/>
      <c r="M16" s="345"/>
      <c r="N16" s="284"/>
      <c r="O16" s="262"/>
      <c r="P16" s="270"/>
      <c r="Q16" s="270"/>
      <c r="R16" s="262"/>
      <c r="T16" s="463" t="s">
        <v>9426</v>
      </c>
      <c r="U16" s="298" t="s">
        <v>9428</v>
      </c>
      <c r="V16" s="298" t="s">
        <v>9429</v>
      </c>
      <c r="W16" s="299" t="s">
        <v>9430</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tabColor rgb="FF00B050"/>
    <pageSetUpPr fitToPage="1"/>
  </sheetPr>
  <dimension ref="A1:AG13"/>
  <sheetViews>
    <sheetView showGridLines="0" topLeftCell="I1" zoomScaleNormal="100" zoomScaleSheetLayoutView="100" workbookViewId="0">
      <selection activeCell="N9" sqref="N9"/>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9"/>
      <c r="B1" s="2797" t="s">
        <v>9431</v>
      </c>
      <c r="C1" s="2797"/>
      <c r="D1" s="2797"/>
      <c r="E1" s="2797"/>
      <c r="F1" s="2797"/>
      <c r="G1" s="723"/>
      <c r="H1" s="723"/>
      <c r="I1" s="723"/>
      <c r="J1" s="389"/>
      <c r="K1" s="731"/>
      <c r="L1" s="389"/>
      <c r="M1" s="389"/>
      <c r="N1" s="389"/>
      <c r="O1" s="340"/>
      <c r="P1" s="259"/>
      <c r="Q1" s="262"/>
      <c r="R1" s="263"/>
      <c r="S1" s="263"/>
      <c r="T1" s="263"/>
      <c r="U1" s="263"/>
      <c r="V1" s="262"/>
      <c r="W1" s="389"/>
      <c r="X1" s="2797" t="s">
        <v>7220</v>
      </c>
      <c r="Y1" s="2797"/>
      <c r="Z1" s="2797"/>
      <c r="AA1" s="2797"/>
      <c r="AB1" s="2797"/>
      <c r="AC1" s="2797"/>
      <c r="AD1" s="389"/>
      <c r="AE1" s="389"/>
      <c r="AF1" s="389"/>
      <c r="AG1" s="389"/>
    </row>
    <row r="2" spans="1:33" s="8" customFormat="1" ht="30" customHeight="1">
      <c r="A2" s="389"/>
      <c r="B2" s="2797" t="str">
        <f>SelectCompany!B4</f>
        <v>Northumbrian Water</v>
      </c>
      <c r="C2" s="2797"/>
      <c r="D2" s="2797"/>
      <c r="E2" s="2797"/>
      <c r="F2" s="2797"/>
      <c r="G2" s="529"/>
      <c r="H2" s="529"/>
      <c r="I2" s="529"/>
      <c r="J2" s="389"/>
      <c r="K2" s="731"/>
      <c r="L2" s="389"/>
      <c r="M2" s="389"/>
      <c r="N2" s="389"/>
      <c r="O2" s="340"/>
      <c r="P2" s="259"/>
      <c r="Q2" s="262"/>
      <c r="R2" s="263"/>
      <c r="S2" s="263"/>
      <c r="T2" s="263"/>
      <c r="U2" s="263"/>
      <c r="V2" s="262"/>
      <c r="W2" s="389"/>
      <c r="X2" s="2797"/>
      <c r="Y2" s="2797"/>
      <c r="Z2" s="2797"/>
      <c r="AA2" s="2797"/>
      <c r="AB2" s="2797"/>
      <c r="AC2" s="2797"/>
      <c r="AD2" s="389"/>
      <c r="AE2" s="389"/>
      <c r="AF2" s="389"/>
      <c r="AG2" s="389"/>
    </row>
    <row r="3" spans="1:33" ht="45" customHeight="1">
      <c r="A3" s="224"/>
      <c r="B3" s="2706" t="s">
        <v>9432</v>
      </c>
      <c r="C3" s="2706"/>
      <c r="D3" s="2706"/>
      <c r="E3" s="2706"/>
      <c r="F3" s="2706"/>
      <c r="G3" s="2706"/>
      <c r="H3" s="2706"/>
      <c r="I3" s="2706"/>
      <c r="J3" s="2706"/>
      <c r="K3" s="2706"/>
      <c r="L3" s="2706"/>
      <c r="M3" s="2706"/>
      <c r="N3" s="224"/>
      <c r="O3" s="342"/>
      <c r="P3" s="265" t="s">
        <v>7222</v>
      </c>
      <c r="Q3" s="262"/>
      <c r="R3" s="263"/>
      <c r="S3" s="263"/>
      <c r="T3" s="263"/>
      <c r="U3" s="263"/>
      <c r="V3" s="262"/>
      <c r="W3" s="224"/>
      <c r="X3" s="2707" t="s">
        <v>9433</v>
      </c>
      <c r="Y3" s="2708"/>
      <c r="Z3" s="2708"/>
      <c r="AA3" s="2708"/>
      <c r="AB3" s="2708"/>
      <c r="AC3" s="2708"/>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68" t="s">
        <v>7223</v>
      </c>
      <c r="S4" s="2668"/>
      <c r="T4" s="2668"/>
      <c r="U4" s="732"/>
      <c r="V4" s="262"/>
      <c r="W4" s="224"/>
      <c r="X4" s="530"/>
      <c r="Y4" s="530"/>
      <c r="Z4" s="530"/>
      <c r="AA4" s="530"/>
      <c r="AB4" s="530"/>
      <c r="AC4" s="530"/>
      <c r="AD4" s="224"/>
      <c r="AE4" s="224"/>
      <c r="AF4" s="224"/>
      <c r="AG4" s="224"/>
    </row>
    <row r="5" spans="1:33" ht="46.5" thickTop="1" thickBot="1">
      <c r="A5" s="197"/>
      <c r="B5" s="445" t="s">
        <v>7224</v>
      </c>
      <c r="C5" s="446" t="s">
        <v>7225</v>
      </c>
      <c r="D5" s="446" t="s">
        <v>670</v>
      </c>
      <c r="E5" s="446" t="s">
        <v>8160</v>
      </c>
      <c r="F5" s="446" t="s">
        <v>8161</v>
      </c>
      <c r="G5" s="446" t="s">
        <v>8162</v>
      </c>
      <c r="H5" s="446" t="s">
        <v>9434</v>
      </c>
      <c r="I5" s="447" t="s">
        <v>7445</v>
      </c>
      <c r="J5" s="106"/>
      <c r="K5" s="449" t="s">
        <v>7229</v>
      </c>
      <c r="L5" s="197"/>
      <c r="M5" s="449" t="s">
        <v>7230</v>
      </c>
      <c r="N5" s="197"/>
      <c r="O5" s="345"/>
      <c r="P5" s="224"/>
      <c r="Q5" s="262"/>
      <c r="R5" s="269" t="s">
        <v>7231</v>
      </c>
      <c r="S5" s="269"/>
      <c r="T5" s="269"/>
      <c r="U5" s="269"/>
      <c r="V5" s="262"/>
      <c r="W5" s="224"/>
      <c r="X5" s="445" t="s">
        <v>7224</v>
      </c>
      <c r="Y5" s="446" t="s">
        <v>8160</v>
      </c>
      <c r="Z5" s="446" t="s">
        <v>8161</v>
      </c>
      <c r="AA5" s="446" t="s">
        <v>8162</v>
      </c>
      <c r="AB5" s="446" t="s">
        <v>9434</v>
      </c>
      <c r="AC5" s="447" t="s">
        <v>7445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9435</v>
      </c>
      <c r="C7" s="371" t="s">
        <v>681</v>
      </c>
      <c r="D7" s="371">
        <v>3</v>
      </c>
      <c r="E7" s="421">
        <v>0.64800000000000002</v>
      </c>
      <c r="F7" s="421">
        <v>5.0830000000000002</v>
      </c>
      <c r="G7" s="421">
        <v>0.01</v>
      </c>
      <c r="H7" s="421">
        <v>0</v>
      </c>
      <c r="I7" s="471">
        <f>SUM(E7:H7)</f>
        <v>5.7409999999999997</v>
      </c>
      <c r="J7" s="197"/>
      <c r="K7" s="716" t="s">
        <v>9436</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9437</v>
      </c>
      <c r="Y7" s="421" t="s">
        <v>9438</v>
      </c>
      <c r="Z7" s="421" t="s">
        <v>9439</v>
      </c>
      <c r="AA7" s="421" t="s">
        <v>9440</v>
      </c>
      <c r="AB7" s="421" t="s">
        <v>9441</v>
      </c>
      <c r="AC7" s="471" t="s">
        <v>9442</v>
      </c>
      <c r="AD7" s="224"/>
      <c r="AE7" s="224"/>
      <c r="AF7" s="224"/>
      <c r="AG7" s="224"/>
    </row>
    <row r="8" spans="1:33" ht="15.75"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tabColor rgb="FF00B050"/>
    <pageSetUpPr fitToPage="1"/>
  </sheetPr>
  <dimension ref="A1:AK27"/>
  <sheetViews>
    <sheetView showGridLines="0" topLeftCell="B1" zoomScale="60" zoomScaleNormal="60" zoomScaleSheetLayoutView="100" workbookViewId="0">
      <selection activeCell="G17" sqref="G17"/>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9"/>
      <c r="B1" s="2797" t="s">
        <v>9443</v>
      </c>
      <c r="C1" s="2797"/>
      <c r="D1" s="2797"/>
      <c r="E1" s="2797"/>
      <c r="F1" s="2797"/>
      <c r="G1" s="723"/>
      <c r="H1" s="723"/>
      <c r="I1" s="723"/>
      <c r="J1" s="723"/>
      <c r="K1" s="528"/>
      <c r="L1" s="260"/>
      <c r="M1" s="389"/>
      <c r="N1" s="389"/>
      <c r="O1" s="389"/>
      <c r="P1" s="340"/>
      <c r="Q1" s="259"/>
      <c r="R1" s="262"/>
      <c r="S1" s="263"/>
      <c r="T1" s="263"/>
      <c r="U1" s="263"/>
      <c r="V1" s="263"/>
      <c r="W1" s="263"/>
      <c r="X1" s="262"/>
      <c r="Y1" s="389"/>
      <c r="Z1" s="2797" t="s">
        <v>7220</v>
      </c>
      <c r="AA1" s="2797"/>
      <c r="AB1" s="2797"/>
      <c r="AC1" s="723"/>
      <c r="AD1" s="723"/>
      <c r="AE1" s="723"/>
      <c r="AF1" s="723"/>
      <c r="AG1" s="528"/>
      <c r="AH1" s="735"/>
      <c r="AI1" s="219"/>
      <c r="AJ1" s="219"/>
      <c r="AK1" s="389"/>
    </row>
    <row r="2" spans="1:37" s="8" customFormat="1" ht="30" customHeight="1">
      <c r="A2" s="389"/>
      <c r="B2" s="2797" t="str">
        <f>SelectCompany!B4</f>
        <v>Northumbrian Water</v>
      </c>
      <c r="C2" s="2797"/>
      <c r="D2" s="2797"/>
      <c r="E2" s="2797"/>
      <c r="F2" s="2797"/>
      <c r="G2" s="529"/>
      <c r="H2" s="529"/>
      <c r="I2" s="529"/>
      <c r="J2" s="529"/>
      <c r="K2" s="528"/>
      <c r="L2" s="260"/>
      <c r="M2" s="389"/>
      <c r="N2" s="389"/>
      <c r="O2" s="389"/>
      <c r="P2" s="340"/>
      <c r="Q2" s="259"/>
      <c r="R2" s="262"/>
      <c r="S2" s="263"/>
      <c r="T2" s="263"/>
      <c r="U2" s="263"/>
      <c r="V2" s="263"/>
      <c r="W2" s="263"/>
      <c r="X2" s="262"/>
      <c r="Y2" s="389"/>
      <c r="Z2" s="2797"/>
      <c r="AA2" s="2797"/>
      <c r="AB2" s="2797"/>
      <c r="AC2" s="529"/>
      <c r="AD2" s="529"/>
      <c r="AE2" s="529"/>
      <c r="AF2" s="529"/>
      <c r="AG2" s="528"/>
      <c r="AH2" s="219"/>
      <c r="AI2" s="219"/>
      <c r="AJ2" s="219"/>
      <c r="AK2" s="389"/>
    </row>
    <row r="3" spans="1:37" s="11" customFormat="1" ht="47.25" customHeight="1">
      <c r="A3" s="704"/>
      <c r="B3" s="2705" t="s">
        <v>9444</v>
      </c>
      <c r="C3" s="2706"/>
      <c r="D3" s="2706"/>
      <c r="E3" s="2706"/>
      <c r="F3" s="2706"/>
      <c r="G3" s="2706"/>
      <c r="H3" s="2706"/>
      <c r="I3" s="2706"/>
      <c r="J3" s="2706"/>
      <c r="K3" s="2706"/>
      <c r="L3" s="2706"/>
      <c r="M3" s="2706"/>
      <c r="N3" s="2706"/>
      <c r="O3" s="704"/>
      <c r="P3" s="342"/>
      <c r="Q3" s="265" t="s">
        <v>7222</v>
      </c>
      <c r="R3" s="262"/>
      <c r="S3" s="263"/>
      <c r="T3" s="263"/>
      <c r="U3" s="263"/>
      <c r="V3" s="263"/>
      <c r="W3" s="263"/>
      <c r="X3" s="262"/>
      <c r="Y3" s="704"/>
      <c r="Z3" s="2707" t="s">
        <v>9444</v>
      </c>
      <c r="AA3" s="2708"/>
      <c r="AB3" s="2708"/>
      <c r="AC3" s="2708"/>
      <c r="AD3" s="2708"/>
      <c r="AE3" s="2708"/>
      <c r="AF3" s="2708"/>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68" t="s">
        <v>7223</v>
      </c>
      <c r="T4" s="2668"/>
      <c r="U4" s="2668"/>
      <c r="V4" s="2668"/>
      <c r="W4" s="2668"/>
      <c r="X4" s="262"/>
      <c r="Y4" s="704"/>
      <c r="Z4" s="690"/>
      <c r="AA4" s="690"/>
      <c r="AB4" s="690"/>
      <c r="AC4" s="690"/>
      <c r="AD4" s="690"/>
      <c r="AE4" s="690"/>
      <c r="AF4" s="690"/>
      <c r="AG4" s="224"/>
      <c r="AH4" s="219"/>
      <c r="AI4" s="219"/>
      <c r="AJ4" s="219"/>
      <c r="AK4" s="219"/>
    </row>
    <row r="5" spans="1:37" ht="55.5" customHeight="1" thickTop="1" thickBot="1">
      <c r="A5" s="197"/>
      <c r="B5" s="445" t="s">
        <v>7224</v>
      </c>
      <c r="C5" s="446" t="s">
        <v>7225</v>
      </c>
      <c r="D5" s="446" t="s">
        <v>670</v>
      </c>
      <c r="E5" s="446" t="s">
        <v>8160</v>
      </c>
      <c r="F5" s="446" t="s">
        <v>9202</v>
      </c>
      <c r="G5" s="446" t="s">
        <v>8969</v>
      </c>
      <c r="H5" s="446" t="s">
        <v>8163</v>
      </c>
      <c r="I5" s="446" t="s">
        <v>8164</v>
      </c>
      <c r="J5" s="447" t="s">
        <v>7445</v>
      </c>
      <c r="K5" s="197"/>
      <c r="L5" s="449" t="s">
        <v>7229</v>
      </c>
      <c r="M5" s="197"/>
      <c r="N5" s="449" t="s">
        <v>7230</v>
      </c>
      <c r="O5" s="197"/>
      <c r="P5" s="345"/>
      <c r="Q5" s="284"/>
      <c r="R5" s="262"/>
      <c r="S5" s="269" t="s">
        <v>7231</v>
      </c>
      <c r="T5" s="269"/>
      <c r="U5" s="269"/>
      <c r="V5" s="269"/>
      <c r="W5" s="270"/>
      <c r="X5" s="262"/>
      <c r="Y5" s="224"/>
      <c r="Z5" s="445" t="s">
        <v>7224</v>
      </c>
      <c r="AA5" s="446" t="s">
        <v>8160</v>
      </c>
      <c r="AB5" s="446" t="s">
        <v>9202</v>
      </c>
      <c r="AC5" s="446" t="s">
        <v>8969</v>
      </c>
      <c r="AD5" s="446" t="s">
        <v>8163</v>
      </c>
      <c r="AE5" s="446" t="s">
        <v>8260</v>
      </c>
      <c r="AF5" s="447" t="s">
        <v>7445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9445</v>
      </c>
      <c r="C7" s="394"/>
      <c r="D7" s="394"/>
      <c r="E7" s="482"/>
      <c r="F7" s="482"/>
      <c r="G7" s="482"/>
      <c r="H7" s="482"/>
      <c r="I7" s="482"/>
      <c r="J7" s="482"/>
      <c r="K7" s="200"/>
      <c r="L7" s="737"/>
      <c r="M7" s="197"/>
      <c r="N7" s="197"/>
      <c r="O7" s="197"/>
      <c r="P7" s="345"/>
      <c r="Q7" s="284"/>
      <c r="R7" s="262"/>
      <c r="S7" s="267"/>
      <c r="T7" s="267"/>
      <c r="U7" s="267"/>
      <c r="V7" s="267"/>
      <c r="W7" s="267"/>
      <c r="X7" s="262"/>
      <c r="Y7" s="224"/>
      <c r="Z7" s="393" t="s">
        <v>9445</v>
      </c>
      <c r="AA7" s="482"/>
      <c r="AB7" s="482"/>
      <c r="AC7" s="482"/>
      <c r="AD7" s="482"/>
      <c r="AE7" s="482"/>
      <c r="AF7" s="482"/>
      <c r="AG7" s="705"/>
      <c r="AH7" s="219"/>
      <c r="AI7" s="219"/>
      <c r="AJ7" s="219"/>
      <c r="AK7" s="219"/>
    </row>
    <row r="8" spans="1:37" ht="15.75" customHeight="1" thickTop="1">
      <c r="A8" s="197"/>
      <c r="B8" s="451" t="s">
        <v>9446</v>
      </c>
      <c r="C8" s="277" t="s">
        <v>681</v>
      </c>
      <c r="D8" s="277">
        <v>3</v>
      </c>
      <c r="E8" s="738">
        <f>IFERROR('2I'!H11,0)</f>
        <v>101.17999999999999</v>
      </c>
      <c r="F8" s="738">
        <f>IFERROR('2I'!I11,0)</f>
        <v>327.77299999999997</v>
      </c>
      <c r="G8" s="738">
        <f>IFERROR('2I'!H23,0)</f>
        <v>259.22500000000002</v>
      </c>
      <c r="H8" s="350">
        <f>IFERROR('2I'!I23,0)</f>
        <v>24.4</v>
      </c>
      <c r="I8" s="738">
        <f>IFERROR('2I'!G28,0)</f>
        <v>0</v>
      </c>
      <c r="J8" s="280">
        <f>IFERROR(SUM(E8:I8),0)</f>
        <v>712.57799999999997</v>
      </c>
      <c r="K8" s="200"/>
      <c r="L8" s="281" t="s">
        <v>9447</v>
      </c>
      <c r="M8" s="197"/>
      <c r="N8" s="283"/>
      <c r="O8" s="197"/>
      <c r="P8" s="345"/>
      <c r="Q8" s="284"/>
      <c r="R8" s="262"/>
      <c r="S8" s="270"/>
      <c r="T8" s="270"/>
      <c r="U8" s="270"/>
      <c r="V8" s="270"/>
      <c r="W8" s="270"/>
      <c r="X8" s="262"/>
      <c r="Y8" s="224"/>
      <c r="Z8" s="451" t="s">
        <v>9446</v>
      </c>
      <c r="AA8" s="738" t="s">
        <v>9448</v>
      </c>
      <c r="AB8" s="738" t="s">
        <v>9449</v>
      </c>
      <c r="AC8" s="738" t="s">
        <v>9450</v>
      </c>
      <c r="AD8" s="350" t="s">
        <v>9451</v>
      </c>
      <c r="AE8" s="738" t="s">
        <v>9452</v>
      </c>
      <c r="AF8" s="280" t="s">
        <v>9453</v>
      </c>
      <c r="AG8" s="705"/>
      <c r="AH8" s="219"/>
      <c r="AI8" s="219"/>
      <c r="AJ8" s="219"/>
      <c r="AK8" s="219"/>
    </row>
    <row r="9" spans="1:37" ht="15.75" customHeight="1">
      <c r="A9" s="197"/>
      <c r="B9" s="460" t="s">
        <v>9454</v>
      </c>
      <c r="C9" s="286" t="s">
        <v>681</v>
      </c>
      <c r="D9" s="286">
        <v>3</v>
      </c>
      <c r="E9" s="739">
        <f>IFERROR('2E'!H10,0)</f>
        <v>0</v>
      </c>
      <c r="F9" s="381">
        <f>IFERROR('2E'!H26,0)</f>
        <v>12.266999999999999</v>
      </c>
      <c r="G9" s="381">
        <f>IFERROR('2E'!H41,0)</f>
        <v>1.65</v>
      </c>
      <c r="H9" s="287">
        <v>0</v>
      </c>
      <c r="I9" s="287">
        <v>0</v>
      </c>
      <c r="J9" s="289">
        <f>IFERROR(SUM(E9:G9),0)</f>
        <v>13.917</v>
      </c>
      <c r="K9" s="200"/>
      <c r="L9" s="290" t="s">
        <v>9455</v>
      </c>
      <c r="M9" s="197"/>
      <c r="N9" s="291"/>
      <c r="O9" s="197"/>
      <c r="P9" s="345"/>
      <c r="Q9" s="284">
        <f>IF( SUM( S9:W9 ) = 0, 0, $S$5 )</f>
        <v>0</v>
      </c>
      <c r="R9" s="262"/>
      <c r="S9" s="270"/>
      <c r="T9" s="270"/>
      <c r="U9" s="270"/>
      <c r="V9" s="285">
        <f t="shared" ref="V9:W9" si="0" xml:space="preserve"> IF( ISNUMBER(H9 ), 0, 1 )</f>
        <v>0</v>
      </c>
      <c r="W9" s="285">
        <f t="shared" si="0"/>
        <v>0</v>
      </c>
      <c r="X9" s="262"/>
      <c r="Y9" s="224"/>
      <c r="Z9" s="460" t="s">
        <v>9454</v>
      </c>
      <c r="AA9" s="739" t="s">
        <v>9456</v>
      </c>
      <c r="AB9" s="381" t="s">
        <v>9457</v>
      </c>
      <c r="AC9" s="381" t="s">
        <v>9458</v>
      </c>
      <c r="AD9" s="740" t="s">
        <v>9459</v>
      </c>
      <c r="AE9" s="740" t="s">
        <v>9460</v>
      </c>
      <c r="AF9" s="289" t="s">
        <v>9461</v>
      </c>
      <c r="AG9" s="705"/>
      <c r="AH9" s="219"/>
      <c r="AI9" s="219"/>
      <c r="AJ9" s="219"/>
      <c r="AK9" s="219"/>
    </row>
    <row r="10" spans="1:37" ht="15.75" customHeight="1" thickBot="1">
      <c r="A10" s="197"/>
      <c r="B10" s="463" t="s">
        <v>9462</v>
      </c>
      <c r="C10" s="355" t="s">
        <v>681</v>
      </c>
      <c r="D10" s="355">
        <v>3</v>
      </c>
      <c r="E10" s="298">
        <f>IFERROR(SUM(E8:E9),0)</f>
        <v>101.17999999999999</v>
      </c>
      <c r="F10" s="298">
        <f>IFERROR(SUM(F8:F9),0)</f>
        <v>340.03999999999996</v>
      </c>
      <c r="G10" s="298">
        <f>IFERROR(SUM(G8:G9),0)</f>
        <v>260.875</v>
      </c>
      <c r="H10" s="468">
        <f>IFERROR(H8,0)</f>
        <v>24.4</v>
      </c>
      <c r="I10" s="468">
        <f>IFERROR(I8,0)</f>
        <v>0</v>
      </c>
      <c r="J10" s="299">
        <f>IFERROR(SUM(E10:I10),0)</f>
        <v>726.495</v>
      </c>
      <c r="K10" s="200"/>
      <c r="L10" s="356" t="s">
        <v>9463</v>
      </c>
      <c r="M10" s="197"/>
      <c r="N10" s="302"/>
      <c r="O10" s="197"/>
      <c r="P10" s="345"/>
      <c r="Q10" s="284"/>
      <c r="R10" s="262"/>
      <c r="S10" s="270"/>
      <c r="T10" s="270"/>
      <c r="U10" s="270"/>
      <c r="V10" s="270"/>
      <c r="W10" s="270"/>
      <c r="X10" s="262"/>
      <c r="Y10" s="224"/>
      <c r="Z10" s="463" t="s">
        <v>9462</v>
      </c>
      <c r="AA10" s="298" t="s">
        <v>9464</v>
      </c>
      <c r="AB10" s="298" t="s">
        <v>9465</v>
      </c>
      <c r="AC10" s="298" t="s">
        <v>9466</v>
      </c>
      <c r="AD10" s="468" t="s">
        <v>9467</v>
      </c>
      <c r="AE10" s="468" t="s">
        <v>9468</v>
      </c>
      <c r="AF10" s="299" t="s">
        <v>9469</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9470</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9470</v>
      </c>
      <c r="AA12" s="316"/>
      <c r="AB12" s="316"/>
      <c r="AC12" s="316"/>
      <c r="AD12" s="316"/>
      <c r="AE12" s="316"/>
      <c r="AF12" s="316"/>
      <c r="AG12" s="705"/>
      <c r="AH12" s="219"/>
      <c r="AI12" s="219"/>
      <c r="AJ12" s="219"/>
      <c r="AK12" s="219"/>
    </row>
    <row r="13" spans="1:37" ht="15.75" customHeight="1" thickTop="1">
      <c r="A13" s="197"/>
      <c r="B13" s="451" t="s">
        <v>9471</v>
      </c>
      <c r="C13" s="277" t="s">
        <v>681</v>
      </c>
      <c r="D13" s="277">
        <v>3</v>
      </c>
      <c r="E13" s="278">
        <v>101.176</v>
      </c>
      <c r="F13" s="278">
        <v>321.81099999999998</v>
      </c>
      <c r="G13" s="2637">
        <v>258.69</v>
      </c>
      <c r="H13" s="278">
        <v>24.725000000000001</v>
      </c>
      <c r="I13" s="278">
        <v>0</v>
      </c>
      <c r="J13" s="280">
        <f>IFERROR(SUM(E13:I13),0)</f>
        <v>706.40199999999993</v>
      </c>
      <c r="K13" s="200"/>
      <c r="L13" s="281" t="s">
        <v>9472</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9471</v>
      </c>
      <c r="AA13" s="278" t="s">
        <v>9473</v>
      </c>
      <c r="AB13" s="278" t="s">
        <v>9474</v>
      </c>
      <c r="AC13" s="278" t="s">
        <v>9475</v>
      </c>
      <c r="AD13" s="278" t="s">
        <v>9476</v>
      </c>
      <c r="AE13" s="278" t="s">
        <v>9477</v>
      </c>
      <c r="AF13" s="280" t="s">
        <v>9478</v>
      </c>
      <c r="AG13" s="705"/>
      <c r="AH13" s="219"/>
      <c r="AI13" s="219"/>
      <c r="AJ13" s="219"/>
      <c r="AK13" s="219"/>
    </row>
    <row r="14" spans="1:37" ht="15.75" customHeight="1">
      <c r="A14" s="197"/>
      <c r="B14" s="460" t="s">
        <v>9479</v>
      </c>
      <c r="C14" s="286" t="s">
        <v>681</v>
      </c>
      <c r="D14" s="286">
        <v>3</v>
      </c>
      <c r="E14" s="287">
        <v>0</v>
      </c>
      <c r="F14" s="287">
        <v>21.097999999999999</v>
      </c>
      <c r="G14" s="287">
        <v>3.9929999999999999</v>
      </c>
      <c r="H14" s="287">
        <v>0</v>
      </c>
      <c r="I14" s="287">
        <v>0</v>
      </c>
      <c r="J14" s="289">
        <f>IFERROR(SUM(E14:I14),0)</f>
        <v>25.090999999999998</v>
      </c>
      <c r="K14" s="200"/>
      <c r="L14" s="290" t="s">
        <v>9480</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9479</v>
      </c>
      <c r="AA14" s="287" t="s">
        <v>9481</v>
      </c>
      <c r="AB14" s="287" t="s">
        <v>9482</v>
      </c>
      <c r="AC14" s="287" t="s">
        <v>9483</v>
      </c>
      <c r="AD14" s="287" t="s">
        <v>9484</v>
      </c>
      <c r="AE14" s="287" t="s">
        <v>9485</v>
      </c>
      <c r="AF14" s="289" t="s">
        <v>9486</v>
      </c>
      <c r="AG14" s="705"/>
      <c r="AH14" s="219"/>
      <c r="AI14" s="219"/>
      <c r="AJ14" s="219"/>
      <c r="AK14" s="219"/>
    </row>
    <row r="15" spans="1:37" ht="15.75" customHeight="1">
      <c r="A15" s="197"/>
      <c r="B15" s="460" t="s">
        <v>9487</v>
      </c>
      <c r="C15" s="286" t="s">
        <v>681</v>
      </c>
      <c r="D15" s="286">
        <v>3</v>
      </c>
      <c r="E15" s="287">
        <v>0</v>
      </c>
      <c r="F15" s="287">
        <v>0</v>
      </c>
      <c r="G15" s="287">
        <v>0</v>
      </c>
      <c r="H15" s="287">
        <v>0</v>
      </c>
      <c r="I15" s="287">
        <v>0</v>
      </c>
      <c r="J15" s="289">
        <f>IFERROR(SUM(E15:I15),0)</f>
        <v>0</v>
      </c>
      <c r="K15" s="200"/>
      <c r="L15" s="290" t="s">
        <v>9488</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9487</v>
      </c>
      <c r="AA15" s="287" t="s">
        <v>9489</v>
      </c>
      <c r="AB15" s="287" t="s">
        <v>9490</v>
      </c>
      <c r="AC15" s="287" t="s">
        <v>9491</v>
      </c>
      <c r="AD15" s="287" t="s">
        <v>9492</v>
      </c>
      <c r="AE15" s="287" t="s">
        <v>9493</v>
      </c>
      <c r="AF15" s="289" t="s">
        <v>9494</v>
      </c>
      <c r="AG15" s="705"/>
      <c r="AH15" s="219"/>
      <c r="AI15" s="219"/>
      <c r="AJ15" s="219"/>
      <c r="AK15" s="219"/>
    </row>
    <row r="16" spans="1:37" ht="15.75" customHeight="1">
      <c r="A16" s="197"/>
      <c r="B16" s="460" t="s">
        <v>9495</v>
      </c>
      <c r="C16" s="286" t="s">
        <v>681</v>
      </c>
      <c r="D16" s="286">
        <v>3</v>
      </c>
      <c r="E16" s="287">
        <v>0</v>
      </c>
      <c r="F16" s="287">
        <v>0</v>
      </c>
      <c r="G16" s="287">
        <v>0</v>
      </c>
      <c r="H16" s="287">
        <v>0</v>
      </c>
      <c r="I16" s="287">
        <v>0</v>
      </c>
      <c r="J16" s="289">
        <f>IFERROR(SUM(E16:I16),0)</f>
        <v>0</v>
      </c>
      <c r="K16" s="200"/>
      <c r="L16" s="290" t="s">
        <v>9496</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9495</v>
      </c>
      <c r="AA16" s="287" t="s">
        <v>9497</v>
      </c>
      <c r="AB16" s="287" t="s">
        <v>9498</v>
      </c>
      <c r="AC16" s="287" t="s">
        <v>9499</v>
      </c>
      <c r="AD16" s="287" t="s">
        <v>9500</v>
      </c>
      <c r="AE16" s="287" t="s">
        <v>9501</v>
      </c>
      <c r="AF16" s="289" t="s">
        <v>9502</v>
      </c>
      <c r="AG16" s="705"/>
      <c r="AH16" s="219"/>
      <c r="AI16" s="219"/>
      <c r="AJ16" s="219"/>
      <c r="AK16" s="219"/>
    </row>
    <row r="17" spans="1:37" ht="15.75" customHeight="1" thickBot="1">
      <c r="A17" s="197"/>
      <c r="B17" s="463" t="s">
        <v>9503</v>
      </c>
      <c r="C17" s="355" t="s">
        <v>681</v>
      </c>
      <c r="D17" s="355">
        <v>3</v>
      </c>
      <c r="E17" s="298">
        <f>IFERROR(SUM(E13:E16),0)</f>
        <v>101.176</v>
      </c>
      <c r="F17" s="298">
        <f>IFERROR(SUM(F13:F16),0)</f>
        <v>342.90899999999999</v>
      </c>
      <c r="G17" s="298">
        <f>IFERROR(SUM(G13:G16),0)</f>
        <v>262.68299999999999</v>
      </c>
      <c r="H17" s="298">
        <f>IFERROR(SUM(H13:H16),0)</f>
        <v>24.725000000000001</v>
      </c>
      <c r="I17" s="298">
        <f>IFERROR(SUM(I13:I16),0)</f>
        <v>0</v>
      </c>
      <c r="J17" s="299">
        <f>IFERROR(SUM(E17:I17),0)</f>
        <v>731.49300000000005</v>
      </c>
      <c r="K17" s="200"/>
      <c r="L17" s="356" t="s">
        <v>9504</v>
      </c>
      <c r="M17" s="197"/>
      <c r="N17" s="302"/>
      <c r="O17" s="197"/>
      <c r="P17" s="345"/>
      <c r="Q17" s="284"/>
      <c r="R17" s="262"/>
      <c r="S17" s="270"/>
      <c r="T17" s="270"/>
      <c r="U17" s="270"/>
      <c r="V17" s="270"/>
      <c r="W17" s="270"/>
      <c r="X17" s="262"/>
      <c r="Y17" s="224"/>
      <c r="Z17" s="463" t="s">
        <v>9503</v>
      </c>
      <c r="AA17" s="298" t="s">
        <v>9505</v>
      </c>
      <c r="AB17" s="298" t="s">
        <v>9506</v>
      </c>
      <c r="AC17" s="298" t="s">
        <v>9507</v>
      </c>
      <c r="AD17" s="298" t="s">
        <v>9508</v>
      </c>
      <c r="AE17" s="298" t="s">
        <v>9509</v>
      </c>
      <c r="AF17" s="299" t="s">
        <v>9510</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9511</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9511</v>
      </c>
      <c r="AA19" s="316"/>
      <c r="AB19" s="316"/>
      <c r="AC19" s="316"/>
      <c r="AD19" s="316"/>
      <c r="AE19" s="316"/>
      <c r="AF19" s="316"/>
      <c r="AG19" s="705"/>
      <c r="AH19" s="219"/>
      <c r="AI19" s="219"/>
      <c r="AJ19" s="219"/>
      <c r="AK19" s="219"/>
    </row>
    <row r="20" spans="1:37" ht="15.75" customHeight="1" thickTop="1">
      <c r="A20" s="197"/>
      <c r="B20" s="451" t="s">
        <v>9512</v>
      </c>
      <c r="C20" s="277" t="s">
        <v>681</v>
      </c>
      <c r="D20" s="277">
        <v>3</v>
      </c>
      <c r="E20" s="350">
        <f>IFERROR(E17,0)</f>
        <v>101.176</v>
      </c>
      <c r="F20" s="350">
        <f>IFERROR(F17,0)</f>
        <v>342.90899999999999</v>
      </c>
      <c r="G20" s="350">
        <f>IFERROR(G17,0)</f>
        <v>262.68299999999999</v>
      </c>
      <c r="H20" s="350">
        <f>IFERROR(H17,0)</f>
        <v>24.725000000000001</v>
      </c>
      <c r="I20" s="350">
        <f>IFERROR(I17,0)</f>
        <v>0</v>
      </c>
      <c r="J20" s="280">
        <f>IFERROR(SUM(E20:I20),0)</f>
        <v>731.49300000000005</v>
      </c>
      <c r="K20" s="200"/>
      <c r="L20" s="281" t="s">
        <v>9513</v>
      </c>
      <c r="M20" s="197"/>
      <c r="N20" s="283"/>
      <c r="O20" s="197"/>
      <c r="P20" s="345"/>
      <c r="Q20" s="284"/>
      <c r="R20" s="262"/>
      <c r="S20" s="270"/>
      <c r="T20" s="270"/>
      <c r="U20" s="270"/>
      <c r="V20" s="270"/>
      <c r="W20" s="270"/>
      <c r="X20" s="262"/>
      <c r="Y20" s="224"/>
      <c r="Z20" s="451" t="s">
        <v>9512</v>
      </c>
      <c r="AA20" s="350" t="s">
        <v>9514</v>
      </c>
      <c r="AB20" s="350" t="s">
        <v>9515</v>
      </c>
      <c r="AC20" s="350" t="s">
        <v>9516</v>
      </c>
      <c r="AD20" s="350" t="s">
        <v>9517</v>
      </c>
      <c r="AE20" s="350" t="s">
        <v>9518</v>
      </c>
      <c r="AF20" s="280" t="s">
        <v>9519</v>
      </c>
      <c r="AG20" s="705"/>
      <c r="AH20" s="219"/>
      <c r="AI20" s="219"/>
      <c r="AJ20" s="219"/>
      <c r="AK20" s="219"/>
    </row>
    <row r="21" spans="1:37" ht="15.75" customHeight="1">
      <c r="A21" s="197"/>
      <c r="B21" s="460" t="s">
        <v>9520</v>
      </c>
      <c r="C21" s="286" t="s">
        <v>681</v>
      </c>
      <c r="D21" s="286">
        <v>3</v>
      </c>
      <c r="E21" s="381">
        <f>IFERROR(E10,0)</f>
        <v>101.17999999999999</v>
      </c>
      <c r="F21" s="381">
        <f>IFERROR(F10,0)</f>
        <v>340.03999999999996</v>
      </c>
      <c r="G21" s="381">
        <f>IFERROR(G10,0)</f>
        <v>260.875</v>
      </c>
      <c r="H21" s="381">
        <f>IFERROR(H10,0)</f>
        <v>24.4</v>
      </c>
      <c r="I21" s="381">
        <f>IFERROR(I10,0)</f>
        <v>0</v>
      </c>
      <c r="J21" s="289">
        <f>IFERROR(SUM(E21:I21),0)</f>
        <v>726.495</v>
      </c>
      <c r="K21" s="200"/>
      <c r="L21" s="290" t="s">
        <v>9521</v>
      </c>
      <c r="M21" s="197"/>
      <c r="N21" s="291"/>
      <c r="O21" s="197"/>
      <c r="P21" s="345"/>
      <c r="Q21" s="284"/>
      <c r="R21" s="262"/>
      <c r="S21" s="270"/>
      <c r="T21" s="270"/>
      <c r="U21" s="270"/>
      <c r="V21" s="270"/>
      <c r="W21" s="270"/>
      <c r="X21" s="262"/>
      <c r="Y21" s="224"/>
      <c r="Z21" s="460" t="s">
        <v>9520</v>
      </c>
      <c r="AA21" s="381" t="s">
        <v>9522</v>
      </c>
      <c r="AB21" s="381" t="s">
        <v>9523</v>
      </c>
      <c r="AC21" s="381" t="s">
        <v>9524</v>
      </c>
      <c r="AD21" s="381" t="s">
        <v>9525</v>
      </c>
      <c r="AE21" s="381" t="s">
        <v>9526</v>
      </c>
      <c r="AF21" s="289" t="s">
        <v>9527</v>
      </c>
      <c r="AG21" s="705"/>
      <c r="AH21" s="219"/>
      <c r="AI21" s="219"/>
      <c r="AJ21" s="219"/>
      <c r="AK21" s="219"/>
    </row>
    <row r="22" spans="1:37" ht="15.75" customHeight="1" thickBot="1">
      <c r="A22" s="197"/>
      <c r="B22" s="463" t="s">
        <v>9528</v>
      </c>
      <c r="C22" s="355" t="s">
        <v>681</v>
      </c>
      <c r="D22" s="355">
        <v>3</v>
      </c>
      <c r="E22" s="298">
        <f>IFERROR(E20-E21,0)</f>
        <v>-3.9999999999906777E-3</v>
      </c>
      <c r="F22" s="298">
        <f>IFERROR(F20-F21,0)</f>
        <v>2.8690000000000282</v>
      </c>
      <c r="G22" s="298">
        <f>IFERROR(G20-G21,0)</f>
        <v>1.8079999999999927</v>
      </c>
      <c r="H22" s="298">
        <f>IFERROR(H20-H21,0)</f>
        <v>0.32500000000000284</v>
      </c>
      <c r="I22" s="298">
        <f>IFERROR(I20-I21,0)</f>
        <v>0</v>
      </c>
      <c r="J22" s="299">
        <f>IFERROR(SUM(E22:I22),0)</f>
        <v>4.9980000000000331</v>
      </c>
      <c r="K22" s="200"/>
      <c r="L22" s="356" t="s">
        <v>9529</v>
      </c>
      <c r="M22" s="197"/>
      <c r="N22" s="302"/>
      <c r="O22" s="197"/>
      <c r="P22" s="345"/>
      <c r="Q22" s="284"/>
      <c r="R22" s="262"/>
      <c r="S22" s="270"/>
      <c r="T22" s="270"/>
      <c r="U22" s="270"/>
      <c r="V22" s="270"/>
      <c r="W22" s="270"/>
      <c r="X22" s="262"/>
      <c r="Y22" s="224"/>
      <c r="Z22" s="463" t="s">
        <v>9528</v>
      </c>
      <c r="AA22" s="298" t="s">
        <v>9530</v>
      </c>
      <c r="AB22" s="298" t="s">
        <v>9531</v>
      </c>
      <c r="AC22" s="298" t="s">
        <v>9532</v>
      </c>
      <c r="AD22" s="298" t="s">
        <v>9533</v>
      </c>
      <c r="AE22" s="298" t="s">
        <v>9534</v>
      </c>
      <c r="AF22" s="299" t="s">
        <v>9535</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tabColor rgb="FF00B050"/>
  </sheetPr>
  <dimension ref="A1:AE45"/>
  <sheetViews>
    <sheetView showGridLines="0" topLeftCell="B4" zoomScale="40" zoomScaleNormal="40" zoomScaleSheetLayoutView="100" workbookViewId="0">
      <selection activeCell="F28" sqref="F28"/>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9"/>
      <c r="B1" s="2661" t="s">
        <v>9536</v>
      </c>
      <c r="C1" s="2661"/>
      <c r="D1" s="2661"/>
      <c r="E1" s="2661"/>
      <c r="F1" s="2661"/>
      <c r="G1" s="2661"/>
      <c r="H1" s="2661"/>
      <c r="I1" s="2661"/>
      <c r="J1" s="219"/>
      <c r="K1" s="219"/>
      <c r="L1" s="340"/>
      <c r="M1" s="284"/>
      <c r="N1" s="262"/>
      <c r="O1" s="263"/>
      <c r="P1" s="263"/>
      <c r="Q1" s="263"/>
      <c r="R1" s="262"/>
      <c r="S1" s="219"/>
      <c r="T1" s="2661" t="s">
        <v>7220</v>
      </c>
      <c r="U1" s="2661"/>
      <c r="V1" s="2661"/>
      <c r="W1" s="2661"/>
      <c r="X1" s="424"/>
      <c r="Y1" s="424"/>
      <c r="Z1" s="2800"/>
      <c r="AA1" s="2800"/>
      <c r="AB1" s="2800"/>
      <c r="AC1" s="2800"/>
      <c r="AD1" s="219"/>
      <c r="AE1" s="219"/>
    </row>
    <row r="2" spans="1:31" ht="30" customHeight="1">
      <c r="A2" s="219"/>
      <c r="B2" s="2661" t="str">
        <f>SelectCompany!B4</f>
        <v>Northumbrian Water</v>
      </c>
      <c r="C2" s="2661"/>
      <c r="D2" s="529"/>
      <c r="E2" s="529"/>
      <c r="F2" s="529"/>
      <c r="G2" s="529"/>
      <c r="H2" s="529"/>
      <c r="I2" s="529"/>
      <c r="J2" s="219"/>
      <c r="K2" s="219"/>
      <c r="L2" s="340"/>
      <c r="M2" s="284"/>
      <c r="N2" s="262"/>
      <c r="O2" s="263"/>
      <c r="P2" s="263"/>
      <c r="Q2" s="263"/>
      <c r="R2" s="262"/>
      <c r="S2" s="219"/>
      <c r="T2" s="2661"/>
      <c r="U2" s="2661"/>
      <c r="V2" s="529"/>
      <c r="W2" s="529"/>
      <c r="X2" s="529"/>
      <c r="Y2" s="529"/>
      <c r="Z2" s="736"/>
      <c r="AA2" s="736"/>
      <c r="AB2" s="736"/>
      <c r="AC2" s="736"/>
      <c r="AD2" s="219"/>
      <c r="AE2" s="219"/>
    </row>
    <row r="3" spans="1:31" ht="30.75" customHeight="1">
      <c r="A3" s="219"/>
      <c r="B3" s="2705" t="s">
        <v>9537</v>
      </c>
      <c r="C3" s="2706"/>
      <c r="D3" s="2706"/>
      <c r="E3" s="2706"/>
      <c r="F3" s="2706"/>
      <c r="G3" s="2706"/>
      <c r="H3" s="2706"/>
      <c r="I3" s="2706"/>
      <c r="J3" s="2706"/>
      <c r="K3" s="219"/>
      <c r="L3" s="342"/>
      <c r="M3" s="265" t="s">
        <v>7222</v>
      </c>
      <c r="N3" s="262"/>
      <c r="O3" s="263"/>
      <c r="P3" s="263"/>
      <c r="Q3" s="263"/>
      <c r="R3" s="262"/>
      <c r="S3" s="219"/>
      <c r="T3" s="2801" t="s">
        <v>9537</v>
      </c>
      <c r="U3" s="2802"/>
      <c r="V3" s="2802"/>
      <c r="W3" s="2802"/>
      <c r="X3" s="2802"/>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7223</v>
      </c>
      <c r="P4" s="732"/>
      <c r="Q4" s="732"/>
      <c r="R4" s="262"/>
      <c r="S4" s="219"/>
      <c r="T4" s="480"/>
      <c r="U4" s="480"/>
      <c r="V4" s="480"/>
      <c r="W4" s="480"/>
      <c r="X4" s="480"/>
      <c r="Y4" s="480"/>
      <c r="Z4" s="219"/>
      <c r="AA4" s="219"/>
      <c r="AB4" s="219"/>
      <c r="AC4" s="219"/>
      <c r="AD4" s="219"/>
      <c r="AE4" s="219"/>
    </row>
    <row r="5" spans="1:31" ht="45" customHeight="1" thickTop="1">
      <c r="A5" s="242"/>
      <c r="B5" s="2711" t="s">
        <v>7224</v>
      </c>
      <c r="C5" s="2673"/>
      <c r="D5" s="670" t="s">
        <v>7235</v>
      </c>
      <c r="E5" s="670" t="s">
        <v>8998</v>
      </c>
      <c r="F5" s="671" t="s">
        <v>9538</v>
      </c>
      <c r="G5" s="482"/>
      <c r="H5" s="2790" t="s">
        <v>7229</v>
      </c>
      <c r="I5" s="242"/>
      <c r="J5" s="2790" t="s">
        <v>7230</v>
      </c>
      <c r="K5" s="242"/>
      <c r="L5" s="345"/>
      <c r="M5" s="284"/>
      <c r="N5" s="262"/>
      <c r="O5" s="269" t="s">
        <v>7231</v>
      </c>
      <c r="P5" s="269"/>
      <c r="Q5" s="269"/>
      <c r="R5" s="262"/>
      <c r="S5" s="219"/>
      <c r="T5" s="2711" t="s">
        <v>7224</v>
      </c>
      <c r="U5" s="2673"/>
      <c r="V5" s="670" t="s">
        <v>7235</v>
      </c>
      <c r="W5" s="670" t="s">
        <v>8998</v>
      </c>
      <c r="X5" s="671" t="s">
        <v>9538</v>
      </c>
      <c r="Y5" s="219"/>
      <c r="Z5" s="219"/>
      <c r="AA5" s="219"/>
      <c r="AB5" s="219"/>
      <c r="AC5" s="219"/>
      <c r="AD5" s="219"/>
      <c r="AE5" s="219"/>
    </row>
    <row r="6" spans="1:31" ht="15" customHeight="1">
      <c r="A6" s="242"/>
      <c r="B6" s="2795" t="s">
        <v>7225</v>
      </c>
      <c r="C6" s="2796"/>
      <c r="D6" s="427" t="s">
        <v>681</v>
      </c>
      <c r="E6" s="427" t="s">
        <v>3222</v>
      </c>
      <c r="F6" s="428" t="s">
        <v>9000</v>
      </c>
      <c r="G6" s="482"/>
      <c r="H6" s="2791"/>
      <c r="I6" s="242"/>
      <c r="J6" s="2791"/>
      <c r="K6" s="242"/>
      <c r="L6" s="345"/>
      <c r="M6" s="284"/>
      <c r="N6" s="262"/>
      <c r="O6" s="269"/>
      <c r="P6" s="269"/>
      <c r="Q6" s="269"/>
      <c r="R6" s="262"/>
      <c r="S6" s="219"/>
      <c r="T6" s="2795" t="s">
        <v>7225</v>
      </c>
      <c r="U6" s="2796"/>
      <c r="V6" s="427" t="s">
        <v>681</v>
      </c>
      <c r="W6" s="427" t="s">
        <v>3222</v>
      </c>
      <c r="X6" s="428" t="s">
        <v>9000</v>
      </c>
      <c r="Y6" s="219"/>
      <c r="Z6" s="219"/>
      <c r="AA6" s="219"/>
      <c r="AB6" s="219"/>
      <c r="AC6" s="219"/>
      <c r="AD6" s="219"/>
      <c r="AE6" s="219"/>
    </row>
    <row r="7" spans="1:31" ht="15" customHeight="1" thickBot="1">
      <c r="A7" s="242"/>
      <c r="B7" s="2712" t="s">
        <v>670</v>
      </c>
      <c r="C7" s="2674"/>
      <c r="D7" s="271">
        <v>3</v>
      </c>
      <c r="E7" s="271">
        <v>3</v>
      </c>
      <c r="F7" s="672">
        <v>3</v>
      </c>
      <c r="G7" s="482"/>
      <c r="H7" s="2792"/>
      <c r="I7" s="242"/>
      <c r="J7" s="2792"/>
      <c r="K7" s="242"/>
      <c r="L7" s="345"/>
      <c r="M7" s="284"/>
      <c r="N7" s="262"/>
      <c r="O7" s="224"/>
      <c r="P7" s="224"/>
      <c r="Q7" s="224"/>
      <c r="R7" s="262"/>
      <c r="S7" s="219"/>
      <c r="T7" s="2712" t="s">
        <v>670</v>
      </c>
      <c r="U7" s="2674"/>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693" t="s">
        <v>9539</v>
      </c>
      <c r="C9" s="2694"/>
      <c r="D9" s="741"/>
      <c r="E9" s="741"/>
      <c r="F9" s="741"/>
      <c r="G9" s="242"/>
      <c r="H9" s="482"/>
      <c r="I9" s="197"/>
      <c r="J9" s="242"/>
      <c r="K9" s="242"/>
      <c r="L9" s="345"/>
      <c r="M9" s="284"/>
      <c r="N9" s="262"/>
      <c r="O9" s="270"/>
      <c r="P9" s="270"/>
      <c r="Q9" s="270"/>
      <c r="R9" s="262"/>
      <c r="S9" s="219"/>
      <c r="T9" s="2693" t="s">
        <v>9539</v>
      </c>
      <c r="U9" s="2694"/>
      <c r="V9" s="741"/>
      <c r="W9" s="741"/>
      <c r="X9" s="741"/>
      <c r="Y9" s="224"/>
      <c r="Z9" s="219"/>
      <c r="AA9" s="219"/>
      <c r="AB9" s="219"/>
      <c r="AC9" s="219"/>
      <c r="AD9" s="219"/>
      <c r="AE9" s="219"/>
    </row>
    <row r="10" spans="1:31" ht="15.75" customHeight="1" thickTop="1">
      <c r="A10" s="242"/>
      <c r="B10" s="2798" t="s">
        <v>9540</v>
      </c>
      <c r="C10" s="2799"/>
      <c r="D10" s="667"/>
      <c r="E10" s="278">
        <v>14.882999999999999</v>
      </c>
      <c r="F10" s="743"/>
      <c r="G10" s="83"/>
      <c r="H10" s="281" t="s">
        <v>9541</v>
      </c>
      <c r="I10" s="242"/>
      <c r="J10" s="283"/>
      <c r="K10" s="242"/>
      <c r="L10" s="345"/>
      <c r="M10" s="284">
        <f>IF( SUM( O10:Q10 ) = 0, 0, $O$5 )</f>
        <v>0</v>
      </c>
      <c r="N10" s="262"/>
      <c r="O10" s="270"/>
      <c r="P10" s="285">
        <f xml:space="preserve"> IF( ISNUMBER(E10 ), 0, 1 )</f>
        <v>0</v>
      </c>
      <c r="Q10" s="270"/>
      <c r="R10" s="262"/>
      <c r="S10" s="219"/>
      <c r="T10" s="2798" t="s">
        <v>9542</v>
      </c>
      <c r="U10" s="2799"/>
      <c r="V10" s="667"/>
      <c r="W10" s="278" t="s">
        <v>9543</v>
      </c>
      <c r="X10" s="743"/>
      <c r="Y10" s="219"/>
      <c r="Z10" s="219"/>
      <c r="AA10" s="219"/>
      <c r="AB10" s="219"/>
      <c r="AC10" s="219"/>
      <c r="AD10" s="219"/>
      <c r="AE10" s="219"/>
    </row>
    <row r="11" spans="1:31" ht="15.75" customHeight="1">
      <c r="A11" s="242"/>
      <c r="B11" s="2803" t="s">
        <v>9544</v>
      </c>
      <c r="C11" s="2804"/>
      <c r="D11" s="744"/>
      <c r="E11" s="287">
        <v>1.0229999999999999</v>
      </c>
      <c r="F11" s="745"/>
      <c r="G11" s="83"/>
      <c r="H11" s="290" t="s">
        <v>9545</v>
      </c>
      <c r="I11" s="242"/>
      <c r="J11" s="291"/>
      <c r="K11" s="242"/>
      <c r="L11" s="345"/>
      <c r="M11" s="284">
        <f t="shared" ref="M11:M12" si="0">IF( SUM( O11:Q11 ) = 0, 0, $O$5 )</f>
        <v>0</v>
      </c>
      <c r="N11" s="262"/>
      <c r="O11" s="270"/>
      <c r="P11" s="285">
        <f t="shared" ref="P11:P12" si="1" xml:space="preserve"> IF( ISNUMBER(E11 ), 0, 1 )</f>
        <v>0</v>
      </c>
      <c r="Q11" s="270"/>
      <c r="R11" s="262"/>
      <c r="S11" s="219"/>
      <c r="T11" s="2803" t="s">
        <v>9546</v>
      </c>
      <c r="U11" s="2804"/>
      <c r="V11" s="744"/>
      <c r="W11" s="287" t="s">
        <v>9547</v>
      </c>
      <c r="X11" s="745"/>
      <c r="Y11" s="219"/>
      <c r="Z11" s="219"/>
      <c r="AA11" s="219"/>
      <c r="AB11" s="219"/>
      <c r="AC11" s="219"/>
      <c r="AD11" s="219"/>
      <c r="AE11" s="219"/>
    </row>
    <row r="12" spans="1:31" ht="15.75" customHeight="1" thickBot="1">
      <c r="A12" s="242"/>
      <c r="B12" s="2805" t="s">
        <v>9548</v>
      </c>
      <c r="C12" s="2806"/>
      <c r="D12" s="668"/>
      <c r="E12" s="297">
        <v>42.226999999999997</v>
      </c>
      <c r="F12" s="746"/>
      <c r="G12" s="83"/>
      <c r="H12" s="356" t="s">
        <v>9549</v>
      </c>
      <c r="I12" s="242"/>
      <c r="J12" s="302"/>
      <c r="K12" s="242"/>
      <c r="L12" s="345"/>
      <c r="M12" s="284">
        <f t="shared" si="0"/>
        <v>0</v>
      </c>
      <c r="N12" s="262"/>
      <c r="O12" s="270"/>
      <c r="P12" s="285">
        <f t="shared" si="1"/>
        <v>0</v>
      </c>
      <c r="Q12" s="270"/>
      <c r="R12" s="262"/>
      <c r="S12" s="219"/>
      <c r="T12" s="2805" t="s">
        <v>9550</v>
      </c>
      <c r="U12" s="2806"/>
      <c r="V12" s="668"/>
      <c r="W12" s="297" t="s">
        <v>9551</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693" t="s">
        <v>9552</v>
      </c>
      <c r="C14" s="2694"/>
      <c r="D14" s="741"/>
      <c r="E14" s="741"/>
      <c r="F14" s="741"/>
      <c r="G14" s="242"/>
      <c r="H14" s="482"/>
      <c r="I14" s="197"/>
      <c r="J14" s="242"/>
      <c r="K14" s="242"/>
      <c r="L14" s="345"/>
      <c r="M14" s="284"/>
      <c r="N14" s="262"/>
      <c r="O14" s="270"/>
      <c r="P14" s="270"/>
      <c r="Q14" s="270"/>
      <c r="R14" s="262"/>
      <c r="S14" s="219"/>
      <c r="T14" s="2693" t="s">
        <v>9552</v>
      </c>
      <c r="U14" s="2694"/>
      <c r="V14" s="741"/>
      <c r="W14" s="741"/>
      <c r="X14" s="741"/>
      <c r="Y14" s="224"/>
      <c r="Z14" s="219"/>
      <c r="AA14" s="219"/>
      <c r="AB14" s="219"/>
      <c r="AC14" s="219"/>
      <c r="AD14" s="219"/>
      <c r="AE14" s="219"/>
    </row>
    <row r="15" spans="1:31" ht="15.75" customHeight="1" thickTop="1">
      <c r="A15" s="242"/>
      <c r="B15" s="2798" t="s">
        <v>9553</v>
      </c>
      <c r="C15" s="2799"/>
      <c r="D15" s="667"/>
      <c r="E15" s="278">
        <v>763.01400000000001</v>
      </c>
      <c r="F15" s="743"/>
      <c r="G15" s="83"/>
      <c r="H15" s="281" t="s">
        <v>9554</v>
      </c>
      <c r="I15" s="242"/>
      <c r="J15" s="283"/>
      <c r="K15" s="242"/>
      <c r="L15" s="345"/>
      <c r="M15" s="284">
        <f t="shared" ref="M15:M17" si="2">IF( SUM( O15:Q15 ) = 0, 0, $O$5 )</f>
        <v>0</v>
      </c>
      <c r="N15" s="262"/>
      <c r="O15" s="270"/>
      <c r="P15" s="285">
        <f t="shared" ref="P15:P17" si="3" xml:space="preserve"> IF( ISNUMBER(E15 ), 0, 1 )</f>
        <v>0</v>
      </c>
      <c r="Q15" s="270"/>
      <c r="R15" s="262"/>
      <c r="S15" s="219"/>
      <c r="T15" s="2798" t="s">
        <v>9555</v>
      </c>
      <c r="U15" s="2799"/>
      <c r="V15" s="667"/>
      <c r="W15" s="278" t="s">
        <v>9556</v>
      </c>
      <c r="X15" s="743"/>
      <c r="Y15" s="219"/>
      <c r="Z15" s="219"/>
      <c r="AA15" s="219"/>
      <c r="AB15" s="219"/>
      <c r="AC15" s="219"/>
      <c r="AD15" s="219"/>
      <c r="AE15" s="219"/>
    </row>
    <row r="16" spans="1:31" ht="15.75" customHeight="1">
      <c r="A16" s="242"/>
      <c r="B16" s="2803" t="s">
        <v>9557</v>
      </c>
      <c r="C16" s="2804"/>
      <c r="D16" s="744"/>
      <c r="E16" s="287">
        <v>67.501000000000005</v>
      </c>
      <c r="F16" s="745"/>
      <c r="G16" s="83"/>
      <c r="H16" s="290" t="s">
        <v>9558</v>
      </c>
      <c r="I16" s="242"/>
      <c r="J16" s="291"/>
      <c r="K16" s="242"/>
      <c r="L16" s="345"/>
      <c r="M16" s="284">
        <f t="shared" si="2"/>
        <v>0</v>
      </c>
      <c r="N16" s="262"/>
      <c r="O16" s="270"/>
      <c r="P16" s="285">
        <f t="shared" si="3"/>
        <v>0</v>
      </c>
      <c r="Q16" s="270"/>
      <c r="R16" s="262"/>
      <c r="S16" s="219"/>
      <c r="T16" s="2803" t="s">
        <v>9559</v>
      </c>
      <c r="U16" s="2804"/>
      <c r="V16" s="744"/>
      <c r="W16" s="287" t="s">
        <v>9560</v>
      </c>
      <c r="X16" s="745"/>
      <c r="Y16" s="219"/>
      <c r="Z16" s="219"/>
      <c r="AA16" s="219"/>
      <c r="AB16" s="219"/>
      <c r="AC16" s="219"/>
      <c r="AD16" s="219"/>
      <c r="AE16" s="219"/>
    </row>
    <row r="17" spans="1:31" ht="15.75" customHeight="1" thickBot="1">
      <c r="A17" s="242"/>
      <c r="B17" s="2805" t="s">
        <v>9561</v>
      </c>
      <c r="C17" s="2806"/>
      <c r="D17" s="668"/>
      <c r="E17" s="297">
        <v>1083.059</v>
      </c>
      <c r="F17" s="746"/>
      <c r="G17" s="83"/>
      <c r="H17" s="356" t="s">
        <v>9562</v>
      </c>
      <c r="I17" s="242"/>
      <c r="J17" s="302"/>
      <c r="K17" s="242"/>
      <c r="L17" s="345"/>
      <c r="M17" s="284">
        <f t="shared" si="2"/>
        <v>0</v>
      </c>
      <c r="N17" s="262"/>
      <c r="O17" s="270"/>
      <c r="P17" s="285">
        <f t="shared" si="3"/>
        <v>0</v>
      </c>
      <c r="Q17" s="270"/>
      <c r="R17" s="262"/>
      <c r="S17" s="219"/>
      <c r="T17" s="2805" t="s">
        <v>9563</v>
      </c>
      <c r="U17" s="2806"/>
      <c r="V17" s="668"/>
      <c r="W17" s="297" t="s">
        <v>9564</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693" t="s">
        <v>9565</v>
      </c>
      <c r="C19" s="2694"/>
      <c r="D19" s="741"/>
      <c r="E19" s="741"/>
      <c r="F19" s="741"/>
      <c r="G19" s="242"/>
      <c r="H19" s="482"/>
      <c r="I19" s="197"/>
      <c r="J19" s="242"/>
      <c r="K19" s="242"/>
      <c r="L19" s="345"/>
      <c r="M19" s="284"/>
      <c r="N19" s="262"/>
      <c r="O19" s="270"/>
      <c r="P19" s="270"/>
      <c r="Q19" s="270"/>
      <c r="R19" s="262"/>
      <c r="S19" s="219"/>
      <c r="T19" s="2693" t="s">
        <v>9565</v>
      </c>
      <c r="U19" s="2694"/>
      <c r="V19" s="741"/>
      <c r="W19" s="741"/>
      <c r="X19" s="741"/>
      <c r="Y19" s="224"/>
      <c r="Z19" s="219"/>
      <c r="AA19" s="219"/>
      <c r="AB19" s="219"/>
      <c r="AC19" s="219"/>
      <c r="AD19" s="219"/>
      <c r="AE19" s="219"/>
    </row>
    <row r="20" spans="1:31" ht="15.75" customHeight="1" thickTop="1">
      <c r="A20" s="242"/>
      <c r="B20" s="2798" t="s">
        <v>9566</v>
      </c>
      <c r="C20" s="2799"/>
      <c r="D20" s="667"/>
      <c r="E20" s="667"/>
      <c r="F20" s="280">
        <f>IFERROR(((D25+D33)/E10)*1000,0)</f>
        <v>76.799032453134444</v>
      </c>
      <c r="G20" s="83"/>
      <c r="H20" s="281" t="s">
        <v>9567</v>
      </c>
      <c r="I20" s="242"/>
      <c r="J20" s="283"/>
      <c r="K20" s="242"/>
      <c r="L20" s="345"/>
      <c r="M20" s="284"/>
      <c r="N20" s="262"/>
      <c r="O20" s="270"/>
      <c r="P20" s="270"/>
      <c r="Q20" s="270"/>
      <c r="R20" s="262"/>
      <c r="S20" s="219"/>
      <c r="T20" s="2798" t="s">
        <v>9566</v>
      </c>
      <c r="U20" s="2799"/>
      <c r="V20" s="667"/>
      <c r="W20" s="667"/>
      <c r="X20" s="280" t="s">
        <v>9568</v>
      </c>
      <c r="Y20" s="219"/>
      <c r="Z20" s="219"/>
      <c r="AA20" s="219"/>
      <c r="AB20" s="219"/>
      <c r="AC20" s="219"/>
      <c r="AD20" s="219"/>
      <c r="AE20" s="219"/>
    </row>
    <row r="21" spans="1:31" ht="15.75" customHeight="1">
      <c r="A21" s="242"/>
      <c r="B21" s="2803" t="s">
        <v>9569</v>
      </c>
      <c r="C21" s="2804"/>
      <c r="D21" s="744"/>
      <c r="E21" s="744"/>
      <c r="F21" s="289">
        <f>IFERROR(((D26+D34)/E11)*1000,0)</f>
        <v>125.12218963831867</v>
      </c>
      <c r="G21" s="83"/>
      <c r="H21" s="290" t="s">
        <v>9570</v>
      </c>
      <c r="I21" s="242"/>
      <c r="J21" s="291"/>
      <c r="K21" s="242"/>
      <c r="L21" s="345"/>
      <c r="M21" s="284"/>
      <c r="N21" s="262"/>
      <c r="O21" s="270"/>
      <c r="P21" s="270"/>
      <c r="Q21" s="270"/>
      <c r="R21" s="262"/>
      <c r="S21" s="219"/>
      <c r="T21" s="2803" t="s">
        <v>9569</v>
      </c>
      <c r="U21" s="2804"/>
      <c r="V21" s="744"/>
      <c r="W21" s="744"/>
      <c r="X21" s="289" t="s">
        <v>9571</v>
      </c>
      <c r="Y21" s="219"/>
      <c r="Z21" s="219"/>
      <c r="AA21" s="219"/>
      <c r="AB21" s="219"/>
      <c r="AC21" s="219"/>
      <c r="AD21" s="219"/>
      <c r="AE21" s="219"/>
    </row>
    <row r="22" spans="1:31" ht="15.75" customHeight="1" thickBot="1">
      <c r="A22" s="242"/>
      <c r="B22" s="2805" t="s">
        <v>9572</v>
      </c>
      <c r="C22" s="2806"/>
      <c r="D22" s="668"/>
      <c r="E22" s="668"/>
      <c r="F22" s="299">
        <f>IFERROR(((D27+D35)/E12)*1000,0)</f>
        <v>96.123333412271776</v>
      </c>
      <c r="G22" s="83"/>
      <c r="H22" s="356" t="s">
        <v>9573</v>
      </c>
      <c r="I22" s="242"/>
      <c r="J22" s="302"/>
      <c r="K22" s="242"/>
      <c r="L22" s="345"/>
      <c r="M22" s="284"/>
      <c r="N22" s="262"/>
      <c r="O22" s="270"/>
      <c r="P22" s="270"/>
      <c r="Q22" s="270"/>
      <c r="R22" s="262"/>
      <c r="S22" s="219"/>
      <c r="T22" s="2805" t="s">
        <v>9572</v>
      </c>
      <c r="U22" s="2806"/>
      <c r="V22" s="668"/>
      <c r="W22" s="668"/>
      <c r="X22" s="299" t="s">
        <v>9574</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693" t="s">
        <v>9575</v>
      </c>
      <c r="C24" s="2694"/>
      <c r="D24" s="741"/>
      <c r="E24" s="741"/>
      <c r="F24" s="741"/>
      <c r="G24" s="242"/>
      <c r="H24" s="482"/>
      <c r="I24" s="197"/>
      <c r="J24" s="242"/>
      <c r="K24" s="242"/>
      <c r="L24" s="345"/>
      <c r="M24" s="284"/>
      <c r="N24" s="262"/>
      <c r="O24" s="270"/>
      <c r="P24" s="270"/>
      <c r="Q24" s="270"/>
      <c r="R24" s="262"/>
      <c r="S24" s="219"/>
      <c r="T24" s="2693" t="s">
        <v>9575</v>
      </c>
      <c r="U24" s="2694"/>
      <c r="V24" s="741"/>
      <c r="W24" s="741"/>
      <c r="X24" s="741"/>
      <c r="Y24" s="224"/>
      <c r="Z24" s="219"/>
      <c r="AA24" s="219"/>
      <c r="AB24" s="219"/>
      <c r="AC24" s="219"/>
      <c r="AD24" s="219"/>
      <c r="AE24" s="219"/>
    </row>
    <row r="25" spans="1:31" ht="15.75" customHeight="1" thickTop="1">
      <c r="A25" s="242"/>
      <c r="B25" s="2798" t="s">
        <v>9576</v>
      </c>
      <c r="C25" s="2799"/>
      <c r="D25" s="748">
        <v>1.143</v>
      </c>
      <c r="E25" s="749"/>
      <c r="F25" s="750"/>
      <c r="G25" s="83"/>
      <c r="H25" s="281" t="s">
        <v>9577</v>
      </c>
      <c r="I25" s="242"/>
      <c r="J25" s="283"/>
      <c r="K25" s="242"/>
      <c r="L25" s="345"/>
      <c r="M25" s="284">
        <f t="shared" ref="M25:M27" si="4">IF( SUM( O25:Q25 ) = 0, 0, $O$5 )</f>
        <v>0</v>
      </c>
      <c r="N25" s="262"/>
      <c r="O25" s="285">
        <f t="shared" ref="O25:O27" si="5" xml:space="preserve"> IF( ISNUMBER(D25 ), 0, 1 )</f>
        <v>0</v>
      </c>
      <c r="P25" s="270"/>
      <c r="Q25" s="270"/>
      <c r="R25" s="262"/>
      <c r="S25" s="219"/>
      <c r="T25" s="2798" t="s">
        <v>9576</v>
      </c>
      <c r="U25" s="2799"/>
      <c r="V25" s="748" t="s">
        <v>9578</v>
      </c>
      <c r="W25" s="749"/>
      <c r="X25" s="750"/>
      <c r="Y25" s="219"/>
      <c r="Z25" s="219"/>
      <c r="AA25" s="219"/>
      <c r="AB25" s="219"/>
      <c r="AC25" s="219"/>
      <c r="AD25" s="219"/>
      <c r="AE25" s="219"/>
    </row>
    <row r="26" spans="1:31" ht="15.75" customHeight="1">
      <c r="A26" s="242"/>
      <c r="B26" s="2803" t="s">
        <v>9579</v>
      </c>
      <c r="C26" s="2804"/>
      <c r="D26" s="751">
        <v>0.128</v>
      </c>
      <c r="E26" s="752"/>
      <c r="F26" s="753"/>
      <c r="G26" s="83"/>
      <c r="H26" s="290" t="s">
        <v>9580</v>
      </c>
      <c r="I26" s="242"/>
      <c r="J26" s="291"/>
      <c r="K26" s="242"/>
      <c r="L26" s="345"/>
      <c r="M26" s="284">
        <f t="shared" si="4"/>
        <v>0</v>
      </c>
      <c r="N26" s="262"/>
      <c r="O26" s="285">
        <f t="shared" si="5"/>
        <v>0</v>
      </c>
      <c r="P26" s="270"/>
      <c r="Q26" s="270"/>
      <c r="R26" s="262"/>
      <c r="S26" s="219"/>
      <c r="T26" s="2803" t="s">
        <v>9579</v>
      </c>
      <c r="U26" s="2804"/>
      <c r="V26" s="751" t="s">
        <v>9581</v>
      </c>
      <c r="W26" s="752"/>
      <c r="X26" s="753"/>
      <c r="Y26" s="219"/>
      <c r="Z26" s="219"/>
      <c r="AA26" s="219"/>
      <c r="AB26" s="219"/>
      <c r="AC26" s="219"/>
      <c r="AD26" s="219"/>
      <c r="AE26" s="219"/>
    </row>
    <row r="27" spans="1:31" ht="15.75" customHeight="1">
      <c r="A27" s="242"/>
      <c r="B27" s="2803" t="s">
        <v>9582</v>
      </c>
      <c r="C27" s="2804"/>
      <c r="D27" s="751">
        <v>4.0590000000000002</v>
      </c>
      <c r="E27" s="752"/>
      <c r="F27" s="753"/>
      <c r="G27" s="83"/>
      <c r="H27" s="290" t="s">
        <v>9583</v>
      </c>
      <c r="I27" s="242"/>
      <c r="J27" s="291"/>
      <c r="K27" s="242"/>
      <c r="L27" s="345"/>
      <c r="M27" s="284">
        <f t="shared" si="4"/>
        <v>0</v>
      </c>
      <c r="N27" s="262"/>
      <c r="O27" s="285">
        <f t="shared" si="5"/>
        <v>0</v>
      </c>
      <c r="P27" s="270"/>
      <c r="Q27" s="270"/>
      <c r="R27" s="262"/>
      <c r="S27" s="219"/>
      <c r="T27" s="2803" t="s">
        <v>9582</v>
      </c>
      <c r="U27" s="2804"/>
      <c r="V27" s="751" t="s">
        <v>9584</v>
      </c>
      <c r="W27" s="752"/>
      <c r="X27" s="753"/>
      <c r="Y27" s="219"/>
      <c r="Z27" s="219"/>
      <c r="AA27" s="219"/>
      <c r="AB27" s="219"/>
      <c r="AC27" s="219"/>
      <c r="AD27" s="219"/>
      <c r="AE27" s="219"/>
    </row>
    <row r="28" spans="1:31" ht="15.75" customHeight="1">
      <c r="A28" s="242"/>
      <c r="B28" s="2803" t="s">
        <v>9585</v>
      </c>
      <c r="C28" s="2804"/>
      <c r="D28" s="744"/>
      <c r="E28" s="744"/>
      <c r="F28" s="289">
        <f>IFERROR(IF(OR(D25=0,E10=0,E15=0),0,D25/((E10+E15)/1000)),0)</f>
        <v>1.469346198789814</v>
      </c>
      <c r="G28" s="83"/>
      <c r="H28" s="290" t="s">
        <v>9586</v>
      </c>
      <c r="I28" s="242"/>
      <c r="J28" s="291"/>
      <c r="K28" s="242"/>
      <c r="L28" s="345"/>
      <c r="M28" s="284"/>
      <c r="N28" s="262"/>
      <c r="O28" s="270"/>
      <c r="P28" s="270"/>
      <c r="Q28" s="270"/>
      <c r="R28" s="262"/>
      <c r="S28" s="219"/>
      <c r="T28" s="2803" t="s">
        <v>9585</v>
      </c>
      <c r="U28" s="2804"/>
      <c r="V28" s="744"/>
      <c r="W28" s="744"/>
      <c r="X28" s="289" t="s">
        <v>9587</v>
      </c>
      <c r="Y28" s="219"/>
      <c r="Z28" s="219"/>
      <c r="AA28" s="219"/>
      <c r="AB28" s="219"/>
      <c r="AC28" s="219"/>
      <c r="AD28" s="219"/>
      <c r="AE28" s="219"/>
    </row>
    <row r="29" spans="1:31" ht="15.75" customHeight="1">
      <c r="A29" s="242"/>
      <c r="B29" s="2803" t="s">
        <v>9588</v>
      </c>
      <c r="C29" s="2804"/>
      <c r="D29" s="744"/>
      <c r="E29" s="744"/>
      <c r="F29" s="289">
        <f>IFERROR(IF(OR(D26=0,E11=0,E16=0),0,D26/((E11+E16)/1000)),0)</f>
        <v>1.867958671414395</v>
      </c>
      <c r="G29" s="83"/>
      <c r="H29" s="290" t="s">
        <v>9589</v>
      </c>
      <c r="I29" s="242"/>
      <c r="J29" s="291"/>
      <c r="K29" s="242"/>
      <c r="L29" s="345"/>
      <c r="M29" s="284"/>
      <c r="N29" s="262"/>
      <c r="O29" s="270"/>
      <c r="P29" s="270"/>
      <c r="Q29" s="270"/>
      <c r="R29" s="262"/>
      <c r="S29" s="219"/>
      <c r="T29" s="2803" t="s">
        <v>9588</v>
      </c>
      <c r="U29" s="2804"/>
      <c r="V29" s="744"/>
      <c r="W29" s="744"/>
      <c r="X29" s="289" t="s">
        <v>9590</v>
      </c>
      <c r="Y29" s="219"/>
      <c r="Z29" s="219"/>
      <c r="AA29" s="219"/>
      <c r="AB29" s="219"/>
      <c r="AC29" s="219"/>
      <c r="AD29" s="219"/>
      <c r="AE29" s="219"/>
    </row>
    <row r="30" spans="1:31" ht="15.75" customHeight="1" thickBot="1">
      <c r="A30" s="242"/>
      <c r="B30" s="2805" t="s">
        <v>9591</v>
      </c>
      <c r="C30" s="2806"/>
      <c r="D30" s="668"/>
      <c r="E30" s="668"/>
      <c r="F30" s="299">
        <f>IFERROR(IF(OR(D27=0,E12=0,E17=0),0,D27/((E12+E17)/1000)),0)</f>
        <v>3.6070829993441667</v>
      </c>
      <c r="G30" s="83"/>
      <c r="H30" s="356" t="s">
        <v>9592</v>
      </c>
      <c r="I30" s="242"/>
      <c r="J30" s="302"/>
      <c r="K30" s="242"/>
      <c r="L30" s="345"/>
      <c r="M30" s="284"/>
      <c r="N30" s="262"/>
      <c r="O30" s="270"/>
      <c r="P30" s="270"/>
      <c r="Q30" s="270"/>
      <c r="R30" s="262"/>
      <c r="S30" s="219"/>
      <c r="T30" s="2805" t="s">
        <v>9591</v>
      </c>
      <c r="U30" s="2806"/>
      <c r="V30" s="668"/>
      <c r="W30" s="668"/>
      <c r="X30" s="299" t="s">
        <v>9593</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693" t="s">
        <v>9594</v>
      </c>
      <c r="C32" s="2694"/>
      <c r="D32" s="741"/>
      <c r="E32" s="741"/>
      <c r="F32" s="741"/>
      <c r="G32" s="242"/>
      <c r="H32" s="482"/>
      <c r="I32" s="197"/>
      <c r="J32" s="242"/>
      <c r="K32" s="242"/>
      <c r="L32" s="345"/>
      <c r="M32" s="284"/>
      <c r="N32" s="262"/>
      <c r="O32" s="270"/>
      <c r="P32" s="270"/>
      <c r="Q32" s="270"/>
      <c r="R32" s="262"/>
      <c r="S32" s="219"/>
      <c r="T32" s="2693" t="s">
        <v>9594</v>
      </c>
      <c r="U32" s="2694"/>
      <c r="V32" s="741"/>
      <c r="W32" s="741"/>
      <c r="X32" s="741"/>
      <c r="Y32" s="224"/>
      <c r="Z32" s="219"/>
      <c r="AA32" s="219"/>
      <c r="AB32" s="219"/>
      <c r="AC32" s="219"/>
      <c r="AD32" s="219"/>
      <c r="AE32" s="219"/>
    </row>
    <row r="33" spans="1:31" ht="15.75" customHeight="1" thickTop="1">
      <c r="A33" s="242"/>
      <c r="B33" s="2798" t="s">
        <v>9595</v>
      </c>
      <c r="C33" s="2799"/>
      <c r="D33" s="748">
        <v>0</v>
      </c>
      <c r="E33" s="749"/>
      <c r="F33" s="754"/>
      <c r="G33" s="83"/>
      <c r="H33" s="281" t="s">
        <v>9596</v>
      </c>
      <c r="I33" s="242"/>
      <c r="J33" s="283"/>
      <c r="K33" s="242"/>
      <c r="L33" s="345"/>
      <c r="M33" s="284">
        <f t="shared" ref="M33:M35" si="6">IF( SUM( O33:Q33 ) = 0, 0, $O$5 )</f>
        <v>0</v>
      </c>
      <c r="N33" s="262"/>
      <c r="O33" s="285">
        <f t="shared" ref="O33:O35" si="7" xml:space="preserve"> IF( ISNUMBER(D33 ), 0, 1 )</f>
        <v>0</v>
      </c>
      <c r="P33" s="270"/>
      <c r="Q33" s="270"/>
      <c r="R33" s="262"/>
      <c r="S33" s="219"/>
      <c r="T33" s="2798" t="s">
        <v>9595</v>
      </c>
      <c r="U33" s="2799"/>
      <c r="V33" s="748" t="s">
        <v>9597</v>
      </c>
      <c r="W33" s="749"/>
      <c r="X33" s="754"/>
      <c r="Y33" s="219"/>
      <c r="Z33" s="219"/>
      <c r="AA33" s="219"/>
      <c r="AB33" s="219"/>
      <c r="AC33" s="219"/>
      <c r="AD33" s="219"/>
      <c r="AE33" s="219"/>
    </row>
    <row r="34" spans="1:31" ht="32.25" customHeight="1">
      <c r="A34" s="242"/>
      <c r="B34" s="2803" t="s">
        <v>9598</v>
      </c>
      <c r="C34" s="2804"/>
      <c r="D34" s="751">
        <v>0</v>
      </c>
      <c r="E34" s="752"/>
      <c r="F34" s="755"/>
      <c r="G34" s="83"/>
      <c r="H34" s="290" t="s">
        <v>9599</v>
      </c>
      <c r="I34" s="242"/>
      <c r="J34" s="291"/>
      <c r="K34" s="242"/>
      <c r="L34" s="345"/>
      <c r="M34" s="284">
        <f t="shared" si="6"/>
        <v>0</v>
      </c>
      <c r="N34" s="262"/>
      <c r="O34" s="285">
        <f t="shared" si="7"/>
        <v>0</v>
      </c>
      <c r="P34" s="270"/>
      <c r="Q34" s="270"/>
      <c r="R34" s="262"/>
      <c r="S34" s="219"/>
      <c r="T34" s="2803" t="s">
        <v>9598</v>
      </c>
      <c r="U34" s="2804"/>
      <c r="V34" s="751" t="s">
        <v>9600</v>
      </c>
      <c r="W34" s="752"/>
      <c r="X34" s="755"/>
      <c r="Y34" s="219"/>
      <c r="Z34" s="219"/>
      <c r="AA34" s="219"/>
      <c r="AB34" s="219"/>
      <c r="AC34" s="219"/>
      <c r="AD34" s="219"/>
      <c r="AE34" s="219"/>
    </row>
    <row r="35" spans="1:31" ht="15.75" customHeight="1">
      <c r="A35" s="242"/>
      <c r="B35" s="2803" t="s">
        <v>9601</v>
      </c>
      <c r="C35" s="2804"/>
      <c r="D35" s="751">
        <v>0</v>
      </c>
      <c r="E35" s="752"/>
      <c r="F35" s="755"/>
      <c r="G35" s="83"/>
      <c r="H35" s="290" t="s">
        <v>9602</v>
      </c>
      <c r="I35" s="242"/>
      <c r="J35" s="291"/>
      <c r="K35" s="242"/>
      <c r="L35" s="345"/>
      <c r="M35" s="284">
        <f t="shared" si="6"/>
        <v>0</v>
      </c>
      <c r="N35" s="262"/>
      <c r="O35" s="285">
        <f t="shared" si="7"/>
        <v>0</v>
      </c>
      <c r="P35" s="270"/>
      <c r="Q35" s="270"/>
      <c r="R35" s="262"/>
      <c r="S35" s="219"/>
      <c r="T35" s="2803" t="s">
        <v>9601</v>
      </c>
      <c r="U35" s="2804"/>
      <c r="V35" s="751" t="s">
        <v>9603</v>
      </c>
      <c r="W35" s="752"/>
      <c r="X35" s="755"/>
      <c r="Y35" s="219"/>
      <c r="Z35" s="219"/>
      <c r="AA35" s="219"/>
      <c r="AB35" s="219"/>
      <c r="AC35" s="219"/>
      <c r="AD35" s="219"/>
      <c r="AE35" s="219"/>
    </row>
    <row r="36" spans="1:31" ht="15.75" customHeight="1">
      <c r="A36" s="242"/>
      <c r="B36" s="2803" t="s">
        <v>9604</v>
      </c>
      <c r="C36" s="2804"/>
      <c r="D36" s="744"/>
      <c r="E36" s="744"/>
      <c r="F36" s="289">
        <f>IFERROR(IF(OR(D33=0,E10=0),0,D33/(E10/1000)),0)</f>
        <v>0</v>
      </c>
      <c r="G36" s="83"/>
      <c r="H36" s="290" t="s">
        <v>9605</v>
      </c>
      <c r="I36" s="242"/>
      <c r="J36" s="291"/>
      <c r="K36" s="242"/>
      <c r="L36" s="345"/>
      <c r="M36" s="284"/>
      <c r="N36" s="262"/>
      <c r="O36" s="270"/>
      <c r="P36" s="270"/>
      <c r="Q36" s="270"/>
      <c r="R36" s="262"/>
      <c r="S36" s="219"/>
      <c r="T36" s="2803" t="s">
        <v>9604</v>
      </c>
      <c r="U36" s="2804"/>
      <c r="V36" s="744"/>
      <c r="W36" s="744"/>
      <c r="X36" s="289" t="s">
        <v>9606</v>
      </c>
      <c r="Y36" s="219"/>
      <c r="Z36" s="219"/>
      <c r="AA36" s="219"/>
      <c r="AB36" s="219"/>
      <c r="AC36" s="219"/>
      <c r="AD36" s="219"/>
      <c r="AE36" s="219"/>
    </row>
    <row r="37" spans="1:31" ht="32.25" customHeight="1">
      <c r="A37" s="242"/>
      <c r="B37" s="2803" t="s">
        <v>9607</v>
      </c>
      <c r="C37" s="2804"/>
      <c r="D37" s="744"/>
      <c r="E37" s="744"/>
      <c r="F37" s="289">
        <f>IFERROR(IF(OR(D34=0,E11=0),0,D34/(E11/1000)),0)</f>
        <v>0</v>
      </c>
      <c r="G37" s="83"/>
      <c r="H37" s="290" t="s">
        <v>9608</v>
      </c>
      <c r="I37" s="242"/>
      <c r="J37" s="291"/>
      <c r="K37" s="242"/>
      <c r="L37" s="345"/>
      <c r="M37" s="284"/>
      <c r="N37" s="262"/>
      <c r="O37" s="270"/>
      <c r="P37" s="270"/>
      <c r="Q37" s="270"/>
      <c r="R37" s="262"/>
      <c r="S37" s="219"/>
      <c r="T37" s="2803" t="s">
        <v>9607</v>
      </c>
      <c r="U37" s="2804"/>
      <c r="V37" s="744"/>
      <c r="W37" s="744"/>
      <c r="X37" s="289" t="s">
        <v>9609</v>
      </c>
      <c r="Y37" s="219"/>
      <c r="Z37" s="219"/>
      <c r="AA37" s="219"/>
      <c r="AB37" s="219"/>
      <c r="AC37" s="219"/>
      <c r="AD37" s="219"/>
      <c r="AE37" s="219"/>
    </row>
    <row r="38" spans="1:31" ht="32.25" customHeight="1" thickBot="1">
      <c r="A38" s="242"/>
      <c r="B38" s="2805" t="s">
        <v>9610</v>
      </c>
      <c r="C38" s="2806"/>
      <c r="D38" s="668"/>
      <c r="E38" s="668"/>
      <c r="F38" s="299">
        <f>IFERROR(IF(OR(D35=0,E12=0),0,D35/(E12/1000)),0)</f>
        <v>0</v>
      </c>
      <c r="G38" s="83"/>
      <c r="H38" s="356" t="s">
        <v>9611</v>
      </c>
      <c r="I38" s="242"/>
      <c r="J38" s="302"/>
      <c r="K38" s="242"/>
      <c r="L38" s="345"/>
      <c r="M38" s="284"/>
      <c r="N38" s="262"/>
      <c r="O38" s="270"/>
      <c r="P38" s="270"/>
      <c r="Q38" s="270"/>
      <c r="R38" s="262"/>
      <c r="S38" s="219"/>
      <c r="T38" s="2805" t="s">
        <v>9610</v>
      </c>
      <c r="U38" s="2806"/>
      <c r="V38" s="668"/>
      <c r="W38" s="668"/>
      <c r="X38" s="299" t="s">
        <v>9612</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693" t="s">
        <v>9613</v>
      </c>
      <c r="C40" s="2694"/>
      <c r="D40" s="741"/>
      <c r="E40" s="741"/>
      <c r="F40" s="741"/>
      <c r="G40" s="242"/>
      <c r="H40" s="482"/>
      <c r="I40" s="197"/>
      <c r="J40" s="242"/>
      <c r="K40" s="242"/>
      <c r="L40" s="345"/>
      <c r="M40" s="284"/>
      <c r="N40" s="262"/>
      <c r="O40" s="270"/>
      <c r="P40" s="270"/>
      <c r="Q40" s="270"/>
      <c r="R40" s="262"/>
      <c r="S40" s="219"/>
      <c r="T40" s="2693" t="s">
        <v>9613</v>
      </c>
      <c r="U40" s="2694"/>
      <c r="V40" s="741"/>
      <c r="W40" s="741"/>
      <c r="X40" s="741"/>
      <c r="Y40" s="224"/>
      <c r="Z40" s="219"/>
      <c r="AA40" s="219"/>
      <c r="AB40" s="219"/>
      <c r="AC40" s="219"/>
      <c r="AD40" s="219"/>
      <c r="AE40" s="219"/>
    </row>
    <row r="41" spans="1:31" ht="15.75" customHeight="1" thickTop="1">
      <c r="A41" s="242"/>
      <c r="B41" s="2798" t="s">
        <v>9614</v>
      </c>
      <c r="C41" s="2799"/>
      <c r="D41" s="667"/>
      <c r="E41" s="667"/>
      <c r="F41" s="717">
        <v>2.0499999999999998</v>
      </c>
      <c r="G41" s="83"/>
      <c r="H41" s="281" t="s">
        <v>9615</v>
      </c>
      <c r="I41" s="242"/>
      <c r="J41" s="283"/>
      <c r="K41" s="242"/>
      <c r="L41" s="345"/>
      <c r="M41" s="284">
        <f t="shared" ref="M41:M42" si="8">IF( SUM( O41:Q41 ) = 0, 0, $O$5 )</f>
        <v>0</v>
      </c>
      <c r="N41" s="262"/>
      <c r="O41" s="270"/>
      <c r="P41" s="270"/>
      <c r="Q41" s="285">
        <f t="shared" ref="Q41:Q42" si="9" xml:space="preserve"> IF( ISNUMBER(F41 ), 0, 1 )</f>
        <v>0</v>
      </c>
      <c r="R41" s="262"/>
      <c r="S41" s="219"/>
      <c r="T41" s="2798" t="s">
        <v>9614</v>
      </c>
      <c r="U41" s="2799"/>
      <c r="V41" s="667"/>
      <c r="W41" s="667"/>
      <c r="X41" s="717" t="s">
        <v>9616</v>
      </c>
      <c r="Y41" s="219"/>
      <c r="Z41" s="219"/>
      <c r="AA41" s="219"/>
      <c r="AB41" s="219"/>
      <c r="AC41" s="219"/>
      <c r="AD41" s="219"/>
      <c r="AE41" s="219"/>
    </row>
    <row r="42" spans="1:31" ht="15.75" customHeight="1" thickBot="1">
      <c r="A42" s="242"/>
      <c r="B42" s="2805" t="s">
        <v>9617</v>
      </c>
      <c r="C42" s="2806"/>
      <c r="D42" s="668"/>
      <c r="E42" s="668"/>
      <c r="F42" s="718">
        <v>3.44</v>
      </c>
      <c r="G42" s="83"/>
      <c r="H42" s="356" t="s">
        <v>9618</v>
      </c>
      <c r="I42" s="242"/>
      <c r="J42" s="302"/>
      <c r="K42" s="242"/>
      <c r="L42" s="345"/>
      <c r="M42" s="284">
        <f t="shared" si="8"/>
        <v>0</v>
      </c>
      <c r="N42" s="262"/>
      <c r="O42" s="270"/>
      <c r="P42" s="270"/>
      <c r="Q42" s="285">
        <f t="shared" si="9"/>
        <v>0</v>
      </c>
      <c r="R42" s="262"/>
      <c r="S42" s="219"/>
      <c r="T42" s="2805" t="s">
        <v>9617</v>
      </c>
      <c r="U42" s="2806"/>
      <c r="V42" s="668"/>
      <c r="W42" s="668"/>
      <c r="X42" s="718" t="s">
        <v>9619</v>
      </c>
      <c r="Y42" s="219"/>
      <c r="Z42" s="219"/>
      <c r="AA42" s="219"/>
      <c r="AB42" s="219"/>
      <c r="AC42" s="219"/>
      <c r="AD42" s="219"/>
      <c r="AE42" s="219"/>
    </row>
    <row r="43" spans="1:31" ht="16.5"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7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7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tabColor rgb="FF00B050"/>
    <pageSetUpPr fitToPage="1"/>
  </sheetPr>
  <dimension ref="A1:AO34"/>
  <sheetViews>
    <sheetView showGridLines="0" zoomScale="40" zoomScaleNormal="40" zoomScaleSheetLayoutView="100" workbookViewId="0">
      <selection activeCell="K36" sqref="K36"/>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9"/>
      <c r="B1" s="2661" t="s">
        <v>9620</v>
      </c>
      <c r="C1" s="2661"/>
      <c r="D1" s="2661"/>
      <c r="E1" s="2661"/>
      <c r="F1" s="2661"/>
      <c r="G1" s="2661"/>
      <c r="H1" s="2661"/>
      <c r="I1" s="2661"/>
      <c r="J1" s="2661"/>
      <c r="K1" s="561"/>
      <c r="L1" s="2661"/>
      <c r="M1" s="2661"/>
      <c r="N1" s="2661"/>
      <c r="O1" s="389"/>
      <c r="P1" s="389"/>
      <c r="Q1" s="389"/>
      <c r="R1" s="340"/>
      <c r="S1" s="267"/>
      <c r="T1" s="361"/>
      <c r="U1" s="263"/>
      <c r="V1" s="263"/>
      <c r="W1" s="263"/>
      <c r="X1" s="263"/>
      <c r="Y1" s="263"/>
      <c r="Z1" s="263"/>
      <c r="AA1" s="263"/>
      <c r="AB1" s="361"/>
      <c r="AC1" s="389"/>
      <c r="AD1" s="2661" t="s">
        <v>7220</v>
      </c>
      <c r="AE1" s="2661"/>
      <c r="AF1" s="2661"/>
      <c r="AG1" s="2661"/>
      <c r="AH1" s="2661"/>
      <c r="AI1" s="2661"/>
      <c r="AJ1" s="2661"/>
      <c r="AK1" s="2661"/>
      <c r="AL1" s="2661"/>
      <c r="AM1" s="389"/>
      <c r="AN1" s="389"/>
      <c r="AO1" s="389"/>
    </row>
    <row r="2" spans="1:41" s="8" customFormat="1" ht="30" customHeight="1">
      <c r="A2" s="389"/>
      <c r="B2" s="2661" t="str">
        <f>SelectCompany!B4</f>
        <v>Northumbrian Water</v>
      </c>
      <c r="C2" s="2661"/>
      <c r="D2" s="2661"/>
      <c r="E2" s="2661"/>
      <c r="F2" s="2661"/>
      <c r="G2" s="2661"/>
      <c r="H2" s="2661"/>
      <c r="I2" s="2661"/>
      <c r="J2" s="2661"/>
      <c r="K2" s="561"/>
      <c r="L2" s="529"/>
      <c r="M2" s="529"/>
      <c r="N2" s="529"/>
      <c r="O2" s="389"/>
      <c r="P2" s="389"/>
      <c r="Q2" s="389"/>
      <c r="R2" s="340"/>
      <c r="S2" s="267"/>
      <c r="T2" s="361"/>
      <c r="U2" s="263"/>
      <c r="V2" s="263"/>
      <c r="W2" s="263"/>
      <c r="X2" s="263"/>
      <c r="Y2" s="263"/>
      <c r="Z2" s="263"/>
      <c r="AA2" s="263"/>
      <c r="AB2" s="361"/>
      <c r="AC2" s="389"/>
      <c r="AD2" s="2661"/>
      <c r="AE2" s="2661"/>
      <c r="AF2" s="2661"/>
      <c r="AG2" s="2661"/>
      <c r="AH2" s="2661"/>
      <c r="AI2" s="2661"/>
      <c r="AJ2" s="2661"/>
      <c r="AK2" s="2661"/>
      <c r="AL2" s="2661"/>
      <c r="AM2" s="389"/>
      <c r="AN2" s="389"/>
      <c r="AO2" s="389"/>
    </row>
    <row r="3" spans="1:41" s="4" customFormat="1" ht="26.85" customHeight="1">
      <c r="A3" s="197"/>
      <c r="B3" s="2662" t="s">
        <v>9621</v>
      </c>
      <c r="C3" s="2663"/>
      <c r="D3" s="2663"/>
      <c r="E3" s="2663"/>
      <c r="F3" s="2663"/>
      <c r="G3" s="2663"/>
      <c r="H3" s="2663"/>
      <c r="I3" s="2663"/>
      <c r="J3" s="2663"/>
      <c r="K3" s="2663"/>
      <c r="L3" s="2663"/>
      <c r="M3" s="2663"/>
      <c r="N3" s="2663"/>
      <c r="O3" s="2663"/>
      <c r="P3" s="2663"/>
      <c r="Q3" s="197"/>
      <c r="R3" s="342"/>
      <c r="S3" s="265" t="s">
        <v>7222</v>
      </c>
      <c r="T3" s="361"/>
      <c r="U3" s="263"/>
      <c r="V3" s="263"/>
      <c r="W3" s="263"/>
      <c r="X3" s="263"/>
      <c r="Y3" s="263"/>
      <c r="Z3" s="263"/>
      <c r="AA3" s="263"/>
      <c r="AB3" s="361"/>
      <c r="AC3" s="197"/>
      <c r="AD3" s="2662" t="s">
        <v>9621</v>
      </c>
      <c r="AE3" s="2663"/>
      <c r="AF3" s="2663"/>
      <c r="AG3" s="2663"/>
      <c r="AH3" s="2663"/>
      <c r="AI3" s="2663"/>
      <c r="AJ3" s="2663"/>
      <c r="AK3" s="2663"/>
      <c r="AL3" s="2663"/>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68" t="s">
        <v>7223</v>
      </c>
      <c r="V4" s="2668"/>
      <c r="W4" s="2668"/>
      <c r="X4" s="2668"/>
      <c r="Y4" s="2668"/>
      <c r="Z4" s="2668"/>
      <c r="AA4" s="2668"/>
      <c r="AB4" s="361"/>
      <c r="AC4" s="197"/>
      <c r="AD4" s="530"/>
      <c r="AE4" s="530"/>
      <c r="AF4" s="530"/>
      <c r="AG4" s="530"/>
      <c r="AH4" s="530"/>
      <c r="AI4" s="530"/>
      <c r="AJ4" s="530"/>
      <c r="AK4" s="530"/>
      <c r="AL4" s="530"/>
      <c r="AM4" s="197"/>
      <c r="AN4" s="197"/>
      <c r="AO4" s="197"/>
    </row>
    <row r="5" spans="1:41" ht="46.5" thickTop="1" thickBot="1">
      <c r="A5" s="197"/>
      <c r="B5" s="445" t="s">
        <v>7224</v>
      </c>
      <c r="C5" s="446" t="s">
        <v>7225</v>
      </c>
      <c r="D5" s="446" t="s">
        <v>670</v>
      </c>
      <c r="E5" s="566" t="s">
        <v>8622</v>
      </c>
      <c r="F5" s="756" t="s">
        <v>8623</v>
      </c>
      <c r="G5" s="566" t="s">
        <v>8624</v>
      </c>
      <c r="H5" s="566" t="s">
        <v>8161</v>
      </c>
      <c r="I5" s="566" t="s">
        <v>8162</v>
      </c>
      <c r="J5" s="566" t="s">
        <v>8163</v>
      </c>
      <c r="K5" s="566" t="s">
        <v>8164</v>
      </c>
      <c r="L5" s="706" t="s">
        <v>7445</v>
      </c>
      <c r="M5" s="106"/>
      <c r="N5" s="569" t="s">
        <v>7229</v>
      </c>
      <c r="O5" s="197"/>
      <c r="P5" s="449" t="s">
        <v>7230</v>
      </c>
      <c r="Q5" s="197"/>
      <c r="R5" s="345"/>
      <c r="S5" s="267"/>
      <c r="T5" s="361"/>
      <c r="U5" s="269" t="s">
        <v>7231</v>
      </c>
      <c r="V5" s="270"/>
      <c r="W5" s="270"/>
      <c r="X5" s="270"/>
      <c r="Y5" s="270"/>
      <c r="Z5" s="270"/>
      <c r="AA5" s="270"/>
      <c r="AB5" s="361"/>
      <c r="AC5" s="224"/>
      <c r="AD5" s="445" t="s">
        <v>7224</v>
      </c>
      <c r="AE5" s="566" t="s">
        <v>8624</v>
      </c>
      <c r="AF5" s="756" t="s">
        <v>8161</v>
      </c>
      <c r="AG5" s="566" t="s">
        <v>8162</v>
      </c>
      <c r="AH5" s="566" t="s">
        <v>8163</v>
      </c>
      <c r="AI5" s="566" t="s">
        <v>8164</v>
      </c>
      <c r="AJ5" s="566" t="s">
        <v>9622</v>
      </c>
      <c r="AK5" s="566" t="s">
        <v>8166</v>
      </c>
      <c r="AL5" s="706" t="s">
        <v>7445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8625</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8625</v>
      </c>
      <c r="AE7" s="106"/>
      <c r="AF7" s="106"/>
      <c r="AG7" s="106"/>
      <c r="AH7" s="106"/>
      <c r="AI7" s="106"/>
      <c r="AJ7" s="106"/>
      <c r="AK7" s="106"/>
      <c r="AL7" s="106"/>
      <c r="AM7" s="224"/>
      <c r="AN7" s="224"/>
      <c r="AO7" s="224"/>
    </row>
    <row r="8" spans="1:41" ht="15.75" customHeight="1" thickTop="1">
      <c r="A8" s="197"/>
      <c r="B8" s="451" t="s">
        <v>8626</v>
      </c>
      <c r="C8" s="277" t="s">
        <v>681</v>
      </c>
      <c r="D8" s="277">
        <v>3</v>
      </c>
      <c r="E8" s="278">
        <v>36.798999999999999</v>
      </c>
      <c r="F8" s="278">
        <v>0</v>
      </c>
      <c r="G8" s="278">
        <v>2.7E-2</v>
      </c>
      <c r="H8" s="278">
        <v>91.47</v>
      </c>
      <c r="I8" s="278">
        <v>0.92</v>
      </c>
      <c r="J8" s="278">
        <v>0.252</v>
      </c>
      <c r="K8" s="278">
        <v>0</v>
      </c>
      <c r="L8" s="280">
        <f t="shared" ref="L8:L13" si="0">IFERROR(SUM(E8:K8),0)</f>
        <v>129.46799999999999</v>
      </c>
      <c r="M8" s="106"/>
      <c r="N8" s="572" t="s">
        <v>9623</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8626</v>
      </c>
      <c r="AE8" s="278" t="s">
        <v>9624</v>
      </c>
      <c r="AF8" s="278" t="s">
        <v>9625</v>
      </c>
      <c r="AG8" s="278" t="s">
        <v>9626</v>
      </c>
      <c r="AH8" s="278" t="s">
        <v>9627</v>
      </c>
      <c r="AI8" s="278" t="s">
        <v>9628</v>
      </c>
      <c r="AJ8" s="278" t="s">
        <v>9629</v>
      </c>
      <c r="AK8" s="278" t="s">
        <v>9630</v>
      </c>
      <c r="AL8" s="280" t="s">
        <v>9631</v>
      </c>
      <c r="AM8" s="224"/>
      <c r="AN8" s="224"/>
      <c r="AO8" s="224"/>
    </row>
    <row r="9" spans="1:41" ht="15.75" customHeight="1">
      <c r="A9" s="197"/>
      <c r="B9" s="460" t="s">
        <v>8636</v>
      </c>
      <c r="C9" s="286" t="s">
        <v>681</v>
      </c>
      <c r="D9" s="286">
        <v>3</v>
      </c>
      <c r="E9" s="287">
        <v>0</v>
      </c>
      <c r="F9" s="287">
        <v>0</v>
      </c>
      <c r="G9" s="287">
        <v>0</v>
      </c>
      <c r="H9" s="287">
        <v>0</v>
      </c>
      <c r="I9" s="287">
        <v>0</v>
      </c>
      <c r="J9" s="287">
        <v>0</v>
      </c>
      <c r="K9" s="287">
        <v>0</v>
      </c>
      <c r="L9" s="289">
        <f t="shared" si="0"/>
        <v>0</v>
      </c>
      <c r="M9" s="106"/>
      <c r="N9" s="573" t="s">
        <v>9632</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8636</v>
      </c>
      <c r="AE9" s="287" t="s">
        <v>9633</v>
      </c>
      <c r="AF9" s="287" t="s">
        <v>9634</v>
      </c>
      <c r="AG9" s="287" t="s">
        <v>9635</v>
      </c>
      <c r="AH9" s="287" t="s">
        <v>9636</v>
      </c>
      <c r="AI9" s="287" t="s">
        <v>9637</v>
      </c>
      <c r="AJ9" s="287" t="s">
        <v>9638</v>
      </c>
      <c r="AK9" s="287" t="s">
        <v>9639</v>
      </c>
      <c r="AL9" s="289" t="s">
        <v>9640</v>
      </c>
      <c r="AM9" s="224"/>
      <c r="AN9" s="224"/>
      <c r="AO9" s="224"/>
    </row>
    <row r="10" spans="1:41" ht="15.75" customHeight="1">
      <c r="A10" s="197"/>
      <c r="B10" s="460" t="s">
        <v>8646</v>
      </c>
      <c r="C10" s="286" t="s">
        <v>681</v>
      </c>
      <c r="D10" s="286">
        <v>3</v>
      </c>
      <c r="E10" s="287">
        <v>2.0760000000000001</v>
      </c>
      <c r="F10" s="287">
        <v>0</v>
      </c>
      <c r="G10" s="287">
        <v>0</v>
      </c>
      <c r="H10" s="287">
        <v>7.2939999999999996</v>
      </c>
      <c r="I10" s="287">
        <v>0</v>
      </c>
      <c r="J10" s="287">
        <v>0</v>
      </c>
      <c r="K10" s="287">
        <v>0</v>
      </c>
      <c r="L10" s="289">
        <f t="shared" si="0"/>
        <v>9.3699999999999992</v>
      </c>
      <c r="M10" s="106"/>
      <c r="N10" s="574" t="s">
        <v>9641</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8646</v>
      </c>
      <c r="AE10" s="287" t="s">
        <v>9642</v>
      </c>
      <c r="AF10" s="287" t="s">
        <v>9643</v>
      </c>
      <c r="AG10" s="287" t="s">
        <v>9644</v>
      </c>
      <c r="AH10" s="287" t="s">
        <v>9645</v>
      </c>
      <c r="AI10" s="287" t="s">
        <v>9646</v>
      </c>
      <c r="AJ10" s="287" t="s">
        <v>9647</v>
      </c>
      <c r="AK10" s="287" t="s">
        <v>9648</v>
      </c>
      <c r="AL10" s="289" t="s">
        <v>9649</v>
      </c>
      <c r="AM10" s="224"/>
      <c r="AN10" s="224"/>
      <c r="AO10" s="224"/>
    </row>
    <row r="11" spans="1:41" ht="15.75" customHeight="1">
      <c r="A11" s="197"/>
      <c r="B11" s="460" t="s">
        <v>7227</v>
      </c>
      <c r="C11" s="286" t="s">
        <v>681</v>
      </c>
      <c r="D11" s="286">
        <v>3</v>
      </c>
      <c r="E11" s="287">
        <v>5.3999999999999999E-2</v>
      </c>
      <c r="F11" s="287">
        <v>0</v>
      </c>
      <c r="G11" s="287">
        <v>5.0000000000000001E-3</v>
      </c>
      <c r="H11" s="287">
        <v>-0.11899999999999999</v>
      </c>
      <c r="I11" s="287">
        <v>5.6000000000000001E-2</v>
      </c>
      <c r="J11" s="287">
        <v>4.0000000000000001E-3</v>
      </c>
      <c r="K11" s="287">
        <v>0</v>
      </c>
      <c r="L11" s="289">
        <f t="shared" si="0"/>
        <v>3.4694469519536142E-18</v>
      </c>
      <c r="M11" s="106"/>
      <c r="N11" s="575" t="s">
        <v>9650</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7227</v>
      </c>
      <c r="AE11" s="287" t="s">
        <v>9651</v>
      </c>
      <c r="AF11" s="287" t="s">
        <v>9652</v>
      </c>
      <c r="AG11" s="287" t="s">
        <v>9653</v>
      </c>
      <c r="AH11" s="287" t="s">
        <v>9654</v>
      </c>
      <c r="AI11" s="287" t="s">
        <v>9655</v>
      </c>
      <c r="AJ11" s="287" t="s">
        <v>9656</v>
      </c>
      <c r="AK11" s="287" t="s">
        <v>9657</v>
      </c>
      <c r="AL11" s="289" t="s">
        <v>9658</v>
      </c>
      <c r="AM11" s="224"/>
      <c r="AN11" s="224"/>
      <c r="AO11" s="224"/>
    </row>
    <row r="12" spans="1:41" ht="15.75" customHeight="1">
      <c r="A12" s="197"/>
      <c r="B12" s="460" t="s">
        <v>8665</v>
      </c>
      <c r="C12" s="286" t="s">
        <v>681</v>
      </c>
      <c r="D12" s="286">
        <v>3</v>
      </c>
      <c r="E12" s="287">
        <v>0</v>
      </c>
      <c r="F12" s="287">
        <v>0</v>
      </c>
      <c r="G12" s="287">
        <v>0</v>
      </c>
      <c r="H12" s="287">
        <v>0</v>
      </c>
      <c r="I12" s="287">
        <v>0</v>
      </c>
      <c r="J12" s="287">
        <v>0</v>
      </c>
      <c r="K12" s="287">
        <v>0</v>
      </c>
      <c r="L12" s="289">
        <f t="shared" si="0"/>
        <v>0</v>
      </c>
      <c r="M12" s="106"/>
      <c r="N12" s="573" t="s">
        <v>9659</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8665</v>
      </c>
      <c r="AE12" s="287" t="s">
        <v>9660</v>
      </c>
      <c r="AF12" s="287" t="s">
        <v>9661</v>
      </c>
      <c r="AG12" s="287" t="s">
        <v>9662</v>
      </c>
      <c r="AH12" s="287" t="s">
        <v>9663</v>
      </c>
      <c r="AI12" s="287" t="s">
        <v>9664</v>
      </c>
      <c r="AJ12" s="287" t="s">
        <v>9665</v>
      </c>
      <c r="AK12" s="287" t="s">
        <v>9666</v>
      </c>
      <c r="AL12" s="289" t="s">
        <v>9667</v>
      </c>
      <c r="AM12" s="224"/>
      <c r="AN12" s="224"/>
      <c r="AO12" s="224"/>
    </row>
    <row r="13" spans="1:41" ht="15.75" customHeight="1" thickBot="1">
      <c r="A13" s="197"/>
      <c r="B13" s="463" t="s">
        <v>8675</v>
      </c>
      <c r="C13" s="355" t="s">
        <v>681</v>
      </c>
      <c r="D13" s="355">
        <v>3</v>
      </c>
      <c r="E13" s="298">
        <f t="shared" ref="E13:K13" si="8">IFERROR(SUM(E8:E12),0)</f>
        <v>38.929000000000002</v>
      </c>
      <c r="F13" s="298">
        <f t="shared" si="8"/>
        <v>0</v>
      </c>
      <c r="G13" s="298">
        <f t="shared" si="8"/>
        <v>3.2000000000000001E-2</v>
      </c>
      <c r="H13" s="298">
        <f t="shared" si="8"/>
        <v>98.644999999999996</v>
      </c>
      <c r="I13" s="298">
        <f t="shared" si="8"/>
        <v>0.97600000000000009</v>
      </c>
      <c r="J13" s="298">
        <f t="shared" si="8"/>
        <v>0.25600000000000001</v>
      </c>
      <c r="K13" s="298">
        <f t="shared" si="8"/>
        <v>0</v>
      </c>
      <c r="L13" s="299">
        <f t="shared" si="0"/>
        <v>138.83799999999999</v>
      </c>
      <c r="M13" s="106"/>
      <c r="N13" s="576" t="s">
        <v>9668</v>
      </c>
      <c r="O13" s="197"/>
      <c r="P13" s="302"/>
      <c r="Q13" s="197"/>
      <c r="R13" s="363"/>
      <c r="S13" s="284"/>
      <c r="T13" s="361"/>
      <c r="U13" s="267"/>
      <c r="V13" s="267"/>
      <c r="W13" s="267"/>
      <c r="X13" s="267"/>
      <c r="Y13" s="267"/>
      <c r="Z13" s="267"/>
      <c r="AA13" s="267"/>
      <c r="AB13" s="361"/>
      <c r="AC13" s="224"/>
      <c r="AD13" s="463" t="s">
        <v>8675</v>
      </c>
      <c r="AE13" s="298" t="s">
        <v>9669</v>
      </c>
      <c r="AF13" s="298" t="s">
        <v>9670</v>
      </c>
      <c r="AG13" s="298" t="s">
        <v>9671</v>
      </c>
      <c r="AH13" s="298" t="s">
        <v>9672</v>
      </c>
      <c r="AI13" s="298" t="s">
        <v>9673</v>
      </c>
      <c r="AJ13" s="298" t="s">
        <v>9674</v>
      </c>
      <c r="AK13" s="298" t="s">
        <v>9675</v>
      </c>
      <c r="AL13" s="299" t="s">
        <v>9676</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9677</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9677</v>
      </c>
      <c r="AE15" s="309"/>
      <c r="AF15" s="309"/>
      <c r="AG15" s="309"/>
      <c r="AH15" s="309"/>
      <c r="AI15" s="309"/>
      <c r="AJ15" s="309"/>
      <c r="AK15" s="309"/>
      <c r="AL15" s="309"/>
      <c r="AM15" s="224"/>
      <c r="AN15" s="224"/>
      <c r="AO15" s="224"/>
    </row>
    <row r="16" spans="1:41" ht="15.75" customHeight="1" thickTop="1">
      <c r="A16" s="197"/>
      <c r="B16" s="451" t="s">
        <v>8626</v>
      </c>
      <c r="C16" s="277" t="s">
        <v>681</v>
      </c>
      <c r="D16" s="277">
        <v>3</v>
      </c>
      <c r="E16" s="278">
        <v>-10.039</v>
      </c>
      <c r="F16" s="278">
        <v>0</v>
      </c>
      <c r="G16" s="278">
        <v>-7.0000000000000001E-3</v>
      </c>
      <c r="H16" s="278">
        <v>-66.896000000000001</v>
      </c>
      <c r="I16" s="278">
        <v>-0.79800000000000004</v>
      </c>
      <c r="J16" s="278">
        <v>-8.8999999999999996E-2</v>
      </c>
      <c r="K16" s="278">
        <v>0</v>
      </c>
      <c r="L16" s="280">
        <f>IFERROR(SUM(E16:K16),0)</f>
        <v>-77.829000000000008</v>
      </c>
      <c r="M16" s="106"/>
      <c r="N16" s="281" t="s">
        <v>9678</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8626</v>
      </c>
      <c r="AE16" s="278" t="s">
        <v>9679</v>
      </c>
      <c r="AF16" s="278" t="s">
        <v>9680</v>
      </c>
      <c r="AG16" s="278" t="s">
        <v>9681</v>
      </c>
      <c r="AH16" s="278" t="s">
        <v>9682</v>
      </c>
      <c r="AI16" s="278" t="s">
        <v>9683</v>
      </c>
      <c r="AJ16" s="278" t="s">
        <v>9684</v>
      </c>
      <c r="AK16" s="278" t="s">
        <v>9685</v>
      </c>
      <c r="AL16" s="280" t="s">
        <v>9686</v>
      </c>
      <c r="AM16" s="224"/>
      <c r="AN16" s="224"/>
      <c r="AO16" s="224"/>
    </row>
    <row r="17" spans="1:41" ht="15.75" customHeight="1">
      <c r="A17" s="197"/>
      <c r="B17" s="460" t="s">
        <v>8636</v>
      </c>
      <c r="C17" s="286" t="s">
        <v>681</v>
      </c>
      <c r="D17" s="286">
        <v>3</v>
      </c>
      <c r="E17" s="287">
        <v>0</v>
      </c>
      <c r="F17" s="287">
        <v>0</v>
      </c>
      <c r="G17" s="287">
        <v>0</v>
      </c>
      <c r="H17" s="287">
        <v>0</v>
      </c>
      <c r="I17" s="287">
        <v>0</v>
      </c>
      <c r="J17" s="287">
        <v>0</v>
      </c>
      <c r="K17" s="287">
        <v>0</v>
      </c>
      <c r="L17" s="289">
        <f>IFERROR(SUM(E17:K17),0)</f>
        <v>0</v>
      </c>
      <c r="M17" s="106"/>
      <c r="N17" s="290" t="s">
        <v>9687</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8636</v>
      </c>
      <c r="AE17" s="287" t="s">
        <v>9688</v>
      </c>
      <c r="AF17" s="287" t="s">
        <v>9689</v>
      </c>
      <c r="AG17" s="287" t="s">
        <v>9690</v>
      </c>
      <c r="AH17" s="287" t="s">
        <v>9691</v>
      </c>
      <c r="AI17" s="287" t="s">
        <v>9692</v>
      </c>
      <c r="AJ17" s="287" t="s">
        <v>9693</v>
      </c>
      <c r="AK17" s="287" t="s">
        <v>9694</v>
      </c>
      <c r="AL17" s="289" t="s">
        <v>9695</v>
      </c>
      <c r="AM17" s="224"/>
      <c r="AN17" s="224"/>
      <c r="AO17" s="224"/>
    </row>
    <row r="18" spans="1:41" ht="15.75" customHeight="1">
      <c r="A18" s="197"/>
      <c r="B18" s="460" t="s">
        <v>7227</v>
      </c>
      <c r="C18" s="286" t="s">
        <v>681</v>
      </c>
      <c r="D18" s="286">
        <v>3</v>
      </c>
      <c r="E18" s="287">
        <v>2E-3</v>
      </c>
      <c r="F18" s="287">
        <v>0</v>
      </c>
      <c r="G18" s="287">
        <v>0</v>
      </c>
      <c r="H18" s="287">
        <v>-2E-3</v>
      </c>
      <c r="I18" s="287">
        <v>3.0000000000000001E-3</v>
      </c>
      <c r="J18" s="287">
        <v>-3.0000000000000001E-3</v>
      </c>
      <c r="K18" s="287">
        <v>0</v>
      </c>
      <c r="L18" s="289">
        <f>IFERROR(SUM(E18:K18),0)</f>
        <v>0</v>
      </c>
      <c r="M18" s="106"/>
      <c r="N18" s="290" t="s">
        <v>9696</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7227</v>
      </c>
      <c r="AE18" s="287" t="s">
        <v>9697</v>
      </c>
      <c r="AF18" s="287" t="s">
        <v>9698</v>
      </c>
      <c r="AG18" s="287" t="s">
        <v>9699</v>
      </c>
      <c r="AH18" s="287" t="s">
        <v>9700</v>
      </c>
      <c r="AI18" s="287" t="s">
        <v>9701</v>
      </c>
      <c r="AJ18" s="287" t="s">
        <v>9702</v>
      </c>
      <c r="AK18" s="287" t="s">
        <v>9703</v>
      </c>
      <c r="AL18" s="289" t="s">
        <v>9704</v>
      </c>
      <c r="AM18" s="224"/>
      <c r="AN18" s="224"/>
      <c r="AO18" s="224"/>
    </row>
    <row r="19" spans="1:41" ht="15.75" customHeight="1">
      <c r="A19" s="197"/>
      <c r="B19" s="460" t="s">
        <v>8712</v>
      </c>
      <c r="C19" s="286" t="s">
        <v>681</v>
      </c>
      <c r="D19" s="286">
        <v>3</v>
      </c>
      <c r="E19" s="287">
        <v>-2.0859999999999999</v>
      </c>
      <c r="F19" s="287">
        <v>0</v>
      </c>
      <c r="G19" s="287">
        <v>-3.0000000000000001E-3</v>
      </c>
      <c r="H19" s="287">
        <v>-6.6109999999999998</v>
      </c>
      <c r="I19" s="287">
        <v>-5.5E-2</v>
      </c>
      <c r="J19" s="287">
        <v>-4.1000000000000002E-2</v>
      </c>
      <c r="K19" s="287">
        <v>0</v>
      </c>
      <c r="L19" s="289">
        <f>IFERROR(SUM(E19:K19),0)</f>
        <v>-8.7959999999999994</v>
      </c>
      <c r="M19" s="106"/>
      <c r="N19" s="290" t="s">
        <v>9705</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8712</v>
      </c>
      <c r="AE19" s="287" t="s">
        <v>9706</v>
      </c>
      <c r="AF19" s="287" t="s">
        <v>9707</v>
      </c>
      <c r="AG19" s="287" t="s">
        <v>9708</v>
      </c>
      <c r="AH19" s="287" t="s">
        <v>9709</v>
      </c>
      <c r="AI19" s="287" t="s">
        <v>9710</v>
      </c>
      <c r="AJ19" s="287" t="s">
        <v>9711</v>
      </c>
      <c r="AK19" s="287" t="s">
        <v>9712</v>
      </c>
      <c r="AL19" s="289" t="s">
        <v>9713</v>
      </c>
      <c r="AM19" s="224"/>
      <c r="AN19" s="224"/>
      <c r="AO19" s="224"/>
    </row>
    <row r="20" spans="1:41" ht="15.75" customHeight="1" thickBot="1">
      <c r="A20" s="197"/>
      <c r="B20" s="463" t="s">
        <v>8675</v>
      </c>
      <c r="C20" s="355" t="s">
        <v>681</v>
      </c>
      <c r="D20" s="355">
        <v>3</v>
      </c>
      <c r="E20" s="298">
        <f t="shared" ref="E20:K20" si="17">IFERROR(SUM(E16:E19),0)</f>
        <v>-12.122999999999999</v>
      </c>
      <c r="F20" s="298">
        <f t="shared" si="17"/>
        <v>0</v>
      </c>
      <c r="G20" s="298">
        <f t="shared" si="17"/>
        <v>-0.01</v>
      </c>
      <c r="H20" s="298">
        <f t="shared" si="17"/>
        <v>-73.509</v>
      </c>
      <c r="I20" s="298">
        <f t="shared" si="17"/>
        <v>-0.85000000000000009</v>
      </c>
      <c r="J20" s="298">
        <f t="shared" si="17"/>
        <v>-0.13300000000000001</v>
      </c>
      <c r="K20" s="298">
        <f t="shared" si="17"/>
        <v>0</v>
      </c>
      <c r="L20" s="299">
        <f>IFERROR(SUM(E20:K20),0)</f>
        <v>-86.624999999999986</v>
      </c>
      <c r="M20" s="106"/>
      <c r="N20" s="356" t="s">
        <v>9714</v>
      </c>
      <c r="O20" s="197"/>
      <c r="P20" s="302"/>
      <c r="Q20" s="197"/>
      <c r="R20" s="363"/>
      <c r="S20" s="284"/>
      <c r="T20" s="361"/>
      <c r="U20" s="267"/>
      <c r="V20" s="267"/>
      <c r="W20" s="267"/>
      <c r="X20" s="267"/>
      <c r="Y20" s="267"/>
      <c r="Z20" s="267"/>
      <c r="AA20" s="267"/>
      <c r="AB20" s="361"/>
      <c r="AC20" s="224"/>
      <c r="AD20" s="463" t="s">
        <v>8675</v>
      </c>
      <c r="AE20" s="298" t="s">
        <v>9715</v>
      </c>
      <c r="AF20" s="298" t="s">
        <v>9716</v>
      </c>
      <c r="AG20" s="298" t="s">
        <v>9717</v>
      </c>
      <c r="AH20" s="298" t="s">
        <v>9718</v>
      </c>
      <c r="AI20" s="298" t="s">
        <v>9719</v>
      </c>
      <c r="AJ20" s="298" t="s">
        <v>9720</v>
      </c>
      <c r="AK20" s="298" t="s">
        <v>9721</v>
      </c>
      <c r="AL20" s="299" t="s">
        <v>9722</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8731</v>
      </c>
      <c r="C22" s="384" t="s">
        <v>681</v>
      </c>
      <c r="D22" s="384">
        <v>3</v>
      </c>
      <c r="E22" s="438">
        <f t="shared" ref="E22:K22" si="18">IFERROR(E13+E20,0)</f>
        <v>26.806000000000004</v>
      </c>
      <c r="F22" s="438">
        <f t="shared" si="18"/>
        <v>0</v>
      </c>
      <c r="G22" s="438">
        <f t="shared" si="18"/>
        <v>2.1999999999999999E-2</v>
      </c>
      <c r="H22" s="438">
        <f t="shared" si="18"/>
        <v>25.135999999999996</v>
      </c>
      <c r="I22" s="438">
        <f t="shared" si="18"/>
        <v>0.126</v>
      </c>
      <c r="J22" s="438">
        <f t="shared" si="18"/>
        <v>0.123</v>
      </c>
      <c r="K22" s="438">
        <f t="shared" si="18"/>
        <v>0</v>
      </c>
      <c r="L22" s="439">
        <f>IFERROR(SUM(E22:K22),0)</f>
        <v>52.212999999999994</v>
      </c>
      <c r="M22" s="106"/>
      <c r="N22" s="374" t="s">
        <v>9723</v>
      </c>
      <c r="O22" s="197"/>
      <c r="P22" s="375"/>
      <c r="Q22" s="197"/>
      <c r="R22" s="363"/>
      <c r="S22" s="284"/>
      <c r="T22" s="361"/>
      <c r="U22" s="267"/>
      <c r="V22" s="267"/>
      <c r="W22" s="267"/>
      <c r="X22" s="267"/>
      <c r="Y22" s="267"/>
      <c r="Z22" s="267"/>
      <c r="AA22" s="267"/>
      <c r="AB22" s="361"/>
      <c r="AC22" s="224"/>
      <c r="AD22" s="579" t="s">
        <v>8731</v>
      </c>
      <c r="AE22" s="438" t="s">
        <v>9724</v>
      </c>
      <c r="AF22" s="438" t="s">
        <v>9725</v>
      </c>
      <c r="AG22" s="438" t="s">
        <v>9726</v>
      </c>
      <c r="AH22" s="438" t="s">
        <v>9727</v>
      </c>
      <c r="AI22" s="438" t="s">
        <v>9728</v>
      </c>
      <c r="AJ22" s="438" t="s">
        <v>9729</v>
      </c>
      <c r="AK22" s="438" t="s">
        <v>9730</v>
      </c>
      <c r="AL22" s="439" t="s">
        <v>9731</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8741</v>
      </c>
      <c r="C24" s="384" t="s">
        <v>681</v>
      </c>
      <c r="D24" s="384">
        <v>3</v>
      </c>
      <c r="E24" s="438">
        <f t="shared" ref="E24:K24" si="19">IFERROR(E8+E16,0)</f>
        <v>26.759999999999998</v>
      </c>
      <c r="F24" s="438">
        <f t="shared" si="19"/>
        <v>0</v>
      </c>
      <c r="G24" s="438">
        <f t="shared" si="19"/>
        <v>0.02</v>
      </c>
      <c r="H24" s="438">
        <f t="shared" si="19"/>
        <v>24.573999999999998</v>
      </c>
      <c r="I24" s="438">
        <f t="shared" si="19"/>
        <v>0.122</v>
      </c>
      <c r="J24" s="438">
        <f t="shared" si="19"/>
        <v>0.16300000000000001</v>
      </c>
      <c r="K24" s="438">
        <f t="shared" si="19"/>
        <v>0</v>
      </c>
      <c r="L24" s="439">
        <f>IFERROR(SUM(E24:K24),0)</f>
        <v>51.638999999999996</v>
      </c>
      <c r="M24" s="106"/>
      <c r="N24" s="374" t="s">
        <v>9732</v>
      </c>
      <c r="O24" s="197"/>
      <c r="P24" s="375"/>
      <c r="Q24" s="197"/>
      <c r="R24" s="363"/>
      <c r="S24" s="284"/>
      <c r="T24" s="370"/>
      <c r="U24" s="267"/>
      <c r="V24" s="267"/>
      <c r="W24" s="267"/>
      <c r="X24" s="267"/>
      <c r="Y24" s="267"/>
      <c r="Z24" s="267"/>
      <c r="AA24" s="267"/>
      <c r="AB24" s="370"/>
      <c r="AC24" s="224"/>
      <c r="AD24" s="579" t="s">
        <v>8741</v>
      </c>
      <c r="AE24" s="438" t="s">
        <v>9733</v>
      </c>
      <c r="AF24" s="438" t="s">
        <v>9734</v>
      </c>
      <c r="AG24" s="438" t="s">
        <v>9735</v>
      </c>
      <c r="AH24" s="438" t="s">
        <v>9736</v>
      </c>
      <c r="AI24" s="438" t="s">
        <v>9737</v>
      </c>
      <c r="AJ24" s="438" t="s">
        <v>9738</v>
      </c>
      <c r="AK24" s="438" t="s">
        <v>9739</v>
      </c>
      <c r="AL24" s="439" t="s">
        <v>9740</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9741</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9741</v>
      </c>
      <c r="AE26" s="309"/>
      <c r="AF26" s="309"/>
      <c r="AG26" s="309"/>
      <c r="AH26" s="309"/>
      <c r="AI26" s="309"/>
      <c r="AJ26" s="309"/>
      <c r="AK26" s="309"/>
      <c r="AL26" s="309"/>
      <c r="AM26" s="224"/>
      <c r="AN26" s="224"/>
      <c r="AO26" s="224"/>
    </row>
    <row r="27" spans="1:41" ht="15.75" customHeight="1" thickTop="1">
      <c r="A27" s="197"/>
      <c r="B27" s="451" t="s">
        <v>8752</v>
      </c>
      <c r="C27" s="277" t="s">
        <v>681</v>
      </c>
      <c r="D27" s="277">
        <v>3</v>
      </c>
      <c r="E27" s="278">
        <v>-2.0859999999999999</v>
      </c>
      <c r="F27" s="278">
        <v>0</v>
      </c>
      <c r="G27" s="278">
        <v>-3.0000000000000001E-3</v>
      </c>
      <c r="H27" s="278">
        <v>-6.6109999999999998</v>
      </c>
      <c r="I27" s="278">
        <v>-5.5E-2</v>
      </c>
      <c r="J27" s="278">
        <v>-4.1000000000000002E-2</v>
      </c>
      <c r="K27" s="278">
        <v>0</v>
      </c>
      <c r="L27" s="280">
        <f>IFERROR(SUM(E27:K27),0)</f>
        <v>-8.7959999999999994</v>
      </c>
      <c r="M27" s="106"/>
      <c r="N27" s="281" t="s">
        <v>9742</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8752</v>
      </c>
      <c r="AE27" s="278" t="s">
        <v>9743</v>
      </c>
      <c r="AF27" s="278" t="s">
        <v>9744</v>
      </c>
      <c r="AG27" s="278" t="s">
        <v>9745</v>
      </c>
      <c r="AH27" s="278" t="s">
        <v>9746</v>
      </c>
      <c r="AI27" s="278" t="s">
        <v>9747</v>
      </c>
      <c r="AJ27" s="278" t="s">
        <v>9748</v>
      </c>
      <c r="AK27" s="278" t="s">
        <v>9749</v>
      </c>
      <c r="AL27" s="280" t="s">
        <v>9750</v>
      </c>
      <c r="AM27" s="224"/>
      <c r="AN27" s="224"/>
      <c r="AO27" s="224"/>
    </row>
    <row r="28" spans="1:41" ht="15.75" customHeight="1">
      <c r="A28" s="197"/>
      <c r="B28" s="460" t="s">
        <v>8361</v>
      </c>
      <c r="C28" s="286" t="s">
        <v>681</v>
      </c>
      <c r="D28" s="286">
        <v>3</v>
      </c>
      <c r="E28" s="287">
        <v>0</v>
      </c>
      <c r="F28" s="287">
        <v>0</v>
      </c>
      <c r="G28" s="287">
        <v>0</v>
      </c>
      <c r="H28" s="287">
        <v>0</v>
      </c>
      <c r="I28" s="287">
        <v>0</v>
      </c>
      <c r="J28" s="287">
        <v>0</v>
      </c>
      <c r="K28" s="287">
        <v>0</v>
      </c>
      <c r="L28" s="289">
        <f>IFERROR(SUM(E28:K28),0)</f>
        <v>0</v>
      </c>
      <c r="M28" s="106"/>
      <c r="N28" s="290" t="s">
        <v>9751</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8361</v>
      </c>
      <c r="AE28" s="287" t="s">
        <v>9752</v>
      </c>
      <c r="AF28" s="287" t="s">
        <v>9753</v>
      </c>
      <c r="AG28" s="287" t="s">
        <v>9754</v>
      </c>
      <c r="AH28" s="287" t="s">
        <v>9755</v>
      </c>
      <c r="AI28" s="287" t="s">
        <v>9756</v>
      </c>
      <c r="AJ28" s="287" t="s">
        <v>9757</v>
      </c>
      <c r="AK28" s="287" t="s">
        <v>9758</v>
      </c>
      <c r="AL28" s="289" t="s">
        <v>9759</v>
      </c>
      <c r="AM28" s="224"/>
      <c r="AN28" s="224"/>
      <c r="AO28" s="224"/>
    </row>
    <row r="29" spans="1:41" ht="15.75" customHeight="1" thickBot="1">
      <c r="A29" s="197"/>
      <c r="B29" s="463" t="s">
        <v>7445</v>
      </c>
      <c r="C29" s="355" t="s">
        <v>681</v>
      </c>
      <c r="D29" s="355">
        <v>3</v>
      </c>
      <c r="E29" s="298">
        <f t="shared" ref="E29:K29" si="28">IFERROR(E27+E28,0)</f>
        <v>-2.0859999999999999</v>
      </c>
      <c r="F29" s="298">
        <f t="shared" si="28"/>
        <v>0</v>
      </c>
      <c r="G29" s="298">
        <f t="shared" si="28"/>
        <v>-3.0000000000000001E-3</v>
      </c>
      <c r="H29" s="298">
        <f t="shared" si="28"/>
        <v>-6.6109999999999998</v>
      </c>
      <c r="I29" s="298">
        <f t="shared" si="28"/>
        <v>-5.5E-2</v>
      </c>
      <c r="J29" s="298">
        <f t="shared" si="28"/>
        <v>-4.1000000000000002E-2</v>
      </c>
      <c r="K29" s="298">
        <f t="shared" si="28"/>
        <v>0</v>
      </c>
      <c r="L29" s="299">
        <f>IFERROR(SUM(E29:K29),0)</f>
        <v>-8.7959999999999994</v>
      </c>
      <c r="M29" s="106"/>
      <c r="N29" s="356" t="s">
        <v>9760</v>
      </c>
      <c r="O29" s="260"/>
      <c r="P29" s="302"/>
      <c r="Q29" s="197"/>
      <c r="R29" s="363"/>
      <c r="S29" s="284"/>
      <c r="T29" s="370"/>
      <c r="U29" s="267"/>
      <c r="V29" s="267"/>
      <c r="W29" s="267"/>
      <c r="X29" s="267"/>
      <c r="Y29" s="267"/>
      <c r="Z29" s="267"/>
      <c r="AA29" s="267"/>
      <c r="AB29" s="370"/>
      <c r="AC29" s="224"/>
      <c r="AD29" s="463" t="s">
        <v>7445</v>
      </c>
      <c r="AE29" s="298" t="s">
        <v>9761</v>
      </c>
      <c r="AF29" s="298" t="s">
        <v>9762</v>
      </c>
      <c r="AG29" s="298" t="s">
        <v>9763</v>
      </c>
      <c r="AH29" s="298" t="s">
        <v>9764</v>
      </c>
      <c r="AI29" s="298" t="s">
        <v>9765</v>
      </c>
      <c r="AJ29" s="298" t="s">
        <v>9766</v>
      </c>
      <c r="AK29" s="298" t="s">
        <v>9767</v>
      </c>
      <c r="AL29" s="299" t="s">
        <v>9768</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781"/>
      <c r="C31" s="2781"/>
      <c r="D31" s="2781"/>
      <c r="E31" s="2781"/>
      <c r="F31" s="2781"/>
      <c r="G31" s="2781"/>
      <c r="H31" s="2781"/>
      <c r="I31" s="2781"/>
      <c r="J31" s="2781"/>
      <c r="K31" s="2781"/>
      <c r="L31" s="197"/>
      <c r="M31" s="260"/>
      <c r="N31" s="581"/>
      <c r="O31" s="197"/>
      <c r="P31" s="197"/>
      <c r="Q31" s="197"/>
      <c r="R31" s="224"/>
      <c r="S31" s="284"/>
      <c r="T31" s="337"/>
      <c r="U31" s="267"/>
      <c r="V31" s="267"/>
      <c r="W31" s="267"/>
      <c r="X31" s="267"/>
      <c r="Y31" s="267"/>
      <c r="Z31" s="267"/>
      <c r="AA31" s="267"/>
      <c r="AB31" s="337"/>
      <c r="AC31" s="224"/>
      <c r="AD31" s="2781"/>
      <c r="AE31" s="2781"/>
      <c r="AF31" s="2781"/>
      <c r="AG31" s="2781"/>
      <c r="AH31" s="2781"/>
      <c r="AI31" s="2781"/>
      <c r="AJ31" s="2781"/>
      <c r="AK31" s="2781"/>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7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7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tabColor rgb="FF00B050"/>
    <pageSetUpPr fitToPage="1"/>
  </sheetPr>
  <dimension ref="A1:Z74"/>
  <sheetViews>
    <sheetView showGridLines="0" topLeftCell="A45" zoomScale="70" zoomScaleNormal="70" zoomScaleSheetLayoutView="100" workbookViewId="0">
      <selection activeCell="A46" sqref="A46"/>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3.25">
      <c r="A1" s="224"/>
      <c r="B1" s="2797" t="s">
        <v>9769</v>
      </c>
      <c r="C1" s="2797"/>
      <c r="D1" s="2797"/>
      <c r="E1" s="723"/>
      <c r="F1" s="224"/>
      <c r="G1" s="248"/>
      <c r="H1" s="224"/>
      <c r="I1" s="224"/>
      <c r="J1" s="224"/>
      <c r="K1" s="363"/>
      <c r="L1" s="224"/>
      <c r="M1" s="363"/>
      <c r="N1" s="224"/>
      <c r="O1" s="224"/>
      <c r="P1" s="224"/>
      <c r="Q1" s="363"/>
      <c r="R1" s="224"/>
      <c r="S1" s="224"/>
      <c r="T1" s="224"/>
      <c r="U1" s="224"/>
      <c r="V1" s="224"/>
      <c r="W1" s="224"/>
      <c r="X1" s="224"/>
      <c r="Y1" s="224"/>
      <c r="Z1" s="224"/>
    </row>
    <row r="2" spans="1:26" ht="23.25">
      <c r="A2" s="224"/>
      <c r="B2" s="2797" t="str">
        <f>SelectCompany!B4</f>
        <v>Northumbrian Water</v>
      </c>
      <c r="C2" s="2797"/>
      <c r="D2" s="2797"/>
      <c r="E2" s="529"/>
      <c r="F2" s="224"/>
      <c r="G2" s="248"/>
      <c r="H2" s="224"/>
      <c r="I2" s="224"/>
      <c r="J2" s="224"/>
      <c r="K2" s="363"/>
      <c r="L2" s="224"/>
      <c r="M2" s="363"/>
      <c r="N2" s="224"/>
      <c r="O2" s="224"/>
      <c r="P2" s="224"/>
      <c r="Q2" s="363"/>
      <c r="R2" s="224"/>
      <c r="S2" s="224"/>
      <c r="T2" s="224"/>
      <c r="U2" s="224"/>
      <c r="V2" s="224"/>
      <c r="W2" s="224"/>
      <c r="X2" s="224"/>
      <c r="Y2" s="224"/>
      <c r="Z2" s="224"/>
    </row>
    <row r="3" spans="1:26" ht="19.5">
      <c r="A3" s="224"/>
      <c r="B3" s="2807" t="s">
        <v>9770</v>
      </c>
      <c r="C3" s="2807"/>
      <c r="D3" s="2807"/>
      <c r="E3" s="2807"/>
      <c r="F3" s="2807"/>
      <c r="G3" s="2807"/>
      <c r="H3" s="2807"/>
      <c r="I3" s="2807"/>
      <c r="J3" s="224"/>
      <c r="K3" s="363"/>
      <c r="L3" s="425" t="s">
        <v>7222</v>
      </c>
      <c r="M3" s="363"/>
      <c r="N3" s="224"/>
      <c r="O3" s="224"/>
      <c r="P3" s="224"/>
      <c r="Q3" s="363"/>
      <c r="R3" s="224"/>
      <c r="S3" s="224"/>
      <c r="T3" s="224"/>
      <c r="U3" s="224"/>
      <c r="V3" s="224"/>
      <c r="W3" s="224"/>
      <c r="X3" s="224"/>
      <c r="Y3" s="224"/>
      <c r="Z3" s="224"/>
    </row>
    <row r="4" spans="1:26" ht="19.5" thickBot="1">
      <c r="A4" s="224"/>
      <c r="B4" s="480"/>
      <c r="C4" s="480"/>
      <c r="D4" s="480"/>
      <c r="E4" s="480"/>
      <c r="F4" s="224"/>
      <c r="G4" s="757"/>
      <c r="H4" s="224"/>
      <c r="I4" s="224"/>
      <c r="J4" s="224"/>
      <c r="K4" s="363"/>
      <c r="L4" s="224"/>
      <c r="M4" s="758"/>
      <c r="N4" s="2668" t="s">
        <v>7223</v>
      </c>
      <c r="O4" s="2668"/>
      <c r="P4" s="2668"/>
      <c r="Q4" s="363"/>
      <c r="R4" s="224"/>
      <c r="S4" s="224"/>
      <c r="T4" s="224"/>
      <c r="U4" s="224"/>
      <c r="V4" s="224"/>
      <c r="W4" s="224"/>
      <c r="X4" s="224"/>
      <c r="Y4" s="224"/>
      <c r="Z4" s="224"/>
    </row>
    <row r="5" spans="1:26" ht="15.75" thickTop="1">
      <c r="A5" s="197"/>
      <c r="B5" s="652" t="s">
        <v>7224</v>
      </c>
      <c r="C5" s="670" t="s">
        <v>9771</v>
      </c>
      <c r="D5" s="670" t="s">
        <v>7242</v>
      </c>
      <c r="E5" s="671" t="s">
        <v>7235</v>
      </c>
      <c r="F5" s="197"/>
      <c r="G5" s="2790" t="s">
        <v>7229</v>
      </c>
      <c r="H5" s="197"/>
      <c r="I5" s="2790" t="s">
        <v>7230</v>
      </c>
      <c r="J5" s="197"/>
      <c r="K5" s="363"/>
      <c r="L5" s="224"/>
      <c r="M5" s="361"/>
      <c r="N5" s="269" t="s">
        <v>7231</v>
      </c>
      <c r="O5" s="263"/>
      <c r="P5" s="263"/>
      <c r="Q5" s="363"/>
      <c r="R5" s="224"/>
      <c r="S5" s="224"/>
      <c r="T5" s="224"/>
      <c r="U5" s="224"/>
      <c r="V5" s="224"/>
      <c r="W5" s="224"/>
      <c r="X5" s="224"/>
      <c r="Y5" s="224"/>
      <c r="Z5" s="224"/>
    </row>
    <row r="6" spans="1:26">
      <c r="A6" s="197"/>
      <c r="B6" s="429" t="s">
        <v>7225</v>
      </c>
      <c r="C6" s="427" t="s">
        <v>9772</v>
      </c>
      <c r="D6" s="427" t="s">
        <v>681</v>
      </c>
      <c r="E6" s="428" t="s">
        <v>681</v>
      </c>
      <c r="F6" s="197"/>
      <c r="G6" s="2791"/>
      <c r="H6" s="197"/>
      <c r="I6" s="2791"/>
      <c r="J6" s="197"/>
      <c r="K6" s="363"/>
      <c r="L6" s="224"/>
      <c r="M6" s="361"/>
      <c r="N6" s="269"/>
      <c r="O6" s="263"/>
      <c r="P6" s="263"/>
      <c r="Q6" s="363"/>
      <c r="R6" s="224"/>
      <c r="S6" s="224"/>
      <c r="T6" s="224"/>
      <c r="U6" s="224"/>
      <c r="V6" s="224"/>
      <c r="W6" s="224"/>
      <c r="X6" s="224"/>
      <c r="Y6" s="224"/>
      <c r="Z6" s="224"/>
    </row>
    <row r="7" spans="1:26" ht="15.75" thickBot="1">
      <c r="A7" s="197"/>
      <c r="B7" s="430" t="s">
        <v>670</v>
      </c>
      <c r="C7" s="271">
        <v>3</v>
      </c>
      <c r="D7" s="271">
        <v>3</v>
      </c>
      <c r="E7" s="672">
        <v>3</v>
      </c>
      <c r="F7" s="197"/>
      <c r="G7" s="2792"/>
      <c r="H7" s="197"/>
      <c r="I7" s="2792"/>
      <c r="J7" s="197"/>
      <c r="K7" s="363"/>
      <c r="L7" s="224"/>
      <c r="M7" s="361"/>
      <c r="N7" s="263"/>
      <c r="O7" s="263"/>
      <c r="P7" s="263"/>
      <c r="Q7" s="363"/>
      <c r="R7" s="224"/>
      <c r="S7" s="224"/>
      <c r="T7" s="224"/>
      <c r="U7" s="224"/>
      <c r="V7" s="224"/>
      <c r="W7" s="224"/>
      <c r="X7" s="224"/>
      <c r="Y7" s="224"/>
      <c r="Z7" s="224"/>
    </row>
    <row r="8" spans="1:26" ht="17.25"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6.5" thickTop="1" thickBot="1">
      <c r="A9" s="197"/>
      <c r="B9" s="393" t="s">
        <v>9773</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30.75" thickTop="1">
      <c r="A10" s="197"/>
      <c r="B10" s="762" t="s">
        <v>9774</v>
      </c>
      <c r="C10" s="763">
        <v>5.7519999999999998</v>
      </c>
      <c r="D10" s="763">
        <v>4.0000000000000001E-3</v>
      </c>
      <c r="E10" s="764">
        <v>8.9999999999999993E-3</v>
      </c>
      <c r="F10" s="197"/>
      <c r="G10" s="281" t="s">
        <v>9775</v>
      </c>
      <c r="H10" s="197"/>
      <c r="I10" s="283"/>
      <c r="J10" s="197"/>
      <c r="K10" s="363"/>
      <c r="L10" s="284">
        <f>IF( SUM( N10:P10 ) = 0, 0, $N$5 )</f>
        <v>0</v>
      </c>
      <c r="M10" s="765"/>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30">
      <c r="A11" s="197"/>
      <c r="B11" s="766" t="s">
        <v>9776</v>
      </c>
      <c r="C11" s="767">
        <v>11.369</v>
      </c>
      <c r="D11" s="767">
        <v>8.9999999999999993E-3</v>
      </c>
      <c r="E11" s="768">
        <v>1.7999999999999999E-2</v>
      </c>
      <c r="F11" s="197"/>
      <c r="G11" s="290" t="s">
        <v>9777</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30">
      <c r="A12" s="197"/>
      <c r="B12" s="766" t="s">
        <v>9778</v>
      </c>
      <c r="C12" s="767">
        <v>7.6660000000000004</v>
      </c>
      <c r="D12" s="767">
        <v>6.0000000000000001E-3</v>
      </c>
      <c r="E12" s="768">
        <v>1.2E-2</v>
      </c>
      <c r="F12" s="197"/>
      <c r="G12" s="290" t="s">
        <v>9779</v>
      </c>
      <c r="H12" s="197"/>
      <c r="I12" s="291"/>
      <c r="J12" s="197"/>
      <c r="K12" s="363"/>
      <c r="L12" s="284">
        <f t="shared" si="3"/>
        <v>0</v>
      </c>
      <c r="M12" s="765"/>
      <c r="N12" s="285">
        <f t="shared" si="4"/>
        <v>0</v>
      </c>
      <c r="O12" s="285">
        <f t="shared" si="1"/>
        <v>0</v>
      </c>
      <c r="P12" s="285">
        <f t="shared" si="2"/>
        <v>0</v>
      </c>
      <c r="Q12" s="363"/>
      <c r="R12" s="224"/>
      <c r="S12" s="224"/>
      <c r="T12" s="224"/>
      <c r="U12" s="224"/>
      <c r="V12" s="224"/>
      <c r="W12" s="224"/>
      <c r="X12" s="224"/>
      <c r="Y12" s="224"/>
      <c r="Z12" s="224"/>
    </row>
    <row r="13" spans="1:26">
      <c r="A13" s="197"/>
      <c r="B13" s="766" t="s">
        <v>9780</v>
      </c>
      <c r="C13" s="767">
        <v>3.8319999999999999</v>
      </c>
      <c r="D13" s="767">
        <v>3.0000000000000001E-3</v>
      </c>
      <c r="E13" s="768">
        <v>6.0000000000000001E-3</v>
      </c>
      <c r="F13" s="769"/>
      <c r="G13" s="290" t="s">
        <v>9781</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c r="A14" s="197"/>
      <c r="B14" s="766" t="s">
        <v>9782</v>
      </c>
      <c r="C14" s="767">
        <v>38.506999999999998</v>
      </c>
      <c r="D14" s="767">
        <v>2.9000000000000001E-2</v>
      </c>
      <c r="E14" s="768">
        <v>5.6000000000000001E-2</v>
      </c>
      <c r="F14" s="769"/>
      <c r="G14" s="290" t="s">
        <v>9783</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c r="A15" s="197"/>
      <c r="B15" s="766" t="s">
        <v>9784</v>
      </c>
      <c r="C15" s="767">
        <v>100.355</v>
      </c>
      <c r="D15" s="767">
        <v>7.5999999999999998E-2</v>
      </c>
      <c r="E15" s="768">
        <v>0.14899999999999999</v>
      </c>
      <c r="F15" s="769"/>
      <c r="G15" s="290" t="s">
        <v>9785</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c r="A16" s="197"/>
      <c r="B16" s="766" t="s">
        <v>9786</v>
      </c>
      <c r="C16" s="767">
        <v>234.203</v>
      </c>
      <c r="D16" s="767">
        <v>0.16800000000000001</v>
      </c>
      <c r="E16" s="768">
        <v>0.23100000000000001</v>
      </c>
      <c r="F16" s="769"/>
      <c r="G16" s="290" t="s">
        <v>9787</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30">
      <c r="A17" s="197"/>
      <c r="B17" s="766" t="s">
        <v>9788</v>
      </c>
      <c r="C17" s="767">
        <v>917.89499999999998</v>
      </c>
      <c r="D17" s="767">
        <v>0.69899999999999995</v>
      </c>
      <c r="E17" s="768">
        <v>1.1000000000000001</v>
      </c>
      <c r="F17" s="769"/>
      <c r="G17" s="290" t="s">
        <v>9789</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c r="A18" s="197"/>
      <c r="B18" s="766" t="s">
        <v>9790</v>
      </c>
      <c r="C18" s="767">
        <v>312.52300000000002</v>
      </c>
      <c r="D18" s="767">
        <v>0.20699999999999999</v>
      </c>
      <c r="E18" s="768">
        <v>0.41</v>
      </c>
      <c r="F18" s="769"/>
      <c r="G18" s="290" t="s">
        <v>9791</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30">
      <c r="A19" s="197"/>
      <c r="B19" s="766" t="s">
        <v>9792</v>
      </c>
      <c r="C19" s="767">
        <v>56.715000000000003</v>
      </c>
      <c r="D19" s="767">
        <v>3.7999999999999999E-2</v>
      </c>
      <c r="E19" s="768">
        <v>8.4000000000000005E-2</v>
      </c>
      <c r="F19" s="769"/>
      <c r="G19" s="290" t="s">
        <v>9793</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c r="A20" s="197"/>
      <c r="B20" s="766" t="s">
        <v>9794</v>
      </c>
      <c r="C20" s="767">
        <v>0</v>
      </c>
      <c r="D20" s="767">
        <v>0</v>
      </c>
      <c r="E20" s="768">
        <v>1.548</v>
      </c>
      <c r="F20" s="769"/>
      <c r="G20" s="290" t="s">
        <v>9795</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30">
      <c r="A21" s="197"/>
      <c r="B21" s="766" t="s">
        <v>9796</v>
      </c>
      <c r="C21" s="767">
        <v>48.674999999999997</v>
      </c>
      <c r="D21" s="767">
        <v>3.2000000000000001E-2</v>
      </c>
      <c r="E21" s="768">
        <v>7.1999999999999995E-2</v>
      </c>
      <c r="F21" s="769"/>
      <c r="G21" s="290" t="s">
        <v>9797</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30">
      <c r="A22" s="197"/>
      <c r="B22" s="766" t="s">
        <v>9798</v>
      </c>
      <c r="C22" s="767">
        <v>92.05</v>
      </c>
      <c r="D22" s="767">
        <v>7.0000000000000007E-2</v>
      </c>
      <c r="E22" s="768">
        <v>0.126</v>
      </c>
      <c r="F22" s="769"/>
      <c r="G22" s="290" t="s">
        <v>9799</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c r="A23" s="197"/>
      <c r="B23" s="766" t="s">
        <v>9800</v>
      </c>
      <c r="C23" s="767">
        <v>28.416</v>
      </c>
      <c r="D23" s="767">
        <v>2.1999999999999999E-2</v>
      </c>
      <c r="E23" s="768">
        <v>4.2000000000000003E-2</v>
      </c>
      <c r="F23" s="769"/>
      <c r="G23" s="290" t="s">
        <v>9801</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c r="A24" s="197"/>
      <c r="B24" s="766" t="s">
        <v>9802</v>
      </c>
      <c r="C24" s="767">
        <v>33.587000000000003</v>
      </c>
      <c r="D24" s="767">
        <v>2.5999999999999999E-2</v>
      </c>
      <c r="E24" s="768">
        <v>0.05</v>
      </c>
      <c r="F24" s="769"/>
      <c r="G24" s="290" t="s">
        <v>9803</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30">
      <c r="A25" s="197"/>
      <c r="B25" s="766" t="s">
        <v>9804</v>
      </c>
      <c r="C25" s="767">
        <v>1.698</v>
      </c>
      <c r="D25" s="767">
        <v>1E-3</v>
      </c>
      <c r="E25" s="768">
        <v>3.0000000000000001E-3</v>
      </c>
      <c r="F25" s="769"/>
      <c r="G25" s="290" t="s">
        <v>9805</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30">
      <c r="A26" s="197"/>
      <c r="B26" s="766" t="s">
        <v>9806</v>
      </c>
      <c r="C26" s="767">
        <v>3.3000000000000002E-2</v>
      </c>
      <c r="D26" s="767">
        <v>0</v>
      </c>
      <c r="E26" s="768">
        <v>0</v>
      </c>
      <c r="F26" s="769"/>
      <c r="G26" s="290" t="s">
        <v>9807</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c r="A27" s="197"/>
      <c r="B27" s="766" t="s">
        <v>9808</v>
      </c>
      <c r="C27" s="767">
        <v>7.8250000000000002</v>
      </c>
      <c r="D27" s="767">
        <v>6.0000000000000001E-3</v>
      </c>
      <c r="E27" s="768">
        <v>1.2E-2</v>
      </c>
      <c r="F27" s="769"/>
      <c r="G27" s="290" t="s">
        <v>9809</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c r="A28" s="197"/>
      <c r="B28" s="766" t="s">
        <v>9810</v>
      </c>
      <c r="C28" s="767">
        <v>49.095999999999997</v>
      </c>
      <c r="D28" s="767">
        <v>3.6999999999999998E-2</v>
      </c>
      <c r="E28" s="768">
        <v>7.2999999999999995E-2</v>
      </c>
      <c r="F28" s="769"/>
      <c r="G28" s="290" t="s">
        <v>9811</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c r="A29" s="197"/>
      <c r="B29" s="766" t="s">
        <v>9812</v>
      </c>
      <c r="C29" s="767">
        <v>2.5710000000000002</v>
      </c>
      <c r="D29" s="767">
        <v>2E-3</v>
      </c>
      <c r="E29" s="768">
        <v>4.0000000000000001E-3</v>
      </c>
      <c r="F29" s="769"/>
      <c r="G29" s="290" t="s">
        <v>9813</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c r="A30" s="197"/>
      <c r="B30" s="766" t="s">
        <v>9814</v>
      </c>
      <c r="C30" s="767">
        <v>4.0049999999999999</v>
      </c>
      <c r="D30" s="767">
        <v>3.0000000000000001E-3</v>
      </c>
      <c r="E30" s="768">
        <v>5.0000000000000001E-3</v>
      </c>
      <c r="F30" s="769"/>
      <c r="G30" s="290" t="s">
        <v>9815</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30">
      <c r="A31" s="197"/>
      <c r="B31" s="766" t="s">
        <v>9816</v>
      </c>
      <c r="C31" s="767">
        <v>3.61</v>
      </c>
      <c r="D31" s="767">
        <v>3.0000000000000001E-3</v>
      </c>
      <c r="E31" s="768">
        <v>5.0000000000000001E-3</v>
      </c>
      <c r="F31" s="197"/>
      <c r="G31" s="290" t="s">
        <v>9817</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c r="A32" s="197"/>
      <c r="B32" s="766" t="s">
        <v>9818</v>
      </c>
      <c r="C32" s="767">
        <v>4.7690000000000001</v>
      </c>
      <c r="D32" s="767">
        <v>4.0000000000000001E-3</v>
      </c>
      <c r="E32" s="768">
        <v>6.0000000000000001E-3</v>
      </c>
      <c r="F32" s="197"/>
      <c r="G32" s="290" t="s">
        <v>9819</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c r="A33" s="197"/>
      <c r="B33" s="766" t="s">
        <v>9820</v>
      </c>
      <c r="C33" s="767">
        <v>5.1879999999999997</v>
      </c>
      <c r="D33" s="767">
        <v>4.0000000000000001E-3</v>
      </c>
      <c r="E33" s="768">
        <v>7.0000000000000001E-3</v>
      </c>
      <c r="F33" s="197"/>
      <c r="G33" s="290" t="s">
        <v>9821</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c r="A34" s="197"/>
      <c r="B34" s="766" t="s">
        <v>9822</v>
      </c>
      <c r="C34" s="767">
        <v>6.9450000000000003</v>
      </c>
      <c r="D34" s="767">
        <v>5.0000000000000001E-3</v>
      </c>
      <c r="E34" s="768">
        <v>8.9999999999999993E-3</v>
      </c>
      <c r="F34" s="197"/>
      <c r="G34" s="290" t="s">
        <v>9823</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thickBot="1">
      <c r="A35" s="197"/>
      <c r="B35" s="463" t="s">
        <v>9824</v>
      </c>
      <c r="C35" s="298">
        <f>IFERROR(SUM(C10:C34),0)</f>
        <v>1977.2849999999996</v>
      </c>
      <c r="D35" s="298">
        <f>IFERROR(SUM(D10:D34),0)</f>
        <v>1.4539999999999997</v>
      </c>
      <c r="E35" s="299">
        <f>IFERROR(SUM(E10:E34),0)</f>
        <v>4.036999999999999</v>
      </c>
      <c r="F35" s="197"/>
      <c r="G35" s="356" t="s">
        <v>9825</v>
      </c>
      <c r="H35" s="197"/>
      <c r="I35" s="302"/>
      <c r="J35" s="197"/>
      <c r="K35" s="363"/>
      <c r="L35" s="224"/>
      <c r="M35" s="363"/>
      <c r="N35" s="224"/>
      <c r="O35" s="224"/>
      <c r="P35" s="224"/>
      <c r="Q35" s="363"/>
      <c r="R35" s="224"/>
      <c r="S35" s="224"/>
      <c r="T35" s="224"/>
      <c r="U35" s="224"/>
      <c r="V35" s="224"/>
      <c r="W35" s="224"/>
      <c r="X35" s="224"/>
      <c r="Y35" s="224"/>
      <c r="Z35" s="224"/>
    </row>
    <row r="36" spans="1:26" ht="16.5"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thickTop="1">
      <c r="A37" s="197"/>
      <c r="B37" s="652" t="s">
        <v>7224</v>
      </c>
      <c r="C37" s="670" t="s">
        <v>9771</v>
      </c>
      <c r="D37" s="671" t="s">
        <v>7242</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c r="A38" s="197"/>
      <c r="B38" s="429" t="s">
        <v>7225</v>
      </c>
      <c r="C38" s="427" t="s">
        <v>9772</v>
      </c>
      <c r="D38" s="428" t="s">
        <v>681</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thickBot="1">
      <c r="A39" s="197"/>
      <c r="B39" s="430" t="s">
        <v>670</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6.5"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6.5" thickTop="1" thickBot="1">
      <c r="A41" s="197"/>
      <c r="B41" s="393" t="s">
        <v>9826</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thickTop="1">
      <c r="A42" s="197"/>
      <c r="B42" s="773" t="s">
        <v>9827</v>
      </c>
      <c r="C42" s="763">
        <v>393.72500000000002</v>
      </c>
      <c r="D42" s="763">
        <v>0.42</v>
      </c>
      <c r="E42" s="774"/>
      <c r="F42" s="197"/>
      <c r="G42" s="281" t="s">
        <v>9828</v>
      </c>
      <c r="H42" s="197"/>
      <c r="I42" s="283"/>
      <c r="J42" s="197"/>
      <c r="K42" s="363"/>
      <c r="L42" s="284">
        <f t="shared" ref="L42:L66" si="5">IF( SUM( N42:P42 ) = 0, 0, $N$5 )</f>
        <v>0</v>
      </c>
      <c r="M42" s="363"/>
      <c r="N42" s="285">
        <f t="shared" ref="N42:N66" si="6" xml:space="preserve"> IF( ISNUMBER( C42 ), 0, 1 )</f>
        <v>0</v>
      </c>
      <c r="O42" s="285">
        <f t="shared" ref="O42:O66" si="7" xml:space="preserve"> IF( ISNUMBER( D42 ), 0, 1 )</f>
        <v>0</v>
      </c>
      <c r="P42" s="224"/>
      <c r="Q42" s="363"/>
      <c r="R42" s="224"/>
      <c r="S42" s="224"/>
      <c r="T42" s="224"/>
      <c r="U42" s="224"/>
      <c r="V42" s="224"/>
      <c r="W42" s="224"/>
      <c r="X42" s="224"/>
      <c r="Y42" s="224"/>
      <c r="Z42" s="224"/>
    </row>
    <row r="43" spans="1:26">
      <c r="A43" s="197"/>
      <c r="B43" s="775" t="s">
        <v>9794</v>
      </c>
      <c r="C43" s="767">
        <v>30370</v>
      </c>
      <c r="D43" s="767">
        <v>2.2519999999999998</v>
      </c>
      <c r="E43" s="776"/>
      <c r="F43" s="197"/>
      <c r="G43" s="290" t="s">
        <v>9829</v>
      </c>
      <c r="H43" s="197"/>
      <c r="I43" s="291"/>
      <c r="J43" s="197"/>
      <c r="K43" s="363"/>
      <c r="L43" s="284">
        <f t="shared" si="5"/>
        <v>0</v>
      </c>
      <c r="M43" s="363"/>
      <c r="N43" s="285">
        <f t="shared" si="6"/>
        <v>0</v>
      </c>
      <c r="O43" s="285">
        <f t="shared" si="7"/>
        <v>0</v>
      </c>
      <c r="P43" s="224"/>
      <c r="Q43" s="363"/>
      <c r="R43" s="224"/>
      <c r="S43" s="224"/>
      <c r="T43" s="224"/>
      <c r="U43" s="224"/>
      <c r="V43" s="224"/>
      <c r="W43" s="224"/>
      <c r="X43" s="224"/>
      <c r="Y43" s="224"/>
      <c r="Z43" s="224"/>
    </row>
    <row r="44" spans="1:26">
      <c r="A44" s="197"/>
      <c r="B44" s="775" t="s">
        <v>9830</v>
      </c>
      <c r="C44" s="767">
        <v>0.41299999999999998</v>
      </c>
      <c r="D44" s="767">
        <v>1E-3</v>
      </c>
      <c r="E44" s="776"/>
      <c r="F44" s="197"/>
      <c r="G44" s="290" t="s">
        <v>9831</v>
      </c>
      <c r="H44" s="197"/>
      <c r="I44" s="291"/>
      <c r="J44" s="197"/>
      <c r="K44" s="363"/>
      <c r="L44" s="284">
        <f t="shared" si="5"/>
        <v>0</v>
      </c>
      <c r="M44" s="363"/>
      <c r="N44" s="285">
        <f t="shared" si="6"/>
        <v>0</v>
      </c>
      <c r="O44" s="285">
        <f t="shared" si="7"/>
        <v>0</v>
      </c>
      <c r="P44" s="224"/>
      <c r="Q44" s="363"/>
      <c r="R44" s="224"/>
      <c r="S44" s="224"/>
      <c r="T44" s="224"/>
      <c r="U44" s="224"/>
      <c r="V44" s="224"/>
      <c r="W44" s="224"/>
      <c r="X44" s="224"/>
      <c r="Y44" s="224"/>
      <c r="Z44" s="224"/>
    </row>
    <row r="45" spans="1:26" ht="30">
      <c r="A45" s="197"/>
      <c r="B45" s="775" t="s">
        <v>9832</v>
      </c>
      <c r="C45" s="767">
        <v>0</v>
      </c>
      <c r="D45" s="767">
        <v>0</v>
      </c>
      <c r="E45" s="776"/>
      <c r="F45" s="769"/>
      <c r="G45" s="290" t="s">
        <v>9833</v>
      </c>
      <c r="H45" s="197"/>
      <c r="I45" s="291"/>
      <c r="J45" s="197"/>
      <c r="K45" s="363"/>
      <c r="L45" s="284">
        <f t="shared" si="5"/>
        <v>0</v>
      </c>
      <c r="M45" s="363"/>
      <c r="N45" s="285">
        <f t="shared" si="6"/>
        <v>0</v>
      </c>
      <c r="O45" s="285">
        <f t="shared" si="7"/>
        <v>0</v>
      </c>
      <c r="P45" s="224"/>
      <c r="Q45" s="363"/>
      <c r="R45" s="224"/>
      <c r="S45" s="224"/>
      <c r="T45" s="224"/>
      <c r="U45" s="224"/>
      <c r="V45" s="224"/>
      <c r="W45" s="224"/>
      <c r="X45" s="224"/>
      <c r="Y45" s="224"/>
      <c r="Z45" s="224"/>
    </row>
    <row r="46" spans="1:26">
      <c r="A46" s="197"/>
      <c r="B46" s="775" t="s">
        <v>9834</v>
      </c>
      <c r="C46" s="767">
        <v>0</v>
      </c>
      <c r="D46" s="767">
        <v>0</v>
      </c>
      <c r="E46" s="776"/>
      <c r="F46" s="769"/>
      <c r="G46" s="290" t="s">
        <v>9835</v>
      </c>
      <c r="H46" s="197"/>
      <c r="I46" s="291"/>
      <c r="J46" s="197"/>
      <c r="K46" s="363"/>
      <c r="L46" s="284">
        <f t="shared" si="5"/>
        <v>0</v>
      </c>
      <c r="M46" s="363"/>
      <c r="N46" s="285">
        <f t="shared" si="6"/>
        <v>0</v>
      </c>
      <c r="O46" s="285">
        <f t="shared" si="7"/>
        <v>0</v>
      </c>
      <c r="P46" s="224"/>
      <c r="Q46" s="363"/>
      <c r="R46" s="224"/>
      <c r="S46" s="224"/>
      <c r="T46" s="224"/>
      <c r="U46" s="224"/>
      <c r="V46" s="224"/>
      <c r="W46" s="224"/>
      <c r="X46" s="224"/>
      <c r="Y46" s="224"/>
      <c r="Z46" s="224"/>
    </row>
    <row r="47" spans="1:26">
      <c r="A47" s="197"/>
      <c r="B47" s="775" t="s">
        <v>9836</v>
      </c>
      <c r="C47" s="767">
        <v>0</v>
      </c>
      <c r="D47" s="767">
        <v>0</v>
      </c>
      <c r="E47" s="776"/>
      <c r="F47" s="769"/>
      <c r="G47" s="290" t="s">
        <v>9837</v>
      </c>
      <c r="H47" s="197"/>
      <c r="I47" s="291"/>
      <c r="J47" s="197"/>
      <c r="K47" s="363"/>
      <c r="L47" s="284">
        <f t="shared" si="5"/>
        <v>0</v>
      </c>
      <c r="M47" s="363"/>
      <c r="N47" s="285">
        <f t="shared" si="6"/>
        <v>0</v>
      </c>
      <c r="O47" s="285">
        <f t="shared" si="7"/>
        <v>0</v>
      </c>
      <c r="P47" s="224"/>
      <c r="Q47" s="363"/>
      <c r="R47" s="224"/>
      <c r="S47" s="224"/>
      <c r="T47" s="224"/>
      <c r="U47" s="224"/>
      <c r="V47" s="224"/>
      <c r="W47" s="224"/>
      <c r="X47" s="224"/>
      <c r="Y47" s="224"/>
      <c r="Z47" s="224"/>
    </row>
    <row r="48" spans="1:26">
      <c r="A48" s="197"/>
      <c r="B48" s="775" t="s">
        <v>9838</v>
      </c>
      <c r="C48" s="767">
        <v>0</v>
      </c>
      <c r="D48" s="767">
        <v>0</v>
      </c>
      <c r="E48" s="776"/>
      <c r="F48" s="769"/>
      <c r="G48" s="290" t="s">
        <v>9839</v>
      </c>
      <c r="H48" s="197"/>
      <c r="I48" s="291"/>
      <c r="J48" s="197"/>
      <c r="K48" s="363"/>
      <c r="L48" s="284">
        <f t="shared" si="5"/>
        <v>0</v>
      </c>
      <c r="M48" s="363"/>
      <c r="N48" s="285">
        <f t="shared" si="6"/>
        <v>0</v>
      </c>
      <c r="O48" s="285">
        <f t="shared" si="7"/>
        <v>0</v>
      </c>
      <c r="P48" s="224"/>
      <c r="Q48" s="363"/>
      <c r="R48" s="224"/>
      <c r="S48" s="224"/>
      <c r="T48" s="224"/>
      <c r="U48" s="224"/>
      <c r="V48" s="224"/>
      <c r="W48" s="224"/>
      <c r="X48" s="224"/>
      <c r="Y48" s="224"/>
      <c r="Z48" s="224"/>
    </row>
    <row r="49" spans="1:26">
      <c r="A49" s="197"/>
      <c r="B49" s="775" t="s">
        <v>9840</v>
      </c>
      <c r="C49" s="767">
        <v>0</v>
      </c>
      <c r="D49" s="767">
        <v>0</v>
      </c>
      <c r="E49" s="776"/>
      <c r="F49" s="769"/>
      <c r="G49" s="290" t="s">
        <v>9841</v>
      </c>
      <c r="H49" s="197"/>
      <c r="I49" s="291"/>
      <c r="J49" s="197"/>
      <c r="K49" s="363"/>
      <c r="L49" s="284">
        <f t="shared" si="5"/>
        <v>0</v>
      </c>
      <c r="M49" s="363"/>
      <c r="N49" s="285">
        <f t="shared" si="6"/>
        <v>0</v>
      </c>
      <c r="O49" s="285">
        <f t="shared" si="7"/>
        <v>0</v>
      </c>
      <c r="P49" s="224"/>
      <c r="Q49" s="363"/>
      <c r="R49" s="224"/>
      <c r="S49" s="224"/>
      <c r="T49" s="224"/>
      <c r="U49" s="224"/>
      <c r="V49" s="224"/>
      <c r="W49" s="224"/>
      <c r="X49" s="224"/>
      <c r="Y49" s="224"/>
      <c r="Z49" s="224"/>
    </row>
    <row r="50" spans="1:26">
      <c r="A50" s="197"/>
      <c r="B50" s="775" t="s">
        <v>9842</v>
      </c>
      <c r="C50" s="767">
        <v>0</v>
      </c>
      <c r="D50" s="767">
        <v>0</v>
      </c>
      <c r="E50" s="776"/>
      <c r="F50" s="769"/>
      <c r="G50" s="290" t="s">
        <v>9843</v>
      </c>
      <c r="H50" s="197"/>
      <c r="I50" s="291"/>
      <c r="J50" s="197"/>
      <c r="K50" s="363"/>
      <c r="L50" s="284">
        <f t="shared" si="5"/>
        <v>0</v>
      </c>
      <c r="M50" s="363"/>
      <c r="N50" s="285">
        <f t="shared" si="6"/>
        <v>0</v>
      </c>
      <c r="O50" s="285">
        <f t="shared" si="7"/>
        <v>0</v>
      </c>
      <c r="P50" s="224"/>
      <c r="Q50" s="363"/>
      <c r="R50" s="224"/>
      <c r="S50" s="224"/>
      <c r="T50" s="224"/>
      <c r="U50" s="224"/>
      <c r="V50" s="224"/>
      <c r="W50" s="224"/>
      <c r="X50" s="224"/>
      <c r="Y50" s="224"/>
      <c r="Z50" s="224"/>
    </row>
    <row r="51" spans="1:26">
      <c r="A51" s="197"/>
      <c r="B51" s="775" t="s">
        <v>9844</v>
      </c>
      <c r="C51" s="767">
        <v>0</v>
      </c>
      <c r="D51" s="767">
        <v>0</v>
      </c>
      <c r="E51" s="776"/>
      <c r="F51" s="769"/>
      <c r="G51" s="290" t="s">
        <v>9845</v>
      </c>
      <c r="H51" s="197"/>
      <c r="I51" s="291"/>
      <c r="J51" s="197"/>
      <c r="K51" s="363"/>
      <c r="L51" s="284">
        <f t="shared" si="5"/>
        <v>0</v>
      </c>
      <c r="M51" s="363"/>
      <c r="N51" s="285">
        <f t="shared" si="6"/>
        <v>0</v>
      </c>
      <c r="O51" s="285">
        <f t="shared" si="7"/>
        <v>0</v>
      </c>
      <c r="P51" s="224"/>
      <c r="Q51" s="363"/>
      <c r="R51" s="224"/>
      <c r="S51" s="224"/>
      <c r="T51" s="224"/>
      <c r="U51" s="224"/>
      <c r="V51" s="224"/>
      <c r="W51" s="224"/>
      <c r="X51" s="224"/>
      <c r="Y51" s="224"/>
      <c r="Z51" s="224"/>
    </row>
    <row r="52" spans="1:26">
      <c r="A52" s="197"/>
      <c r="B52" s="775" t="s">
        <v>9846</v>
      </c>
      <c r="C52" s="767">
        <v>0</v>
      </c>
      <c r="D52" s="767">
        <v>0</v>
      </c>
      <c r="E52" s="776"/>
      <c r="F52" s="769"/>
      <c r="G52" s="290" t="s">
        <v>9847</v>
      </c>
      <c r="H52" s="197"/>
      <c r="I52" s="291"/>
      <c r="J52" s="197"/>
      <c r="K52" s="363"/>
      <c r="L52" s="284">
        <f t="shared" si="5"/>
        <v>0</v>
      </c>
      <c r="M52" s="363"/>
      <c r="N52" s="285">
        <f t="shared" si="6"/>
        <v>0</v>
      </c>
      <c r="O52" s="285">
        <f t="shared" si="7"/>
        <v>0</v>
      </c>
      <c r="P52" s="224"/>
      <c r="Q52" s="363"/>
      <c r="R52" s="224"/>
      <c r="S52" s="224"/>
      <c r="T52" s="224"/>
      <c r="U52" s="224"/>
      <c r="V52" s="224"/>
      <c r="W52" s="224"/>
      <c r="X52" s="224"/>
      <c r="Y52" s="224"/>
      <c r="Z52" s="224"/>
    </row>
    <row r="53" spans="1:26">
      <c r="A53" s="197"/>
      <c r="B53" s="775" t="s">
        <v>9848</v>
      </c>
      <c r="C53" s="767">
        <v>0</v>
      </c>
      <c r="D53" s="767">
        <v>0</v>
      </c>
      <c r="E53" s="776"/>
      <c r="F53" s="769"/>
      <c r="G53" s="290" t="s">
        <v>9849</v>
      </c>
      <c r="H53" s="197"/>
      <c r="I53" s="291"/>
      <c r="J53" s="197"/>
      <c r="K53" s="363"/>
      <c r="L53" s="284">
        <f t="shared" si="5"/>
        <v>0</v>
      </c>
      <c r="M53" s="363"/>
      <c r="N53" s="285">
        <f t="shared" si="6"/>
        <v>0</v>
      </c>
      <c r="O53" s="285">
        <f t="shared" si="7"/>
        <v>0</v>
      </c>
      <c r="P53" s="224"/>
      <c r="Q53" s="363"/>
      <c r="R53" s="224"/>
      <c r="S53" s="224"/>
      <c r="T53" s="224"/>
      <c r="U53" s="224"/>
      <c r="V53" s="224"/>
      <c r="W53" s="224"/>
      <c r="X53" s="224"/>
      <c r="Y53" s="224"/>
      <c r="Z53" s="224"/>
    </row>
    <row r="54" spans="1:26">
      <c r="A54" s="197"/>
      <c r="B54" s="775" t="s">
        <v>9850</v>
      </c>
      <c r="C54" s="767">
        <v>0</v>
      </c>
      <c r="D54" s="767">
        <v>0</v>
      </c>
      <c r="E54" s="776"/>
      <c r="F54" s="769"/>
      <c r="G54" s="290" t="s">
        <v>9851</v>
      </c>
      <c r="H54" s="197"/>
      <c r="I54" s="291"/>
      <c r="J54" s="197"/>
      <c r="K54" s="363"/>
      <c r="L54" s="284">
        <f t="shared" si="5"/>
        <v>0</v>
      </c>
      <c r="M54" s="363"/>
      <c r="N54" s="285">
        <f t="shared" si="6"/>
        <v>0</v>
      </c>
      <c r="O54" s="285">
        <f t="shared" si="7"/>
        <v>0</v>
      </c>
      <c r="P54" s="224"/>
      <c r="Q54" s="363"/>
      <c r="R54" s="224"/>
      <c r="S54" s="224"/>
      <c r="T54" s="224"/>
      <c r="U54" s="224"/>
      <c r="V54" s="224"/>
      <c r="W54" s="224"/>
      <c r="X54" s="224"/>
      <c r="Y54" s="224"/>
      <c r="Z54" s="224"/>
    </row>
    <row r="55" spans="1:26">
      <c r="A55" s="197"/>
      <c r="B55" s="775" t="s">
        <v>9852</v>
      </c>
      <c r="C55" s="767">
        <v>0</v>
      </c>
      <c r="D55" s="767">
        <v>0</v>
      </c>
      <c r="E55" s="776"/>
      <c r="F55" s="769"/>
      <c r="G55" s="290" t="s">
        <v>9853</v>
      </c>
      <c r="H55" s="197"/>
      <c r="I55" s="291"/>
      <c r="J55" s="197"/>
      <c r="K55" s="363"/>
      <c r="L55" s="284">
        <f t="shared" si="5"/>
        <v>0</v>
      </c>
      <c r="M55" s="363"/>
      <c r="N55" s="285">
        <f t="shared" si="6"/>
        <v>0</v>
      </c>
      <c r="O55" s="285">
        <f t="shared" si="7"/>
        <v>0</v>
      </c>
      <c r="P55" s="224"/>
      <c r="Q55" s="363"/>
      <c r="R55" s="224"/>
      <c r="S55" s="224"/>
      <c r="T55" s="224"/>
      <c r="U55" s="224"/>
      <c r="V55" s="224"/>
      <c r="W55" s="224"/>
      <c r="X55" s="224"/>
      <c r="Y55" s="224"/>
      <c r="Z55" s="224"/>
    </row>
    <row r="56" spans="1:26">
      <c r="A56" s="197"/>
      <c r="B56" s="775" t="s">
        <v>9854</v>
      </c>
      <c r="C56" s="767">
        <v>0</v>
      </c>
      <c r="D56" s="767">
        <v>0</v>
      </c>
      <c r="E56" s="776"/>
      <c r="F56" s="769"/>
      <c r="G56" s="290" t="s">
        <v>9855</v>
      </c>
      <c r="H56" s="197"/>
      <c r="I56" s="291"/>
      <c r="J56" s="197"/>
      <c r="K56" s="363"/>
      <c r="L56" s="284">
        <f t="shared" si="5"/>
        <v>0</v>
      </c>
      <c r="M56" s="363"/>
      <c r="N56" s="285">
        <f t="shared" si="6"/>
        <v>0</v>
      </c>
      <c r="O56" s="285">
        <f t="shared" si="7"/>
        <v>0</v>
      </c>
      <c r="P56" s="224"/>
      <c r="Q56" s="363"/>
      <c r="R56" s="224"/>
      <c r="S56" s="224"/>
      <c r="T56" s="224"/>
      <c r="U56" s="224"/>
      <c r="V56" s="224"/>
      <c r="W56" s="224"/>
      <c r="X56" s="224"/>
      <c r="Y56" s="224"/>
      <c r="Z56" s="224"/>
    </row>
    <row r="57" spans="1:26">
      <c r="A57" s="197"/>
      <c r="B57" s="775" t="s">
        <v>9856</v>
      </c>
      <c r="C57" s="767">
        <v>0</v>
      </c>
      <c r="D57" s="767">
        <v>0</v>
      </c>
      <c r="E57" s="776"/>
      <c r="F57" s="769"/>
      <c r="G57" s="290" t="s">
        <v>9857</v>
      </c>
      <c r="H57" s="197"/>
      <c r="I57" s="291"/>
      <c r="J57" s="197"/>
      <c r="K57" s="363"/>
      <c r="L57" s="284">
        <f t="shared" si="5"/>
        <v>0</v>
      </c>
      <c r="M57" s="363"/>
      <c r="N57" s="285">
        <f t="shared" si="6"/>
        <v>0</v>
      </c>
      <c r="O57" s="285">
        <f t="shared" si="7"/>
        <v>0</v>
      </c>
      <c r="P57" s="224"/>
      <c r="Q57" s="363"/>
      <c r="R57" s="224"/>
      <c r="S57" s="224"/>
      <c r="T57" s="224"/>
      <c r="U57" s="224"/>
      <c r="V57" s="224"/>
      <c r="W57" s="224"/>
      <c r="X57" s="224"/>
      <c r="Y57" s="224"/>
      <c r="Z57" s="224"/>
    </row>
    <row r="58" spans="1:26">
      <c r="A58" s="197"/>
      <c r="B58" s="775" t="s">
        <v>9858</v>
      </c>
      <c r="C58" s="767">
        <v>0</v>
      </c>
      <c r="D58" s="767">
        <v>0</v>
      </c>
      <c r="E58" s="776"/>
      <c r="F58" s="769"/>
      <c r="G58" s="290" t="s">
        <v>9859</v>
      </c>
      <c r="H58" s="197"/>
      <c r="I58" s="291"/>
      <c r="J58" s="197"/>
      <c r="K58" s="363"/>
      <c r="L58" s="284">
        <f t="shared" si="5"/>
        <v>0</v>
      </c>
      <c r="M58" s="363"/>
      <c r="N58" s="285">
        <f t="shared" si="6"/>
        <v>0</v>
      </c>
      <c r="O58" s="285">
        <f t="shared" si="7"/>
        <v>0</v>
      </c>
      <c r="P58" s="224"/>
      <c r="Q58" s="363"/>
      <c r="R58" s="224"/>
      <c r="S58" s="224"/>
      <c r="T58" s="224"/>
      <c r="U58" s="224"/>
      <c r="V58" s="224"/>
      <c r="W58" s="224"/>
      <c r="X58" s="224"/>
      <c r="Y58" s="224"/>
      <c r="Z58" s="224"/>
    </row>
    <row r="59" spans="1:26">
      <c r="A59" s="197"/>
      <c r="B59" s="775" t="s">
        <v>9860</v>
      </c>
      <c r="C59" s="767">
        <v>0</v>
      </c>
      <c r="D59" s="767">
        <v>0</v>
      </c>
      <c r="E59" s="776"/>
      <c r="F59" s="769"/>
      <c r="G59" s="290" t="s">
        <v>9861</v>
      </c>
      <c r="H59" s="197"/>
      <c r="I59" s="291"/>
      <c r="J59" s="197"/>
      <c r="K59" s="363"/>
      <c r="L59" s="284">
        <f t="shared" si="5"/>
        <v>0</v>
      </c>
      <c r="M59" s="363"/>
      <c r="N59" s="285">
        <f t="shared" si="6"/>
        <v>0</v>
      </c>
      <c r="O59" s="285">
        <f t="shared" si="7"/>
        <v>0</v>
      </c>
      <c r="P59" s="224"/>
      <c r="Q59" s="363"/>
      <c r="R59" s="224"/>
      <c r="S59" s="224"/>
      <c r="T59" s="224"/>
      <c r="U59" s="224"/>
      <c r="V59" s="224"/>
      <c r="W59" s="224"/>
      <c r="X59" s="224"/>
      <c r="Y59" s="224"/>
      <c r="Z59" s="224"/>
    </row>
    <row r="60" spans="1:26">
      <c r="A60" s="197"/>
      <c r="B60" s="775" t="s">
        <v>9862</v>
      </c>
      <c r="C60" s="767">
        <v>0</v>
      </c>
      <c r="D60" s="767">
        <v>0</v>
      </c>
      <c r="E60" s="776"/>
      <c r="F60" s="769"/>
      <c r="G60" s="290" t="s">
        <v>9863</v>
      </c>
      <c r="H60" s="197"/>
      <c r="I60" s="291"/>
      <c r="J60" s="197"/>
      <c r="K60" s="363"/>
      <c r="L60" s="284">
        <f t="shared" si="5"/>
        <v>0</v>
      </c>
      <c r="M60" s="363"/>
      <c r="N60" s="285">
        <f t="shared" si="6"/>
        <v>0</v>
      </c>
      <c r="O60" s="285">
        <f t="shared" si="7"/>
        <v>0</v>
      </c>
      <c r="P60" s="224"/>
      <c r="Q60" s="363"/>
      <c r="R60" s="224"/>
      <c r="S60" s="224"/>
      <c r="T60" s="224"/>
      <c r="U60" s="224"/>
      <c r="V60" s="224"/>
      <c r="W60" s="224"/>
      <c r="X60" s="224"/>
      <c r="Y60" s="224"/>
      <c r="Z60" s="224"/>
    </row>
    <row r="61" spans="1:26">
      <c r="A61" s="197"/>
      <c r="B61" s="775" t="s">
        <v>9864</v>
      </c>
      <c r="C61" s="767">
        <v>0</v>
      </c>
      <c r="D61" s="767">
        <v>0</v>
      </c>
      <c r="E61" s="776"/>
      <c r="F61" s="769"/>
      <c r="G61" s="290" t="s">
        <v>9865</v>
      </c>
      <c r="H61" s="197"/>
      <c r="I61" s="291"/>
      <c r="J61" s="197"/>
      <c r="K61" s="363"/>
      <c r="L61" s="284">
        <f t="shared" si="5"/>
        <v>0</v>
      </c>
      <c r="M61" s="363"/>
      <c r="N61" s="285">
        <f t="shared" si="6"/>
        <v>0</v>
      </c>
      <c r="O61" s="285">
        <f t="shared" si="7"/>
        <v>0</v>
      </c>
      <c r="P61" s="224"/>
      <c r="Q61" s="363"/>
      <c r="R61" s="224"/>
      <c r="S61" s="224"/>
      <c r="T61" s="224"/>
      <c r="U61" s="224"/>
      <c r="V61" s="224"/>
      <c r="W61" s="224"/>
      <c r="X61" s="224"/>
      <c r="Y61" s="224"/>
      <c r="Z61" s="224"/>
    </row>
    <row r="62" spans="1:26">
      <c r="A62" s="197"/>
      <c r="B62" s="775" t="s">
        <v>9866</v>
      </c>
      <c r="C62" s="767">
        <v>0</v>
      </c>
      <c r="D62" s="767">
        <v>0</v>
      </c>
      <c r="E62" s="776"/>
      <c r="F62" s="769"/>
      <c r="G62" s="290" t="s">
        <v>9867</v>
      </c>
      <c r="H62" s="197"/>
      <c r="I62" s="291"/>
      <c r="J62" s="197"/>
      <c r="K62" s="363"/>
      <c r="L62" s="284">
        <f t="shared" si="5"/>
        <v>0</v>
      </c>
      <c r="M62" s="363"/>
      <c r="N62" s="285">
        <f t="shared" si="6"/>
        <v>0</v>
      </c>
      <c r="O62" s="285">
        <f t="shared" si="7"/>
        <v>0</v>
      </c>
      <c r="P62" s="224"/>
      <c r="Q62" s="363"/>
      <c r="R62" s="224"/>
      <c r="S62" s="224"/>
      <c r="T62" s="224"/>
      <c r="U62" s="224"/>
      <c r="V62" s="224"/>
      <c r="W62" s="224"/>
      <c r="X62" s="224"/>
      <c r="Y62" s="224"/>
      <c r="Z62" s="224"/>
    </row>
    <row r="63" spans="1:26">
      <c r="A63" s="197"/>
      <c r="B63" s="775" t="s">
        <v>9868</v>
      </c>
      <c r="C63" s="767">
        <v>0</v>
      </c>
      <c r="D63" s="767">
        <v>0</v>
      </c>
      <c r="E63" s="776"/>
      <c r="F63" s="769"/>
      <c r="G63" s="290" t="s">
        <v>9869</v>
      </c>
      <c r="H63" s="197"/>
      <c r="I63" s="291"/>
      <c r="J63" s="197"/>
      <c r="K63" s="363"/>
      <c r="L63" s="284">
        <f t="shared" si="5"/>
        <v>0</v>
      </c>
      <c r="M63" s="363"/>
      <c r="N63" s="285">
        <f t="shared" si="6"/>
        <v>0</v>
      </c>
      <c r="O63" s="285">
        <f t="shared" si="7"/>
        <v>0</v>
      </c>
      <c r="P63" s="224"/>
      <c r="Q63" s="363"/>
      <c r="R63" s="224"/>
      <c r="S63" s="224"/>
      <c r="T63" s="224"/>
      <c r="U63" s="224"/>
      <c r="V63" s="224"/>
      <c r="W63" s="224"/>
      <c r="X63" s="224"/>
      <c r="Y63" s="224"/>
      <c r="Z63" s="224"/>
    </row>
    <row r="64" spans="1:26">
      <c r="A64" s="197"/>
      <c r="B64" s="775" t="s">
        <v>9870</v>
      </c>
      <c r="C64" s="767">
        <v>0</v>
      </c>
      <c r="D64" s="767">
        <v>0</v>
      </c>
      <c r="E64" s="776"/>
      <c r="F64" s="769"/>
      <c r="G64" s="290" t="s">
        <v>9871</v>
      </c>
      <c r="H64" s="197"/>
      <c r="I64" s="291"/>
      <c r="J64" s="197"/>
      <c r="K64" s="363"/>
      <c r="L64" s="284">
        <f t="shared" si="5"/>
        <v>0</v>
      </c>
      <c r="M64" s="363"/>
      <c r="N64" s="285">
        <f t="shared" si="6"/>
        <v>0</v>
      </c>
      <c r="O64" s="285">
        <f t="shared" si="7"/>
        <v>0</v>
      </c>
      <c r="P64" s="224"/>
      <c r="Q64" s="363"/>
      <c r="R64" s="224"/>
      <c r="S64" s="224"/>
      <c r="T64" s="224"/>
      <c r="U64" s="224"/>
      <c r="V64" s="224"/>
      <c r="W64" s="224"/>
      <c r="X64" s="224"/>
      <c r="Y64" s="224"/>
      <c r="Z64" s="224"/>
    </row>
    <row r="65" spans="1:26">
      <c r="A65" s="197"/>
      <c r="B65" s="775" t="s">
        <v>9872</v>
      </c>
      <c r="C65" s="767">
        <v>0</v>
      </c>
      <c r="D65" s="767">
        <v>0</v>
      </c>
      <c r="E65" s="776"/>
      <c r="F65" s="769"/>
      <c r="G65" s="290" t="s">
        <v>9873</v>
      </c>
      <c r="H65" s="197"/>
      <c r="I65" s="291"/>
      <c r="J65" s="197"/>
      <c r="K65" s="363"/>
      <c r="L65" s="284">
        <f t="shared" si="5"/>
        <v>0</v>
      </c>
      <c r="M65" s="363"/>
      <c r="N65" s="285">
        <f t="shared" si="6"/>
        <v>0</v>
      </c>
      <c r="O65" s="285">
        <f t="shared" si="7"/>
        <v>0</v>
      </c>
      <c r="P65" s="224"/>
      <c r="Q65" s="363"/>
      <c r="R65" s="224"/>
      <c r="S65" s="224"/>
      <c r="T65" s="224"/>
      <c r="U65" s="224"/>
      <c r="V65" s="224"/>
      <c r="W65" s="224"/>
      <c r="X65" s="224"/>
      <c r="Y65" s="224"/>
      <c r="Z65" s="224"/>
    </row>
    <row r="66" spans="1:26">
      <c r="A66" s="197"/>
      <c r="B66" s="775" t="s">
        <v>9874</v>
      </c>
      <c r="C66" s="767">
        <v>0</v>
      </c>
      <c r="D66" s="767">
        <v>0</v>
      </c>
      <c r="E66" s="776"/>
      <c r="F66" s="769"/>
      <c r="G66" s="290" t="s">
        <v>9875</v>
      </c>
      <c r="H66" s="197"/>
      <c r="I66" s="291"/>
      <c r="J66" s="197"/>
      <c r="K66" s="363"/>
      <c r="L66" s="284">
        <f t="shared" si="5"/>
        <v>0</v>
      </c>
      <c r="M66" s="363"/>
      <c r="N66" s="285">
        <f t="shared" si="6"/>
        <v>0</v>
      </c>
      <c r="O66" s="285">
        <f t="shared" si="7"/>
        <v>0</v>
      </c>
      <c r="P66" s="224"/>
      <c r="Q66" s="363"/>
      <c r="R66" s="224"/>
      <c r="S66" s="224"/>
      <c r="T66" s="224"/>
      <c r="U66" s="224"/>
      <c r="V66" s="224"/>
      <c r="W66" s="224"/>
      <c r="X66" s="224"/>
      <c r="Y66" s="224"/>
      <c r="Z66" s="224"/>
    </row>
    <row r="67" spans="1:26" ht="15.75" thickBot="1">
      <c r="A67" s="197"/>
      <c r="B67" s="463" t="s">
        <v>9876</v>
      </c>
      <c r="C67" s="298">
        <f>IFERROR(SUM(C42:C66),0)</f>
        <v>30764.137999999999</v>
      </c>
      <c r="D67" s="298">
        <f>IFERROR(SUM(D42:D66),0)</f>
        <v>2.6729999999999996</v>
      </c>
      <c r="E67" s="777"/>
      <c r="F67" s="197"/>
      <c r="G67" s="356" t="s">
        <v>9877</v>
      </c>
      <c r="H67" s="197"/>
      <c r="I67" s="302"/>
      <c r="J67" s="197"/>
      <c r="K67" s="363"/>
      <c r="L67" s="224"/>
      <c r="M67" s="363"/>
      <c r="N67" s="224"/>
      <c r="O67" s="224"/>
      <c r="P67" s="224"/>
      <c r="Q67" s="363"/>
      <c r="R67" s="224"/>
      <c r="S67" s="224"/>
      <c r="T67" s="224"/>
      <c r="U67" s="224"/>
      <c r="V67" s="224"/>
      <c r="W67" s="224"/>
      <c r="X67" s="224"/>
      <c r="Y67" s="224"/>
      <c r="Z67" s="224"/>
    </row>
    <row r="68" spans="1:26" ht="15.75"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tabColor rgb="FF00B050"/>
    <pageSetUpPr fitToPage="1"/>
  </sheetPr>
  <dimension ref="A1:BU650"/>
  <sheetViews>
    <sheetView showGridLines="0" zoomScale="70" zoomScaleNormal="70" zoomScaleSheetLayoutView="70" workbookViewId="0">
      <pane ySplit="6" topLeftCell="A16" activePane="bottomLeft" state="frozen"/>
      <selection pane="bottomLeft" activeCell="F621" sqref="F621"/>
    </sheetView>
  </sheetViews>
  <sheetFormatPr defaultColWidth="10.25" defaultRowHeight="15" zeroHeight="1" outlineLevelRow="1"/>
  <cols>
    <col min="1" max="1" width="10.25" style="24"/>
    <col min="2" max="2" width="68.375" style="24" bestFit="1" customWidth="1"/>
    <col min="3" max="3" width="31.625" style="24" bestFit="1" customWidth="1"/>
    <col min="4" max="4" width="18.25" style="24" bestFit="1" customWidth="1"/>
    <col min="5" max="5" width="10.875" style="24" bestFit="1" customWidth="1"/>
    <col min="6" max="6" width="15.375" style="24" bestFit="1" customWidth="1"/>
    <col min="7" max="7" width="19.875" style="24" bestFit="1" customWidth="1"/>
    <col min="8" max="8" width="16.5" style="24" bestFit="1" customWidth="1"/>
    <col min="9" max="9" width="9.25" style="24" bestFit="1" customWidth="1"/>
    <col min="10" max="10" width="11.375" style="24" bestFit="1" customWidth="1"/>
    <col min="11" max="11" width="7.625" style="24" bestFit="1" customWidth="1"/>
    <col min="12" max="12" width="11.375" style="24" bestFit="1" customWidth="1"/>
    <col min="13" max="13" width="8.375" style="24" bestFit="1" customWidth="1"/>
    <col min="14" max="14" width="12.625" style="24" bestFit="1" customWidth="1"/>
    <col min="15" max="15" width="16.625" style="24" bestFit="1" customWidth="1"/>
    <col min="16" max="16" width="22.375" style="24" bestFit="1" customWidth="1"/>
    <col min="17" max="17" width="12.625" style="24" customWidth="1"/>
    <col min="18" max="19" width="7.5" style="24" bestFit="1" customWidth="1"/>
    <col min="20" max="21" width="10.875" style="24" bestFit="1" customWidth="1"/>
    <col min="22" max="22" width="11.375" style="24" bestFit="1" customWidth="1"/>
    <col min="23" max="23" width="7.625" style="24" bestFit="1" customWidth="1"/>
    <col min="24" max="24" width="12.625" style="24" bestFit="1" customWidth="1"/>
    <col min="25" max="25" width="14.125" style="24" bestFit="1" customWidth="1"/>
    <col min="26" max="26" width="9.625" style="24" customWidth="1"/>
    <col min="27" max="27" width="12.25" style="24" bestFit="1" customWidth="1"/>
    <col min="28" max="28" width="9.875" style="24" bestFit="1" customWidth="1"/>
    <col min="29" max="29" width="11.75" style="24" bestFit="1" customWidth="1"/>
    <col min="30" max="30" width="12.125" style="24" bestFit="1" customWidth="1"/>
    <col min="31" max="31" width="8.625" style="2361" bestFit="1" customWidth="1"/>
    <col min="32" max="32" width="10.875" style="24" bestFit="1" customWidth="1"/>
    <col min="33" max="33" width="2.5" style="24" customWidth="1"/>
    <col min="34" max="34" width="9.375" style="24" bestFit="1" customWidth="1"/>
    <col min="35" max="36" width="1.625" style="17" customWidth="1"/>
    <col min="37" max="37" width="19.75" style="17" bestFit="1" customWidth="1"/>
    <col min="38" max="38" width="1.625" style="17" customWidth="1"/>
    <col min="39" max="39" width="19.75" style="17" bestFit="1" customWidth="1"/>
    <col min="40" max="52" width="1.875" style="17" bestFit="1" customWidth="1"/>
    <col min="53" max="53" width="7.625" style="17" hidden="1" customWidth="1"/>
    <col min="54" max="55" width="1.875" style="17" bestFit="1" customWidth="1"/>
    <col min="56" max="56" width="7.625" style="17" hidden="1" customWidth="1"/>
    <col min="57" max="59" width="1.875" style="17" bestFit="1" customWidth="1"/>
    <col min="60" max="61" width="7.625" style="17" hidden="1" customWidth="1"/>
    <col min="62" max="67" width="1.875" style="17" bestFit="1" customWidth="1"/>
    <col min="68" max="69" width="1.625" style="17" hidden="1" customWidth="1"/>
    <col min="70" max="70" width="0" style="17" hidden="1" customWidth="1"/>
    <col min="71" max="71" width="2.25" style="24" customWidth="1"/>
    <col min="72" max="16384" width="10.25" style="24"/>
  </cols>
  <sheetData>
    <row r="1" spans="1:73" ht="35.25" hidden="1" customHeight="1">
      <c r="A1" s="778"/>
      <c r="B1" s="723" t="s">
        <v>9878</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3" customHeight="1">
      <c r="A2" s="778"/>
      <c r="B2" s="723" t="str">
        <f>SelectCompany!B4</f>
        <v>Northumbrian Water</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10" t="s">
        <v>9879</v>
      </c>
      <c r="C3" s="2810"/>
      <c r="D3" s="2810"/>
      <c r="E3" s="2810"/>
      <c r="F3" s="2810"/>
      <c r="G3" s="2810"/>
      <c r="H3" s="2810"/>
      <c r="I3" s="2810"/>
      <c r="J3" s="2810"/>
      <c r="K3" s="2810"/>
      <c r="L3" s="2810"/>
      <c r="M3" s="2810"/>
      <c r="N3" s="2810"/>
      <c r="O3" s="2810"/>
      <c r="P3" s="2810"/>
      <c r="Q3" s="2810"/>
      <c r="R3" s="2810"/>
      <c r="S3" s="2810"/>
      <c r="T3" s="2810"/>
      <c r="U3" s="2810"/>
      <c r="V3" s="2810"/>
      <c r="W3" s="2810"/>
      <c r="X3" s="2810"/>
      <c r="Y3" s="2810"/>
      <c r="Z3" s="2810"/>
      <c r="AA3" s="2810"/>
      <c r="AB3" s="2810"/>
      <c r="AC3" s="2810"/>
      <c r="AD3" s="2810"/>
      <c r="AE3" s="2810"/>
      <c r="AF3" s="2810"/>
      <c r="AG3" s="778"/>
      <c r="AH3" s="778"/>
      <c r="AI3" s="224"/>
      <c r="AJ3" s="363"/>
      <c r="AK3" s="425" t="s">
        <v>7222</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7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08">
        <v>30</v>
      </c>
      <c r="AF4" s="780">
        <v>31</v>
      </c>
      <c r="AG4" s="778"/>
      <c r="AH4" s="778"/>
      <c r="AI4" s="224"/>
      <c r="AJ4" s="363"/>
      <c r="AK4" s="224"/>
      <c r="AL4" s="758"/>
      <c r="AM4" s="2668" t="s">
        <v>7223</v>
      </c>
      <c r="AN4" s="2668"/>
      <c r="AO4" s="2668"/>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81.75" customHeight="1" thickTop="1">
      <c r="A5" s="778"/>
      <c r="B5" s="25" t="s">
        <v>9880</v>
      </c>
      <c r="C5" s="26" t="s">
        <v>9881</v>
      </c>
      <c r="D5" s="26" t="s">
        <v>9882</v>
      </c>
      <c r="E5" s="26" t="s">
        <v>9883</v>
      </c>
      <c r="F5" s="26" t="s">
        <v>9884</v>
      </c>
      <c r="G5" s="26" t="s">
        <v>9885</v>
      </c>
      <c r="H5" s="26" t="s">
        <v>9886</v>
      </c>
      <c r="I5" s="26" t="s">
        <v>9887</v>
      </c>
      <c r="J5" s="26" t="s">
        <v>9888</v>
      </c>
      <c r="K5" s="26" t="s">
        <v>9889</v>
      </c>
      <c r="L5" s="26" t="s">
        <v>9890</v>
      </c>
      <c r="M5" s="26" t="s">
        <v>9891</v>
      </c>
      <c r="N5" s="26" t="s">
        <v>9892</v>
      </c>
      <c r="O5" s="26" t="s">
        <v>9893</v>
      </c>
      <c r="P5" s="26" t="s">
        <v>9894</v>
      </c>
      <c r="Q5" s="26" t="s">
        <v>9895</v>
      </c>
      <c r="R5" s="26" t="s">
        <v>9896</v>
      </c>
      <c r="S5" s="26" t="s">
        <v>9897</v>
      </c>
      <c r="T5" s="26" t="s">
        <v>9898</v>
      </c>
      <c r="U5" s="26" t="s">
        <v>9899</v>
      </c>
      <c r="V5" s="26" t="s">
        <v>9900</v>
      </c>
      <c r="W5" s="26" t="s">
        <v>9901</v>
      </c>
      <c r="X5" s="26" t="s">
        <v>9902</v>
      </c>
      <c r="Y5" s="26" t="s">
        <v>9903</v>
      </c>
      <c r="Z5" s="26" t="s">
        <v>9904</v>
      </c>
      <c r="AA5" s="26" t="s">
        <v>9905</v>
      </c>
      <c r="AB5" s="26" t="s">
        <v>9906</v>
      </c>
      <c r="AC5" s="26" t="s">
        <v>9907</v>
      </c>
      <c r="AD5" s="26" t="s">
        <v>9908</v>
      </c>
      <c r="AE5" s="26" t="s">
        <v>9909</v>
      </c>
      <c r="AF5" s="27" t="s">
        <v>9910</v>
      </c>
      <c r="AG5" s="28"/>
      <c r="AH5" s="2808" t="s">
        <v>7229</v>
      </c>
      <c r="AI5" s="197"/>
      <c r="AJ5" s="363"/>
      <c r="AK5" s="224"/>
      <c r="AL5" s="361"/>
      <c r="AM5" s="269" t="s">
        <v>7231</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0.75" thickBot="1">
      <c r="A6" s="778"/>
      <c r="B6" s="29" t="s">
        <v>9911</v>
      </c>
      <c r="C6" s="30" t="s">
        <v>9911</v>
      </c>
      <c r="D6" s="30" t="s">
        <v>9911</v>
      </c>
      <c r="E6" s="30" t="s">
        <v>9911</v>
      </c>
      <c r="F6" s="30" t="s">
        <v>9911</v>
      </c>
      <c r="G6" s="30" t="s">
        <v>9911</v>
      </c>
      <c r="H6" s="30" t="s">
        <v>9911</v>
      </c>
      <c r="I6" s="30" t="s">
        <v>9911</v>
      </c>
      <c r="J6" s="30" t="s">
        <v>9912</v>
      </c>
      <c r="K6" s="30" t="s">
        <v>9913</v>
      </c>
      <c r="L6" s="30" t="s">
        <v>9912</v>
      </c>
      <c r="M6" s="30" t="s">
        <v>9914</v>
      </c>
      <c r="N6" s="30" t="s">
        <v>9915</v>
      </c>
      <c r="O6" s="30" t="s">
        <v>9915</v>
      </c>
      <c r="P6" s="30" t="s">
        <v>9915</v>
      </c>
      <c r="Q6" s="30" t="s">
        <v>9915</v>
      </c>
      <c r="R6" s="30" t="s">
        <v>3137</v>
      </c>
      <c r="S6" s="30" t="s">
        <v>3137</v>
      </c>
      <c r="T6" s="30" t="s">
        <v>9911</v>
      </c>
      <c r="U6" s="30" t="s">
        <v>3137</v>
      </c>
      <c r="V6" s="30" t="s">
        <v>3137</v>
      </c>
      <c r="W6" s="30" t="s">
        <v>3137</v>
      </c>
      <c r="X6" s="30" t="s">
        <v>9915</v>
      </c>
      <c r="Y6" s="30" t="s">
        <v>9915</v>
      </c>
      <c r="Z6" s="30" t="s">
        <v>3137</v>
      </c>
      <c r="AA6" s="30" t="s">
        <v>3137</v>
      </c>
      <c r="AB6" s="30" t="s">
        <v>9915</v>
      </c>
      <c r="AC6" s="30" t="s">
        <v>9915</v>
      </c>
      <c r="AD6" s="30" t="s">
        <v>9915</v>
      </c>
      <c r="AE6" s="30" t="s">
        <v>9911</v>
      </c>
      <c r="AF6" s="31" t="s">
        <v>9911</v>
      </c>
      <c r="AG6" s="28"/>
      <c r="AH6" s="2809"/>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5"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9916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t="s">
        <v>9917</v>
      </c>
      <c r="C9" s="36" t="s">
        <v>9918</v>
      </c>
      <c r="D9" s="37" t="s">
        <v>9919</v>
      </c>
      <c r="E9" s="37" t="s">
        <v>9920</v>
      </c>
      <c r="F9" s="36" t="s">
        <v>9921</v>
      </c>
      <c r="G9" s="36" t="s">
        <v>9922</v>
      </c>
      <c r="H9" s="36" t="s">
        <v>9921</v>
      </c>
      <c r="I9" s="36" t="s">
        <v>9923</v>
      </c>
      <c r="J9" s="38">
        <v>39710</v>
      </c>
      <c r="K9" s="39">
        <v>100</v>
      </c>
      <c r="L9" s="38">
        <v>45919</v>
      </c>
      <c r="M9" s="2046">
        <v>2</v>
      </c>
      <c r="N9" s="39">
        <v>120</v>
      </c>
      <c r="O9" s="39">
        <v>20.69</v>
      </c>
      <c r="P9" s="39">
        <v>20.69</v>
      </c>
      <c r="Q9" s="2017">
        <f>IFERROR(M9*O9,"")</f>
        <v>41.38</v>
      </c>
      <c r="R9" s="2018">
        <f t="shared" ref="R9:R72" si="0">IF(W9=0,0,((1+W9)/(1+$C$626))-1)</f>
        <v>5.1860000000000017E-2</v>
      </c>
      <c r="S9" s="2018">
        <f t="shared" ref="S9:S72" si="1">IF(W9=0,0,((1+W9)/(1+$C$627))-1)</f>
        <v>5.1860000000000017E-2</v>
      </c>
      <c r="T9" s="2047"/>
      <c r="U9" s="2047"/>
      <c r="V9" s="2047"/>
      <c r="W9" s="40">
        <v>5.1860000000000003E-2</v>
      </c>
      <c r="X9" s="2025">
        <f t="shared" ref="X9:X72" si="2">W9*P9</f>
        <v>1.0729834</v>
      </c>
      <c r="Y9" s="2025">
        <f>X9</f>
        <v>1.0729834</v>
      </c>
      <c r="Z9" s="40" t="s">
        <v>9924</v>
      </c>
      <c r="AA9" s="40" t="s">
        <v>9924</v>
      </c>
      <c r="AB9" s="39">
        <v>0</v>
      </c>
      <c r="AC9" s="39">
        <v>20.69</v>
      </c>
      <c r="AD9" s="39">
        <v>27.494</v>
      </c>
      <c r="AE9" s="36"/>
      <c r="AF9" s="41"/>
      <c r="AG9" s="42"/>
      <c r="AH9" s="43" t="s">
        <v>9925</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0</v>
      </c>
      <c r="AU9" s="285">
        <f t="shared" si="4"/>
        <v>0</v>
      </c>
      <c r="AV9" s="285">
        <f t="shared" si="4"/>
        <v>0</v>
      </c>
      <c r="AW9" s="285">
        <f t="shared" si="4"/>
        <v>0</v>
      </c>
      <c r="AX9" s="285">
        <f t="shared" si="4"/>
        <v>0</v>
      </c>
      <c r="AY9" s="285">
        <f t="shared" si="4"/>
        <v>0</v>
      </c>
      <c r="AZ9" s="285">
        <f t="shared" si="4"/>
        <v>0</v>
      </c>
      <c r="BA9" s="270"/>
      <c r="BB9" s="270"/>
      <c r="BC9" s="270"/>
      <c r="BD9" s="270"/>
      <c r="BE9" s="270"/>
      <c r="BF9" s="270"/>
      <c r="BG9" s="285">
        <f xml:space="preserve"> IF( ISNUMBER(W9 ), 0, 1 )</f>
        <v>0</v>
      </c>
      <c r="BH9" s="270"/>
      <c r="BI9" s="270"/>
      <c r="BJ9" s="285">
        <f xml:space="preserve"> IF( ISNUMBER(Z9 ), 0, 1 )</f>
        <v>1</v>
      </c>
      <c r="BK9" s="285">
        <f xml:space="preserve"> IF( ISNUMBER(AA9 ), 0, 1 )</f>
        <v>1</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8"/>
      <c r="BT9" s="778"/>
      <c r="BU9" s="778"/>
    </row>
    <row r="10" spans="1:73" s="22" customFormat="1" ht="15.75" customHeight="1" outlineLevel="1">
      <c r="A10" s="778"/>
      <c r="B10" s="44" t="s">
        <v>9926</v>
      </c>
      <c r="C10" s="45" t="s">
        <v>9918</v>
      </c>
      <c r="D10" s="46" t="s">
        <v>9919</v>
      </c>
      <c r="E10" s="46" t="s">
        <v>9920</v>
      </c>
      <c r="F10" s="45" t="s">
        <v>9921</v>
      </c>
      <c r="G10" s="46" t="s">
        <v>9922</v>
      </c>
      <c r="H10" s="45" t="s">
        <v>9921</v>
      </c>
      <c r="I10" s="45" t="s">
        <v>9923</v>
      </c>
      <c r="J10" s="47">
        <v>40864</v>
      </c>
      <c r="K10" s="48">
        <v>100</v>
      </c>
      <c r="L10" s="47">
        <v>47427</v>
      </c>
      <c r="M10" s="2048">
        <v>6</v>
      </c>
      <c r="N10" s="48">
        <v>50</v>
      </c>
      <c r="O10" s="49">
        <v>25</v>
      </c>
      <c r="P10" s="49">
        <v>25</v>
      </c>
      <c r="Q10" s="2019">
        <f>IFERROR(M10*O10,"")</f>
        <v>150</v>
      </c>
      <c r="R10" s="2020">
        <f t="shared" si="0"/>
        <v>3.224999999999989E-2</v>
      </c>
      <c r="S10" s="2020">
        <f t="shared" si="1"/>
        <v>3.224999999999989E-2</v>
      </c>
      <c r="T10" s="2049"/>
      <c r="U10" s="2049"/>
      <c r="V10" s="2049"/>
      <c r="W10" s="50">
        <v>3.2250000000000001E-2</v>
      </c>
      <c r="X10" s="2026">
        <f t="shared" si="2"/>
        <v>0.80625000000000002</v>
      </c>
      <c r="Y10" s="2026">
        <f t="shared" ref="Y10:Y73" si="6">X10</f>
        <v>0.80625000000000002</v>
      </c>
      <c r="Z10" s="50" t="s">
        <v>9924</v>
      </c>
      <c r="AA10" s="50" t="s">
        <v>9924</v>
      </c>
      <c r="AB10" s="48">
        <v>0.01</v>
      </c>
      <c r="AC10" s="48">
        <v>24.99</v>
      </c>
      <c r="AD10" s="48">
        <v>30.503</v>
      </c>
      <c r="AE10" s="45"/>
      <c r="AF10" s="51"/>
      <c r="AG10" s="42"/>
      <c r="AH10" s="52" t="s">
        <v>9927</v>
      </c>
      <c r="AI10" s="197"/>
      <c r="AJ10" s="363"/>
      <c r="AK10" s="284" t="str">
        <f t="shared" si="3"/>
        <v>Please complete all cells in row</v>
      </c>
      <c r="AL10" s="765"/>
      <c r="AM10" s="224"/>
      <c r="AN10" s="224"/>
      <c r="AO10" s="224"/>
      <c r="AP10" s="224"/>
      <c r="AQ10" s="224"/>
      <c r="AR10" s="224"/>
      <c r="AS10" s="224"/>
      <c r="AT10" s="285">
        <f t="shared" ref="AT10:AT73" si="7" xml:space="preserve"> IF( ISNUMBER(J10 ), 0, 1 )</f>
        <v>0</v>
      </c>
      <c r="AU10" s="285">
        <f t="shared" ref="AU10:AU73" si="8" xml:space="preserve"> IF( ISNUMBER(K10 ), 0, 1 )</f>
        <v>0</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1</v>
      </c>
      <c r="BK10" s="285">
        <f t="shared" ref="BK10:BK73" si="16" xml:space="preserve"> IF( ISNUMBER(AA10 ), 0, 1 )</f>
        <v>1</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1</v>
      </c>
      <c r="BP10" s="363"/>
      <c r="BQ10" s="224"/>
      <c r="BR10" s="224"/>
      <c r="BS10" s="778"/>
      <c r="BT10" s="778"/>
      <c r="BU10" s="778"/>
    </row>
    <row r="11" spans="1:73" s="22" customFormat="1" ht="15.75" customHeight="1" outlineLevel="1">
      <c r="A11" s="778"/>
      <c r="B11" s="44" t="s">
        <v>9928</v>
      </c>
      <c r="C11" s="45" t="s">
        <v>9918</v>
      </c>
      <c r="D11" s="46" t="s">
        <v>9919</v>
      </c>
      <c r="E11" s="46" t="s">
        <v>9920</v>
      </c>
      <c r="F11" s="45" t="s">
        <v>9921</v>
      </c>
      <c r="G11" s="46" t="s">
        <v>9922</v>
      </c>
      <c r="H11" s="45" t="s">
        <v>9921</v>
      </c>
      <c r="I11" s="45" t="s">
        <v>9923</v>
      </c>
      <c r="J11" s="47">
        <v>41218</v>
      </c>
      <c r="K11" s="48">
        <v>100</v>
      </c>
      <c r="L11" s="47">
        <v>47595</v>
      </c>
      <c r="M11" s="2048">
        <v>7</v>
      </c>
      <c r="N11" s="48">
        <v>50</v>
      </c>
      <c r="O11" s="49">
        <v>26.786000000000001</v>
      </c>
      <c r="P11" s="49">
        <v>26.786000000000001</v>
      </c>
      <c r="Q11" s="2019">
        <f t="shared" ref="Q11:Q74" si="21">IFERROR(M11*O11,"")</f>
        <v>187.50200000000001</v>
      </c>
      <c r="R11" s="2020">
        <f t="shared" si="0"/>
        <v>2.8960000000000097E-2</v>
      </c>
      <c r="S11" s="2020">
        <f t="shared" si="1"/>
        <v>2.8960000000000097E-2</v>
      </c>
      <c r="T11" s="2049"/>
      <c r="U11" s="2049"/>
      <c r="V11" s="2049"/>
      <c r="W11" s="50">
        <v>2.8960000000000003E-2</v>
      </c>
      <c r="X11" s="2026">
        <f t="shared" si="2"/>
        <v>0.77572256000000017</v>
      </c>
      <c r="Y11" s="2026">
        <f t="shared" si="6"/>
        <v>0.77572256000000017</v>
      </c>
      <c r="Z11" s="50" t="s">
        <v>9924</v>
      </c>
      <c r="AA11" s="50" t="s">
        <v>9924</v>
      </c>
      <c r="AB11" s="48">
        <v>0.01</v>
      </c>
      <c r="AC11" s="48">
        <v>26.774999999999999</v>
      </c>
      <c r="AD11" s="48">
        <v>32.247</v>
      </c>
      <c r="AE11" s="45"/>
      <c r="AF11" s="51"/>
      <c r="AG11" s="42"/>
      <c r="AH11" s="52" t="s">
        <v>9929</v>
      </c>
      <c r="AI11" s="197"/>
      <c r="AJ11" s="363"/>
      <c r="AK11" s="284" t="str">
        <f t="shared" si="3"/>
        <v>Please complete all cells in row</v>
      </c>
      <c r="AL11" s="363"/>
      <c r="AM11" s="224"/>
      <c r="AN11" s="224"/>
      <c r="AO11" s="224"/>
      <c r="AP11" s="224"/>
      <c r="AQ11" s="224"/>
      <c r="AR11" s="224"/>
      <c r="AS11" s="224"/>
      <c r="AT11" s="285">
        <f t="shared" si="7"/>
        <v>0</v>
      </c>
      <c r="AU11" s="285">
        <f t="shared" si="8"/>
        <v>0</v>
      </c>
      <c r="AV11" s="285">
        <f t="shared" si="9"/>
        <v>0</v>
      </c>
      <c r="AW11" s="285">
        <f t="shared" si="10"/>
        <v>0</v>
      </c>
      <c r="AX11" s="285">
        <f t="shared" si="11"/>
        <v>0</v>
      </c>
      <c r="AY11" s="285">
        <f t="shared" si="12"/>
        <v>0</v>
      </c>
      <c r="AZ11" s="285">
        <f t="shared" si="13"/>
        <v>0</v>
      </c>
      <c r="BA11" s="270"/>
      <c r="BB11" s="270"/>
      <c r="BC11" s="270"/>
      <c r="BD11" s="270"/>
      <c r="BE11" s="270"/>
      <c r="BF11" s="270"/>
      <c r="BG11" s="285">
        <f t="shared" si="14"/>
        <v>0</v>
      </c>
      <c r="BH11" s="270"/>
      <c r="BI11" s="270"/>
      <c r="BJ11" s="285">
        <f t="shared" si="15"/>
        <v>1</v>
      </c>
      <c r="BK11" s="285">
        <f t="shared" si="16"/>
        <v>1</v>
      </c>
      <c r="BL11" s="285">
        <f t="shared" si="17"/>
        <v>0</v>
      </c>
      <c r="BM11" s="285">
        <f t="shared" si="18"/>
        <v>0</v>
      </c>
      <c r="BN11" s="285">
        <f t="shared" si="19"/>
        <v>0</v>
      </c>
      <c r="BO11" s="285">
        <f t="shared" si="20"/>
        <v>1</v>
      </c>
      <c r="BP11" s="363"/>
      <c r="BQ11" s="224"/>
      <c r="BR11" s="224"/>
      <c r="BS11" s="778"/>
      <c r="BT11" s="778"/>
      <c r="BU11" s="778"/>
    </row>
    <row r="12" spans="1:73" s="22" customFormat="1" ht="15.75" customHeight="1" outlineLevel="1">
      <c r="A12" s="778"/>
      <c r="B12" s="44" t="s">
        <v>9930</v>
      </c>
      <c r="C12" s="45" t="s">
        <v>9918</v>
      </c>
      <c r="D12" s="46" t="s">
        <v>9931</v>
      </c>
      <c r="E12" s="46" t="s">
        <v>9920</v>
      </c>
      <c r="F12" s="45" t="s">
        <v>9921</v>
      </c>
      <c r="G12" s="46" t="s">
        <v>9922</v>
      </c>
      <c r="H12" s="45" t="s">
        <v>9921</v>
      </c>
      <c r="I12" s="45" t="s">
        <v>9923</v>
      </c>
      <c r="J12" s="47">
        <v>41386</v>
      </c>
      <c r="K12" s="48">
        <v>100</v>
      </c>
      <c r="L12" s="47">
        <v>47599</v>
      </c>
      <c r="M12" s="2048">
        <v>7</v>
      </c>
      <c r="N12" s="48">
        <v>12.192</v>
      </c>
      <c r="O12" s="49">
        <v>12.628</v>
      </c>
      <c r="P12" s="49">
        <v>12.628</v>
      </c>
      <c r="Q12" s="2019">
        <f t="shared" si="21"/>
        <v>88.396000000000001</v>
      </c>
      <c r="R12" s="2020">
        <f t="shared" si="0"/>
        <v>5.4999999999999938E-2</v>
      </c>
      <c r="S12" s="2020">
        <f t="shared" si="1"/>
        <v>5.4999999999999938E-2</v>
      </c>
      <c r="T12" s="2049"/>
      <c r="U12" s="2049"/>
      <c r="V12" s="2049"/>
      <c r="W12" s="50">
        <v>5.5E-2</v>
      </c>
      <c r="X12" s="2026">
        <f t="shared" si="2"/>
        <v>0.69454000000000005</v>
      </c>
      <c r="Y12" s="2026">
        <f t="shared" si="6"/>
        <v>0.69454000000000005</v>
      </c>
      <c r="Z12" s="50" t="s">
        <v>9924</v>
      </c>
      <c r="AA12" s="50" t="s">
        <v>9924</v>
      </c>
      <c r="AB12" s="48">
        <v>0</v>
      </c>
      <c r="AC12" s="48">
        <v>12.628</v>
      </c>
      <c r="AD12" s="48">
        <v>12.628</v>
      </c>
      <c r="AE12" s="45"/>
      <c r="AF12" s="51"/>
      <c r="AG12" s="42"/>
      <c r="AH12" s="52" t="s">
        <v>9932</v>
      </c>
      <c r="AI12" s="197"/>
      <c r="AJ12" s="363"/>
      <c r="AK12" s="284" t="str">
        <f t="shared" si="3"/>
        <v>Please complete all cells in row</v>
      </c>
      <c r="AL12" s="765"/>
      <c r="AM12" s="224"/>
      <c r="AN12" s="224"/>
      <c r="AO12" s="224"/>
      <c r="AP12" s="224"/>
      <c r="AQ12" s="224"/>
      <c r="AR12" s="224"/>
      <c r="AS12" s="224"/>
      <c r="AT12" s="285">
        <f t="shared" si="7"/>
        <v>0</v>
      </c>
      <c r="AU12" s="285">
        <f t="shared" si="8"/>
        <v>0</v>
      </c>
      <c r="AV12" s="285">
        <f t="shared" si="9"/>
        <v>0</v>
      </c>
      <c r="AW12" s="285">
        <f t="shared" si="10"/>
        <v>0</v>
      </c>
      <c r="AX12" s="285">
        <f t="shared" si="11"/>
        <v>0</v>
      </c>
      <c r="AY12" s="285">
        <f t="shared" si="12"/>
        <v>0</v>
      </c>
      <c r="AZ12" s="285">
        <f t="shared" si="13"/>
        <v>0</v>
      </c>
      <c r="BA12" s="270"/>
      <c r="BB12" s="270"/>
      <c r="BC12" s="270"/>
      <c r="BD12" s="270"/>
      <c r="BE12" s="270"/>
      <c r="BF12" s="270"/>
      <c r="BG12" s="285">
        <f t="shared" si="14"/>
        <v>0</v>
      </c>
      <c r="BH12" s="270"/>
      <c r="BI12" s="270"/>
      <c r="BJ12" s="285">
        <f t="shared" si="15"/>
        <v>1</v>
      </c>
      <c r="BK12" s="285">
        <f t="shared" si="16"/>
        <v>1</v>
      </c>
      <c r="BL12" s="285">
        <f t="shared" si="17"/>
        <v>0</v>
      </c>
      <c r="BM12" s="285">
        <f t="shared" si="18"/>
        <v>0</v>
      </c>
      <c r="BN12" s="285">
        <f t="shared" si="19"/>
        <v>0</v>
      </c>
      <c r="BO12" s="285">
        <f t="shared" si="20"/>
        <v>1</v>
      </c>
      <c r="BP12" s="363"/>
      <c r="BQ12" s="224"/>
      <c r="BR12" s="224"/>
      <c r="BS12" s="778"/>
      <c r="BT12" s="778"/>
      <c r="BU12" s="778"/>
    </row>
    <row r="13" spans="1:73" s="22" customFormat="1" ht="15.75" customHeight="1" outlineLevel="1">
      <c r="A13" s="778"/>
      <c r="B13" s="44" t="s">
        <v>9933</v>
      </c>
      <c r="C13" s="45" t="s">
        <v>9918</v>
      </c>
      <c r="D13" s="46" t="s">
        <v>9931</v>
      </c>
      <c r="E13" s="46" t="s">
        <v>9920</v>
      </c>
      <c r="F13" s="45" t="s">
        <v>9921</v>
      </c>
      <c r="G13" s="46" t="s">
        <v>9922</v>
      </c>
      <c r="H13" s="45" t="s">
        <v>9921</v>
      </c>
      <c r="I13" s="45" t="s">
        <v>9923</v>
      </c>
      <c r="J13" s="47">
        <v>41668</v>
      </c>
      <c r="K13" s="48">
        <v>100</v>
      </c>
      <c r="L13" s="47">
        <v>69102</v>
      </c>
      <c r="M13" s="2048">
        <v>65</v>
      </c>
      <c r="N13" s="48">
        <v>2.2450000000000001</v>
      </c>
      <c r="O13" s="49">
        <v>2.2090000000000001</v>
      </c>
      <c r="P13" s="49">
        <v>2.2090000000000001</v>
      </c>
      <c r="Q13" s="2019">
        <f t="shared" si="21"/>
        <v>143.58500000000001</v>
      </c>
      <c r="R13" s="2020">
        <f t="shared" si="0"/>
        <v>2.7230000000000087E-2</v>
      </c>
      <c r="S13" s="2020">
        <f t="shared" si="1"/>
        <v>2.7230000000000087E-2</v>
      </c>
      <c r="T13" s="2049"/>
      <c r="U13" s="2049"/>
      <c r="V13" s="2049"/>
      <c r="W13" s="50">
        <v>2.7230000000000001E-2</v>
      </c>
      <c r="X13" s="2026">
        <f t="shared" si="2"/>
        <v>6.0151070000000001E-2</v>
      </c>
      <c r="Y13" s="2026">
        <f t="shared" si="6"/>
        <v>6.0151070000000001E-2</v>
      </c>
      <c r="Z13" s="50" t="s">
        <v>9924</v>
      </c>
      <c r="AA13" s="50" t="s">
        <v>9924</v>
      </c>
      <c r="AB13" s="48">
        <v>0</v>
      </c>
      <c r="AC13" s="48">
        <v>2.2080000000000002</v>
      </c>
      <c r="AD13" s="48">
        <v>2.2090000000000001</v>
      </c>
      <c r="AE13" s="45"/>
      <c r="AF13" s="51"/>
      <c r="AG13" s="42"/>
      <c r="AH13" s="52" t="s">
        <v>9934</v>
      </c>
      <c r="AI13" s="197"/>
      <c r="AJ13" s="363"/>
      <c r="AK13" s="284" t="str">
        <f t="shared" si="3"/>
        <v>Please complete all cells in row</v>
      </c>
      <c r="AL13" s="363"/>
      <c r="AM13" s="224"/>
      <c r="AN13" s="224"/>
      <c r="AO13" s="224"/>
      <c r="AP13" s="224"/>
      <c r="AQ13" s="224"/>
      <c r="AR13" s="224"/>
      <c r="AS13" s="224"/>
      <c r="AT13" s="285">
        <f t="shared" si="7"/>
        <v>0</v>
      </c>
      <c r="AU13" s="285">
        <f t="shared" si="8"/>
        <v>0</v>
      </c>
      <c r="AV13" s="285">
        <f t="shared" si="9"/>
        <v>0</v>
      </c>
      <c r="AW13" s="285">
        <f t="shared" si="10"/>
        <v>0</v>
      </c>
      <c r="AX13" s="285">
        <f t="shared" si="11"/>
        <v>0</v>
      </c>
      <c r="AY13" s="285">
        <f t="shared" si="12"/>
        <v>0</v>
      </c>
      <c r="AZ13" s="285">
        <f t="shared" si="13"/>
        <v>0</v>
      </c>
      <c r="BA13" s="270"/>
      <c r="BB13" s="270"/>
      <c r="BC13" s="270"/>
      <c r="BD13" s="270"/>
      <c r="BE13" s="270"/>
      <c r="BF13" s="270"/>
      <c r="BG13" s="285">
        <f t="shared" si="14"/>
        <v>0</v>
      </c>
      <c r="BH13" s="270"/>
      <c r="BI13" s="270"/>
      <c r="BJ13" s="285">
        <f t="shared" si="15"/>
        <v>1</v>
      </c>
      <c r="BK13" s="285">
        <f t="shared" si="16"/>
        <v>1</v>
      </c>
      <c r="BL13" s="285">
        <f t="shared" si="17"/>
        <v>0</v>
      </c>
      <c r="BM13" s="285">
        <f t="shared" si="18"/>
        <v>0</v>
      </c>
      <c r="BN13" s="285">
        <f t="shared" si="19"/>
        <v>0</v>
      </c>
      <c r="BO13" s="285">
        <f t="shared" si="20"/>
        <v>1</v>
      </c>
      <c r="BP13" s="363"/>
      <c r="BQ13" s="224"/>
      <c r="BR13" s="224"/>
      <c r="BS13" s="778"/>
      <c r="BT13" s="778"/>
      <c r="BU13" s="778"/>
    </row>
    <row r="14" spans="1:73" s="22" customFormat="1" ht="15.75" customHeight="1" outlineLevel="1">
      <c r="A14" s="778"/>
      <c r="B14" s="44" t="s">
        <v>9935</v>
      </c>
      <c r="C14" s="45" t="s">
        <v>9918</v>
      </c>
      <c r="D14" s="46" t="s">
        <v>9936</v>
      </c>
      <c r="E14" s="46" t="s">
        <v>9937</v>
      </c>
      <c r="F14" s="45" t="s">
        <v>9921</v>
      </c>
      <c r="G14" s="46" t="s">
        <v>9938</v>
      </c>
      <c r="H14" s="45" t="s">
        <v>9921</v>
      </c>
      <c r="I14" s="45" t="s">
        <v>9923</v>
      </c>
      <c r="J14" s="47">
        <v>41745</v>
      </c>
      <c r="K14" s="48">
        <v>100</v>
      </c>
      <c r="L14" s="47">
        <v>56249</v>
      </c>
      <c r="M14" s="2048">
        <v>30</v>
      </c>
      <c r="N14" s="48">
        <v>7.0000000000000001E-3</v>
      </c>
      <c r="O14" s="49">
        <v>7.0000000000000001E-3</v>
      </c>
      <c r="P14" s="49">
        <v>7.0000000000000001E-3</v>
      </c>
      <c r="Q14" s="2019">
        <f t="shared" si="21"/>
        <v>0.21</v>
      </c>
      <c r="R14" s="2020">
        <f t="shared" si="0"/>
        <v>4.4999999999999929E-2</v>
      </c>
      <c r="S14" s="2020">
        <f t="shared" si="1"/>
        <v>4.4999999999999929E-2</v>
      </c>
      <c r="T14" s="2049"/>
      <c r="U14" s="2049"/>
      <c r="V14" s="2049"/>
      <c r="W14" s="50">
        <v>4.4999999999999998E-2</v>
      </c>
      <c r="X14" s="2026">
        <f t="shared" si="2"/>
        <v>3.1500000000000001E-4</v>
      </c>
      <c r="Y14" s="2026">
        <f t="shared" si="6"/>
        <v>3.1500000000000001E-4</v>
      </c>
      <c r="Z14" s="50" t="s">
        <v>9924</v>
      </c>
      <c r="AA14" s="50" t="s">
        <v>9924</v>
      </c>
      <c r="AB14" s="48">
        <v>0</v>
      </c>
      <c r="AC14" s="48">
        <v>7.0000000000000001E-3</v>
      </c>
      <c r="AD14" s="48">
        <v>7.0000000000000001E-3</v>
      </c>
      <c r="AE14" s="45"/>
      <c r="AF14" s="51"/>
      <c r="AG14" s="42"/>
      <c r="AH14" s="52" t="s">
        <v>9939</v>
      </c>
      <c r="AI14" s="197"/>
      <c r="AJ14" s="363"/>
      <c r="AK14" s="284" t="str">
        <f t="shared" si="3"/>
        <v>Please complete all cells in row</v>
      </c>
      <c r="AL14" s="363"/>
      <c r="AM14" s="224"/>
      <c r="AN14" s="224"/>
      <c r="AO14" s="224"/>
      <c r="AP14" s="224"/>
      <c r="AQ14" s="224"/>
      <c r="AR14" s="224"/>
      <c r="AS14" s="224"/>
      <c r="AT14" s="285">
        <f t="shared" si="7"/>
        <v>0</v>
      </c>
      <c r="AU14" s="285">
        <f t="shared" si="8"/>
        <v>0</v>
      </c>
      <c r="AV14" s="285">
        <f t="shared" si="9"/>
        <v>0</v>
      </c>
      <c r="AW14" s="285">
        <f t="shared" si="10"/>
        <v>0</v>
      </c>
      <c r="AX14" s="285">
        <f t="shared" si="11"/>
        <v>0</v>
      </c>
      <c r="AY14" s="285">
        <f t="shared" si="12"/>
        <v>0</v>
      </c>
      <c r="AZ14" s="285">
        <f t="shared" si="13"/>
        <v>0</v>
      </c>
      <c r="BA14" s="270"/>
      <c r="BB14" s="270"/>
      <c r="BC14" s="270"/>
      <c r="BD14" s="270"/>
      <c r="BE14" s="270"/>
      <c r="BF14" s="270"/>
      <c r="BG14" s="285">
        <f t="shared" si="14"/>
        <v>0</v>
      </c>
      <c r="BH14" s="270"/>
      <c r="BI14" s="270"/>
      <c r="BJ14" s="285">
        <f t="shared" si="15"/>
        <v>1</v>
      </c>
      <c r="BK14" s="285">
        <f t="shared" si="16"/>
        <v>1</v>
      </c>
      <c r="BL14" s="285">
        <f t="shared" si="17"/>
        <v>0</v>
      </c>
      <c r="BM14" s="285">
        <f t="shared" si="18"/>
        <v>0</v>
      </c>
      <c r="BN14" s="285">
        <f t="shared" si="19"/>
        <v>0</v>
      </c>
      <c r="BO14" s="285">
        <f t="shared" si="20"/>
        <v>1</v>
      </c>
      <c r="BP14" s="363"/>
      <c r="BQ14" s="224"/>
      <c r="BR14" s="224"/>
      <c r="BS14" s="778"/>
      <c r="BT14" s="778"/>
      <c r="BU14" s="778"/>
    </row>
    <row r="15" spans="1:73" s="22" customFormat="1" ht="15.75" customHeight="1" outlineLevel="1">
      <c r="A15" s="778"/>
      <c r="B15" s="44" t="s">
        <v>9940</v>
      </c>
      <c r="C15" s="45" t="s">
        <v>9941</v>
      </c>
      <c r="D15" s="46" t="s">
        <v>9942</v>
      </c>
      <c r="E15" s="46" t="s">
        <v>9937</v>
      </c>
      <c r="F15" s="45" t="s">
        <v>9943</v>
      </c>
      <c r="G15" s="46" t="s">
        <v>9922</v>
      </c>
      <c r="H15" s="45" t="s">
        <v>9944</v>
      </c>
      <c r="I15" s="45" t="s">
        <v>9923</v>
      </c>
      <c r="J15" s="47">
        <v>42292</v>
      </c>
      <c r="K15" s="48">
        <v>105.313</v>
      </c>
      <c r="L15" s="47">
        <v>44963</v>
      </c>
      <c r="M15" s="2048">
        <v>0</v>
      </c>
      <c r="N15" s="48">
        <v>350</v>
      </c>
      <c r="O15" s="49">
        <v>0</v>
      </c>
      <c r="P15" s="49">
        <v>0</v>
      </c>
      <c r="Q15" s="2019">
        <f t="shared" si="21"/>
        <v>0</v>
      </c>
      <c r="R15" s="2020">
        <f t="shared" si="0"/>
        <v>0</v>
      </c>
      <c r="S15" s="2020">
        <f t="shared" si="1"/>
        <v>0</v>
      </c>
      <c r="T15" s="2049"/>
      <c r="U15" s="2049"/>
      <c r="V15" s="2049"/>
      <c r="W15" s="50">
        <v>0</v>
      </c>
      <c r="X15" s="2026">
        <f t="shared" si="2"/>
        <v>0</v>
      </c>
      <c r="Y15" s="2026">
        <f t="shared" si="6"/>
        <v>0</v>
      </c>
      <c r="Z15" s="50" t="s">
        <v>9924</v>
      </c>
      <c r="AA15" s="50" t="s">
        <v>9924</v>
      </c>
      <c r="AB15" s="48">
        <v>0</v>
      </c>
      <c r="AC15" s="48">
        <v>0</v>
      </c>
      <c r="AD15" s="48">
        <v>0</v>
      </c>
      <c r="AE15" s="45"/>
      <c r="AF15" s="51"/>
      <c r="AG15" s="42"/>
      <c r="AH15" s="52" t="s">
        <v>9945</v>
      </c>
      <c r="AI15" s="197"/>
      <c r="AJ15" s="363"/>
      <c r="AK15" s="284" t="str">
        <f t="shared" si="3"/>
        <v>Please complete all cells in row</v>
      </c>
      <c r="AL15" s="363"/>
      <c r="AM15" s="224"/>
      <c r="AN15" s="224"/>
      <c r="AO15" s="224"/>
      <c r="AP15" s="224"/>
      <c r="AQ15" s="224"/>
      <c r="AR15" s="224"/>
      <c r="AS15" s="224"/>
      <c r="AT15" s="285">
        <f t="shared" si="7"/>
        <v>0</v>
      </c>
      <c r="AU15" s="285">
        <f t="shared" si="8"/>
        <v>0</v>
      </c>
      <c r="AV15" s="285">
        <f t="shared" si="9"/>
        <v>0</v>
      </c>
      <c r="AW15" s="285">
        <f t="shared" si="10"/>
        <v>0</v>
      </c>
      <c r="AX15" s="285">
        <f t="shared" si="11"/>
        <v>0</v>
      </c>
      <c r="AY15" s="285">
        <f t="shared" si="12"/>
        <v>0</v>
      </c>
      <c r="AZ15" s="285">
        <f t="shared" si="13"/>
        <v>0</v>
      </c>
      <c r="BA15" s="270"/>
      <c r="BB15" s="270"/>
      <c r="BC15" s="270"/>
      <c r="BD15" s="270"/>
      <c r="BE15" s="270"/>
      <c r="BF15" s="270"/>
      <c r="BG15" s="285">
        <f t="shared" si="14"/>
        <v>0</v>
      </c>
      <c r="BH15" s="270"/>
      <c r="BI15" s="270"/>
      <c r="BJ15" s="285">
        <f t="shared" si="15"/>
        <v>1</v>
      </c>
      <c r="BK15" s="285">
        <f t="shared" si="16"/>
        <v>1</v>
      </c>
      <c r="BL15" s="285">
        <f t="shared" si="17"/>
        <v>0</v>
      </c>
      <c r="BM15" s="285">
        <f t="shared" si="18"/>
        <v>0</v>
      </c>
      <c r="BN15" s="285">
        <f t="shared" si="19"/>
        <v>0</v>
      </c>
      <c r="BO15" s="285">
        <f t="shared" si="20"/>
        <v>1</v>
      </c>
      <c r="BP15" s="363"/>
      <c r="BQ15" s="224"/>
      <c r="BR15" s="224"/>
      <c r="BS15" s="778"/>
      <c r="BT15" s="778"/>
      <c r="BU15" s="778"/>
    </row>
    <row r="16" spans="1:73" s="22" customFormat="1" ht="15.75" customHeight="1" outlineLevel="1">
      <c r="A16" s="778"/>
      <c r="B16" s="44" t="s">
        <v>9946</v>
      </c>
      <c r="C16" s="45" t="s">
        <v>9941</v>
      </c>
      <c r="D16" s="46" t="s">
        <v>9942</v>
      </c>
      <c r="E16" s="46" t="s">
        <v>9937</v>
      </c>
      <c r="F16" s="45" t="s">
        <v>9947</v>
      </c>
      <c r="G16" s="46" t="s">
        <v>9922</v>
      </c>
      <c r="H16" s="45" t="s">
        <v>9944</v>
      </c>
      <c r="I16" s="45" t="s">
        <v>9923</v>
      </c>
      <c r="J16" s="47">
        <v>42908</v>
      </c>
      <c r="K16" s="48">
        <v>97.948999999999998</v>
      </c>
      <c r="L16" s="47">
        <v>48698</v>
      </c>
      <c r="M16" s="2048">
        <v>10</v>
      </c>
      <c r="N16" s="48">
        <v>350</v>
      </c>
      <c r="O16" s="49">
        <v>331.87700000000001</v>
      </c>
      <c r="P16" s="49">
        <v>331.87700000000001</v>
      </c>
      <c r="Q16" s="2019">
        <f t="shared" si="21"/>
        <v>3318.77</v>
      </c>
      <c r="R16" s="2020">
        <f t="shared" si="0"/>
        <v>5.6249999999999911E-2</v>
      </c>
      <c r="S16" s="2020">
        <f t="shared" si="1"/>
        <v>5.6249999999999911E-2</v>
      </c>
      <c r="T16" s="2049"/>
      <c r="U16" s="2049"/>
      <c r="V16" s="2049"/>
      <c r="W16" s="50">
        <v>5.6249999999999994E-2</v>
      </c>
      <c r="X16" s="2026">
        <f t="shared" si="2"/>
        <v>18.66808125</v>
      </c>
      <c r="Y16" s="2026">
        <f t="shared" si="6"/>
        <v>18.66808125</v>
      </c>
      <c r="Z16" s="50" t="s">
        <v>9924</v>
      </c>
      <c r="AA16" s="50" t="s">
        <v>9924</v>
      </c>
      <c r="AB16" s="48">
        <v>0</v>
      </c>
      <c r="AC16" s="48">
        <v>344.44299999999998</v>
      </c>
      <c r="AD16" s="48">
        <v>358.01499999999999</v>
      </c>
      <c r="AE16" s="45"/>
      <c r="AF16" s="51"/>
      <c r="AG16" s="42"/>
      <c r="AH16" s="52" t="s">
        <v>9948</v>
      </c>
      <c r="AI16" s="197"/>
      <c r="AJ16" s="363"/>
      <c r="AK16" s="284" t="str">
        <f t="shared" si="3"/>
        <v>Please complete all cells in row</v>
      </c>
      <c r="AL16" s="363"/>
      <c r="AM16" s="224"/>
      <c r="AN16" s="224"/>
      <c r="AO16" s="224"/>
      <c r="AP16" s="224"/>
      <c r="AQ16" s="224"/>
      <c r="AR16" s="224"/>
      <c r="AS16" s="224"/>
      <c r="AT16" s="285">
        <f t="shared" si="7"/>
        <v>0</v>
      </c>
      <c r="AU16" s="285">
        <f t="shared" si="8"/>
        <v>0</v>
      </c>
      <c r="AV16" s="285">
        <f t="shared" si="9"/>
        <v>0</v>
      </c>
      <c r="AW16" s="285">
        <f t="shared" si="10"/>
        <v>0</v>
      </c>
      <c r="AX16" s="285">
        <f t="shared" si="11"/>
        <v>0</v>
      </c>
      <c r="AY16" s="285">
        <f t="shared" si="12"/>
        <v>0</v>
      </c>
      <c r="AZ16" s="285">
        <f t="shared" si="13"/>
        <v>0</v>
      </c>
      <c r="BA16" s="270"/>
      <c r="BB16" s="270"/>
      <c r="BC16" s="270"/>
      <c r="BD16" s="270"/>
      <c r="BE16" s="270"/>
      <c r="BF16" s="270"/>
      <c r="BG16" s="285">
        <f t="shared" si="14"/>
        <v>0</v>
      </c>
      <c r="BH16" s="270"/>
      <c r="BI16" s="270"/>
      <c r="BJ16" s="285">
        <f t="shared" si="15"/>
        <v>1</v>
      </c>
      <c r="BK16" s="285">
        <f t="shared" si="16"/>
        <v>1</v>
      </c>
      <c r="BL16" s="285">
        <f t="shared" si="17"/>
        <v>0</v>
      </c>
      <c r="BM16" s="285">
        <f t="shared" si="18"/>
        <v>0</v>
      </c>
      <c r="BN16" s="285">
        <f t="shared" si="19"/>
        <v>0</v>
      </c>
      <c r="BO16" s="285">
        <f t="shared" si="20"/>
        <v>1</v>
      </c>
      <c r="BP16" s="363"/>
      <c r="BQ16" s="224"/>
      <c r="BR16" s="224"/>
      <c r="BS16" s="778"/>
      <c r="BT16" s="778"/>
      <c r="BU16" s="778"/>
    </row>
    <row r="17" spans="1:73" s="22" customFormat="1" ht="15.75" customHeight="1" outlineLevel="1">
      <c r="A17" s="778"/>
      <c r="B17" s="44" t="s">
        <v>9949</v>
      </c>
      <c r="C17" s="45" t="s">
        <v>9941</v>
      </c>
      <c r="D17" s="46" t="s">
        <v>9942</v>
      </c>
      <c r="E17" s="46" t="s">
        <v>9937</v>
      </c>
      <c r="F17" s="45" t="s">
        <v>9950</v>
      </c>
      <c r="G17" s="46" t="s">
        <v>9922</v>
      </c>
      <c r="H17" s="45" t="s">
        <v>9944</v>
      </c>
      <c r="I17" s="45" t="s">
        <v>9923</v>
      </c>
      <c r="J17" s="47">
        <v>43451</v>
      </c>
      <c r="K17" s="48">
        <v>99.396000000000001</v>
      </c>
      <c r="L17" s="47">
        <v>51889</v>
      </c>
      <c r="M17" s="2048">
        <v>18</v>
      </c>
      <c r="N17" s="48">
        <v>360</v>
      </c>
      <c r="O17" s="49">
        <v>356.613</v>
      </c>
      <c r="P17" s="49">
        <v>356.613</v>
      </c>
      <c r="Q17" s="2019">
        <f t="shared" si="21"/>
        <v>6419.0339999999997</v>
      </c>
      <c r="R17" s="2020">
        <f t="shared" si="0"/>
        <v>5.1250000000000018E-2</v>
      </c>
      <c r="S17" s="2020">
        <f t="shared" si="1"/>
        <v>5.1250000000000018E-2</v>
      </c>
      <c r="T17" s="2049"/>
      <c r="U17" s="2049"/>
      <c r="V17" s="2049"/>
      <c r="W17" s="50">
        <v>5.1249999999999997E-2</v>
      </c>
      <c r="X17" s="2026">
        <f t="shared" si="2"/>
        <v>18.27641625</v>
      </c>
      <c r="Y17" s="2026">
        <f t="shared" si="6"/>
        <v>18.27641625</v>
      </c>
      <c r="Z17" s="50" t="s">
        <v>9924</v>
      </c>
      <c r="AA17" s="50" t="s">
        <v>9924</v>
      </c>
      <c r="AB17" s="48">
        <v>0</v>
      </c>
      <c r="AC17" s="48">
        <v>343.08600000000001</v>
      </c>
      <c r="AD17" s="48">
        <v>345.053</v>
      </c>
      <c r="AE17" s="45"/>
      <c r="AF17" s="51"/>
      <c r="AG17" s="42"/>
      <c r="AH17" s="52" t="s">
        <v>9951</v>
      </c>
      <c r="AI17" s="197"/>
      <c r="AJ17" s="363"/>
      <c r="AK17" s="284" t="str">
        <f t="shared" si="3"/>
        <v>Please complete all cells in row</v>
      </c>
      <c r="AL17" s="363"/>
      <c r="AM17" s="224"/>
      <c r="AN17" s="224"/>
      <c r="AO17" s="224"/>
      <c r="AP17" s="224"/>
      <c r="AQ17" s="224"/>
      <c r="AR17" s="224"/>
      <c r="AS17" s="224"/>
      <c r="AT17" s="285">
        <f t="shared" si="7"/>
        <v>0</v>
      </c>
      <c r="AU17" s="285">
        <f t="shared" si="8"/>
        <v>0</v>
      </c>
      <c r="AV17" s="285">
        <f t="shared" si="9"/>
        <v>0</v>
      </c>
      <c r="AW17" s="285">
        <f t="shared" si="10"/>
        <v>0</v>
      </c>
      <c r="AX17" s="285">
        <f t="shared" si="11"/>
        <v>0</v>
      </c>
      <c r="AY17" s="285">
        <f t="shared" si="12"/>
        <v>0</v>
      </c>
      <c r="AZ17" s="285">
        <f t="shared" si="13"/>
        <v>0</v>
      </c>
      <c r="BA17" s="270"/>
      <c r="BB17" s="270"/>
      <c r="BC17" s="270"/>
      <c r="BD17" s="270"/>
      <c r="BE17" s="270"/>
      <c r="BF17" s="270"/>
      <c r="BG17" s="285">
        <f t="shared" si="14"/>
        <v>0</v>
      </c>
      <c r="BH17" s="270"/>
      <c r="BI17" s="270"/>
      <c r="BJ17" s="285">
        <f t="shared" si="15"/>
        <v>1</v>
      </c>
      <c r="BK17" s="285">
        <f t="shared" si="16"/>
        <v>1</v>
      </c>
      <c r="BL17" s="285">
        <f t="shared" si="17"/>
        <v>0</v>
      </c>
      <c r="BM17" s="285">
        <f t="shared" si="18"/>
        <v>0</v>
      </c>
      <c r="BN17" s="285">
        <f t="shared" si="19"/>
        <v>0</v>
      </c>
      <c r="BO17" s="285">
        <f t="shared" si="20"/>
        <v>1</v>
      </c>
      <c r="BP17" s="363"/>
      <c r="BQ17" s="224"/>
      <c r="BR17" s="224"/>
      <c r="BS17" s="778"/>
      <c r="BT17" s="778"/>
      <c r="BU17" s="778"/>
    </row>
    <row r="18" spans="1:73" s="22" customFormat="1" ht="15.75" customHeight="1" outlineLevel="1">
      <c r="A18" s="778"/>
      <c r="B18" s="44" t="s">
        <v>9952</v>
      </c>
      <c r="C18" s="45" t="s">
        <v>9941</v>
      </c>
      <c r="D18" s="46" t="s">
        <v>9942</v>
      </c>
      <c r="E18" s="46" t="s">
        <v>9937</v>
      </c>
      <c r="F18" s="45" t="s">
        <v>9953</v>
      </c>
      <c r="G18" s="46" t="s">
        <v>9922</v>
      </c>
      <c r="H18" s="45" t="s">
        <v>9944</v>
      </c>
      <c r="I18" s="45" t="s">
        <v>9923</v>
      </c>
      <c r="J18" s="47">
        <v>39534</v>
      </c>
      <c r="K18" s="48">
        <v>99.763999999999996</v>
      </c>
      <c r="L18" s="47">
        <v>46306</v>
      </c>
      <c r="M18" s="2048">
        <v>3</v>
      </c>
      <c r="N18" s="48">
        <v>300</v>
      </c>
      <c r="O18" s="49">
        <v>297.71600000000001</v>
      </c>
      <c r="P18" s="49">
        <v>297.71600000000001</v>
      </c>
      <c r="Q18" s="2019">
        <f t="shared" si="21"/>
        <v>893.14800000000002</v>
      </c>
      <c r="R18" s="2020">
        <f t="shared" si="0"/>
        <v>1.6250000000000098E-2</v>
      </c>
      <c r="S18" s="2020">
        <f t="shared" si="1"/>
        <v>1.6250000000000098E-2</v>
      </c>
      <c r="T18" s="2049"/>
      <c r="U18" s="2049"/>
      <c r="V18" s="2049"/>
      <c r="W18" s="50">
        <v>1.6250000000000001E-2</v>
      </c>
      <c r="X18" s="2026">
        <f t="shared" si="2"/>
        <v>4.837885</v>
      </c>
      <c r="Y18" s="2026">
        <f t="shared" si="6"/>
        <v>4.837885</v>
      </c>
      <c r="Z18" s="50" t="s">
        <v>9924</v>
      </c>
      <c r="AA18" s="50" t="s">
        <v>9924</v>
      </c>
      <c r="AB18" s="48">
        <v>0</v>
      </c>
      <c r="AC18" s="48">
        <v>299.06599999999997</v>
      </c>
      <c r="AD18" s="48">
        <v>266.51100000000002</v>
      </c>
      <c r="AE18" s="45"/>
      <c r="AF18" s="51"/>
      <c r="AG18" s="42"/>
      <c r="AH18" s="52" t="s">
        <v>9954</v>
      </c>
      <c r="AI18" s="197"/>
      <c r="AJ18" s="363"/>
      <c r="AK18" s="284" t="str">
        <f t="shared" si="3"/>
        <v>Please complete all cells in row</v>
      </c>
      <c r="AL18" s="363"/>
      <c r="AM18" s="224"/>
      <c r="AN18" s="224"/>
      <c r="AO18" s="224"/>
      <c r="AP18" s="224"/>
      <c r="AQ18" s="224"/>
      <c r="AR18" s="224"/>
      <c r="AS18" s="224"/>
      <c r="AT18" s="285">
        <f t="shared" si="7"/>
        <v>0</v>
      </c>
      <c r="AU18" s="285">
        <f t="shared" si="8"/>
        <v>0</v>
      </c>
      <c r="AV18" s="285">
        <f t="shared" si="9"/>
        <v>0</v>
      </c>
      <c r="AW18" s="285">
        <f t="shared" si="10"/>
        <v>0</v>
      </c>
      <c r="AX18" s="285">
        <f t="shared" si="11"/>
        <v>0</v>
      </c>
      <c r="AY18" s="285">
        <f t="shared" si="12"/>
        <v>0</v>
      </c>
      <c r="AZ18" s="285">
        <f t="shared" si="13"/>
        <v>0</v>
      </c>
      <c r="BA18" s="270"/>
      <c r="BB18" s="270"/>
      <c r="BC18" s="270"/>
      <c r="BD18" s="270"/>
      <c r="BE18" s="270"/>
      <c r="BF18" s="270"/>
      <c r="BG18" s="285">
        <f t="shared" si="14"/>
        <v>0</v>
      </c>
      <c r="BH18" s="270"/>
      <c r="BI18" s="270"/>
      <c r="BJ18" s="285">
        <f t="shared" si="15"/>
        <v>1</v>
      </c>
      <c r="BK18" s="285">
        <f t="shared" si="16"/>
        <v>1</v>
      </c>
      <c r="BL18" s="285">
        <f t="shared" si="17"/>
        <v>0</v>
      </c>
      <c r="BM18" s="285">
        <f t="shared" si="18"/>
        <v>0</v>
      </c>
      <c r="BN18" s="285">
        <f t="shared" si="19"/>
        <v>0</v>
      </c>
      <c r="BO18" s="285">
        <f t="shared" si="20"/>
        <v>1</v>
      </c>
      <c r="BP18" s="363"/>
      <c r="BQ18" s="224"/>
      <c r="BR18" s="224"/>
      <c r="BS18" s="778"/>
      <c r="BT18" s="778"/>
      <c r="BU18" s="778"/>
    </row>
    <row r="19" spans="1:73" s="22" customFormat="1" ht="15.75" customHeight="1" outlineLevel="1">
      <c r="A19" s="778"/>
      <c r="B19" s="44" t="s">
        <v>9955</v>
      </c>
      <c r="C19" s="45" t="s">
        <v>9941</v>
      </c>
      <c r="D19" s="46" t="s">
        <v>9942</v>
      </c>
      <c r="E19" s="46" t="s">
        <v>9937</v>
      </c>
      <c r="F19" s="45" t="s">
        <v>9956</v>
      </c>
      <c r="G19" s="46" t="s">
        <v>9922</v>
      </c>
      <c r="H19" s="45" t="s">
        <v>9944</v>
      </c>
      <c r="I19" s="45" t="s">
        <v>9923</v>
      </c>
      <c r="J19" s="47">
        <v>40816</v>
      </c>
      <c r="K19" s="48">
        <v>99.537999999999997</v>
      </c>
      <c r="L19" s="47">
        <v>46665</v>
      </c>
      <c r="M19" s="2048">
        <v>4</v>
      </c>
      <c r="N19" s="48">
        <v>300</v>
      </c>
      <c r="O19" s="49">
        <v>296.54500000000002</v>
      </c>
      <c r="P19" s="49">
        <v>296.54500000000002</v>
      </c>
      <c r="Q19" s="2019">
        <f t="shared" si="21"/>
        <v>1186.18</v>
      </c>
      <c r="R19" s="2020">
        <f t="shared" si="0"/>
        <v>2.3749999999999938E-2</v>
      </c>
      <c r="S19" s="2020">
        <f t="shared" si="1"/>
        <v>2.3749999999999938E-2</v>
      </c>
      <c r="T19" s="2049"/>
      <c r="U19" s="2049"/>
      <c r="V19" s="2049"/>
      <c r="W19" s="50">
        <v>2.375E-2</v>
      </c>
      <c r="X19" s="2026">
        <f t="shared" si="2"/>
        <v>7.0429437500000001</v>
      </c>
      <c r="Y19" s="2026">
        <f t="shared" si="6"/>
        <v>7.0429437500000001</v>
      </c>
      <c r="Z19" s="50" t="s">
        <v>9924</v>
      </c>
      <c r="AA19" s="50" t="s">
        <v>9924</v>
      </c>
      <c r="AB19" s="48">
        <v>0</v>
      </c>
      <c r="AC19" s="48">
        <v>298.49299999999999</v>
      </c>
      <c r="AD19" s="48">
        <v>267.79500000000002</v>
      </c>
      <c r="AE19" s="45"/>
      <c r="AF19" s="51"/>
      <c r="AG19" s="42"/>
      <c r="AH19" s="52" t="s">
        <v>9957</v>
      </c>
      <c r="AI19" s="197"/>
      <c r="AJ19" s="363"/>
      <c r="AK19" s="284" t="str">
        <f t="shared" si="3"/>
        <v>Please complete all cells in row</v>
      </c>
      <c r="AL19" s="363"/>
      <c r="AM19" s="224"/>
      <c r="AN19" s="224"/>
      <c r="AO19" s="224"/>
      <c r="AP19" s="224"/>
      <c r="AQ19" s="224"/>
      <c r="AR19" s="224"/>
      <c r="AS19" s="224"/>
      <c r="AT19" s="285">
        <f t="shared" si="7"/>
        <v>0</v>
      </c>
      <c r="AU19" s="285">
        <f t="shared" si="8"/>
        <v>0</v>
      </c>
      <c r="AV19" s="285">
        <f t="shared" si="9"/>
        <v>0</v>
      </c>
      <c r="AW19" s="285">
        <f t="shared" si="10"/>
        <v>0</v>
      </c>
      <c r="AX19" s="285">
        <f t="shared" si="11"/>
        <v>0</v>
      </c>
      <c r="AY19" s="285">
        <f t="shared" si="12"/>
        <v>0</v>
      </c>
      <c r="AZ19" s="285">
        <f t="shared" si="13"/>
        <v>0</v>
      </c>
      <c r="BA19" s="270"/>
      <c r="BB19" s="270"/>
      <c r="BC19" s="270"/>
      <c r="BD19" s="270"/>
      <c r="BE19" s="270"/>
      <c r="BF19" s="270"/>
      <c r="BG19" s="285">
        <f t="shared" si="14"/>
        <v>0</v>
      </c>
      <c r="BH19" s="270"/>
      <c r="BI19" s="270"/>
      <c r="BJ19" s="285">
        <f t="shared" si="15"/>
        <v>1</v>
      </c>
      <c r="BK19" s="285">
        <f t="shared" si="16"/>
        <v>1</v>
      </c>
      <c r="BL19" s="285">
        <f t="shared" si="17"/>
        <v>0</v>
      </c>
      <c r="BM19" s="285">
        <f t="shared" si="18"/>
        <v>0</v>
      </c>
      <c r="BN19" s="285">
        <f t="shared" si="19"/>
        <v>0</v>
      </c>
      <c r="BO19" s="285">
        <f t="shared" si="20"/>
        <v>1</v>
      </c>
      <c r="BP19" s="363"/>
      <c r="BQ19" s="224"/>
      <c r="BR19" s="224"/>
      <c r="BS19" s="778"/>
      <c r="BT19" s="778"/>
      <c r="BU19" s="778"/>
    </row>
    <row r="20" spans="1:73" s="22" customFormat="1" ht="15.75" customHeight="1" outlineLevel="1">
      <c r="A20" s="778"/>
      <c r="B20" s="44" t="s">
        <v>9958</v>
      </c>
      <c r="C20" s="45" t="s">
        <v>9941</v>
      </c>
      <c r="D20" s="46" t="s">
        <v>9942</v>
      </c>
      <c r="E20" s="46" t="s">
        <v>9937</v>
      </c>
      <c r="F20" s="45" t="s">
        <v>9959</v>
      </c>
      <c r="G20" s="46" t="s">
        <v>9922</v>
      </c>
      <c r="H20" s="45" t="s">
        <v>9944</v>
      </c>
      <c r="I20" s="45" t="s">
        <v>9923</v>
      </c>
      <c r="J20" s="2627">
        <v>44862</v>
      </c>
      <c r="K20" s="2628">
        <v>97.92</v>
      </c>
      <c r="L20" s="2635">
        <v>49245</v>
      </c>
      <c r="M20" s="2048">
        <v>11</v>
      </c>
      <c r="N20" s="48">
        <v>400</v>
      </c>
      <c r="O20" s="49">
        <v>389.24099999999999</v>
      </c>
      <c r="P20" s="49">
        <v>389.24099999999999</v>
      </c>
      <c r="Q20" s="2019">
        <f t="shared" si="21"/>
        <v>4281.6509999999998</v>
      </c>
      <c r="R20" s="2020">
        <f t="shared" si="0"/>
        <v>6.3749999999999973E-2</v>
      </c>
      <c r="S20" s="2020">
        <f t="shared" si="1"/>
        <v>6.3749999999999973E-2</v>
      </c>
      <c r="T20" s="2049"/>
      <c r="U20" s="2049"/>
      <c r="V20" s="2049"/>
      <c r="W20" s="50">
        <v>6.3750000000000001E-2</v>
      </c>
      <c r="X20" s="2026">
        <f t="shared" si="2"/>
        <v>24.814113750000001</v>
      </c>
      <c r="Y20" s="2026">
        <f t="shared" si="6"/>
        <v>24.814113750000001</v>
      </c>
      <c r="Z20" s="50" t="s">
        <v>9924</v>
      </c>
      <c r="AA20" s="50" t="s">
        <v>9924</v>
      </c>
      <c r="AB20" s="48">
        <v>0</v>
      </c>
      <c r="AC20" s="48">
        <v>298.49299999999999</v>
      </c>
      <c r="AD20" s="48">
        <v>267.79500000000002</v>
      </c>
      <c r="AE20" s="45"/>
      <c r="AF20" s="51"/>
      <c r="AG20" s="42"/>
      <c r="AH20" s="52" t="s">
        <v>9960</v>
      </c>
      <c r="AI20" s="197"/>
      <c r="AJ20" s="363"/>
      <c r="AK20" s="284" t="str">
        <f t="shared" si="3"/>
        <v>Please complete all cells in row</v>
      </c>
      <c r="AL20" s="363"/>
      <c r="AM20" s="224"/>
      <c r="AN20" s="224"/>
      <c r="AO20" s="224"/>
      <c r="AP20" s="224"/>
      <c r="AQ20" s="224"/>
      <c r="AR20" s="224"/>
      <c r="AS20" s="224"/>
      <c r="AT20" s="285">
        <f t="shared" si="7"/>
        <v>0</v>
      </c>
      <c r="AU20" s="285">
        <f t="shared" si="8"/>
        <v>0</v>
      </c>
      <c r="AV20" s="285">
        <f t="shared" si="9"/>
        <v>0</v>
      </c>
      <c r="AW20" s="285">
        <f t="shared" si="10"/>
        <v>0</v>
      </c>
      <c r="AX20" s="285">
        <f t="shared" si="11"/>
        <v>0</v>
      </c>
      <c r="AY20" s="285">
        <f t="shared" si="12"/>
        <v>0</v>
      </c>
      <c r="AZ20" s="285">
        <f t="shared" si="13"/>
        <v>0</v>
      </c>
      <c r="BA20" s="270"/>
      <c r="BB20" s="270"/>
      <c r="BC20" s="270"/>
      <c r="BD20" s="270"/>
      <c r="BE20" s="270"/>
      <c r="BF20" s="270"/>
      <c r="BG20" s="285">
        <f t="shared" si="14"/>
        <v>0</v>
      </c>
      <c r="BH20" s="270"/>
      <c r="BI20" s="270"/>
      <c r="BJ20" s="285">
        <f t="shared" si="15"/>
        <v>1</v>
      </c>
      <c r="BK20" s="285">
        <f t="shared" si="16"/>
        <v>1</v>
      </c>
      <c r="BL20" s="285">
        <f t="shared" si="17"/>
        <v>0</v>
      </c>
      <c r="BM20" s="285">
        <f t="shared" si="18"/>
        <v>0</v>
      </c>
      <c r="BN20" s="285">
        <f t="shared" si="19"/>
        <v>0</v>
      </c>
      <c r="BO20" s="285">
        <f t="shared" si="20"/>
        <v>1</v>
      </c>
      <c r="BP20" s="363"/>
      <c r="BQ20" s="224"/>
      <c r="BR20" s="224"/>
      <c r="BS20" s="778"/>
      <c r="BT20" s="778"/>
      <c r="BU20" s="778"/>
    </row>
    <row r="21" spans="1:73" s="22" customFormat="1" ht="15.75" customHeight="1" outlineLevel="1">
      <c r="A21" s="778"/>
      <c r="B21" s="44" t="s">
        <v>9961</v>
      </c>
      <c r="C21" s="45" t="s">
        <v>9941</v>
      </c>
      <c r="D21" s="46" t="s">
        <v>9942</v>
      </c>
      <c r="E21" s="46" t="s">
        <v>9937</v>
      </c>
      <c r="F21" s="45" t="s">
        <v>9962</v>
      </c>
      <c r="G21" s="46" t="s">
        <v>9922</v>
      </c>
      <c r="H21" s="45" t="s">
        <v>9944</v>
      </c>
      <c r="I21" s="45" t="s">
        <v>9923</v>
      </c>
      <c r="J21" s="2627">
        <v>44971</v>
      </c>
      <c r="K21" s="2628">
        <v>99.191000000000003</v>
      </c>
      <c r="L21" s="2635">
        <v>47893</v>
      </c>
      <c r="M21" s="2048">
        <v>7</v>
      </c>
      <c r="N21" s="48">
        <v>350</v>
      </c>
      <c r="O21" s="49">
        <v>348.05799999999999</v>
      </c>
      <c r="P21" s="49">
        <v>348.05799999999999</v>
      </c>
      <c r="Q21" s="2019">
        <f t="shared" si="21"/>
        <v>2436.4059999999999</v>
      </c>
      <c r="R21" s="2020">
        <f t="shared" si="0"/>
        <v>4.4999999999999929E-2</v>
      </c>
      <c r="S21" s="2020">
        <f t="shared" si="1"/>
        <v>4.4999999999999929E-2</v>
      </c>
      <c r="T21" s="2049"/>
      <c r="U21" s="2049"/>
      <c r="V21" s="2049"/>
      <c r="W21" s="50">
        <v>4.4999999999999998E-2</v>
      </c>
      <c r="X21" s="2026">
        <f t="shared" si="2"/>
        <v>15.662609999999999</v>
      </c>
      <c r="Y21" s="2026">
        <f t="shared" si="6"/>
        <v>15.662609999999999</v>
      </c>
      <c r="Z21" s="50">
        <v>0</v>
      </c>
      <c r="AA21" s="50">
        <v>0</v>
      </c>
      <c r="AB21" s="48">
        <v>0</v>
      </c>
      <c r="AC21" s="48">
        <v>390.80500000000001</v>
      </c>
      <c r="AD21" s="48">
        <v>431.93599999999998</v>
      </c>
      <c r="AE21" s="45"/>
      <c r="AF21" s="51"/>
      <c r="AG21" s="42"/>
      <c r="AH21" s="52" t="s">
        <v>9963</v>
      </c>
      <c r="AI21" s="197"/>
      <c r="AJ21" s="363"/>
      <c r="AK21" s="284" t="str">
        <f t="shared" si="3"/>
        <v>Please complete all cells in row</v>
      </c>
      <c r="AL21" s="363"/>
      <c r="AM21" s="224"/>
      <c r="AN21" s="224"/>
      <c r="AO21" s="224"/>
      <c r="AP21" s="224"/>
      <c r="AQ21" s="224"/>
      <c r="AR21" s="224"/>
      <c r="AS21" s="224"/>
      <c r="AT21" s="285">
        <f t="shared" si="7"/>
        <v>0</v>
      </c>
      <c r="AU21" s="285">
        <f t="shared" si="8"/>
        <v>0</v>
      </c>
      <c r="AV21" s="285">
        <f t="shared" si="9"/>
        <v>0</v>
      </c>
      <c r="AW21" s="285">
        <f t="shared" si="10"/>
        <v>0</v>
      </c>
      <c r="AX21" s="285">
        <f t="shared" si="11"/>
        <v>0</v>
      </c>
      <c r="AY21" s="285">
        <f t="shared" si="12"/>
        <v>0</v>
      </c>
      <c r="AZ21" s="285">
        <f t="shared" si="13"/>
        <v>0</v>
      </c>
      <c r="BA21" s="270"/>
      <c r="BB21" s="270"/>
      <c r="BC21" s="270"/>
      <c r="BD21" s="270"/>
      <c r="BE21" s="270"/>
      <c r="BF21" s="270"/>
      <c r="BG21" s="285">
        <f t="shared" si="14"/>
        <v>0</v>
      </c>
      <c r="BH21" s="270"/>
      <c r="BI21" s="270"/>
      <c r="BJ21" s="285">
        <f t="shared" si="15"/>
        <v>0</v>
      </c>
      <c r="BK21" s="285">
        <f t="shared" si="16"/>
        <v>0</v>
      </c>
      <c r="BL21" s="285">
        <f t="shared" si="17"/>
        <v>0</v>
      </c>
      <c r="BM21" s="285">
        <f t="shared" si="18"/>
        <v>0</v>
      </c>
      <c r="BN21" s="285">
        <f t="shared" si="19"/>
        <v>0</v>
      </c>
      <c r="BO21" s="285">
        <f t="shared" si="20"/>
        <v>1</v>
      </c>
      <c r="BP21" s="363"/>
      <c r="BQ21" s="224"/>
      <c r="BR21" s="224"/>
      <c r="BS21" s="778"/>
      <c r="BT21" s="778"/>
      <c r="BU21" s="778"/>
    </row>
    <row r="22" spans="1:73" s="22" customFormat="1" ht="15.75" customHeight="1" outlineLevel="1">
      <c r="A22" s="778"/>
      <c r="B22" s="44" t="s">
        <v>9964</v>
      </c>
      <c r="C22" s="45" t="s">
        <v>9918</v>
      </c>
      <c r="D22" s="46" t="s">
        <v>9965</v>
      </c>
      <c r="E22" s="46" t="s">
        <v>9966</v>
      </c>
      <c r="F22" s="45" t="s">
        <v>9921</v>
      </c>
      <c r="G22" s="46" t="s">
        <v>9967</v>
      </c>
      <c r="H22" s="45" t="s">
        <v>9921</v>
      </c>
      <c r="I22" s="45" t="s">
        <v>9923</v>
      </c>
      <c r="J22" s="2627">
        <v>45015</v>
      </c>
      <c r="K22" s="48">
        <v>100</v>
      </c>
      <c r="L22" s="2635">
        <v>45017</v>
      </c>
      <c r="M22" s="2048">
        <v>0</v>
      </c>
      <c r="N22" s="48">
        <v>58.1</v>
      </c>
      <c r="O22" s="49">
        <v>33</v>
      </c>
      <c r="P22" s="49">
        <v>33</v>
      </c>
      <c r="Q22" s="2019">
        <f t="shared" si="21"/>
        <v>0</v>
      </c>
      <c r="R22" s="2020">
        <f t="shared" si="0"/>
        <v>1.7500000000000071E-2</v>
      </c>
      <c r="S22" s="2020">
        <f t="shared" si="1"/>
        <v>1.7500000000000071E-2</v>
      </c>
      <c r="T22" s="2049"/>
      <c r="U22" s="2049"/>
      <c r="V22" s="2049"/>
      <c r="W22" s="50">
        <v>1.7500000000000002E-2</v>
      </c>
      <c r="X22" s="2026">
        <f t="shared" si="2"/>
        <v>0.57750000000000001</v>
      </c>
      <c r="Y22" s="2026">
        <f t="shared" si="6"/>
        <v>0.57750000000000001</v>
      </c>
      <c r="Z22" s="50">
        <v>0</v>
      </c>
      <c r="AA22" s="50">
        <v>0</v>
      </c>
      <c r="AB22" s="48">
        <v>0</v>
      </c>
      <c r="AC22" s="48">
        <v>33</v>
      </c>
      <c r="AD22" s="48">
        <v>33</v>
      </c>
      <c r="AE22" s="45"/>
      <c r="AF22" s="51"/>
      <c r="AG22" s="42"/>
      <c r="AH22" s="52" t="s">
        <v>9968</v>
      </c>
      <c r="AI22" s="197"/>
      <c r="AJ22" s="363"/>
      <c r="AK22" s="284" t="str">
        <f t="shared" si="3"/>
        <v>Please complete all cells in row</v>
      </c>
      <c r="AL22" s="363"/>
      <c r="AM22" s="224"/>
      <c r="AN22" s="224"/>
      <c r="AO22" s="224"/>
      <c r="AP22" s="224"/>
      <c r="AQ22" s="224"/>
      <c r="AR22" s="224"/>
      <c r="AS22" s="224"/>
      <c r="AT22" s="285">
        <f t="shared" si="7"/>
        <v>0</v>
      </c>
      <c r="AU22" s="285">
        <f t="shared" si="8"/>
        <v>0</v>
      </c>
      <c r="AV22" s="285">
        <f t="shared" si="9"/>
        <v>0</v>
      </c>
      <c r="AW22" s="285">
        <f t="shared" si="10"/>
        <v>0</v>
      </c>
      <c r="AX22" s="285">
        <f t="shared" si="11"/>
        <v>0</v>
      </c>
      <c r="AY22" s="285">
        <f t="shared" si="12"/>
        <v>0</v>
      </c>
      <c r="AZ22" s="285">
        <f t="shared" si="13"/>
        <v>0</v>
      </c>
      <c r="BA22" s="270"/>
      <c r="BB22" s="270"/>
      <c r="BC22" s="270"/>
      <c r="BD22" s="270"/>
      <c r="BE22" s="270"/>
      <c r="BF22" s="270"/>
      <c r="BG22" s="285">
        <f t="shared" si="14"/>
        <v>0</v>
      </c>
      <c r="BH22" s="270"/>
      <c r="BI22" s="270"/>
      <c r="BJ22" s="285">
        <f t="shared" si="15"/>
        <v>0</v>
      </c>
      <c r="BK22" s="285">
        <f t="shared" si="16"/>
        <v>0</v>
      </c>
      <c r="BL22" s="285">
        <f t="shared" si="17"/>
        <v>0</v>
      </c>
      <c r="BM22" s="285">
        <f t="shared" si="18"/>
        <v>0</v>
      </c>
      <c r="BN22" s="285">
        <f t="shared" si="19"/>
        <v>0</v>
      </c>
      <c r="BO22" s="285">
        <f t="shared" si="20"/>
        <v>1</v>
      </c>
      <c r="BP22" s="363"/>
      <c r="BQ22" s="224"/>
      <c r="BR22" s="224"/>
      <c r="BS22" s="778"/>
      <c r="BT22" s="778"/>
      <c r="BU22" s="778"/>
    </row>
    <row r="23" spans="1:73" s="22" customFormat="1" ht="15.75" customHeight="1" outlineLevel="1">
      <c r="A23" s="778"/>
      <c r="B23" s="44" t="s">
        <v>9969</v>
      </c>
      <c r="C23" s="45"/>
      <c r="D23" s="46"/>
      <c r="E23" s="46"/>
      <c r="F23" s="45"/>
      <c r="G23" s="46"/>
      <c r="H23" s="45"/>
      <c r="I23" s="45"/>
      <c r="J23" s="47"/>
      <c r="K23" s="48"/>
      <c r="L23" s="47"/>
      <c r="M23" s="2048"/>
      <c r="N23" s="48"/>
      <c r="O23" s="49"/>
      <c r="P23" s="49"/>
      <c r="Q23" s="2019" t="str">
        <f>IFERROR(#REF!*O23,"")</f>
        <v/>
      </c>
      <c r="R23" s="2020">
        <f t="shared" si="0"/>
        <v>0</v>
      </c>
      <c r="S23" s="2020">
        <f t="shared" si="1"/>
        <v>0</v>
      </c>
      <c r="T23" s="2049"/>
      <c r="U23" s="2049"/>
      <c r="V23" s="2049"/>
      <c r="W23" s="50"/>
      <c r="X23" s="2026">
        <f t="shared" si="2"/>
        <v>0</v>
      </c>
      <c r="Y23" s="2026">
        <f t="shared" si="6"/>
        <v>0</v>
      </c>
      <c r="Z23" s="50"/>
      <c r="AA23" s="50"/>
      <c r="AB23" s="48"/>
      <c r="AC23" s="48"/>
      <c r="AD23" s="48"/>
      <c r="AE23" s="45"/>
      <c r="AF23" s="51"/>
      <c r="AG23" s="42"/>
      <c r="AH23" s="52" t="s">
        <v>9970</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xml:space="preserve"> IF( ISNUMBER(#REF! ), 0, 1 )</f>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customHeight="1" outlineLevel="1">
      <c r="A24" s="778"/>
      <c r="B24" s="44" t="s">
        <v>9971</v>
      </c>
      <c r="C24" s="45"/>
      <c r="D24" s="46"/>
      <c r="E24" s="46"/>
      <c r="F24" s="45"/>
      <c r="G24" s="46"/>
      <c r="H24" s="45"/>
      <c r="I24" s="45"/>
      <c r="J24" s="47"/>
      <c r="K24" s="48"/>
      <c r="L24" s="47"/>
      <c r="N24" s="48"/>
      <c r="O24" s="49"/>
      <c r="P24" s="49"/>
      <c r="Q24" s="2019">
        <f>IFERROR(M23*O24,"")</f>
        <v>0</v>
      </c>
      <c r="R24" s="2020">
        <f t="shared" si="0"/>
        <v>0</v>
      </c>
      <c r="S24" s="2020">
        <f t="shared" si="1"/>
        <v>0</v>
      </c>
      <c r="T24" s="2049"/>
      <c r="U24" s="2049"/>
      <c r="V24" s="2049"/>
      <c r="W24" s="50"/>
      <c r="X24" s="2026">
        <f t="shared" si="2"/>
        <v>0</v>
      </c>
      <c r="Y24" s="2026">
        <f t="shared" si="6"/>
        <v>0</v>
      </c>
      <c r="Z24" s="50"/>
      <c r="AA24" s="50"/>
      <c r="AB24" s="48"/>
      <c r="AC24" s="48"/>
      <c r="AD24" s="48"/>
      <c r="AE24" s="45"/>
      <c r="AF24" s="51"/>
      <c r="AG24" s="42"/>
      <c r="AH24" s="52" t="s">
        <v>9972</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xml:space="preserve"> IF( ISNUMBER(M23 ), 0, 1 )</f>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customHeight="1" outlineLevel="1">
      <c r="A25" s="778"/>
      <c r="B25" s="44" t="s">
        <v>9973</v>
      </c>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50"/>
      <c r="AA25" s="50"/>
      <c r="AB25" s="48"/>
      <c r="AC25" s="48"/>
      <c r="AD25" s="48"/>
      <c r="AE25" s="45"/>
      <c r="AF25" s="51"/>
      <c r="AG25" s="42"/>
      <c r="AH25" s="52" t="s">
        <v>9974</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customHeight="1" outlineLevel="1">
      <c r="A26" s="778"/>
      <c r="B26" s="44" t="s">
        <v>9975</v>
      </c>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50"/>
      <c r="AA26" s="50"/>
      <c r="AB26" s="48"/>
      <c r="AC26" s="48"/>
      <c r="AD26" s="48"/>
      <c r="AE26" s="45"/>
      <c r="AF26" s="51"/>
      <c r="AG26" s="42"/>
      <c r="AH26" s="52" t="s">
        <v>9976</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customHeight="1" outlineLevel="1">
      <c r="A27" s="778"/>
      <c r="B27" s="44" t="s">
        <v>9977</v>
      </c>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50"/>
      <c r="AA27" s="50"/>
      <c r="AB27" s="48"/>
      <c r="AC27" s="48"/>
      <c r="AD27" s="48"/>
      <c r="AE27" s="45"/>
      <c r="AF27" s="51"/>
      <c r="AG27" s="42"/>
      <c r="AH27" s="52" t="s">
        <v>9978</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customHeight="1" outlineLevel="1">
      <c r="A28" s="778"/>
      <c r="B28" s="44" t="s">
        <v>9979</v>
      </c>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50"/>
      <c r="AA28" s="50"/>
      <c r="AB28" s="48"/>
      <c r="AC28" s="48"/>
      <c r="AD28" s="48"/>
      <c r="AE28" s="45"/>
      <c r="AF28" s="51"/>
      <c r="AG28" s="42"/>
      <c r="AH28" s="52" t="s">
        <v>9980</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customHeight="1" outlineLevel="1" collapsed="1">
      <c r="A29" s="778"/>
      <c r="B29" s="44" t="s">
        <v>9981</v>
      </c>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50"/>
      <c r="AA29" s="50"/>
      <c r="AB29" s="48"/>
      <c r="AC29" s="48"/>
      <c r="AD29" s="48"/>
      <c r="AE29" s="45"/>
      <c r="AF29" s="51"/>
      <c r="AG29" s="42"/>
      <c r="AH29" s="52" t="s">
        <v>9982</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customHeight="1" outlineLevel="1">
      <c r="A30" s="778"/>
      <c r="B30" s="44" t="s">
        <v>9983</v>
      </c>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50"/>
      <c r="AA30" s="50"/>
      <c r="AB30" s="48"/>
      <c r="AC30" s="48"/>
      <c r="AD30" s="48"/>
      <c r="AE30" s="45"/>
      <c r="AF30" s="51"/>
      <c r="AG30" s="42"/>
      <c r="AH30" s="52" t="s">
        <v>9984</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customHeight="1" outlineLevel="1">
      <c r="A31" s="778"/>
      <c r="B31" s="44" t="s">
        <v>9985</v>
      </c>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50"/>
      <c r="AA31" s="50"/>
      <c r="AB31" s="48"/>
      <c r="AC31" s="48"/>
      <c r="AD31" s="48"/>
      <c r="AE31" s="45"/>
      <c r="AF31" s="51"/>
      <c r="AG31" s="42"/>
      <c r="AH31" s="52" t="s">
        <v>9986</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customHeight="1" outlineLevel="1">
      <c r="A32" s="778"/>
      <c r="B32" s="44" t="s">
        <v>9987</v>
      </c>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50"/>
      <c r="AA32" s="50"/>
      <c r="AB32" s="48"/>
      <c r="AC32" s="48"/>
      <c r="AD32" s="48"/>
      <c r="AE32" s="45"/>
      <c r="AF32" s="51"/>
      <c r="AG32" s="42"/>
      <c r="AH32" s="52" t="s">
        <v>9988</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customHeight="1" outlineLevel="1">
      <c r="A33" s="778"/>
      <c r="B33" s="44" t="s">
        <v>9989</v>
      </c>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50"/>
      <c r="AA33" s="50"/>
      <c r="AB33" s="48"/>
      <c r="AC33" s="48"/>
      <c r="AD33" s="48"/>
      <c r="AE33" s="45"/>
      <c r="AF33" s="51"/>
      <c r="AG33" s="42"/>
      <c r="AH33" s="52" t="s">
        <v>9990</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customHeight="1" outlineLevel="1">
      <c r="A34" s="778"/>
      <c r="B34" s="44" t="s">
        <v>9991</v>
      </c>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50"/>
      <c r="AA34" s="50"/>
      <c r="AB34" s="48"/>
      <c r="AC34" s="48"/>
      <c r="AD34" s="48"/>
      <c r="AE34" s="45"/>
      <c r="AF34" s="51"/>
      <c r="AG34" s="42"/>
      <c r="AH34" s="52" t="s">
        <v>9992</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customHeight="1" outlineLevel="1">
      <c r="A35" s="778"/>
      <c r="B35" s="44" t="s">
        <v>9993</v>
      </c>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50"/>
      <c r="AA35" s="50"/>
      <c r="AB35" s="48"/>
      <c r="AC35" s="48"/>
      <c r="AD35" s="48"/>
      <c r="AE35" s="45"/>
      <c r="AF35" s="51"/>
      <c r="AG35" s="42"/>
      <c r="AH35" s="52" t="s">
        <v>9994</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customHeight="1" outlineLevel="1">
      <c r="A36" s="778"/>
      <c r="B36" s="44" t="s">
        <v>9995</v>
      </c>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50"/>
      <c r="AA36" s="50"/>
      <c r="AB36" s="48"/>
      <c r="AC36" s="48"/>
      <c r="AD36" s="48"/>
      <c r="AE36" s="45"/>
      <c r="AF36" s="51"/>
      <c r="AG36" s="42"/>
      <c r="AH36" s="52" t="s">
        <v>9996</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customHeight="1" outlineLevel="1">
      <c r="A37" s="778"/>
      <c r="B37" s="44" t="s">
        <v>9997</v>
      </c>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50"/>
      <c r="AA37" s="50"/>
      <c r="AB37" s="48"/>
      <c r="AC37" s="48"/>
      <c r="AD37" s="48"/>
      <c r="AE37" s="45"/>
      <c r="AF37" s="51"/>
      <c r="AG37" s="42"/>
      <c r="AH37" s="52" t="s">
        <v>9998</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customHeight="1" outlineLevel="1">
      <c r="A38" s="778"/>
      <c r="B38" s="44" t="s">
        <v>9999</v>
      </c>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50"/>
      <c r="AA38" s="50"/>
      <c r="AB38" s="48"/>
      <c r="AC38" s="48"/>
      <c r="AD38" s="48"/>
      <c r="AE38" s="45"/>
      <c r="AF38" s="51"/>
      <c r="AG38" s="42"/>
      <c r="AH38" s="52" t="s">
        <v>10000</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customHeight="1" outlineLevel="1">
      <c r="A39" s="778"/>
      <c r="B39" s="44" t="s">
        <v>10001</v>
      </c>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50"/>
      <c r="AA39" s="50"/>
      <c r="AB39" s="48"/>
      <c r="AC39" s="48"/>
      <c r="AD39" s="48"/>
      <c r="AE39" s="45"/>
      <c r="AF39" s="51"/>
      <c r="AG39" s="42"/>
      <c r="AH39" s="52" t="s">
        <v>10002</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customHeight="1" outlineLevel="1">
      <c r="A40" s="778"/>
      <c r="B40" s="44" t="s">
        <v>10003</v>
      </c>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50"/>
      <c r="AA40" s="50"/>
      <c r="AB40" s="48"/>
      <c r="AC40" s="48"/>
      <c r="AD40" s="48"/>
      <c r="AE40" s="45"/>
      <c r="AF40" s="51"/>
      <c r="AG40" s="42"/>
      <c r="AH40" s="52" t="s">
        <v>10004</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customHeight="1" outlineLevel="1">
      <c r="A41" s="778"/>
      <c r="B41" s="44" t="s">
        <v>10005</v>
      </c>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50"/>
      <c r="AA41" s="50"/>
      <c r="AB41" s="48"/>
      <c r="AC41" s="48"/>
      <c r="AD41" s="48"/>
      <c r="AE41" s="45"/>
      <c r="AF41" s="51"/>
      <c r="AG41" s="42"/>
      <c r="AH41" s="52" t="s">
        <v>10006</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customHeight="1" outlineLevel="1">
      <c r="A42" s="778"/>
      <c r="B42" s="44" t="s">
        <v>10007</v>
      </c>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50"/>
      <c r="AA42" s="50"/>
      <c r="AB42" s="48"/>
      <c r="AC42" s="48"/>
      <c r="AD42" s="48"/>
      <c r="AE42" s="45"/>
      <c r="AF42" s="51"/>
      <c r="AG42" s="42"/>
      <c r="AH42" s="52" t="s">
        <v>10008</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customHeight="1" outlineLevel="1">
      <c r="A43" s="778"/>
      <c r="B43" s="44" t="s">
        <v>10009</v>
      </c>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50"/>
      <c r="AA43" s="50"/>
      <c r="AB43" s="48"/>
      <c r="AC43" s="48"/>
      <c r="AD43" s="48"/>
      <c r="AE43" s="45"/>
      <c r="AF43" s="51"/>
      <c r="AG43" s="42"/>
      <c r="AH43" s="52" t="s">
        <v>10010</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customHeight="1" outlineLevel="1">
      <c r="A44" s="778"/>
      <c r="B44" s="44" t="s">
        <v>10011</v>
      </c>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50"/>
      <c r="AA44" s="50"/>
      <c r="AB44" s="48"/>
      <c r="AC44" s="48"/>
      <c r="AD44" s="48"/>
      <c r="AE44" s="45"/>
      <c r="AF44" s="51"/>
      <c r="AG44" s="42"/>
      <c r="AH44" s="52" t="s">
        <v>10012</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customHeight="1" outlineLevel="1">
      <c r="A45" s="778"/>
      <c r="B45" s="44" t="s">
        <v>10013</v>
      </c>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50"/>
      <c r="AA45" s="50"/>
      <c r="AB45" s="48"/>
      <c r="AC45" s="48"/>
      <c r="AD45" s="48"/>
      <c r="AE45" s="45"/>
      <c r="AF45" s="51"/>
      <c r="AG45" s="42"/>
      <c r="AH45" s="52" t="s">
        <v>10014</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customHeight="1" outlineLevel="1">
      <c r="A46" s="778"/>
      <c r="B46" s="44" t="s">
        <v>10015</v>
      </c>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50"/>
      <c r="AA46" s="50"/>
      <c r="AB46" s="48"/>
      <c r="AC46" s="48"/>
      <c r="AD46" s="48"/>
      <c r="AE46" s="45"/>
      <c r="AF46" s="51"/>
      <c r="AG46" s="42"/>
      <c r="AH46" s="52" t="s">
        <v>10016</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customHeight="1" outlineLevel="1">
      <c r="A47" s="778"/>
      <c r="B47" s="44" t="s">
        <v>10017</v>
      </c>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50"/>
      <c r="AA47" s="50"/>
      <c r="AB47" s="48"/>
      <c r="AC47" s="48"/>
      <c r="AD47" s="48"/>
      <c r="AE47" s="45"/>
      <c r="AF47" s="51"/>
      <c r="AG47" s="42"/>
      <c r="AH47" s="52" t="s">
        <v>10018</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customHeight="1" outlineLevel="1">
      <c r="A48" s="778"/>
      <c r="B48" s="44" t="s">
        <v>10019</v>
      </c>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50"/>
      <c r="AA48" s="50"/>
      <c r="AB48" s="48"/>
      <c r="AC48" s="48"/>
      <c r="AD48" s="48"/>
      <c r="AE48" s="45"/>
      <c r="AF48" s="51"/>
      <c r="AG48" s="42"/>
      <c r="AH48" s="52" t="s">
        <v>10020</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customHeight="1" outlineLevel="1">
      <c r="A49" s="778"/>
      <c r="B49" s="44" t="s">
        <v>10021</v>
      </c>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50"/>
      <c r="AA49" s="50"/>
      <c r="AB49" s="48"/>
      <c r="AC49" s="48"/>
      <c r="AD49" s="48"/>
      <c r="AE49" s="45"/>
      <c r="AF49" s="51"/>
      <c r="AG49" s="42"/>
      <c r="AH49" s="52" t="s">
        <v>10022</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customHeight="1" outlineLevel="1">
      <c r="A50" s="778"/>
      <c r="B50" s="44" t="s">
        <v>10023</v>
      </c>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50"/>
      <c r="AA50" s="50"/>
      <c r="AB50" s="48"/>
      <c r="AC50" s="48"/>
      <c r="AD50" s="48"/>
      <c r="AE50" s="45"/>
      <c r="AF50" s="51"/>
      <c r="AG50" s="42"/>
      <c r="AH50" s="52" t="s">
        <v>10024</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customHeight="1" outlineLevel="1">
      <c r="A51" s="778"/>
      <c r="B51" s="44" t="s">
        <v>10025</v>
      </c>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50"/>
      <c r="AA51" s="50"/>
      <c r="AB51" s="48"/>
      <c r="AC51" s="48"/>
      <c r="AD51" s="48"/>
      <c r="AE51" s="45"/>
      <c r="AF51" s="51"/>
      <c r="AG51" s="42"/>
      <c r="AH51" s="52" t="s">
        <v>10026</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customHeight="1" outlineLevel="1">
      <c r="A52" s="778"/>
      <c r="B52" s="44" t="s">
        <v>10027</v>
      </c>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50"/>
      <c r="AA52" s="50"/>
      <c r="AB52" s="48"/>
      <c r="AC52" s="48"/>
      <c r="AD52" s="48"/>
      <c r="AE52" s="45"/>
      <c r="AF52" s="51"/>
      <c r="AG52" s="42"/>
      <c r="AH52" s="52" t="s">
        <v>10028</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customHeight="1" outlineLevel="1">
      <c r="A53" s="778"/>
      <c r="B53" s="44" t="s">
        <v>10029</v>
      </c>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50"/>
      <c r="AA53" s="50"/>
      <c r="AB53" s="48"/>
      <c r="AC53" s="48"/>
      <c r="AD53" s="48"/>
      <c r="AE53" s="45"/>
      <c r="AF53" s="51"/>
      <c r="AG53" s="42"/>
      <c r="AH53" s="52" t="s">
        <v>10030</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customHeight="1" outlineLevel="1">
      <c r="A54" s="778"/>
      <c r="B54" s="44" t="s">
        <v>10031</v>
      </c>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50"/>
      <c r="AA54" s="50"/>
      <c r="AB54" s="48"/>
      <c r="AC54" s="48"/>
      <c r="AD54" s="48"/>
      <c r="AE54" s="45"/>
      <c r="AF54" s="51"/>
      <c r="AG54" s="42"/>
      <c r="AH54" s="52" t="s">
        <v>10032</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customHeight="1" outlineLevel="1">
      <c r="A55" s="778"/>
      <c r="B55" s="44" t="s">
        <v>10033</v>
      </c>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50"/>
      <c r="AA55" s="50"/>
      <c r="AB55" s="48"/>
      <c r="AC55" s="48"/>
      <c r="AD55" s="48"/>
      <c r="AE55" s="45"/>
      <c r="AF55" s="51"/>
      <c r="AG55" s="42"/>
      <c r="AH55" s="52" t="s">
        <v>10034</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customHeight="1" outlineLevel="1">
      <c r="A56" s="778"/>
      <c r="B56" s="44" t="s">
        <v>10035</v>
      </c>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50"/>
      <c r="AA56" s="50"/>
      <c r="AB56" s="48"/>
      <c r="AC56" s="48"/>
      <c r="AD56" s="48"/>
      <c r="AE56" s="45"/>
      <c r="AF56" s="51"/>
      <c r="AG56" s="42"/>
      <c r="AH56" s="52" t="s">
        <v>10036</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customHeight="1" outlineLevel="1">
      <c r="A57" s="778"/>
      <c r="B57" s="44" t="s">
        <v>10037</v>
      </c>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50"/>
      <c r="AA57" s="50"/>
      <c r="AB57" s="48"/>
      <c r="AC57" s="48"/>
      <c r="AD57" s="48"/>
      <c r="AE57" s="45"/>
      <c r="AF57" s="51"/>
      <c r="AG57" s="42"/>
      <c r="AH57" s="52" t="s">
        <v>10038</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customHeight="1" outlineLevel="1">
      <c r="A58" s="778"/>
      <c r="B58" s="44" t="s">
        <v>10039</v>
      </c>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50"/>
      <c r="AA58" s="50"/>
      <c r="AB58" s="48"/>
      <c r="AC58" s="48"/>
      <c r="AD58" s="48"/>
      <c r="AE58" s="45"/>
      <c r="AF58" s="51"/>
      <c r="AG58" s="42"/>
      <c r="AH58" s="52" t="s">
        <v>10040</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 r="A59" s="778"/>
      <c r="B59" s="44" t="s">
        <v>10041</v>
      </c>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50"/>
      <c r="AA59" s="50"/>
      <c r="AB59" s="48"/>
      <c r="AC59" s="48"/>
      <c r="AD59" s="48"/>
      <c r="AE59" s="45"/>
      <c r="AF59" s="51"/>
      <c r="AG59" s="42"/>
      <c r="AH59" s="52" t="s">
        <v>10042</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50"/>
      <c r="AA60" s="50"/>
      <c r="AB60" s="48"/>
      <c r="AC60" s="48"/>
      <c r="AD60" s="48"/>
      <c r="AE60" s="45"/>
      <c r="AF60" s="51"/>
      <c r="AG60" s="42"/>
      <c r="AH60" s="52" t="s">
        <v>10043</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50"/>
      <c r="AA61" s="50"/>
      <c r="AB61" s="48"/>
      <c r="AC61" s="48"/>
      <c r="AD61" s="48"/>
      <c r="AE61" s="45"/>
      <c r="AF61" s="51"/>
      <c r="AG61" s="42"/>
      <c r="AH61" s="52" t="s">
        <v>10044</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50"/>
      <c r="AA62" s="50"/>
      <c r="AB62" s="48"/>
      <c r="AC62" s="48"/>
      <c r="AD62" s="48"/>
      <c r="AE62" s="45"/>
      <c r="AF62" s="51"/>
      <c r="AG62" s="42"/>
      <c r="AH62" s="52" t="s">
        <v>10045</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50"/>
      <c r="AA63" s="50"/>
      <c r="AB63" s="48"/>
      <c r="AC63" s="48"/>
      <c r="AD63" s="48"/>
      <c r="AE63" s="45"/>
      <c r="AF63" s="51"/>
      <c r="AG63" s="42"/>
      <c r="AH63" s="52" t="s">
        <v>10046</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50"/>
      <c r="AA64" s="50"/>
      <c r="AB64" s="48"/>
      <c r="AC64" s="48"/>
      <c r="AD64" s="48"/>
      <c r="AE64" s="45"/>
      <c r="AF64" s="51"/>
      <c r="AG64" s="42"/>
      <c r="AH64" s="52" t="s">
        <v>10047</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50"/>
      <c r="AA65" s="50"/>
      <c r="AB65" s="48"/>
      <c r="AC65" s="48"/>
      <c r="AD65" s="48"/>
      <c r="AE65" s="45"/>
      <c r="AF65" s="51"/>
      <c r="AG65" s="42"/>
      <c r="AH65" s="52" t="s">
        <v>10048</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50"/>
      <c r="AA66" s="50"/>
      <c r="AB66" s="48"/>
      <c r="AC66" s="48"/>
      <c r="AD66" s="48"/>
      <c r="AE66" s="45"/>
      <c r="AF66" s="51"/>
      <c r="AG66" s="42"/>
      <c r="AH66" s="52" t="s">
        <v>10049</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50"/>
      <c r="AA67" s="50"/>
      <c r="AB67" s="48"/>
      <c r="AC67" s="48"/>
      <c r="AD67" s="48"/>
      <c r="AE67" s="45"/>
      <c r="AF67" s="51"/>
      <c r="AG67" s="42"/>
      <c r="AH67" s="52" t="s">
        <v>10050</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50"/>
      <c r="AA68" s="50"/>
      <c r="AB68" s="48"/>
      <c r="AC68" s="48"/>
      <c r="AD68" s="48"/>
      <c r="AE68" s="45"/>
      <c r="AF68" s="51"/>
      <c r="AG68" s="42"/>
      <c r="AH68" s="52" t="s">
        <v>10051</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50"/>
      <c r="AA69" s="50"/>
      <c r="AB69" s="48"/>
      <c r="AC69" s="48"/>
      <c r="AD69" s="48"/>
      <c r="AE69" s="45"/>
      <c r="AF69" s="51"/>
      <c r="AG69" s="42"/>
      <c r="AH69" s="52" t="s">
        <v>10052</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50"/>
      <c r="AA70" s="50"/>
      <c r="AB70" s="48"/>
      <c r="AC70" s="48"/>
      <c r="AD70" s="48"/>
      <c r="AE70" s="45"/>
      <c r="AF70" s="51"/>
      <c r="AG70" s="42"/>
      <c r="AH70" s="52" t="s">
        <v>10053</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10054</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10055</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10056</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10057</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10058</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10059</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10060</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10061</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10062</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10063</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10064</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10065</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10066</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10067</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10068</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10069</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10070</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10071</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10072</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10073</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10074</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10075</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10076</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10077</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10078</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10079</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10080</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10081</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10082</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10083</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10084</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10085</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10086</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10087</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10088</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10089</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10090</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10091</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10092</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10093</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10094</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10095</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10096</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10097</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10098</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10099</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10100</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10101</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10102</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10103</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10104</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10105</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10106</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10107</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10108</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10109</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10110</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10111</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10112</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10113</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10114</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10115</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10116</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10117</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10118</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10119</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10120</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10121</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10122</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10123</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10124</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10125</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10126</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10127</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10128</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10129</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10130</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10131</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10132</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10133</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10134</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10135</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10136</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10137</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10138</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10139</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10140</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10141</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10142</v>
      </c>
      <c r="C159" s="2050"/>
      <c r="D159" s="2050"/>
      <c r="E159" s="2050"/>
      <c r="F159" s="2051"/>
      <c r="G159" s="2051"/>
      <c r="H159" s="2052"/>
      <c r="I159" s="2052"/>
      <c r="J159" s="2053"/>
      <c r="K159" s="2054"/>
      <c r="L159" s="2053"/>
      <c r="M159" s="2055"/>
      <c r="N159" s="2022">
        <f>SUM(N9:N158)</f>
        <v>2702.5439999999999</v>
      </c>
      <c r="O159" s="2022">
        <f>SUM(O9:O158)</f>
        <v>2140.37</v>
      </c>
      <c r="P159" s="2022">
        <f>SUM(P9:P158)</f>
        <v>2140.37</v>
      </c>
      <c r="Q159" s="2021">
        <f>SUM(Q9:Q158)</f>
        <v>19146.261999999999</v>
      </c>
      <c r="R159" s="2055"/>
      <c r="S159" s="2055"/>
      <c r="T159" s="2055"/>
      <c r="U159" s="2055"/>
      <c r="V159" s="2055"/>
      <c r="W159" s="2055"/>
      <c r="X159" s="2022">
        <f>SUM(X9:X158)</f>
        <v>93.289512029999997</v>
      </c>
      <c r="Y159" s="2022">
        <f>SUM(Y9:Y158)</f>
        <v>93.289512029999997</v>
      </c>
      <c r="Z159" s="2056"/>
      <c r="AA159" s="2056"/>
      <c r="AB159" s="2022">
        <f>SUM(AB9:AB158)</f>
        <v>0.02</v>
      </c>
      <c r="AC159" s="2022">
        <f>SUM(AC9:AC158)</f>
        <v>2094.6839999999997</v>
      </c>
      <c r="AD159" s="2022">
        <f>SUM(AD9:AD158)</f>
        <v>2075.1930000000002</v>
      </c>
      <c r="AE159" s="2052"/>
      <c r="AF159" s="2057"/>
      <c r="AG159" s="42"/>
      <c r="AH159" s="54" t="s">
        <v>10143</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10144</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t="s">
        <v>10145</v>
      </c>
      <c r="C162" s="36" t="s">
        <v>9918</v>
      </c>
      <c r="D162" s="37" t="s">
        <v>9919</v>
      </c>
      <c r="E162" s="2629" t="s">
        <v>9920</v>
      </c>
      <c r="F162" s="36" t="s">
        <v>9921</v>
      </c>
      <c r="G162" s="36" t="s">
        <v>9922</v>
      </c>
      <c r="H162" s="36" t="s">
        <v>9921</v>
      </c>
      <c r="I162" s="36" t="s">
        <v>9923</v>
      </c>
      <c r="J162" s="38" t="s">
        <v>9921</v>
      </c>
      <c r="K162" s="39">
        <v>100</v>
      </c>
      <c r="L162" s="38">
        <v>47074</v>
      </c>
      <c r="M162" s="2046">
        <v>5</v>
      </c>
      <c r="N162" s="39">
        <v>50</v>
      </c>
      <c r="O162" s="39">
        <v>20.69</v>
      </c>
      <c r="P162" s="39">
        <v>20.69</v>
      </c>
      <c r="Q162" s="2017">
        <f>IFERROR(M162*O162,"")</f>
        <v>103.45</v>
      </c>
      <c r="R162" s="2018">
        <f t="shared" ref="R162:R225" si="76">IF(W162=0,0,((1+W162)/(1+$C$626))-1)</f>
        <v>1.8799999999999928E-2</v>
      </c>
      <c r="S162" s="2018">
        <f t="shared" ref="S162:S225" si="77">IF(W162=0,0,((1+W162)/(1+$C$627))-1)</f>
        <v>1.8799999999999928E-2</v>
      </c>
      <c r="T162" s="40" t="s">
        <v>10146</v>
      </c>
      <c r="U162" s="40">
        <v>0.01</v>
      </c>
      <c r="V162" s="40">
        <v>8.8000000000000005E-3</v>
      </c>
      <c r="W162" s="2018">
        <f t="shared" ref="W162:W225" si="78">V162+U162</f>
        <v>1.8800000000000001E-2</v>
      </c>
      <c r="X162" s="2025">
        <f t="shared" ref="X162:X225" si="79">W162*P162</f>
        <v>0.38897200000000004</v>
      </c>
      <c r="Y162" s="2025">
        <f t="shared" ref="Y162:Y225" si="80">X162</f>
        <v>0.38897200000000004</v>
      </c>
      <c r="Z162" s="40">
        <v>0</v>
      </c>
      <c r="AA162" s="40">
        <v>0</v>
      </c>
      <c r="AB162" s="39">
        <v>8.0000000000000002E-3</v>
      </c>
      <c r="AC162" s="39">
        <v>20.681000000000001</v>
      </c>
      <c r="AD162" s="39">
        <v>20.69</v>
      </c>
      <c r="AE162" s="36">
        <v>0</v>
      </c>
      <c r="AF162" s="41">
        <v>0</v>
      </c>
      <c r="AG162" s="42"/>
      <c r="AH162" s="43" t="s">
        <v>10147</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1</v>
      </c>
      <c r="AU162" s="285">
        <f t="shared" ref="AU162:AU225" si="83" xml:space="preserve"> IF( ISNUMBER(K162 ), 0, 1 )</f>
        <v>0</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0</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0</v>
      </c>
      <c r="BP162" s="363"/>
      <c r="BQ162" s="224"/>
      <c r="BR162" s="224"/>
      <c r="BS162" s="778"/>
      <c r="BT162" s="778"/>
      <c r="BU162" s="778"/>
    </row>
    <row r="163" spans="1:73" s="22" customFormat="1" ht="15.75" customHeight="1" outlineLevel="1">
      <c r="A163" s="778"/>
      <c r="B163" s="44" t="s">
        <v>10148</v>
      </c>
      <c r="C163" s="45" t="s">
        <v>9918</v>
      </c>
      <c r="D163" s="46" t="s">
        <v>10149</v>
      </c>
      <c r="E163" s="46" t="s">
        <v>9966</v>
      </c>
      <c r="F163" s="45" t="s">
        <v>9921</v>
      </c>
      <c r="G163" s="46" t="s">
        <v>9922</v>
      </c>
      <c r="H163" s="45" t="s">
        <v>9921</v>
      </c>
      <c r="I163" s="45" t="s">
        <v>9923</v>
      </c>
      <c r="J163" s="47" t="s">
        <v>9921</v>
      </c>
      <c r="K163" s="48">
        <v>100</v>
      </c>
      <c r="L163" s="47">
        <v>46008</v>
      </c>
      <c r="M163" s="2048">
        <v>2</v>
      </c>
      <c r="N163" s="48">
        <v>450</v>
      </c>
      <c r="O163" s="49">
        <v>0</v>
      </c>
      <c r="P163" s="49">
        <v>0</v>
      </c>
      <c r="Q163" s="2019">
        <f>IFERROR(M163*O163,"")</f>
        <v>0</v>
      </c>
      <c r="R163" s="2020">
        <f t="shared" si="76"/>
        <v>4.0000000000000036E-3</v>
      </c>
      <c r="S163" s="2020">
        <f t="shared" si="77"/>
        <v>4.0000000000000036E-3</v>
      </c>
      <c r="T163" s="50" t="s">
        <v>10146</v>
      </c>
      <c r="U163" s="50">
        <v>0</v>
      </c>
      <c r="V163" s="50">
        <v>4.0000000000000001E-3</v>
      </c>
      <c r="W163" s="2020">
        <f t="shared" si="78"/>
        <v>4.0000000000000001E-3</v>
      </c>
      <c r="X163" s="2026">
        <f t="shared" si="79"/>
        <v>0</v>
      </c>
      <c r="Y163" s="2026">
        <f t="shared" si="80"/>
        <v>0</v>
      </c>
      <c r="Z163" s="50">
        <v>0</v>
      </c>
      <c r="AA163" s="50">
        <v>0</v>
      </c>
      <c r="AB163" s="48">
        <v>1.1759999999999999</v>
      </c>
      <c r="AC163" s="48">
        <v>-1.1779999999999999</v>
      </c>
      <c r="AD163" s="48">
        <v>0</v>
      </c>
      <c r="AE163" s="45">
        <v>0</v>
      </c>
      <c r="AF163" s="51">
        <v>0</v>
      </c>
      <c r="AG163" s="42"/>
      <c r="AH163" s="52" t="s">
        <v>10150</v>
      </c>
      <c r="AI163" s="197"/>
      <c r="AJ163" s="363"/>
      <c r="AK163" s="284" t="str">
        <f t="shared" si="81"/>
        <v>Please complete all cells in row</v>
      </c>
      <c r="AL163" s="363"/>
      <c r="AM163" s="224"/>
      <c r="AN163" s="224"/>
      <c r="AO163" s="224"/>
      <c r="AP163" s="224"/>
      <c r="AQ163" s="224"/>
      <c r="AR163" s="224"/>
      <c r="AS163" s="224"/>
      <c r="AT163" s="285">
        <f t="shared" si="82"/>
        <v>1</v>
      </c>
      <c r="AU163" s="285">
        <f t="shared" si="83"/>
        <v>0</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0</v>
      </c>
      <c r="BK163" s="285">
        <f t="shared" si="92"/>
        <v>0</v>
      </c>
      <c r="BL163" s="285">
        <f t="shared" si="93"/>
        <v>0</v>
      </c>
      <c r="BM163" s="285">
        <f t="shared" si="94"/>
        <v>0</v>
      </c>
      <c r="BN163" s="285">
        <f t="shared" si="95"/>
        <v>0</v>
      </c>
      <c r="BO163" s="285">
        <f t="shared" si="96"/>
        <v>0</v>
      </c>
      <c r="BP163" s="363"/>
      <c r="BQ163" s="224"/>
      <c r="BR163" s="224"/>
      <c r="BS163" s="778"/>
      <c r="BT163" s="778"/>
      <c r="BU163" s="778"/>
    </row>
    <row r="164" spans="1:73" s="22" customFormat="1" ht="15.75" customHeight="1" outlineLevel="1">
      <c r="A164" s="778"/>
      <c r="B164" s="44"/>
      <c r="C164" s="45"/>
      <c r="D164" s="46"/>
      <c r="E164" s="46"/>
      <c r="F164" s="45"/>
      <c r="G164" s="46"/>
      <c r="H164" s="45"/>
      <c r="I164" s="45"/>
      <c r="J164" s="47"/>
      <c r="K164" s="48"/>
      <c r="L164" s="47"/>
      <c r="M164" s="2048"/>
      <c r="N164" s="48"/>
      <c r="O164" s="49"/>
      <c r="P164" s="49"/>
      <c r="Q164" s="2019">
        <f t="shared" ref="Q164:Q227" si="97">IFERROR(M164*O164,"")</f>
        <v>0</v>
      </c>
      <c r="R164" s="2020">
        <f t="shared" si="76"/>
        <v>0</v>
      </c>
      <c r="S164" s="2020">
        <f t="shared" si="77"/>
        <v>0</v>
      </c>
      <c r="T164" s="50"/>
      <c r="U164" s="50"/>
      <c r="V164" s="50"/>
      <c r="W164" s="2020">
        <f t="shared" si="78"/>
        <v>0</v>
      </c>
      <c r="X164" s="2026">
        <f t="shared" si="79"/>
        <v>0</v>
      </c>
      <c r="Y164" s="2026">
        <f t="shared" si="80"/>
        <v>0</v>
      </c>
      <c r="Z164" s="50"/>
      <c r="AA164" s="50"/>
      <c r="AB164" s="48"/>
      <c r="AC164" s="48"/>
      <c r="AD164" s="48"/>
      <c r="AE164" s="45"/>
      <c r="AF164" s="51"/>
      <c r="AG164" s="42"/>
      <c r="AH164" s="52" t="s">
        <v>10151</v>
      </c>
      <c r="AI164" s="197"/>
      <c r="AJ164" s="363"/>
      <c r="AK164" s="284" t="str">
        <f t="shared" si="81"/>
        <v>Please complete all cells in row</v>
      </c>
      <c r="AL164" s="363"/>
      <c r="AM164" s="224"/>
      <c r="AN164" s="224"/>
      <c r="AO164" s="224"/>
      <c r="AP164" s="224"/>
      <c r="AQ164" s="224"/>
      <c r="AR164" s="224"/>
      <c r="AS164" s="224"/>
      <c r="AT164" s="285">
        <f t="shared" si="82"/>
        <v>1</v>
      </c>
      <c r="AU164" s="285">
        <f t="shared" si="83"/>
        <v>1</v>
      </c>
      <c r="AV164" s="285">
        <f t="shared" si="84"/>
        <v>1</v>
      </c>
      <c r="AW164" s="285">
        <f t="shared" si="85"/>
        <v>1</v>
      </c>
      <c r="AX164" s="285">
        <f t="shared" si="86"/>
        <v>1</v>
      </c>
      <c r="AY164" s="285">
        <f t="shared" si="87"/>
        <v>1</v>
      </c>
      <c r="AZ164" s="285">
        <f t="shared" si="88"/>
        <v>1</v>
      </c>
      <c r="BA164" s="270"/>
      <c r="BB164" s="270"/>
      <c r="BC164" s="270"/>
      <c r="BD164" s="224"/>
      <c r="BE164" s="285">
        <f t="shared" si="89"/>
        <v>1</v>
      </c>
      <c r="BF164" s="285">
        <f t="shared" si="90"/>
        <v>1</v>
      </c>
      <c r="BG164" s="224"/>
      <c r="BH164" s="270"/>
      <c r="BI164" s="270"/>
      <c r="BJ164" s="285">
        <f t="shared" si="91"/>
        <v>1</v>
      </c>
      <c r="BK164" s="285">
        <f t="shared" si="92"/>
        <v>1</v>
      </c>
      <c r="BL164" s="285">
        <f t="shared" si="93"/>
        <v>1</v>
      </c>
      <c r="BM164" s="285">
        <f t="shared" si="94"/>
        <v>1</v>
      </c>
      <c r="BN164" s="285">
        <f t="shared" si="95"/>
        <v>1</v>
      </c>
      <c r="BO164" s="285">
        <f t="shared" si="96"/>
        <v>1</v>
      </c>
      <c r="BP164" s="363"/>
      <c r="BQ164" s="224"/>
      <c r="BR164" s="224"/>
      <c r="BS164" s="778"/>
      <c r="BT164" s="778"/>
      <c r="BU164" s="778"/>
    </row>
    <row r="165" spans="1:73" s="22" customFormat="1" ht="15.75" customHeight="1" outlineLevel="1">
      <c r="A165" s="778"/>
      <c r="B165" s="44"/>
      <c r="C165" s="45"/>
      <c r="D165" s="46"/>
      <c r="E165" s="46"/>
      <c r="F165" s="45"/>
      <c r="G165" s="46"/>
      <c r="H165" s="45"/>
      <c r="I165" s="45"/>
      <c r="J165" s="47"/>
      <c r="K165" s="48"/>
      <c r="L165" s="47"/>
      <c r="M165" s="2048"/>
      <c r="N165" s="48"/>
      <c r="O165" s="49"/>
      <c r="P165" s="49"/>
      <c r="Q165" s="2019">
        <f t="shared" si="97"/>
        <v>0</v>
      </c>
      <c r="R165" s="2020">
        <f t="shared" si="76"/>
        <v>0</v>
      </c>
      <c r="S165" s="2020">
        <f t="shared" si="77"/>
        <v>0</v>
      </c>
      <c r="T165" s="50"/>
      <c r="U165" s="50"/>
      <c r="V165" s="50"/>
      <c r="W165" s="2020">
        <f t="shared" si="78"/>
        <v>0</v>
      </c>
      <c r="X165" s="2026">
        <f t="shared" si="79"/>
        <v>0</v>
      </c>
      <c r="Y165" s="2026">
        <f t="shared" si="80"/>
        <v>0</v>
      </c>
      <c r="Z165" s="50"/>
      <c r="AA165" s="50"/>
      <c r="AB165" s="48"/>
      <c r="AC165" s="48"/>
      <c r="AD165" s="48"/>
      <c r="AE165" s="45"/>
      <c r="AF165" s="51"/>
      <c r="AG165" s="42"/>
      <c r="AH165" s="52" t="s">
        <v>10152</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1</v>
      </c>
      <c r="AW165" s="285">
        <f t="shared" si="85"/>
        <v>1</v>
      </c>
      <c r="AX165" s="285">
        <f t="shared" si="86"/>
        <v>1</v>
      </c>
      <c r="AY165" s="285">
        <f t="shared" si="87"/>
        <v>1</v>
      </c>
      <c r="AZ165" s="285">
        <f t="shared" si="88"/>
        <v>1</v>
      </c>
      <c r="BA165" s="270"/>
      <c r="BB165" s="270"/>
      <c r="BC165" s="270"/>
      <c r="BD165" s="224"/>
      <c r="BE165" s="285">
        <f t="shared" si="89"/>
        <v>1</v>
      </c>
      <c r="BF165" s="285">
        <f t="shared" si="90"/>
        <v>1</v>
      </c>
      <c r="BG165" s="224"/>
      <c r="BH165" s="270"/>
      <c r="BI165" s="270"/>
      <c r="BJ165" s="285">
        <f t="shared" si="91"/>
        <v>1</v>
      </c>
      <c r="BK165" s="285">
        <f t="shared" si="92"/>
        <v>1</v>
      </c>
      <c r="BL165" s="285">
        <f t="shared" si="93"/>
        <v>1</v>
      </c>
      <c r="BM165" s="285">
        <f t="shared" si="94"/>
        <v>1</v>
      </c>
      <c r="BN165" s="285">
        <f t="shared" si="95"/>
        <v>1</v>
      </c>
      <c r="BO165" s="285">
        <f t="shared" si="96"/>
        <v>1</v>
      </c>
      <c r="BP165" s="363"/>
      <c r="BQ165" s="224"/>
      <c r="BR165" s="224"/>
      <c r="BS165" s="778"/>
      <c r="BT165" s="778"/>
      <c r="BU165" s="778"/>
    </row>
    <row r="166" spans="1:73" s="22" customFormat="1" ht="15.75" customHeight="1" outlineLevel="1">
      <c r="A166" s="778"/>
      <c r="B166" s="44"/>
      <c r="C166" s="45"/>
      <c r="D166" s="46"/>
      <c r="E166" s="46"/>
      <c r="F166" s="45"/>
      <c r="G166" s="46"/>
      <c r="H166" s="45"/>
      <c r="I166" s="45"/>
      <c r="J166" s="47"/>
      <c r="K166" s="48"/>
      <c r="L166" s="47"/>
      <c r="M166" s="2048"/>
      <c r="N166" s="48"/>
      <c r="O166" s="49"/>
      <c r="P166" s="49"/>
      <c r="Q166" s="2019">
        <f t="shared" si="97"/>
        <v>0</v>
      </c>
      <c r="R166" s="2020">
        <f t="shared" si="76"/>
        <v>0</v>
      </c>
      <c r="S166" s="2020">
        <f t="shared" si="77"/>
        <v>0</v>
      </c>
      <c r="T166" s="50"/>
      <c r="U166" s="50"/>
      <c r="V166" s="50"/>
      <c r="W166" s="2020">
        <f t="shared" si="78"/>
        <v>0</v>
      </c>
      <c r="X166" s="2026">
        <f t="shared" si="79"/>
        <v>0</v>
      </c>
      <c r="Y166" s="2026">
        <f t="shared" si="80"/>
        <v>0</v>
      </c>
      <c r="Z166" s="50"/>
      <c r="AA166" s="50"/>
      <c r="AB166" s="48"/>
      <c r="AC166" s="48"/>
      <c r="AD166" s="48"/>
      <c r="AE166" s="45"/>
      <c r="AF166" s="51"/>
      <c r="AG166" s="42"/>
      <c r="AH166" s="52" t="s">
        <v>10153</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8"/>
      <c r="BT166" s="778"/>
      <c r="BU166" s="778"/>
    </row>
    <row r="167" spans="1:73" s="22" customFormat="1" ht="15.75" customHeight="1" outlineLevel="1">
      <c r="A167" s="778"/>
      <c r="B167" s="44"/>
      <c r="C167" s="45"/>
      <c r="D167" s="46"/>
      <c r="E167" s="46"/>
      <c r="F167" s="45"/>
      <c r="G167" s="46"/>
      <c r="H167" s="45"/>
      <c r="I167" s="45"/>
      <c r="J167" s="47"/>
      <c r="K167" s="48"/>
      <c r="L167" s="47"/>
      <c r="M167" s="2048"/>
      <c r="N167" s="48"/>
      <c r="O167" s="49"/>
      <c r="P167" s="49"/>
      <c r="Q167" s="2019">
        <f t="shared" si="97"/>
        <v>0</v>
      </c>
      <c r="R167" s="2020">
        <f t="shared" si="76"/>
        <v>0</v>
      </c>
      <c r="S167" s="2020">
        <f t="shared" si="77"/>
        <v>0</v>
      </c>
      <c r="T167" s="50"/>
      <c r="U167" s="50"/>
      <c r="V167" s="50"/>
      <c r="W167" s="2020">
        <f t="shared" si="78"/>
        <v>0</v>
      </c>
      <c r="X167" s="2026">
        <f t="shared" si="79"/>
        <v>0</v>
      </c>
      <c r="Y167" s="2026">
        <f t="shared" si="80"/>
        <v>0</v>
      </c>
      <c r="Z167" s="50"/>
      <c r="AA167" s="50"/>
      <c r="AB167" s="48"/>
      <c r="AC167" s="48"/>
      <c r="AD167" s="48"/>
      <c r="AE167" s="45"/>
      <c r="AF167" s="51"/>
      <c r="AG167" s="42"/>
      <c r="AH167" s="52" t="s">
        <v>10154</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8"/>
      <c r="BT167" s="778"/>
      <c r="BU167" s="778"/>
    </row>
    <row r="168" spans="1:73" s="22" customFormat="1" ht="15.75" customHeight="1" outlineLevel="1">
      <c r="A168" s="778"/>
      <c r="B168" s="44"/>
      <c r="C168" s="45"/>
      <c r="D168" s="46"/>
      <c r="E168" s="46"/>
      <c r="F168" s="45"/>
      <c r="G168" s="46"/>
      <c r="H168" s="45"/>
      <c r="I168" s="45"/>
      <c r="J168" s="47"/>
      <c r="K168" s="48"/>
      <c r="L168" s="47"/>
      <c r="M168" s="2048"/>
      <c r="N168" s="48"/>
      <c r="O168" s="49"/>
      <c r="P168" s="49"/>
      <c r="Q168" s="2019">
        <f t="shared" si="97"/>
        <v>0</v>
      </c>
      <c r="R168" s="2020">
        <f t="shared" si="76"/>
        <v>0</v>
      </c>
      <c r="S168" s="2020">
        <f t="shared" si="77"/>
        <v>0</v>
      </c>
      <c r="T168" s="50"/>
      <c r="U168" s="50"/>
      <c r="V168" s="50"/>
      <c r="W168" s="2020">
        <f t="shared" si="78"/>
        <v>0</v>
      </c>
      <c r="X168" s="2026">
        <f t="shared" si="79"/>
        <v>0</v>
      </c>
      <c r="Y168" s="2026">
        <f t="shared" si="80"/>
        <v>0</v>
      </c>
      <c r="Z168" s="50"/>
      <c r="AA168" s="50"/>
      <c r="AB168" s="48"/>
      <c r="AC168" s="48"/>
      <c r="AD168" s="48"/>
      <c r="AE168" s="45"/>
      <c r="AF168" s="51"/>
      <c r="AG168" s="42"/>
      <c r="AH168" s="52" t="s">
        <v>10155</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8"/>
      <c r="BT168" s="778"/>
      <c r="BU168" s="778"/>
    </row>
    <row r="169" spans="1:73" s="22" customFormat="1" ht="15.75" customHeight="1" outlineLevel="1">
      <c r="A169" s="778"/>
      <c r="B169" s="44"/>
      <c r="C169" s="45"/>
      <c r="D169" s="46"/>
      <c r="E169" s="46"/>
      <c r="F169" s="45"/>
      <c r="G169" s="46"/>
      <c r="H169" s="45"/>
      <c r="I169" s="45"/>
      <c r="J169" s="47"/>
      <c r="K169" s="48"/>
      <c r="L169" s="47"/>
      <c r="M169" s="2048"/>
      <c r="N169" s="48"/>
      <c r="O169" s="49"/>
      <c r="P169" s="49"/>
      <c r="Q169" s="2019">
        <f t="shared" si="97"/>
        <v>0</v>
      </c>
      <c r="R169" s="2020">
        <f t="shared" si="76"/>
        <v>0</v>
      </c>
      <c r="S169" s="2020">
        <f t="shared" si="77"/>
        <v>0</v>
      </c>
      <c r="T169" s="50"/>
      <c r="U169" s="50"/>
      <c r="V169" s="50"/>
      <c r="W169" s="2020">
        <f t="shared" si="78"/>
        <v>0</v>
      </c>
      <c r="X169" s="2026">
        <f t="shared" si="79"/>
        <v>0</v>
      </c>
      <c r="Y169" s="2026">
        <f t="shared" si="80"/>
        <v>0</v>
      </c>
      <c r="Z169" s="50"/>
      <c r="AA169" s="50"/>
      <c r="AB169" s="48"/>
      <c r="AC169" s="48"/>
      <c r="AD169" s="48"/>
      <c r="AE169" s="45"/>
      <c r="AF169" s="51"/>
      <c r="AG169" s="42"/>
      <c r="AH169" s="52" t="s">
        <v>10156</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8"/>
      <c r="BT169" s="778"/>
      <c r="BU169" s="778"/>
    </row>
    <row r="170" spans="1:73" s="22" customFormat="1" ht="15.75" customHeight="1" outlineLevel="1">
      <c r="A170" s="778"/>
      <c r="B170" s="44"/>
      <c r="C170" s="45"/>
      <c r="D170" s="46"/>
      <c r="E170" s="46"/>
      <c r="F170" s="45"/>
      <c r="G170" s="46"/>
      <c r="H170" s="45"/>
      <c r="I170" s="45"/>
      <c r="J170" s="47"/>
      <c r="K170" s="48"/>
      <c r="L170" s="47"/>
      <c r="M170" s="2048"/>
      <c r="N170" s="48"/>
      <c r="O170" s="49"/>
      <c r="P170" s="49"/>
      <c r="Q170" s="2019">
        <f t="shared" si="97"/>
        <v>0</v>
      </c>
      <c r="R170" s="2020">
        <f t="shared" si="76"/>
        <v>0</v>
      </c>
      <c r="S170" s="2020">
        <f t="shared" si="77"/>
        <v>0</v>
      </c>
      <c r="T170" s="50"/>
      <c r="U170" s="50"/>
      <c r="V170" s="50"/>
      <c r="W170" s="2020">
        <f t="shared" si="78"/>
        <v>0</v>
      </c>
      <c r="X170" s="2026">
        <f t="shared" si="79"/>
        <v>0</v>
      </c>
      <c r="Y170" s="2026">
        <f t="shared" si="80"/>
        <v>0</v>
      </c>
      <c r="Z170" s="50"/>
      <c r="AA170" s="50"/>
      <c r="AB170" s="48"/>
      <c r="AC170" s="48"/>
      <c r="AD170" s="48"/>
      <c r="AE170" s="45"/>
      <c r="AF170" s="51"/>
      <c r="AG170" s="42"/>
      <c r="AH170" s="52" t="s">
        <v>10157</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8"/>
      <c r="BT170" s="778"/>
      <c r="BU170" s="778"/>
    </row>
    <row r="171" spans="1:73" s="22" customFormat="1" ht="15.75"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50"/>
      <c r="AA171" s="50"/>
      <c r="AB171" s="48"/>
      <c r="AC171" s="48"/>
      <c r="AD171" s="48"/>
      <c r="AE171" s="45"/>
      <c r="AF171" s="51"/>
      <c r="AG171" s="42"/>
      <c r="AH171" s="52" t="s">
        <v>10158</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50"/>
      <c r="AA172" s="50"/>
      <c r="AB172" s="48"/>
      <c r="AC172" s="48"/>
      <c r="AD172" s="48"/>
      <c r="AE172" s="45"/>
      <c r="AF172" s="51"/>
      <c r="AG172" s="42"/>
      <c r="AH172" s="52" t="s">
        <v>10159</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50"/>
      <c r="AA173" s="50"/>
      <c r="AB173" s="48"/>
      <c r="AC173" s="48"/>
      <c r="AD173" s="48"/>
      <c r="AE173" s="45"/>
      <c r="AF173" s="51"/>
      <c r="AG173" s="42"/>
      <c r="AH173" s="52" t="s">
        <v>10160</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50"/>
      <c r="AA174" s="50"/>
      <c r="AB174" s="48"/>
      <c r="AC174" s="48"/>
      <c r="AD174" s="48"/>
      <c r="AE174" s="45"/>
      <c r="AF174" s="51"/>
      <c r="AG174" s="42"/>
      <c r="AH174" s="52" t="s">
        <v>10161</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50"/>
      <c r="AA175" s="50"/>
      <c r="AB175" s="48"/>
      <c r="AC175" s="48"/>
      <c r="AD175" s="48"/>
      <c r="AE175" s="45"/>
      <c r="AF175" s="51"/>
      <c r="AG175" s="42"/>
      <c r="AH175" s="52" t="s">
        <v>10162</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50"/>
      <c r="AA176" s="50"/>
      <c r="AB176" s="48"/>
      <c r="AC176" s="48"/>
      <c r="AD176" s="48"/>
      <c r="AE176" s="45"/>
      <c r="AF176" s="51"/>
      <c r="AG176" s="42"/>
      <c r="AH176" s="52" t="s">
        <v>10163</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50"/>
      <c r="AA177" s="50"/>
      <c r="AB177" s="48"/>
      <c r="AC177" s="48"/>
      <c r="AD177" s="48"/>
      <c r="AE177" s="45"/>
      <c r="AF177" s="51"/>
      <c r="AG177" s="42"/>
      <c r="AH177" s="52" t="s">
        <v>10164</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50"/>
      <c r="AA178" s="50"/>
      <c r="AB178" s="48"/>
      <c r="AC178" s="48"/>
      <c r="AD178" s="48"/>
      <c r="AE178" s="45"/>
      <c r="AF178" s="51"/>
      <c r="AG178" s="42"/>
      <c r="AH178" s="52" t="s">
        <v>10165</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50"/>
      <c r="AA179" s="50"/>
      <c r="AB179" s="48"/>
      <c r="AC179" s="48"/>
      <c r="AD179" s="48"/>
      <c r="AE179" s="45"/>
      <c r="AF179" s="51"/>
      <c r="AG179" s="42"/>
      <c r="AH179" s="52" t="s">
        <v>10166</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50"/>
      <c r="AA180" s="50"/>
      <c r="AB180" s="48"/>
      <c r="AC180" s="48"/>
      <c r="AD180" s="48"/>
      <c r="AE180" s="45"/>
      <c r="AF180" s="51"/>
      <c r="AG180" s="42"/>
      <c r="AH180" s="52" t="s">
        <v>10167</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50"/>
      <c r="AA181" s="50"/>
      <c r="AB181" s="48"/>
      <c r="AC181" s="48"/>
      <c r="AD181" s="48"/>
      <c r="AE181" s="45"/>
      <c r="AF181" s="51"/>
      <c r="AG181" s="42"/>
      <c r="AH181" s="52" t="s">
        <v>10168</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50"/>
      <c r="AA182" s="50"/>
      <c r="AB182" s="48"/>
      <c r="AC182" s="48"/>
      <c r="AD182" s="48"/>
      <c r="AE182" s="45"/>
      <c r="AF182" s="51"/>
      <c r="AG182" s="42"/>
      <c r="AH182" s="52" t="s">
        <v>10169</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50"/>
      <c r="AA183" s="50"/>
      <c r="AB183" s="48"/>
      <c r="AC183" s="48"/>
      <c r="AD183" s="48"/>
      <c r="AE183" s="45"/>
      <c r="AF183" s="51"/>
      <c r="AG183" s="42"/>
      <c r="AH183" s="52" t="s">
        <v>10170</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50"/>
      <c r="AA184" s="50"/>
      <c r="AB184" s="48"/>
      <c r="AC184" s="48"/>
      <c r="AD184" s="48"/>
      <c r="AE184" s="45"/>
      <c r="AF184" s="51"/>
      <c r="AG184" s="42"/>
      <c r="AH184" s="52" t="s">
        <v>10171</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50"/>
      <c r="AA185" s="50"/>
      <c r="AB185" s="48"/>
      <c r="AC185" s="48"/>
      <c r="AD185" s="48"/>
      <c r="AE185" s="45"/>
      <c r="AF185" s="51"/>
      <c r="AG185" s="42"/>
      <c r="AH185" s="52" t="s">
        <v>10172</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50"/>
      <c r="AA186" s="50"/>
      <c r="AB186" s="48"/>
      <c r="AC186" s="48"/>
      <c r="AD186" s="48"/>
      <c r="AE186" s="45"/>
      <c r="AF186" s="51"/>
      <c r="AG186" s="42"/>
      <c r="AH186" s="52" t="s">
        <v>10173</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50"/>
      <c r="AA187" s="50"/>
      <c r="AB187" s="48"/>
      <c r="AC187" s="48"/>
      <c r="AD187" s="48"/>
      <c r="AE187" s="45"/>
      <c r="AF187" s="51"/>
      <c r="AG187" s="42"/>
      <c r="AH187" s="52" t="s">
        <v>10174</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50"/>
      <c r="AA188" s="50"/>
      <c r="AB188" s="48"/>
      <c r="AC188" s="48"/>
      <c r="AD188" s="48"/>
      <c r="AE188" s="45"/>
      <c r="AF188" s="51"/>
      <c r="AG188" s="42"/>
      <c r="AH188" s="52" t="s">
        <v>10175</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50"/>
      <c r="AA189" s="50"/>
      <c r="AB189" s="48"/>
      <c r="AC189" s="48"/>
      <c r="AD189" s="48"/>
      <c r="AE189" s="45"/>
      <c r="AF189" s="51"/>
      <c r="AG189" s="42"/>
      <c r="AH189" s="52" t="s">
        <v>10176</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50"/>
      <c r="AA190" s="50"/>
      <c r="AB190" s="48"/>
      <c r="AC190" s="48"/>
      <c r="AD190" s="48"/>
      <c r="AE190" s="45"/>
      <c r="AF190" s="51"/>
      <c r="AG190" s="42"/>
      <c r="AH190" s="52" t="s">
        <v>10177</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50"/>
      <c r="AA191" s="50"/>
      <c r="AB191" s="48"/>
      <c r="AC191" s="48"/>
      <c r="AD191" s="48"/>
      <c r="AE191" s="45"/>
      <c r="AF191" s="51"/>
      <c r="AG191" s="42"/>
      <c r="AH191" s="52" t="s">
        <v>10178</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50"/>
      <c r="AA192" s="50"/>
      <c r="AB192" s="48"/>
      <c r="AC192" s="48"/>
      <c r="AD192" s="48"/>
      <c r="AE192" s="45"/>
      <c r="AF192" s="51"/>
      <c r="AG192" s="42"/>
      <c r="AH192" s="52" t="s">
        <v>10179</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50"/>
      <c r="AA193" s="50"/>
      <c r="AB193" s="48"/>
      <c r="AC193" s="48"/>
      <c r="AD193" s="48"/>
      <c r="AE193" s="45"/>
      <c r="AF193" s="51"/>
      <c r="AG193" s="42"/>
      <c r="AH193" s="52" t="s">
        <v>10180</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50"/>
      <c r="AA194" s="50"/>
      <c r="AB194" s="48"/>
      <c r="AC194" s="48"/>
      <c r="AD194" s="48"/>
      <c r="AE194" s="45"/>
      <c r="AF194" s="51"/>
      <c r="AG194" s="42"/>
      <c r="AH194" s="52" t="s">
        <v>10181</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50"/>
      <c r="AA195" s="50"/>
      <c r="AB195" s="48"/>
      <c r="AC195" s="48"/>
      <c r="AD195" s="48"/>
      <c r="AE195" s="45"/>
      <c r="AF195" s="51"/>
      <c r="AG195" s="42"/>
      <c r="AH195" s="52" t="s">
        <v>10182</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50"/>
      <c r="AA196" s="50"/>
      <c r="AB196" s="48"/>
      <c r="AC196" s="48"/>
      <c r="AD196" s="48"/>
      <c r="AE196" s="45"/>
      <c r="AF196" s="51"/>
      <c r="AG196" s="42"/>
      <c r="AH196" s="52" t="s">
        <v>10183</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50"/>
      <c r="AA197" s="50"/>
      <c r="AB197" s="48"/>
      <c r="AC197" s="48"/>
      <c r="AD197" s="48"/>
      <c r="AE197" s="45"/>
      <c r="AF197" s="51"/>
      <c r="AG197" s="42"/>
      <c r="AH197" s="52" t="s">
        <v>10184</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50"/>
      <c r="AA198" s="50"/>
      <c r="AB198" s="48"/>
      <c r="AC198" s="48"/>
      <c r="AD198" s="48"/>
      <c r="AE198" s="45"/>
      <c r="AF198" s="51"/>
      <c r="AG198" s="42"/>
      <c r="AH198" s="52" t="s">
        <v>10185</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50"/>
      <c r="AA199" s="50"/>
      <c r="AB199" s="48"/>
      <c r="AC199" s="48"/>
      <c r="AD199" s="48"/>
      <c r="AE199" s="45"/>
      <c r="AF199" s="51"/>
      <c r="AG199" s="42"/>
      <c r="AH199" s="52" t="s">
        <v>10186</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50"/>
      <c r="AA200" s="50"/>
      <c r="AB200" s="48"/>
      <c r="AC200" s="48"/>
      <c r="AD200" s="48"/>
      <c r="AE200" s="45"/>
      <c r="AF200" s="51"/>
      <c r="AG200" s="42"/>
      <c r="AH200" s="52" t="s">
        <v>10187</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50"/>
      <c r="AA201" s="50"/>
      <c r="AB201" s="48"/>
      <c r="AC201" s="48"/>
      <c r="AD201" s="48"/>
      <c r="AE201" s="45"/>
      <c r="AF201" s="51"/>
      <c r="AG201" s="42"/>
      <c r="AH201" s="52" t="s">
        <v>10188</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50"/>
      <c r="AA202" s="50"/>
      <c r="AB202" s="48"/>
      <c r="AC202" s="48"/>
      <c r="AD202" s="48"/>
      <c r="AE202" s="45"/>
      <c r="AF202" s="51"/>
      <c r="AG202" s="42"/>
      <c r="AH202" s="52" t="s">
        <v>10189</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50"/>
      <c r="AA203" s="50"/>
      <c r="AB203" s="48"/>
      <c r="AC203" s="48"/>
      <c r="AD203" s="48"/>
      <c r="AE203" s="45"/>
      <c r="AF203" s="51"/>
      <c r="AG203" s="42"/>
      <c r="AH203" s="52" t="s">
        <v>10190</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50"/>
      <c r="AA204" s="50"/>
      <c r="AB204" s="48"/>
      <c r="AC204" s="48"/>
      <c r="AD204" s="48"/>
      <c r="AE204" s="45"/>
      <c r="AF204" s="51"/>
      <c r="AG204" s="42"/>
      <c r="AH204" s="52" t="s">
        <v>10191</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50"/>
      <c r="AA205" s="50"/>
      <c r="AB205" s="48"/>
      <c r="AC205" s="48"/>
      <c r="AD205" s="48"/>
      <c r="AE205" s="45"/>
      <c r="AF205" s="51"/>
      <c r="AG205" s="42"/>
      <c r="AH205" s="52" t="s">
        <v>10192</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50"/>
      <c r="AA206" s="50"/>
      <c r="AB206" s="48"/>
      <c r="AC206" s="48"/>
      <c r="AD206" s="48"/>
      <c r="AE206" s="45"/>
      <c r="AF206" s="51"/>
      <c r="AG206" s="42"/>
      <c r="AH206" s="52" t="s">
        <v>10193</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50"/>
      <c r="AA207" s="50"/>
      <c r="AB207" s="48"/>
      <c r="AC207" s="48"/>
      <c r="AD207" s="48"/>
      <c r="AE207" s="45"/>
      <c r="AF207" s="51"/>
      <c r="AG207" s="42"/>
      <c r="AH207" s="52" t="s">
        <v>10194</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50"/>
      <c r="AA208" s="50"/>
      <c r="AB208" s="48"/>
      <c r="AC208" s="48"/>
      <c r="AD208" s="48"/>
      <c r="AE208" s="45"/>
      <c r="AF208" s="51"/>
      <c r="AG208" s="42"/>
      <c r="AH208" s="52" t="s">
        <v>10195</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50"/>
      <c r="AA209" s="50"/>
      <c r="AB209" s="48"/>
      <c r="AC209" s="48"/>
      <c r="AD209" s="48"/>
      <c r="AE209" s="45"/>
      <c r="AF209" s="51"/>
      <c r="AG209" s="42"/>
      <c r="AH209" s="52" t="s">
        <v>10196</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50"/>
      <c r="AA210" s="50"/>
      <c r="AB210" s="48"/>
      <c r="AC210" s="48"/>
      <c r="AD210" s="48"/>
      <c r="AE210" s="45"/>
      <c r="AF210" s="51"/>
      <c r="AG210" s="42"/>
      <c r="AH210" s="52" t="s">
        <v>10197</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50"/>
      <c r="AA211" s="50"/>
      <c r="AB211" s="48"/>
      <c r="AC211" s="48"/>
      <c r="AD211" s="48"/>
      <c r="AE211" s="45"/>
      <c r="AF211" s="51"/>
      <c r="AG211" s="42"/>
      <c r="AH211" s="52" t="s">
        <v>10198</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customHeight="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50"/>
      <c r="AA212" s="50"/>
      <c r="AB212" s="48"/>
      <c r="AC212" s="48"/>
      <c r="AD212" s="48"/>
      <c r="AE212" s="45"/>
      <c r="AF212" s="51"/>
      <c r="AG212" s="42"/>
      <c r="AH212" s="52" t="s">
        <v>10199</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50"/>
      <c r="AA213" s="50"/>
      <c r="AB213" s="48"/>
      <c r="AC213" s="48"/>
      <c r="AD213" s="48"/>
      <c r="AE213" s="45"/>
      <c r="AF213" s="51"/>
      <c r="AG213" s="42"/>
      <c r="AH213" s="52" t="s">
        <v>10200</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50"/>
      <c r="AA214" s="50"/>
      <c r="AB214" s="48"/>
      <c r="AC214" s="48"/>
      <c r="AD214" s="48"/>
      <c r="AE214" s="45"/>
      <c r="AF214" s="51"/>
      <c r="AG214" s="42"/>
      <c r="AH214" s="52" t="s">
        <v>10201</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50"/>
      <c r="AA215" s="50"/>
      <c r="AB215" s="48"/>
      <c r="AC215" s="48"/>
      <c r="AD215" s="48"/>
      <c r="AE215" s="45"/>
      <c r="AF215" s="51"/>
      <c r="AG215" s="42"/>
      <c r="AH215" s="52" t="s">
        <v>10202</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50"/>
      <c r="AA216" s="50"/>
      <c r="AB216" s="48"/>
      <c r="AC216" s="48"/>
      <c r="AD216" s="48"/>
      <c r="AE216" s="45"/>
      <c r="AF216" s="51"/>
      <c r="AG216" s="42"/>
      <c r="AH216" s="52" t="s">
        <v>10203</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50"/>
      <c r="AA217" s="50"/>
      <c r="AB217" s="48"/>
      <c r="AC217" s="48"/>
      <c r="AD217" s="48"/>
      <c r="AE217" s="45"/>
      <c r="AF217" s="51"/>
      <c r="AG217" s="42"/>
      <c r="AH217" s="52" t="s">
        <v>10204</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50"/>
      <c r="AA218" s="50"/>
      <c r="AB218" s="48"/>
      <c r="AC218" s="48"/>
      <c r="AD218" s="48"/>
      <c r="AE218" s="45"/>
      <c r="AF218" s="51"/>
      <c r="AG218" s="42"/>
      <c r="AH218" s="52" t="s">
        <v>10205</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50"/>
      <c r="AA219" s="50"/>
      <c r="AB219" s="48"/>
      <c r="AC219" s="48"/>
      <c r="AD219" s="48"/>
      <c r="AE219" s="45"/>
      <c r="AF219" s="51"/>
      <c r="AG219" s="42"/>
      <c r="AH219" s="52" t="s">
        <v>10206</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50"/>
      <c r="AA220" s="50"/>
      <c r="AB220" s="48"/>
      <c r="AC220" s="48"/>
      <c r="AD220" s="48"/>
      <c r="AE220" s="45"/>
      <c r="AF220" s="51"/>
      <c r="AG220" s="42"/>
      <c r="AH220" s="52" t="s">
        <v>10207</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50"/>
      <c r="AA221" s="50"/>
      <c r="AB221" s="48"/>
      <c r="AC221" s="48"/>
      <c r="AD221" s="48"/>
      <c r="AE221" s="45"/>
      <c r="AF221" s="51"/>
      <c r="AG221" s="42"/>
      <c r="AH221" s="52" t="s">
        <v>10208</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50"/>
      <c r="AA222" s="50"/>
      <c r="AB222" s="48"/>
      <c r="AC222" s="48"/>
      <c r="AD222" s="48"/>
      <c r="AE222" s="45"/>
      <c r="AF222" s="51"/>
      <c r="AG222" s="42"/>
      <c r="AH222" s="52" t="s">
        <v>10209</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50"/>
      <c r="AA223" s="50"/>
      <c r="AB223" s="48"/>
      <c r="AC223" s="48"/>
      <c r="AD223" s="48"/>
      <c r="AE223" s="45"/>
      <c r="AF223" s="51"/>
      <c r="AG223" s="42"/>
      <c r="AH223" s="52" t="s">
        <v>10210</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50"/>
      <c r="AA224" s="50"/>
      <c r="AB224" s="48"/>
      <c r="AC224" s="48"/>
      <c r="AD224" s="48"/>
      <c r="AE224" s="45"/>
      <c r="AF224" s="51"/>
      <c r="AG224" s="42"/>
      <c r="AH224" s="52" t="s">
        <v>10211</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50"/>
      <c r="AA225" s="50"/>
      <c r="AB225" s="48"/>
      <c r="AC225" s="48"/>
      <c r="AD225" s="48"/>
      <c r="AE225" s="45"/>
      <c r="AF225" s="51"/>
      <c r="AG225" s="42"/>
      <c r="AH225" s="52" t="s">
        <v>10212</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50"/>
      <c r="AA226" s="50"/>
      <c r="AB226" s="48"/>
      <c r="AC226" s="48"/>
      <c r="AD226" s="48"/>
      <c r="AE226" s="45"/>
      <c r="AF226" s="51"/>
      <c r="AG226" s="42"/>
      <c r="AH226" s="52" t="s">
        <v>10213</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50"/>
      <c r="AA227" s="50"/>
      <c r="AB227" s="48"/>
      <c r="AC227" s="48"/>
      <c r="AD227" s="48"/>
      <c r="AE227" s="45"/>
      <c r="AF227" s="51"/>
      <c r="AG227" s="42"/>
      <c r="AH227" s="52" t="s">
        <v>10214</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50"/>
      <c r="AA228" s="50"/>
      <c r="AB228" s="48"/>
      <c r="AC228" s="48"/>
      <c r="AD228" s="48"/>
      <c r="AE228" s="45"/>
      <c r="AF228" s="51"/>
      <c r="AG228" s="42"/>
      <c r="AH228" s="52" t="s">
        <v>10215</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50"/>
      <c r="AA229" s="50"/>
      <c r="AB229" s="48"/>
      <c r="AC229" s="48"/>
      <c r="AD229" s="48"/>
      <c r="AE229" s="45"/>
      <c r="AF229" s="51"/>
      <c r="AG229" s="42"/>
      <c r="AH229" s="52" t="s">
        <v>10216</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50"/>
      <c r="AA230" s="50"/>
      <c r="AB230" s="48"/>
      <c r="AC230" s="48"/>
      <c r="AD230" s="48"/>
      <c r="AE230" s="45"/>
      <c r="AF230" s="51"/>
      <c r="AG230" s="42"/>
      <c r="AH230" s="52" t="s">
        <v>10217</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50"/>
      <c r="AA231" s="50"/>
      <c r="AB231" s="48"/>
      <c r="AC231" s="48"/>
      <c r="AD231" s="48"/>
      <c r="AE231" s="45"/>
      <c r="AF231" s="51"/>
      <c r="AG231" s="42"/>
      <c r="AH231" s="52" t="s">
        <v>10218</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50"/>
      <c r="AA232" s="50"/>
      <c r="AB232" s="48"/>
      <c r="AC232" s="48"/>
      <c r="AD232" s="48"/>
      <c r="AE232" s="45"/>
      <c r="AF232" s="51"/>
      <c r="AG232" s="42"/>
      <c r="AH232" s="52" t="s">
        <v>10219</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50"/>
      <c r="AA233" s="50"/>
      <c r="AB233" s="48"/>
      <c r="AC233" s="48"/>
      <c r="AD233" s="48"/>
      <c r="AE233" s="45"/>
      <c r="AF233" s="51"/>
      <c r="AG233" s="42"/>
      <c r="AH233" s="52" t="s">
        <v>10220</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50"/>
      <c r="AA234" s="50"/>
      <c r="AB234" s="48"/>
      <c r="AC234" s="48"/>
      <c r="AD234" s="48"/>
      <c r="AE234" s="45"/>
      <c r="AF234" s="51"/>
      <c r="AG234" s="42"/>
      <c r="AH234" s="52" t="s">
        <v>10221</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50"/>
      <c r="AA235" s="50"/>
      <c r="AB235" s="48"/>
      <c r="AC235" s="48"/>
      <c r="AD235" s="48"/>
      <c r="AE235" s="45"/>
      <c r="AF235" s="51"/>
      <c r="AG235" s="42"/>
      <c r="AH235" s="52" t="s">
        <v>10222</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50"/>
      <c r="AA236" s="50"/>
      <c r="AB236" s="48"/>
      <c r="AC236" s="48"/>
      <c r="AD236" s="48"/>
      <c r="AE236" s="45"/>
      <c r="AF236" s="51"/>
      <c r="AG236" s="42"/>
      <c r="AH236" s="52" t="s">
        <v>10223</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50"/>
      <c r="AA237" s="50"/>
      <c r="AB237" s="48"/>
      <c r="AC237" s="48"/>
      <c r="AD237" s="48"/>
      <c r="AE237" s="45"/>
      <c r="AF237" s="51"/>
      <c r="AG237" s="42"/>
      <c r="AH237" s="52" t="s">
        <v>10224</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50"/>
      <c r="AA238" s="50"/>
      <c r="AB238" s="48"/>
      <c r="AC238" s="48"/>
      <c r="AD238" s="48"/>
      <c r="AE238" s="45"/>
      <c r="AF238" s="51"/>
      <c r="AG238" s="42"/>
      <c r="AH238" s="52" t="s">
        <v>10225</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50"/>
      <c r="AA239" s="50"/>
      <c r="AB239" s="48"/>
      <c r="AC239" s="48"/>
      <c r="AD239" s="48"/>
      <c r="AE239" s="45"/>
      <c r="AF239" s="51"/>
      <c r="AG239" s="42"/>
      <c r="AH239" s="52" t="s">
        <v>10226</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10227</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10228</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10229</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10230</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10231</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10232</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10233</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10234</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10235</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10236</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10237</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10238</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10239</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10240</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10241</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10242</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10243</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10244</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10245</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10246</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10247</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10248</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10249</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10250</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10251</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10252</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10253</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10254</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10255</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10256</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10257</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10258</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10259</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10260</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10261</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10262</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10263</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10264</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10265</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10266</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10267</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10268</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10269</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10270</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10271</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10272</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10273</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10274</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10275</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10276</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10277</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10278</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10279</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10280</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10281</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10282</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10283</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10284</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10285</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10286</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10287</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10288</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10289</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10290</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10291</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10292</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10293</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10294</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10295</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10296</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10297</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10298</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10299</v>
      </c>
      <c r="C312" s="2050"/>
      <c r="D312" s="2050"/>
      <c r="E312" s="2050"/>
      <c r="F312" s="2051"/>
      <c r="G312" s="2051"/>
      <c r="H312" s="2052"/>
      <c r="I312" s="2052"/>
      <c r="J312" s="2053"/>
      <c r="K312" s="2054"/>
      <c r="L312" s="2053"/>
      <c r="M312" s="2055"/>
      <c r="N312" s="2022">
        <f>SUM(N162:N311)</f>
        <v>500</v>
      </c>
      <c r="O312" s="2022">
        <f>SUM(O162:O311)</f>
        <v>20.69</v>
      </c>
      <c r="P312" s="2022">
        <f>SUM(P162:P311)</f>
        <v>20.69</v>
      </c>
      <c r="Q312" s="2021">
        <f>SUM(Q162:Q311)</f>
        <v>103.45</v>
      </c>
      <c r="R312" s="2055"/>
      <c r="S312" s="2055"/>
      <c r="T312" s="2055"/>
      <c r="U312" s="2055"/>
      <c r="V312" s="2055"/>
      <c r="W312" s="2055"/>
      <c r="X312" s="2022">
        <f>SUM(X162:X311)</f>
        <v>0.38897200000000004</v>
      </c>
      <c r="Y312" s="2022">
        <f>SUM(Y162:Y311)</f>
        <v>0.38897200000000004</v>
      </c>
      <c r="Z312" s="2063"/>
      <c r="AA312" s="2063"/>
      <c r="AB312" s="2022">
        <f>SUM(AB162:AB311)</f>
        <v>1.1839999999999999</v>
      </c>
      <c r="AC312" s="2022">
        <f>SUM(AC162:AC311)</f>
        <v>19.503</v>
      </c>
      <c r="AD312" s="2022">
        <f>SUM(AD162:AD311)</f>
        <v>20.69</v>
      </c>
      <c r="AE312" s="2052"/>
      <c r="AF312" s="2057"/>
      <c r="AG312" s="42"/>
      <c r="AH312" s="54" t="s">
        <v>10300</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10301</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t="s">
        <v>10302</v>
      </c>
      <c r="C315" s="36" t="s">
        <v>9918</v>
      </c>
      <c r="D315" s="37" t="s">
        <v>9919</v>
      </c>
      <c r="E315" s="2629" t="s">
        <v>9920</v>
      </c>
      <c r="F315" s="36" t="s">
        <v>9921</v>
      </c>
      <c r="G315" s="36" t="s">
        <v>9922</v>
      </c>
      <c r="H315" s="36" t="s">
        <v>9921</v>
      </c>
      <c r="I315" s="36" t="s">
        <v>9923</v>
      </c>
      <c r="J315" s="38" t="s">
        <v>9921</v>
      </c>
      <c r="K315" s="39">
        <v>100</v>
      </c>
      <c r="L315" s="38">
        <v>47877</v>
      </c>
      <c r="M315" s="2046">
        <v>7</v>
      </c>
      <c r="N315" s="39">
        <v>50</v>
      </c>
      <c r="O315" s="39">
        <v>41.142000000000003</v>
      </c>
      <c r="P315" s="39">
        <v>41.142000000000003</v>
      </c>
      <c r="Q315" s="2017">
        <f>IFERROR(M315*O315,"")</f>
        <v>287.99400000000003</v>
      </c>
      <c r="R315" s="2631">
        <v>3.5062000000000001E-3</v>
      </c>
      <c r="S315" s="2066"/>
      <c r="T315" s="2066"/>
      <c r="U315" s="2066"/>
      <c r="V315" s="2066"/>
      <c r="W315" s="2018">
        <f t="shared" ref="W315:W378" si="142">IF(R315=0,0,((1+R315)*(1+C$626))-1)</f>
        <v>3.5061999999999038E-3</v>
      </c>
      <c r="X315" s="2025">
        <f t="shared" ref="X315:X378" si="143">W315*P315</f>
        <v>0.14425208039999604</v>
      </c>
      <c r="Y315" s="2025">
        <f t="shared" ref="Y315:Y378" si="144" xml:space="preserve"> R315*P315</f>
        <v>0.14425208040000001</v>
      </c>
      <c r="Z315" s="2631" t="s">
        <v>9924</v>
      </c>
      <c r="AA315" s="2631" t="s">
        <v>9924</v>
      </c>
      <c r="AB315" s="2633">
        <v>2.3E-2</v>
      </c>
      <c r="AC315" s="2633">
        <v>41.12</v>
      </c>
      <c r="AD315" s="2633">
        <v>41.142000000000003</v>
      </c>
      <c r="AE315" s="36"/>
      <c r="AF315" s="41"/>
      <c r="AG315" s="42"/>
      <c r="AH315" s="43" t="s">
        <v>10303</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1</v>
      </c>
      <c r="AU315" s="285">
        <f t="shared" ref="AU315:AU378" si="147" xml:space="preserve"> IF( ISNUMBER(K315 ), 0, 1 )</f>
        <v>0</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1</v>
      </c>
      <c r="BK315" s="285">
        <f t="shared" ref="BK315:BK378" si="155" xml:space="preserve"> IF( ISNUMBER(AA315 ), 0, 1 )</f>
        <v>1</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8"/>
      <c r="BT315" s="778"/>
      <c r="BU315" s="778"/>
    </row>
    <row r="316" spans="1:73" s="22" customFormat="1" ht="15.75" customHeight="1" outlineLevel="1">
      <c r="A316" s="778"/>
      <c r="B316" s="44" t="s">
        <v>10304</v>
      </c>
      <c r="C316" s="45" t="s">
        <v>9918</v>
      </c>
      <c r="D316" s="46" t="s">
        <v>9919</v>
      </c>
      <c r="E316" s="2630" t="s">
        <v>9920</v>
      </c>
      <c r="F316" s="45" t="s">
        <v>9921</v>
      </c>
      <c r="G316" s="46" t="s">
        <v>9922</v>
      </c>
      <c r="H316" s="45" t="s">
        <v>9921</v>
      </c>
      <c r="I316" s="45" t="s">
        <v>9923</v>
      </c>
      <c r="J316" s="47" t="s">
        <v>9921</v>
      </c>
      <c r="K316" s="48">
        <v>100</v>
      </c>
      <c r="L316" s="47">
        <v>47954</v>
      </c>
      <c r="M316" s="2048">
        <v>8</v>
      </c>
      <c r="N316" s="48">
        <v>50</v>
      </c>
      <c r="O316" s="49">
        <v>43.174999999999997</v>
      </c>
      <c r="P316" s="49">
        <v>43.174999999999997</v>
      </c>
      <c r="Q316" s="2019">
        <f>IFERROR(M316*O316,"")</f>
        <v>345.4</v>
      </c>
      <c r="R316" s="2632">
        <v>3.8866999999999999E-3</v>
      </c>
      <c r="S316" s="2067"/>
      <c r="T316" s="2067"/>
      <c r="U316" s="2067"/>
      <c r="V316" s="2067"/>
      <c r="W316" s="2020">
        <f t="shared" si="142"/>
        <v>3.8867000000000207E-3</v>
      </c>
      <c r="X316" s="2026">
        <f t="shared" si="143"/>
        <v>0.16780827250000088</v>
      </c>
      <c r="Y316" s="2026">
        <f t="shared" si="144"/>
        <v>0.16780827249999999</v>
      </c>
      <c r="Z316" s="2632" t="s">
        <v>9924</v>
      </c>
      <c r="AA316" s="2632" t="s">
        <v>9924</v>
      </c>
      <c r="AB316" s="2634">
        <v>0</v>
      </c>
      <c r="AC316" s="2634">
        <v>43.174999999999997</v>
      </c>
      <c r="AD316" s="2634">
        <v>43.174999999999997</v>
      </c>
      <c r="AE316" s="45"/>
      <c r="AF316" s="51"/>
      <c r="AG316" s="42"/>
      <c r="AH316" s="52" t="s">
        <v>10305</v>
      </c>
      <c r="AI316" s="197"/>
      <c r="AJ316" s="363"/>
      <c r="AK316" s="284" t="str">
        <f t="shared" si="145"/>
        <v>Please complete all cells in row</v>
      </c>
      <c r="AL316" s="363"/>
      <c r="AM316" s="224"/>
      <c r="AN316" s="224"/>
      <c r="AO316" s="224"/>
      <c r="AP316" s="224"/>
      <c r="AQ316" s="224"/>
      <c r="AR316" s="224"/>
      <c r="AS316" s="224"/>
      <c r="AT316" s="285">
        <f t="shared" si="146"/>
        <v>1</v>
      </c>
      <c r="AU316" s="285">
        <f t="shared" si="147"/>
        <v>0</v>
      </c>
      <c r="AV316" s="285">
        <f t="shared" si="148"/>
        <v>0</v>
      </c>
      <c r="AW316" s="285">
        <f t="shared" si="149"/>
        <v>0</v>
      </c>
      <c r="AX316" s="285">
        <f t="shared" si="150"/>
        <v>0</v>
      </c>
      <c r="AY316" s="285">
        <f t="shared" si="151"/>
        <v>0</v>
      </c>
      <c r="AZ316" s="285">
        <f t="shared" si="152"/>
        <v>0</v>
      </c>
      <c r="BA316" s="270"/>
      <c r="BB316" s="285">
        <f t="shared" si="153"/>
        <v>0</v>
      </c>
      <c r="BC316" s="270"/>
      <c r="BD316" s="270"/>
      <c r="BE316" s="270"/>
      <c r="BF316" s="270"/>
      <c r="BG316" s="270"/>
      <c r="BH316" s="270"/>
      <c r="BI316" s="270"/>
      <c r="BJ316" s="285">
        <f t="shared" si="154"/>
        <v>1</v>
      </c>
      <c r="BK316" s="285">
        <f t="shared" si="155"/>
        <v>1</v>
      </c>
      <c r="BL316" s="285">
        <f t="shared" si="156"/>
        <v>0</v>
      </c>
      <c r="BM316" s="285">
        <f t="shared" si="157"/>
        <v>0</v>
      </c>
      <c r="BN316" s="285">
        <f t="shared" si="158"/>
        <v>0</v>
      </c>
      <c r="BO316" s="285">
        <f t="shared" si="159"/>
        <v>1</v>
      </c>
      <c r="BP316" s="363"/>
      <c r="BQ316" s="224"/>
      <c r="BR316" s="224"/>
      <c r="BS316" s="778"/>
      <c r="BT316" s="778"/>
      <c r="BU316" s="778"/>
    </row>
    <row r="317" spans="1:73" s="22" customFormat="1" ht="15.75" customHeight="1" outlineLevel="1">
      <c r="A317" s="778"/>
      <c r="B317" s="44" t="s">
        <v>10306</v>
      </c>
      <c r="C317" s="45" t="s">
        <v>9918</v>
      </c>
      <c r="D317" s="46" t="s">
        <v>9919</v>
      </c>
      <c r="E317" s="2630" t="s">
        <v>9937</v>
      </c>
      <c r="F317" s="45" t="s">
        <v>9921</v>
      </c>
      <c r="G317" s="46" t="s">
        <v>9922</v>
      </c>
      <c r="H317" s="45" t="s">
        <v>9921</v>
      </c>
      <c r="I317" s="45" t="s">
        <v>9923</v>
      </c>
      <c r="J317" s="47" t="s">
        <v>9921</v>
      </c>
      <c r="K317" s="48">
        <v>100</v>
      </c>
      <c r="L317" s="47">
        <v>45945</v>
      </c>
      <c r="M317" s="2048">
        <v>2</v>
      </c>
      <c r="N317" s="48">
        <v>150</v>
      </c>
      <c r="O317" s="49">
        <v>206.89599999999999</v>
      </c>
      <c r="P317" s="49">
        <v>206.89599999999999</v>
      </c>
      <c r="Q317" s="2019">
        <f t="shared" ref="Q317:Q380" si="160">IFERROR(M317*O317,"")</f>
        <v>413.79199999999997</v>
      </c>
      <c r="R317" s="2632">
        <v>6.4100000000000008E-3</v>
      </c>
      <c r="S317" s="2067"/>
      <c r="T317" s="2067"/>
      <c r="U317" s="2067"/>
      <c r="V317" s="2067"/>
      <c r="W317" s="2020">
        <f t="shared" si="142"/>
        <v>6.4100000000000268E-3</v>
      </c>
      <c r="X317" s="2026">
        <f t="shared" si="143"/>
        <v>1.3262033600000054</v>
      </c>
      <c r="Y317" s="2026">
        <f t="shared" si="144"/>
        <v>1.3262033600000001</v>
      </c>
      <c r="Z317" s="2632" t="s">
        <v>9924</v>
      </c>
      <c r="AA317" s="2632" t="s">
        <v>9924</v>
      </c>
      <c r="AB317" s="2634">
        <v>1.9E-2</v>
      </c>
      <c r="AC317" s="2634">
        <v>206.89599999999999</v>
      </c>
      <c r="AD317" s="2634">
        <v>206.89599999999999</v>
      </c>
      <c r="AE317" s="45" t="s">
        <v>10307</v>
      </c>
      <c r="AF317" s="51"/>
      <c r="AG317" s="42"/>
      <c r="AH317" s="52" t="s">
        <v>10308</v>
      </c>
      <c r="AI317" s="197"/>
      <c r="AJ317" s="363"/>
      <c r="AK317" s="284" t="str">
        <f t="shared" si="145"/>
        <v>Please complete all cells in row</v>
      </c>
      <c r="AL317" s="363"/>
      <c r="AM317" s="224"/>
      <c r="AN317" s="224"/>
      <c r="AO317" s="224"/>
      <c r="AP317" s="224"/>
      <c r="AQ317" s="224"/>
      <c r="AR317" s="224"/>
      <c r="AS317" s="224"/>
      <c r="AT317" s="285">
        <f t="shared" si="146"/>
        <v>1</v>
      </c>
      <c r="AU317" s="285">
        <f t="shared" si="147"/>
        <v>0</v>
      </c>
      <c r="AV317" s="285">
        <f t="shared" si="148"/>
        <v>0</v>
      </c>
      <c r="AW317" s="285">
        <f t="shared" si="149"/>
        <v>0</v>
      </c>
      <c r="AX317" s="285">
        <f t="shared" si="150"/>
        <v>0</v>
      </c>
      <c r="AY317" s="285">
        <f t="shared" si="151"/>
        <v>0</v>
      </c>
      <c r="AZ317" s="285">
        <f t="shared" si="152"/>
        <v>0</v>
      </c>
      <c r="BA317" s="270"/>
      <c r="BB317" s="285">
        <f t="shared" si="153"/>
        <v>0</v>
      </c>
      <c r="BC317" s="270"/>
      <c r="BD317" s="270"/>
      <c r="BE317" s="270"/>
      <c r="BF317" s="270"/>
      <c r="BG317" s="270"/>
      <c r="BH317" s="270"/>
      <c r="BI317" s="270"/>
      <c r="BJ317" s="285">
        <f t="shared" si="154"/>
        <v>1</v>
      </c>
      <c r="BK317" s="285">
        <f t="shared" si="155"/>
        <v>1</v>
      </c>
      <c r="BL317" s="285">
        <f t="shared" si="156"/>
        <v>0</v>
      </c>
      <c r="BM317" s="285">
        <f t="shared" si="157"/>
        <v>0</v>
      </c>
      <c r="BN317" s="285">
        <f t="shared" si="158"/>
        <v>0</v>
      </c>
      <c r="BO317" s="285">
        <f t="shared" si="159"/>
        <v>1</v>
      </c>
      <c r="BP317" s="363"/>
      <c r="BQ317" s="224"/>
      <c r="BR317" s="224"/>
      <c r="BS317" s="778"/>
      <c r="BT317" s="778"/>
      <c r="BU317" s="778"/>
    </row>
    <row r="318" spans="1:73" s="22" customFormat="1" ht="15.75" customHeight="1" outlineLevel="1">
      <c r="A318" s="778"/>
      <c r="B318" s="44" t="s">
        <v>10309</v>
      </c>
      <c r="C318" s="45" t="s">
        <v>9918</v>
      </c>
      <c r="D318" s="46" t="s">
        <v>9919</v>
      </c>
      <c r="E318" s="2630" t="s">
        <v>9937</v>
      </c>
      <c r="F318" s="45" t="s">
        <v>9921</v>
      </c>
      <c r="G318" s="46" t="s">
        <v>9922</v>
      </c>
      <c r="H318" s="45" t="s">
        <v>9921</v>
      </c>
      <c r="I318" s="45" t="s">
        <v>9923</v>
      </c>
      <c r="J318" s="47" t="s">
        <v>9921</v>
      </c>
      <c r="K318" s="48">
        <v>100</v>
      </c>
      <c r="L318" s="47">
        <v>46560</v>
      </c>
      <c r="M318" s="2048">
        <v>4</v>
      </c>
      <c r="N318" s="48">
        <v>100</v>
      </c>
      <c r="O318" s="49">
        <v>130.28800000000001</v>
      </c>
      <c r="P318" s="49">
        <v>130.28800000000001</v>
      </c>
      <c r="Q318" s="2019">
        <f t="shared" si="160"/>
        <v>521.15200000000004</v>
      </c>
      <c r="R318" s="2632">
        <v>7.7850000000000003E-3</v>
      </c>
      <c r="S318" s="2067"/>
      <c r="T318" s="2067"/>
      <c r="U318" s="2067"/>
      <c r="V318" s="2067"/>
      <c r="W318" s="2020">
        <f t="shared" si="142"/>
        <v>7.7849999999999309E-3</v>
      </c>
      <c r="X318" s="2026">
        <f t="shared" si="143"/>
        <v>1.014292079999991</v>
      </c>
      <c r="Y318" s="2026">
        <f t="shared" si="144"/>
        <v>1.0142920800000002</v>
      </c>
      <c r="Z318" s="2632" t="s">
        <v>9924</v>
      </c>
      <c r="AA318" s="2632" t="s">
        <v>9924</v>
      </c>
      <c r="AB318" s="2634">
        <v>1.2999999999999999E-2</v>
      </c>
      <c r="AC318" s="2634">
        <v>130.27500000000001</v>
      </c>
      <c r="AD318" s="2634">
        <v>130.28800000000001</v>
      </c>
      <c r="AE318" s="45" t="s">
        <v>10307</v>
      </c>
      <c r="AF318" s="51"/>
      <c r="AG318" s="42"/>
      <c r="AH318" s="52" t="s">
        <v>10310</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0</v>
      </c>
      <c r="AV318" s="285">
        <f t="shared" si="148"/>
        <v>0</v>
      </c>
      <c r="AW318" s="285">
        <f t="shared" si="149"/>
        <v>0</v>
      </c>
      <c r="AX318" s="285">
        <f t="shared" si="150"/>
        <v>0</v>
      </c>
      <c r="AY318" s="285">
        <f t="shared" si="151"/>
        <v>0</v>
      </c>
      <c r="AZ318" s="285">
        <f t="shared" si="152"/>
        <v>0</v>
      </c>
      <c r="BA318" s="270"/>
      <c r="BB318" s="285">
        <f t="shared" si="153"/>
        <v>0</v>
      </c>
      <c r="BC318" s="270"/>
      <c r="BD318" s="270"/>
      <c r="BE318" s="270"/>
      <c r="BF318" s="270"/>
      <c r="BG318" s="270"/>
      <c r="BH318" s="270"/>
      <c r="BI318" s="270"/>
      <c r="BJ318" s="285">
        <f t="shared" si="154"/>
        <v>1</v>
      </c>
      <c r="BK318" s="285">
        <f t="shared" si="155"/>
        <v>1</v>
      </c>
      <c r="BL318" s="285">
        <f t="shared" si="156"/>
        <v>0</v>
      </c>
      <c r="BM318" s="285">
        <f t="shared" si="157"/>
        <v>0</v>
      </c>
      <c r="BN318" s="285">
        <f t="shared" si="158"/>
        <v>0</v>
      </c>
      <c r="BO318" s="285">
        <f t="shared" si="159"/>
        <v>1</v>
      </c>
      <c r="BP318" s="363"/>
      <c r="BQ318" s="224"/>
      <c r="BR318" s="224"/>
      <c r="BS318" s="778"/>
      <c r="BT318" s="778"/>
      <c r="BU318" s="778"/>
    </row>
    <row r="319" spans="1:73" s="22" customFormat="1" ht="15.75" customHeight="1" outlineLevel="1">
      <c r="A319" s="778"/>
      <c r="B319" s="44" t="s">
        <v>10311</v>
      </c>
      <c r="C319" s="45" t="s">
        <v>9918</v>
      </c>
      <c r="D319" s="46" t="s">
        <v>9931</v>
      </c>
      <c r="E319" s="2630" t="s">
        <v>9920</v>
      </c>
      <c r="F319" s="45" t="s">
        <v>9921</v>
      </c>
      <c r="G319" s="46" t="s">
        <v>9922</v>
      </c>
      <c r="H319" s="45" t="s">
        <v>9921</v>
      </c>
      <c r="I319" s="45" t="s">
        <v>9923</v>
      </c>
      <c r="J319" s="47" t="s">
        <v>9921</v>
      </c>
      <c r="K319" s="48">
        <v>100</v>
      </c>
      <c r="L319" s="47">
        <v>52321</v>
      </c>
      <c r="M319" s="2048">
        <v>20</v>
      </c>
      <c r="N319" s="48">
        <v>47.052999999999997</v>
      </c>
      <c r="O319" s="49">
        <v>49.475000000000001</v>
      </c>
      <c r="P319" s="49">
        <v>49.475000000000001</v>
      </c>
      <c r="Q319" s="2019">
        <f t="shared" si="160"/>
        <v>989.5</v>
      </c>
      <c r="R319" s="2632">
        <v>1.3819999999999997E-2</v>
      </c>
      <c r="S319" s="2067"/>
      <c r="T319" s="2067"/>
      <c r="U319" s="2067"/>
      <c r="V319" s="2067"/>
      <c r="W319" s="2020">
        <f t="shared" si="142"/>
        <v>1.3819999999999943E-2</v>
      </c>
      <c r="X319" s="2026">
        <f t="shared" si="143"/>
        <v>0.6837444999999972</v>
      </c>
      <c r="Y319" s="2026">
        <f t="shared" si="144"/>
        <v>0.68374449999999987</v>
      </c>
      <c r="Z319" s="2632" t="s">
        <v>9924</v>
      </c>
      <c r="AA319" s="2632" t="s">
        <v>9924</v>
      </c>
      <c r="AB319" s="2634">
        <v>0.152</v>
      </c>
      <c r="AC319" s="2634">
        <v>49.323</v>
      </c>
      <c r="AD319" s="2634">
        <v>49.475000000000001</v>
      </c>
      <c r="AE319" s="45"/>
      <c r="AF319" s="51"/>
      <c r="AG319" s="42"/>
      <c r="AH319" s="52" t="s">
        <v>10312</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0</v>
      </c>
      <c r="AV319" s="285">
        <f t="shared" si="148"/>
        <v>0</v>
      </c>
      <c r="AW319" s="285">
        <f t="shared" si="149"/>
        <v>0</v>
      </c>
      <c r="AX319" s="285">
        <f t="shared" si="150"/>
        <v>0</v>
      </c>
      <c r="AY319" s="285">
        <f t="shared" si="151"/>
        <v>0</v>
      </c>
      <c r="AZ319" s="285">
        <f t="shared" si="152"/>
        <v>0</v>
      </c>
      <c r="BA319" s="270"/>
      <c r="BB319" s="285">
        <f t="shared" si="153"/>
        <v>0</v>
      </c>
      <c r="BC319" s="270"/>
      <c r="BD319" s="270"/>
      <c r="BE319" s="270"/>
      <c r="BF319" s="270"/>
      <c r="BG319" s="270"/>
      <c r="BH319" s="270"/>
      <c r="BI319" s="270"/>
      <c r="BJ319" s="285">
        <f t="shared" si="154"/>
        <v>1</v>
      </c>
      <c r="BK319" s="285">
        <f t="shared" si="155"/>
        <v>1</v>
      </c>
      <c r="BL319" s="285">
        <f t="shared" si="156"/>
        <v>0</v>
      </c>
      <c r="BM319" s="285">
        <f t="shared" si="157"/>
        <v>0</v>
      </c>
      <c r="BN319" s="285">
        <f t="shared" si="158"/>
        <v>0</v>
      </c>
      <c r="BO319" s="285">
        <f t="shared" si="159"/>
        <v>1</v>
      </c>
      <c r="BP319" s="363"/>
      <c r="BQ319" s="224"/>
      <c r="BR319" s="224"/>
      <c r="BS319" s="778"/>
      <c r="BT319" s="778"/>
      <c r="BU319" s="778"/>
    </row>
    <row r="320" spans="1:73" s="22" customFormat="1" ht="15.75" customHeight="1" outlineLevel="1">
      <c r="A320" s="778"/>
      <c r="B320" s="44" t="s">
        <v>10313</v>
      </c>
      <c r="C320" s="45" t="s">
        <v>9941</v>
      </c>
      <c r="D320" s="46" t="s">
        <v>9942</v>
      </c>
      <c r="E320" s="2630" t="s">
        <v>9937</v>
      </c>
      <c r="F320" s="45" t="s">
        <v>10314</v>
      </c>
      <c r="G320" s="46" t="s">
        <v>9922</v>
      </c>
      <c r="H320" s="45" t="s">
        <v>9944</v>
      </c>
      <c r="I320" s="45" t="s">
        <v>9923</v>
      </c>
      <c r="J320" s="47" t="s">
        <v>9921</v>
      </c>
      <c r="K320" s="48">
        <v>100</v>
      </c>
      <c r="L320" s="47">
        <v>49871</v>
      </c>
      <c r="M320" s="2048">
        <v>13</v>
      </c>
      <c r="N320" s="48">
        <v>150</v>
      </c>
      <c r="O320" s="49">
        <v>272.51</v>
      </c>
      <c r="P320" s="49">
        <v>272.51</v>
      </c>
      <c r="Q320" s="2019">
        <f t="shared" si="160"/>
        <v>3542.63</v>
      </c>
      <c r="R320" s="2632">
        <v>1.6638433033350979E-2</v>
      </c>
      <c r="S320" s="2067"/>
      <c r="T320" s="2067"/>
      <c r="U320" s="2067"/>
      <c r="V320" s="2067"/>
      <c r="W320" s="2020">
        <f t="shared" si="142"/>
        <v>1.6638433033350886E-2</v>
      </c>
      <c r="X320" s="2026">
        <f t="shared" si="143"/>
        <v>4.5341393859184498</v>
      </c>
      <c r="Y320" s="2026">
        <f t="shared" si="144"/>
        <v>4.5341393859184755</v>
      </c>
      <c r="Z320" s="2632" t="s">
        <v>9924</v>
      </c>
      <c r="AA320" s="2632" t="s">
        <v>9924</v>
      </c>
      <c r="AB320" s="2634">
        <v>2.1339999999999999</v>
      </c>
      <c r="AC320" s="2634">
        <v>270.37599999999998</v>
      </c>
      <c r="AD320" s="2634">
        <v>290.98200000000003</v>
      </c>
      <c r="AE320" s="45"/>
      <c r="AF320" s="51"/>
      <c r="AG320" s="42"/>
      <c r="AH320" s="52" t="s">
        <v>10315</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0</v>
      </c>
      <c r="AV320" s="285">
        <f t="shared" si="148"/>
        <v>0</v>
      </c>
      <c r="AW320" s="285">
        <f t="shared" si="149"/>
        <v>0</v>
      </c>
      <c r="AX320" s="285">
        <f t="shared" si="150"/>
        <v>0</v>
      </c>
      <c r="AY320" s="285">
        <f t="shared" si="151"/>
        <v>0</v>
      </c>
      <c r="AZ320" s="285">
        <f t="shared" si="152"/>
        <v>0</v>
      </c>
      <c r="BA320" s="270"/>
      <c r="BB320" s="285">
        <f t="shared" si="153"/>
        <v>0</v>
      </c>
      <c r="BC320" s="270"/>
      <c r="BD320" s="270"/>
      <c r="BE320" s="270"/>
      <c r="BF320" s="270"/>
      <c r="BG320" s="270"/>
      <c r="BH320" s="270"/>
      <c r="BI320" s="270"/>
      <c r="BJ320" s="285">
        <f t="shared" si="154"/>
        <v>1</v>
      </c>
      <c r="BK320" s="285">
        <f t="shared" si="155"/>
        <v>1</v>
      </c>
      <c r="BL320" s="285">
        <f t="shared" si="156"/>
        <v>0</v>
      </c>
      <c r="BM320" s="285">
        <f t="shared" si="157"/>
        <v>0</v>
      </c>
      <c r="BN320" s="285">
        <f t="shared" si="158"/>
        <v>0</v>
      </c>
      <c r="BO320" s="285">
        <f t="shared" si="159"/>
        <v>1</v>
      </c>
      <c r="BP320" s="363"/>
      <c r="BQ320" s="224"/>
      <c r="BR320" s="224"/>
      <c r="BS320" s="778"/>
      <c r="BT320" s="778"/>
      <c r="BU320" s="778"/>
    </row>
    <row r="321" spans="1:73" s="22" customFormat="1" ht="15.75" customHeight="1" outlineLevel="1">
      <c r="A321" s="778"/>
      <c r="B321" s="44" t="s">
        <v>10316</v>
      </c>
      <c r="C321" s="45" t="s">
        <v>9941</v>
      </c>
      <c r="D321" s="46" t="s">
        <v>9942</v>
      </c>
      <c r="E321" s="2630" t="s">
        <v>9937</v>
      </c>
      <c r="F321" s="45" t="s">
        <v>10317</v>
      </c>
      <c r="G321" s="46" t="s">
        <v>9922</v>
      </c>
      <c r="H321" s="45" t="s">
        <v>9944</v>
      </c>
      <c r="I321" s="45" t="s">
        <v>9923</v>
      </c>
      <c r="J321" s="47" t="s">
        <v>9921</v>
      </c>
      <c r="K321" s="48">
        <v>100</v>
      </c>
      <c r="L321" s="47">
        <v>51531</v>
      </c>
      <c r="M321" s="2048">
        <v>17</v>
      </c>
      <c r="N321" s="48">
        <v>60</v>
      </c>
      <c r="O321" s="49">
        <v>107.244</v>
      </c>
      <c r="P321" s="49">
        <v>107.244</v>
      </c>
      <c r="Q321" s="2019">
        <f t="shared" si="160"/>
        <v>1823.1479999999999</v>
      </c>
      <c r="R321" s="2632">
        <v>1.6369791666666668E-2</v>
      </c>
      <c r="S321" s="2067"/>
      <c r="T321" s="2067"/>
      <c r="U321" s="2067"/>
      <c r="V321" s="2067"/>
      <c r="W321" s="2020">
        <f t="shared" si="142"/>
        <v>1.6369791666666744E-2</v>
      </c>
      <c r="X321" s="2026">
        <f t="shared" si="143"/>
        <v>1.7555619375000082</v>
      </c>
      <c r="Y321" s="2026">
        <f t="shared" si="144"/>
        <v>1.7555619375000002</v>
      </c>
      <c r="Z321" s="2632" t="s">
        <v>9924</v>
      </c>
      <c r="AA321" s="2632" t="s">
        <v>9924</v>
      </c>
      <c r="AB321" s="2634">
        <v>9.2999999999999999E-2</v>
      </c>
      <c r="AC321" s="2634">
        <v>107.15</v>
      </c>
      <c r="AD321" s="2634">
        <v>107.968</v>
      </c>
      <c r="AE321" s="45"/>
      <c r="AF321" s="51"/>
      <c r="AG321" s="42"/>
      <c r="AH321" s="52" t="s">
        <v>10318</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0</v>
      </c>
      <c r="AV321" s="285">
        <f t="shared" si="148"/>
        <v>0</v>
      </c>
      <c r="AW321" s="285">
        <f t="shared" si="149"/>
        <v>0</v>
      </c>
      <c r="AX321" s="285">
        <f t="shared" si="150"/>
        <v>0</v>
      </c>
      <c r="AY321" s="285">
        <f t="shared" si="151"/>
        <v>0</v>
      </c>
      <c r="AZ321" s="285">
        <f t="shared" si="152"/>
        <v>0</v>
      </c>
      <c r="BA321" s="270"/>
      <c r="BB321" s="285">
        <f t="shared" si="153"/>
        <v>0</v>
      </c>
      <c r="BC321" s="270"/>
      <c r="BD321" s="270"/>
      <c r="BE321" s="270"/>
      <c r="BF321" s="270"/>
      <c r="BG321" s="270"/>
      <c r="BH321" s="270"/>
      <c r="BI321" s="270"/>
      <c r="BJ321" s="285">
        <f t="shared" si="154"/>
        <v>1</v>
      </c>
      <c r="BK321" s="285">
        <f t="shared" si="155"/>
        <v>1</v>
      </c>
      <c r="BL321" s="285">
        <f t="shared" si="156"/>
        <v>0</v>
      </c>
      <c r="BM321" s="285">
        <f t="shared" si="157"/>
        <v>0</v>
      </c>
      <c r="BN321" s="285">
        <f t="shared" si="158"/>
        <v>0</v>
      </c>
      <c r="BO321" s="285">
        <f t="shared" si="159"/>
        <v>1</v>
      </c>
      <c r="BP321" s="363"/>
      <c r="BQ321" s="224"/>
      <c r="BR321" s="224"/>
      <c r="BS321" s="778"/>
      <c r="BT321" s="778"/>
      <c r="BU321" s="778"/>
    </row>
    <row r="322" spans="1:73" s="22" customFormat="1" ht="15.75" customHeight="1" outlineLevel="1">
      <c r="A322" s="778"/>
      <c r="B322" s="44" t="s">
        <v>10319</v>
      </c>
      <c r="C322" s="45" t="s">
        <v>9941</v>
      </c>
      <c r="D322" s="46" t="s">
        <v>9942</v>
      </c>
      <c r="E322" s="2630" t="s">
        <v>9937</v>
      </c>
      <c r="F322" s="45" t="s">
        <v>10320</v>
      </c>
      <c r="G322" s="46" t="s">
        <v>9922</v>
      </c>
      <c r="H322" s="45" t="s">
        <v>9944</v>
      </c>
      <c r="I322" s="45" t="s">
        <v>9923</v>
      </c>
      <c r="J322" s="47" t="s">
        <v>9921</v>
      </c>
      <c r="K322" s="48">
        <v>100</v>
      </c>
      <c r="L322" s="47">
        <v>54620</v>
      </c>
      <c r="M322" s="2048">
        <v>26</v>
      </c>
      <c r="N322" s="48">
        <v>100</v>
      </c>
      <c r="O322" s="49">
        <v>177.53800000000001</v>
      </c>
      <c r="P322" s="49">
        <v>177.53800000000001</v>
      </c>
      <c r="Q322" s="2019">
        <f t="shared" si="160"/>
        <v>4615.9880000000003</v>
      </c>
      <c r="R322" s="2632">
        <v>1.625969994826694E-2</v>
      </c>
      <c r="S322" s="2067"/>
      <c r="T322" s="2067"/>
      <c r="U322" s="2067"/>
      <c r="V322" s="2067"/>
      <c r="W322" s="2020">
        <f t="shared" si="142"/>
        <v>1.6259699948266926E-2</v>
      </c>
      <c r="X322" s="2026">
        <f t="shared" si="143"/>
        <v>2.8867146094154137</v>
      </c>
      <c r="Y322" s="2026">
        <f t="shared" si="144"/>
        <v>2.8867146094154159</v>
      </c>
      <c r="Z322" s="2632" t="s">
        <v>9924</v>
      </c>
      <c r="AA322" s="2632" t="s">
        <v>9924</v>
      </c>
      <c r="AB322" s="2634">
        <v>-5.0999999999999997E-2</v>
      </c>
      <c r="AC322" s="2634">
        <v>177.589</v>
      </c>
      <c r="AD322" s="2634">
        <v>175.005</v>
      </c>
      <c r="AE322" s="45"/>
      <c r="AF322" s="51"/>
      <c r="AG322" s="42"/>
      <c r="AH322" s="52" t="s">
        <v>10321</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0</v>
      </c>
      <c r="AV322" s="285">
        <f t="shared" si="148"/>
        <v>0</v>
      </c>
      <c r="AW322" s="285">
        <f t="shared" si="149"/>
        <v>0</v>
      </c>
      <c r="AX322" s="285">
        <f t="shared" si="150"/>
        <v>0</v>
      </c>
      <c r="AY322" s="285">
        <f t="shared" si="151"/>
        <v>0</v>
      </c>
      <c r="AZ322" s="285">
        <f t="shared" si="152"/>
        <v>0</v>
      </c>
      <c r="BA322" s="270"/>
      <c r="BB322" s="285">
        <f t="shared" si="153"/>
        <v>0</v>
      </c>
      <c r="BC322" s="270"/>
      <c r="BD322" s="270"/>
      <c r="BE322" s="270"/>
      <c r="BF322" s="270"/>
      <c r="BG322" s="270"/>
      <c r="BH322" s="270"/>
      <c r="BI322" s="270"/>
      <c r="BJ322" s="285">
        <f t="shared" si="154"/>
        <v>1</v>
      </c>
      <c r="BK322" s="285">
        <f t="shared" si="155"/>
        <v>1</v>
      </c>
      <c r="BL322" s="285">
        <f t="shared" si="156"/>
        <v>0</v>
      </c>
      <c r="BM322" s="285">
        <f t="shared" si="157"/>
        <v>0</v>
      </c>
      <c r="BN322" s="285">
        <f t="shared" si="158"/>
        <v>0</v>
      </c>
      <c r="BO322" s="285">
        <f t="shared" si="159"/>
        <v>1</v>
      </c>
      <c r="BP322" s="363"/>
      <c r="BQ322" s="224"/>
      <c r="BR322" s="224"/>
      <c r="BS322" s="778"/>
      <c r="BT322" s="778"/>
      <c r="BU322" s="778"/>
    </row>
    <row r="323" spans="1:73" s="22" customFormat="1" ht="15.75" customHeight="1" outlineLevel="1">
      <c r="A323" s="778"/>
      <c r="B323" s="44" t="s">
        <v>10322</v>
      </c>
      <c r="C323" s="45" t="s">
        <v>9941</v>
      </c>
      <c r="D323" s="46" t="s">
        <v>9942</v>
      </c>
      <c r="E323" s="2630" t="s">
        <v>9937</v>
      </c>
      <c r="F323" s="45" t="s">
        <v>10323</v>
      </c>
      <c r="G323" s="46" t="s">
        <v>9922</v>
      </c>
      <c r="H323" s="45" t="s">
        <v>9944</v>
      </c>
      <c r="I323" s="45" t="s">
        <v>9923</v>
      </c>
      <c r="J323" s="47" t="s">
        <v>9921</v>
      </c>
      <c r="K323" s="48">
        <v>100</v>
      </c>
      <c r="L323" s="47">
        <v>56081</v>
      </c>
      <c r="M323" s="2048">
        <v>30</v>
      </c>
      <c r="N323" s="48">
        <v>100</v>
      </c>
      <c r="O323" s="49">
        <v>177.53800000000001</v>
      </c>
      <c r="P323" s="49">
        <v>177.53800000000001</v>
      </c>
      <c r="Q323" s="2019">
        <f t="shared" si="160"/>
        <v>5326.14</v>
      </c>
      <c r="R323" s="2632">
        <v>1.625969994826694E-2</v>
      </c>
      <c r="S323" s="2067"/>
      <c r="T323" s="2067"/>
      <c r="U323" s="2067"/>
      <c r="V323" s="2067"/>
      <c r="W323" s="2020">
        <f t="shared" si="142"/>
        <v>1.6259699948266926E-2</v>
      </c>
      <c r="X323" s="2026">
        <f t="shared" si="143"/>
        <v>2.8867146094154137</v>
      </c>
      <c r="Y323" s="2026">
        <f t="shared" si="144"/>
        <v>2.8867146094154159</v>
      </c>
      <c r="Z323" s="2632" t="s">
        <v>9924</v>
      </c>
      <c r="AA323" s="2632" t="s">
        <v>9924</v>
      </c>
      <c r="AB323" s="2634">
        <v>-5.2999999999999999E-2</v>
      </c>
      <c r="AC323" s="2634">
        <v>177.59100000000001</v>
      </c>
      <c r="AD323" s="2634">
        <v>170.06299999999999</v>
      </c>
      <c r="AE323" s="45"/>
      <c r="AF323" s="51"/>
      <c r="AG323" s="42"/>
      <c r="AH323" s="52" t="s">
        <v>10324</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0</v>
      </c>
      <c r="AV323" s="285">
        <f t="shared" si="148"/>
        <v>0</v>
      </c>
      <c r="AW323" s="285">
        <f t="shared" si="149"/>
        <v>0</v>
      </c>
      <c r="AX323" s="285">
        <f t="shared" si="150"/>
        <v>0</v>
      </c>
      <c r="AY323" s="285">
        <f t="shared" si="151"/>
        <v>0</v>
      </c>
      <c r="AZ323" s="285">
        <f t="shared" si="152"/>
        <v>0</v>
      </c>
      <c r="BA323" s="270"/>
      <c r="BB323" s="285">
        <f t="shared" si="153"/>
        <v>0</v>
      </c>
      <c r="BC323" s="270"/>
      <c r="BD323" s="270"/>
      <c r="BE323" s="270"/>
      <c r="BF323" s="270"/>
      <c r="BG323" s="270"/>
      <c r="BH323" s="270"/>
      <c r="BI323" s="270"/>
      <c r="BJ323" s="285">
        <f t="shared" si="154"/>
        <v>1</v>
      </c>
      <c r="BK323" s="285">
        <f t="shared" si="155"/>
        <v>1</v>
      </c>
      <c r="BL323" s="285">
        <f t="shared" si="156"/>
        <v>0</v>
      </c>
      <c r="BM323" s="285">
        <f t="shared" si="157"/>
        <v>0</v>
      </c>
      <c r="BN323" s="285">
        <f t="shared" si="158"/>
        <v>0</v>
      </c>
      <c r="BO323" s="285">
        <f t="shared" si="159"/>
        <v>1</v>
      </c>
      <c r="BP323" s="363"/>
      <c r="BQ323" s="224"/>
      <c r="BR323" s="224"/>
      <c r="BS323" s="778"/>
      <c r="BT323" s="778"/>
      <c r="BU323" s="778"/>
    </row>
    <row r="324" spans="1:73" s="22" customFormat="1" ht="15.75" customHeight="1" outlineLevel="1">
      <c r="A324" s="778"/>
      <c r="B324" s="44"/>
      <c r="C324" s="45"/>
      <c r="D324" s="46"/>
      <c r="E324" s="46"/>
      <c r="F324" s="45"/>
      <c r="G324" s="46"/>
      <c r="H324" s="45"/>
      <c r="I324" s="45"/>
      <c r="J324" s="47"/>
      <c r="K324" s="48"/>
      <c r="L324" s="47"/>
      <c r="M324" s="2048"/>
      <c r="N324" s="48"/>
      <c r="O324" s="49"/>
      <c r="P324" s="49"/>
      <c r="Q324" s="2019">
        <f t="shared" si="160"/>
        <v>0</v>
      </c>
      <c r="R324" s="50"/>
      <c r="S324" s="2067"/>
      <c r="T324" s="2067"/>
      <c r="U324" s="2067"/>
      <c r="V324" s="2067"/>
      <c r="W324" s="2020">
        <f t="shared" si="142"/>
        <v>0</v>
      </c>
      <c r="X324" s="2026">
        <f t="shared" si="143"/>
        <v>0</v>
      </c>
      <c r="Y324" s="2026">
        <f t="shared" si="144"/>
        <v>0</v>
      </c>
      <c r="Z324" s="50"/>
      <c r="AA324" s="50"/>
      <c r="AB324" s="48"/>
      <c r="AC324" s="48"/>
      <c r="AD324" s="48"/>
      <c r="AE324" s="45"/>
      <c r="AF324" s="51"/>
      <c r="AG324" s="42"/>
      <c r="AH324" s="52" t="s">
        <v>10325</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8"/>
      <c r="BT324" s="778"/>
      <c r="BU324" s="778"/>
    </row>
    <row r="325" spans="1:73" s="22" customFormat="1" ht="15.75" customHeight="1" outlineLevel="1">
      <c r="A325" s="778"/>
      <c r="B325" s="44"/>
      <c r="C325" s="45"/>
      <c r="D325" s="46"/>
      <c r="E325" s="46"/>
      <c r="F325" s="45"/>
      <c r="G325" s="46"/>
      <c r="H325" s="45"/>
      <c r="I325" s="45"/>
      <c r="J325" s="47"/>
      <c r="K325" s="48"/>
      <c r="L325" s="47"/>
      <c r="M325" s="2048"/>
      <c r="N325" s="48"/>
      <c r="O325" s="49"/>
      <c r="P325" s="49"/>
      <c r="Q325" s="2019">
        <f t="shared" si="160"/>
        <v>0</v>
      </c>
      <c r="R325" s="50"/>
      <c r="S325" s="2067"/>
      <c r="T325" s="2067"/>
      <c r="U325" s="2067"/>
      <c r="V325" s="2067"/>
      <c r="W325" s="2020">
        <f t="shared" si="142"/>
        <v>0</v>
      </c>
      <c r="X325" s="2026">
        <f t="shared" si="143"/>
        <v>0</v>
      </c>
      <c r="Y325" s="2026">
        <f t="shared" si="144"/>
        <v>0</v>
      </c>
      <c r="Z325" s="50"/>
      <c r="AA325" s="50"/>
      <c r="AB325" s="48"/>
      <c r="AC325" s="48"/>
      <c r="AD325" s="48"/>
      <c r="AE325" s="45"/>
      <c r="AF325" s="51"/>
      <c r="AG325" s="42"/>
      <c r="AH325" s="52" t="s">
        <v>10326</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8"/>
      <c r="BT325" s="778"/>
      <c r="BU325" s="778"/>
    </row>
    <row r="326" spans="1:73" s="22" customFormat="1" ht="15.75" customHeight="1" outlineLevel="1">
      <c r="A326" s="778"/>
      <c r="B326" s="44"/>
      <c r="C326" s="45"/>
      <c r="D326" s="46"/>
      <c r="E326" s="46"/>
      <c r="F326" s="45"/>
      <c r="G326" s="46"/>
      <c r="H326" s="45"/>
      <c r="I326" s="45"/>
      <c r="J326" s="47"/>
      <c r="K326" s="48"/>
      <c r="L326" s="47"/>
      <c r="M326" s="2048"/>
      <c r="N326" s="48"/>
      <c r="O326" s="49"/>
      <c r="P326" s="49"/>
      <c r="Q326" s="2019">
        <f t="shared" si="160"/>
        <v>0</v>
      </c>
      <c r="R326" s="50"/>
      <c r="S326" s="2067"/>
      <c r="T326" s="2067"/>
      <c r="U326" s="2067"/>
      <c r="V326" s="2067"/>
      <c r="W326" s="2020">
        <f t="shared" si="142"/>
        <v>0</v>
      </c>
      <c r="X326" s="2026">
        <f t="shared" si="143"/>
        <v>0</v>
      </c>
      <c r="Y326" s="2026">
        <f t="shared" si="144"/>
        <v>0</v>
      </c>
      <c r="Z326" s="50"/>
      <c r="AA326" s="50"/>
      <c r="AB326" s="48"/>
      <c r="AC326" s="48"/>
      <c r="AD326" s="48"/>
      <c r="AE326" s="45"/>
      <c r="AF326" s="51"/>
      <c r="AG326" s="42"/>
      <c r="AH326" s="52" t="s">
        <v>10327</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8"/>
      <c r="BT326" s="778"/>
      <c r="BU326" s="778"/>
    </row>
    <row r="327" spans="1:73" s="22" customFormat="1" ht="15.75" customHeight="1" outlineLevel="1">
      <c r="A327" s="778"/>
      <c r="B327" s="44"/>
      <c r="C327" s="45"/>
      <c r="D327" s="46"/>
      <c r="E327" s="46"/>
      <c r="F327" s="45"/>
      <c r="G327" s="46"/>
      <c r="H327" s="45"/>
      <c r="I327" s="45"/>
      <c r="J327" s="47"/>
      <c r="K327" s="48"/>
      <c r="L327" s="47"/>
      <c r="M327" s="2048"/>
      <c r="N327" s="48"/>
      <c r="O327" s="49"/>
      <c r="P327" s="49"/>
      <c r="Q327" s="2019">
        <f t="shared" si="160"/>
        <v>0</v>
      </c>
      <c r="R327" s="50"/>
      <c r="S327" s="2067"/>
      <c r="T327" s="2067"/>
      <c r="U327" s="2067"/>
      <c r="V327" s="2067"/>
      <c r="W327" s="2020">
        <f t="shared" si="142"/>
        <v>0</v>
      </c>
      <c r="X327" s="2026">
        <f t="shared" si="143"/>
        <v>0</v>
      </c>
      <c r="Y327" s="2026">
        <f t="shared" si="144"/>
        <v>0</v>
      </c>
      <c r="Z327" s="50"/>
      <c r="AA327" s="50"/>
      <c r="AB327" s="48"/>
      <c r="AC327" s="48"/>
      <c r="AD327" s="48"/>
      <c r="AE327" s="45"/>
      <c r="AF327" s="51"/>
      <c r="AG327" s="42"/>
      <c r="AH327" s="52" t="s">
        <v>10328</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8"/>
      <c r="BT327" s="778"/>
      <c r="BU327" s="778"/>
    </row>
    <row r="328" spans="1:73" s="22" customFormat="1" ht="15.75" customHeight="1" outlineLevel="1">
      <c r="A328" s="778"/>
      <c r="B328" s="44"/>
      <c r="C328" s="45"/>
      <c r="D328" s="46"/>
      <c r="E328" s="46"/>
      <c r="F328" s="45"/>
      <c r="G328" s="46"/>
      <c r="H328" s="45"/>
      <c r="I328" s="45"/>
      <c r="J328" s="47"/>
      <c r="K328" s="48"/>
      <c r="L328" s="47"/>
      <c r="M328" s="2048"/>
      <c r="N328" s="48"/>
      <c r="O328" s="49"/>
      <c r="P328" s="49"/>
      <c r="Q328" s="2019">
        <f t="shared" si="160"/>
        <v>0</v>
      </c>
      <c r="R328" s="50"/>
      <c r="S328" s="2067"/>
      <c r="T328" s="2067"/>
      <c r="U328" s="2067"/>
      <c r="V328" s="2067"/>
      <c r="W328" s="2020">
        <f t="shared" si="142"/>
        <v>0</v>
      </c>
      <c r="X328" s="2026">
        <f t="shared" si="143"/>
        <v>0</v>
      </c>
      <c r="Y328" s="2026">
        <f t="shared" si="144"/>
        <v>0</v>
      </c>
      <c r="Z328" s="50"/>
      <c r="AA328" s="50"/>
      <c r="AB328" s="48"/>
      <c r="AC328" s="48"/>
      <c r="AD328" s="48"/>
      <c r="AE328" s="45"/>
      <c r="AF328" s="51"/>
      <c r="AG328" s="42"/>
      <c r="AH328" s="52" t="s">
        <v>10329</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8"/>
      <c r="BT328" s="778"/>
      <c r="BU328" s="778"/>
    </row>
    <row r="329" spans="1:73" s="22" customFormat="1" ht="15.75" customHeight="1" outlineLevel="1">
      <c r="A329" s="778"/>
      <c r="B329" s="44"/>
      <c r="C329" s="45"/>
      <c r="D329" s="46"/>
      <c r="E329" s="46"/>
      <c r="F329" s="45"/>
      <c r="G329" s="46"/>
      <c r="H329" s="45"/>
      <c r="I329" s="45"/>
      <c r="J329" s="47"/>
      <c r="K329" s="48"/>
      <c r="L329" s="47"/>
      <c r="M329" s="2048"/>
      <c r="N329" s="48"/>
      <c r="O329" s="49"/>
      <c r="P329" s="49"/>
      <c r="Q329" s="2019">
        <f t="shared" si="160"/>
        <v>0</v>
      </c>
      <c r="R329" s="50"/>
      <c r="S329" s="2067"/>
      <c r="T329" s="2067"/>
      <c r="U329" s="2067"/>
      <c r="V329" s="2067"/>
      <c r="W329" s="2020">
        <f t="shared" si="142"/>
        <v>0</v>
      </c>
      <c r="X329" s="2026">
        <f t="shared" si="143"/>
        <v>0</v>
      </c>
      <c r="Y329" s="2026">
        <f t="shared" si="144"/>
        <v>0</v>
      </c>
      <c r="Z329" s="50"/>
      <c r="AA329" s="50"/>
      <c r="AB329" s="48"/>
      <c r="AC329" s="48"/>
      <c r="AD329" s="48"/>
      <c r="AE329" s="45"/>
      <c r="AF329" s="51"/>
      <c r="AG329" s="42"/>
      <c r="AH329" s="52" t="s">
        <v>10330</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8"/>
      <c r="BT329" s="778"/>
      <c r="BU329" s="778"/>
    </row>
    <row r="330" spans="1:73" s="22" customFormat="1" ht="15.75" customHeight="1" outlineLevel="1">
      <c r="A330" s="778"/>
      <c r="B330" s="44"/>
      <c r="C330" s="45"/>
      <c r="D330" s="46"/>
      <c r="E330" s="46"/>
      <c r="F330" s="45"/>
      <c r="G330" s="46"/>
      <c r="H330" s="45"/>
      <c r="I330" s="45"/>
      <c r="J330" s="47"/>
      <c r="K330" s="48"/>
      <c r="L330" s="47"/>
      <c r="M330" s="2048"/>
      <c r="N330" s="48"/>
      <c r="O330" s="49"/>
      <c r="P330" s="49"/>
      <c r="Q330" s="2019">
        <f t="shared" si="160"/>
        <v>0</v>
      </c>
      <c r="R330" s="50"/>
      <c r="S330" s="2067"/>
      <c r="T330" s="2067"/>
      <c r="U330" s="2067"/>
      <c r="V330" s="2067"/>
      <c r="W330" s="2020">
        <f t="shared" si="142"/>
        <v>0</v>
      </c>
      <c r="X330" s="2026">
        <f t="shared" si="143"/>
        <v>0</v>
      </c>
      <c r="Y330" s="2026">
        <f t="shared" si="144"/>
        <v>0</v>
      </c>
      <c r="Z330" s="50"/>
      <c r="AA330" s="50"/>
      <c r="AB330" s="48"/>
      <c r="AC330" s="48"/>
      <c r="AD330" s="48"/>
      <c r="AE330" s="45"/>
      <c r="AF330" s="51"/>
      <c r="AG330" s="42"/>
      <c r="AH330" s="52" t="s">
        <v>10331</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8"/>
      <c r="BT330" s="778"/>
      <c r="BU330" s="778"/>
    </row>
    <row r="331" spans="1:73" s="22" customFormat="1" ht="15.75" customHeight="1" outlineLevel="1">
      <c r="A331" s="778"/>
      <c r="B331" s="44"/>
      <c r="C331" s="45"/>
      <c r="D331" s="46"/>
      <c r="E331" s="46"/>
      <c r="F331" s="45"/>
      <c r="G331" s="46"/>
      <c r="H331" s="45"/>
      <c r="I331" s="45"/>
      <c r="J331" s="47"/>
      <c r="K331" s="48"/>
      <c r="L331" s="47"/>
      <c r="M331" s="2048"/>
      <c r="N331" s="48"/>
      <c r="O331" s="49"/>
      <c r="P331" s="49"/>
      <c r="Q331" s="2019">
        <f t="shared" si="160"/>
        <v>0</v>
      </c>
      <c r="R331" s="50"/>
      <c r="S331" s="2067"/>
      <c r="T331" s="2067"/>
      <c r="U331" s="2067"/>
      <c r="V331" s="2067"/>
      <c r="W331" s="2020">
        <f t="shared" si="142"/>
        <v>0</v>
      </c>
      <c r="X331" s="2026">
        <f t="shared" si="143"/>
        <v>0</v>
      </c>
      <c r="Y331" s="2026">
        <f t="shared" si="144"/>
        <v>0</v>
      </c>
      <c r="Z331" s="50"/>
      <c r="AA331" s="50"/>
      <c r="AB331" s="48"/>
      <c r="AC331" s="48"/>
      <c r="AD331" s="48"/>
      <c r="AE331" s="45"/>
      <c r="AF331" s="51"/>
      <c r="AG331" s="42"/>
      <c r="AH331" s="52" t="s">
        <v>10332</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8"/>
      <c r="BT331" s="778"/>
      <c r="BU331" s="778"/>
    </row>
    <row r="332" spans="1:73" s="22" customFormat="1" ht="15.75" customHeight="1" outlineLevel="1">
      <c r="A332" s="778"/>
      <c r="B332" s="44"/>
      <c r="C332" s="45"/>
      <c r="D332" s="46"/>
      <c r="E332" s="46"/>
      <c r="F332" s="45"/>
      <c r="G332" s="46"/>
      <c r="H332" s="45"/>
      <c r="I332" s="45"/>
      <c r="J332" s="47"/>
      <c r="K332" s="48"/>
      <c r="L332" s="47"/>
      <c r="M332" s="2048"/>
      <c r="N332" s="48"/>
      <c r="O332" s="49"/>
      <c r="P332" s="49"/>
      <c r="Q332" s="2019">
        <f t="shared" si="160"/>
        <v>0</v>
      </c>
      <c r="R332" s="50"/>
      <c r="S332" s="2067"/>
      <c r="T332" s="2067"/>
      <c r="U332" s="2067"/>
      <c r="V332" s="2067"/>
      <c r="W332" s="2020">
        <f t="shared" si="142"/>
        <v>0</v>
      </c>
      <c r="X332" s="2026">
        <f t="shared" si="143"/>
        <v>0</v>
      </c>
      <c r="Y332" s="2026">
        <f t="shared" si="144"/>
        <v>0</v>
      </c>
      <c r="Z332" s="50"/>
      <c r="AA332" s="50"/>
      <c r="AB332" s="48"/>
      <c r="AC332" s="48"/>
      <c r="AD332" s="48"/>
      <c r="AE332" s="45"/>
      <c r="AF332" s="51"/>
      <c r="AG332" s="42"/>
      <c r="AH332" s="52" t="s">
        <v>10333</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8"/>
      <c r="BT332" s="778"/>
      <c r="BU332" s="778"/>
    </row>
    <row r="333" spans="1:73" s="22" customFormat="1" ht="15.75" customHeight="1" outlineLevel="1">
      <c r="A333" s="778"/>
      <c r="B333" s="44"/>
      <c r="C333" s="45"/>
      <c r="D333" s="46"/>
      <c r="E333" s="46"/>
      <c r="F333" s="45"/>
      <c r="G333" s="46"/>
      <c r="H333" s="45"/>
      <c r="I333" s="45"/>
      <c r="J333" s="47"/>
      <c r="K333" s="48"/>
      <c r="L333" s="47"/>
      <c r="M333" s="2048"/>
      <c r="N333" s="48"/>
      <c r="O333" s="49"/>
      <c r="P333" s="49"/>
      <c r="Q333" s="2019">
        <f t="shared" si="160"/>
        <v>0</v>
      </c>
      <c r="R333" s="50"/>
      <c r="S333" s="2067"/>
      <c r="T333" s="2067"/>
      <c r="U333" s="2067"/>
      <c r="V333" s="2067"/>
      <c r="W333" s="2020">
        <f t="shared" si="142"/>
        <v>0</v>
      </c>
      <c r="X333" s="2026">
        <f t="shared" si="143"/>
        <v>0</v>
      </c>
      <c r="Y333" s="2026">
        <f t="shared" si="144"/>
        <v>0</v>
      </c>
      <c r="Z333" s="50"/>
      <c r="AA333" s="50"/>
      <c r="AB333" s="48"/>
      <c r="AC333" s="48"/>
      <c r="AD333" s="48"/>
      <c r="AE333" s="45"/>
      <c r="AF333" s="51"/>
      <c r="AG333" s="42"/>
      <c r="AH333" s="52" t="s">
        <v>10334</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8"/>
      <c r="BT333" s="778"/>
      <c r="BU333" s="778"/>
    </row>
    <row r="334" spans="1:73" s="22" customFormat="1" ht="15.75" customHeight="1" outlineLevel="1">
      <c r="A334" s="778"/>
      <c r="B334" s="44"/>
      <c r="C334" s="45"/>
      <c r="D334" s="46"/>
      <c r="E334" s="46"/>
      <c r="F334" s="45"/>
      <c r="G334" s="46"/>
      <c r="H334" s="45"/>
      <c r="I334" s="45"/>
      <c r="J334" s="47"/>
      <c r="K334" s="48"/>
      <c r="L334" s="47"/>
      <c r="M334" s="2048"/>
      <c r="N334" s="48"/>
      <c r="O334" s="49"/>
      <c r="P334" s="49"/>
      <c r="Q334" s="2019">
        <f t="shared" si="160"/>
        <v>0</v>
      </c>
      <c r="R334" s="50"/>
      <c r="S334" s="2067"/>
      <c r="T334" s="2067"/>
      <c r="U334" s="2067"/>
      <c r="V334" s="2067"/>
      <c r="W334" s="2020">
        <f t="shared" si="142"/>
        <v>0</v>
      </c>
      <c r="X334" s="2026">
        <f t="shared" si="143"/>
        <v>0</v>
      </c>
      <c r="Y334" s="2026">
        <f t="shared" si="144"/>
        <v>0</v>
      </c>
      <c r="Z334" s="50"/>
      <c r="AA334" s="50"/>
      <c r="AB334" s="48"/>
      <c r="AC334" s="48"/>
      <c r="AD334" s="48"/>
      <c r="AE334" s="45"/>
      <c r="AF334" s="51"/>
      <c r="AG334" s="42"/>
      <c r="AH334" s="52" t="s">
        <v>10335</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8"/>
      <c r="BT334" s="778"/>
      <c r="BU334" s="778"/>
    </row>
    <row r="335" spans="1:73" s="22" customFormat="1" ht="15.75" customHeight="1" outlineLevel="1">
      <c r="A335" s="778"/>
      <c r="B335" s="44"/>
      <c r="C335" s="45"/>
      <c r="D335" s="46"/>
      <c r="E335" s="46"/>
      <c r="F335" s="45"/>
      <c r="G335" s="46"/>
      <c r="H335" s="45"/>
      <c r="I335" s="45"/>
      <c r="J335" s="47"/>
      <c r="K335" s="48"/>
      <c r="L335" s="47"/>
      <c r="M335" s="2048"/>
      <c r="N335" s="48"/>
      <c r="O335" s="49"/>
      <c r="P335" s="49"/>
      <c r="Q335" s="2019">
        <f t="shared" si="160"/>
        <v>0</v>
      </c>
      <c r="R335" s="50"/>
      <c r="S335" s="2067"/>
      <c r="T335" s="2067"/>
      <c r="U335" s="2067"/>
      <c r="V335" s="2067"/>
      <c r="W335" s="2020">
        <f t="shared" si="142"/>
        <v>0</v>
      </c>
      <c r="X335" s="2026">
        <f t="shared" si="143"/>
        <v>0</v>
      </c>
      <c r="Y335" s="2026">
        <f t="shared" si="144"/>
        <v>0</v>
      </c>
      <c r="Z335" s="50"/>
      <c r="AA335" s="50"/>
      <c r="AB335" s="48"/>
      <c r="AC335" s="48"/>
      <c r="AD335" s="48"/>
      <c r="AE335" s="45"/>
      <c r="AF335" s="51"/>
      <c r="AG335" s="42"/>
      <c r="AH335" s="52" t="s">
        <v>10336</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8"/>
      <c r="BT335" s="778"/>
      <c r="BU335" s="778"/>
    </row>
    <row r="336" spans="1:73" s="22" customFormat="1" ht="15.75" customHeight="1" outlineLevel="1">
      <c r="A336" s="778"/>
      <c r="B336" s="44"/>
      <c r="C336" s="45"/>
      <c r="D336" s="46"/>
      <c r="E336" s="46"/>
      <c r="F336" s="45"/>
      <c r="G336" s="46"/>
      <c r="H336" s="45"/>
      <c r="I336" s="45"/>
      <c r="J336" s="47"/>
      <c r="K336" s="48"/>
      <c r="L336" s="47"/>
      <c r="M336" s="2048"/>
      <c r="N336" s="48"/>
      <c r="O336" s="49"/>
      <c r="P336" s="49"/>
      <c r="Q336" s="2019">
        <f t="shared" si="160"/>
        <v>0</v>
      </c>
      <c r="R336" s="50"/>
      <c r="S336" s="2067"/>
      <c r="T336" s="2067"/>
      <c r="U336" s="2067"/>
      <c r="V336" s="2067"/>
      <c r="W336" s="2020">
        <f t="shared" si="142"/>
        <v>0</v>
      </c>
      <c r="X336" s="2026">
        <f t="shared" si="143"/>
        <v>0</v>
      </c>
      <c r="Y336" s="2026">
        <f t="shared" si="144"/>
        <v>0</v>
      </c>
      <c r="Z336" s="50"/>
      <c r="AA336" s="50"/>
      <c r="AB336" s="48"/>
      <c r="AC336" s="48"/>
      <c r="AD336" s="48"/>
      <c r="AE336" s="45"/>
      <c r="AF336" s="51"/>
      <c r="AG336" s="42"/>
      <c r="AH336" s="52" t="s">
        <v>10337</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8"/>
      <c r="BT336" s="778"/>
      <c r="BU336" s="778"/>
    </row>
    <row r="337" spans="1:73" s="22" customFormat="1" ht="15.75" customHeight="1" outlineLevel="1">
      <c r="A337" s="778"/>
      <c r="B337" s="44"/>
      <c r="C337" s="45"/>
      <c r="D337" s="46"/>
      <c r="E337" s="46"/>
      <c r="F337" s="45"/>
      <c r="G337" s="46"/>
      <c r="H337" s="45"/>
      <c r="I337" s="45"/>
      <c r="J337" s="47"/>
      <c r="K337" s="48"/>
      <c r="L337" s="47"/>
      <c r="M337" s="2048"/>
      <c r="N337" s="48"/>
      <c r="O337" s="49"/>
      <c r="P337" s="49"/>
      <c r="Q337" s="2019">
        <f t="shared" si="160"/>
        <v>0</v>
      </c>
      <c r="R337" s="50"/>
      <c r="S337" s="2067"/>
      <c r="T337" s="2067"/>
      <c r="U337" s="2067"/>
      <c r="V337" s="2067"/>
      <c r="W337" s="2020">
        <f t="shared" si="142"/>
        <v>0</v>
      </c>
      <c r="X337" s="2026">
        <f t="shared" si="143"/>
        <v>0</v>
      </c>
      <c r="Y337" s="2026">
        <f t="shared" si="144"/>
        <v>0</v>
      </c>
      <c r="Z337" s="50"/>
      <c r="AA337" s="50"/>
      <c r="AB337" s="48"/>
      <c r="AC337" s="48"/>
      <c r="AD337" s="48"/>
      <c r="AE337" s="45"/>
      <c r="AF337" s="51"/>
      <c r="AG337" s="42"/>
      <c r="AH337" s="52" t="s">
        <v>10338</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8"/>
      <c r="BT337" s="778"/>
      <c r="BU337" s="778"/>
    </row>
    <row r="338" spans="1:73" s="22" customFormat="1" ht="15.75" customHeight="1" outlineLevel="1">
      <c r="A338" s="778"/>
      <c r="B338" s="44"/>
      <c r="C338" s="45"/>
      <c r="D338" s="46"/>
      <c r="E338" s="46"/>
      <c r="F338" s="45"/>
      <c r="G338" s="46"/>
      <c r="H338" s="45"/>
      <c r="I338" s="45"/>
      <c r="J338" s="47"/>
      <c r="K338" s="48"/>
      <c r="L338" s="47"/>
      <c r="M338" s="2048"/>
      <c r="N338" s="48"/>
      <c r="O338" s="49"/>
      <c r="P338" s="49"/>
      <c r="Q338" s="2019">
        <f t="shared" si="160"/>
        <v>0</v>
      </c>
      <c r="R338" s="50"/>
      <c r="S338" s="2067"/>
      <c r="T338" s="2067"/>
      <c r="U338" s="2067"/>
      <c r="V338" s="2067"/>
      <c r="W338" s="2020">
        <f t="shared" si="142"/>
        <v>0</v>
      </c>
      <c r="X338" s="2026">
        <f t="shared" si="143"/>
        <v>0</v>
      </c>
      <c r="Y338" s="2026">
        <f t="shared" si="144"/>
        <v>0</v>
      </c>
      <c r="Z338" s="50"/>
      <c r="AA338" s="50"/>
      <c r="AB338" s="48"/>
      <c r="AC338" s="48"/>
      <c r="AD338" s="48"/>
      <c r="AE338" s="45"/>
      <c r="AF338" s="51"/>
      <c r="AG338" s="42"/>
      <c r="AH338" s="52" t="s">
        <v>10339</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8"/>
      <c r="BT338" s="778"/>
      <c r="BU338" s="778"/>
    </row>
    <row r="339" spans="1:73" s="22" customFormat="1" ht="15.75" customHeight="1" outlineLevel="1">
      <c r="A339" s="778"/>
      <c r="B339" s="44"/>
      <c r="C339" s="45"/>
      <c r="D339" s="46"/>
      <c r="E339" s="46"/>
      <c r="F339" s="45"/>
      <c r="G339" s="46"/>
      <c r="H339" s="45"/>
      <c r="I339" s="45"/>
      <c r="J339" s="47"/>
      <c r="K339" s="48"/>
      <c r="L339" s="47"/>
      <c r="M339" s="2048"/>
      <c r="N339" s="48"/>
      <c r="O339" s="49"/>
      <c r="P339" s="49"/>
      <c r="Q339" s="2019">
        <f t="shared" si="160"/>
        <v>0</v>
      </c>
      <c r="R339" s="50"/>
      <c r="S339" s="2067"/>
      <c r="T339" s="2067"/>
      <c r="U339" s="2067"/>
      <c r="V339" s="2067"/>
      <c r="W339" s="2020">
        <f t="shared" si="142"/>
        <v>0</v>
      </c>
      <c r="X339" s="2026">
        <f t="shared" si="143"/>
        <v>0</v>
      </c>
      <c r="Y339" s="2026">
        <f t="shared" si="144"/>
        <v>0</v>
      </c>
      <c r="Z339" s="50"/>
      <c r="AA339" s="50"/>
      <c r="AB339" s="48"/>
      <c r="AC339" s="48"/>
      <c r="AD339" s="48"/>
      <c r="AE339" s="45"/>
      <c r="AF339" s="51"/>
      <c r="AG339" s="42"/>
      <c r="AH339" s="52" t="s">
        <v>10340</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8"/>
      <c r="BT339" s="778"/>
      <c r="BU339" s="778"/>
    </row>
    <row r="340" spans="1:73" s="22" customFormat="1" ht="15.75" customHeight="1" outlineLevel="1">
      <c r="A340" s="778"/>
      <c r="B340" s="44"/>
      <c r="C340" s="45"/>
      <c r="D340" s="46"/>
      <c r="E340" s="46"/>
      <c r="F340" s="45"/>
      <c r="G340" s="46"/>
      <c r="H340" s="45"/>
      <c r="I340" s="45"/>
      <c r="J340" s="47"/>
      <c r="K340" s="48"/>
      <c r="L340" s="47"/>
      <c r="M340" s="2048"/>
      <c r="N340" s="48"/>
      <c r="O340" s="49"/>
      <c r="P340" s="49"/>
      <c r="Q340" s="2019">
        <f t="shared" si="160"/>
        <v>0</v>
      </c>
      <c r="R340" s="50"/>
      <c r="S340" s="2067"/>
      <c r="T340" s="2067"/>
      <c r="U340" s="2067"/>
      <c r="V340" s="2067"/>
      <c r="W340" s="2020">
        <f t="shared" si="142"/>
        <v>0</v>
      </c>
      <c r="X340" s="2026">
        <f t="shared" si="143"/>
        <v>0</v>
      </c>
      <c r="Y340" s="2026">
        <f t="shared" si="144"/>
        <v>0</v>
      </c>
      <c r="Z340" s="50"/>
      <c r="AA340" s="50"/>
      <c r="AB340" s="48"/>
      <c r="AC340" s="48"/>
      <c r="AD340" s="48"/>
      <c r="AE340" s="45"/>
      <c r="AF340" s="51"/>
      <c r="AG340" s="42"/>
      <c r="AH340" s="52" t="s">
        <v>10341</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8"/>
      <c r="BT340" s="778"/>
      <c r="BU340" s="778"/>
    </row>
    <row r="341" spans="1:73" s="22" customFormat="1" ht="15.75" customHeight="1" outlineLevel="1">
      <c r="A341" s="778"/>
      <c r="B341" s="44"/>
      <c r="C341" s="45"/>
      <c r="D341" s="46"/>
      <c r="E341" s="46"/>
      <c r="F341" s="45"/>
      <c r="G341" s="46"/>
      <c r="H341" s="45"/>
      <c r="I341" s="45"/>
      <c r="J341" s="47"/>
      <c r="K341" s="48"/>
      <c r="L341" s="47"/>
      <c r="M341" s="2048"/>
      <c r="N341" s="48"/>
      <c r="O341" s="49"/>
      <c r="P341" s="49"/>
      <c r="Q341" s="2019">
        <f t="shared" si="160"/>
        <v>0</v>
      </c>
      <c r="R341" s="50"/>
      <c r="S341" s="2067"/>
      <c r="T341" s="2067"/>
      <c r="U341" s="2067"/>
      <c r="V341" s="2067"/>
      <c r="W341" s="2020">
        <f t="shared" si="142"/>
        <v>0</v>
      </c>
      <c r="X341" s="2026">
        <f t="shared" si="143"/>
        <v>0</v>
      </c>
      <c r="Y341" s="2026">
        <f t="shared" si="144"/>
        <v>0</v>
      </c>
      <c r="Z341" s="50"/>
      <c r="AA341" s="50"/>
      <c r="AB341" s="48"/>
      <c r="AC341" s="48"/>
      <c r="AD341" s="48"/>
      <c r="AE341" s="45"/>
      <c r="AF341" s="51"/>
      <c r="AG341" s="42"/>
      <c r="AH341" s="52" t="s">
        <v>10342</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8"/>
      <c r="BT341" s="778"/>
      <c r="BU341" s="778"/>
    </row>
    <row r="342" spans="1:73" s="22" customFormat="1" ht="15.75" customHeight="1" outlineLevel="1">
      <c r="A342" s="778"/>
      <c r="B342" s="44"/>
      <c r="C342" s="45"/>
      <c r="D342" s="46"/>
      <c r="E342" s="46"/>
      <c r="F342" s="45"/>
      <c r="G342" s="46"/>
      <c r="H342" s="45"/>
      <c r="I342" s="45"/>
      <c r="J342" s="47"/>
      <c r="K342" s="48"/>
      <c r="L342" s="47"/>
      <c r="M342" s="2048"/>
      <c r="N342" s="48"/>
      <c r="O342" s="49"/>
      <c r="P342" s="49"/>
      <c r="Q342" s="2019">
        <f t="shared" si="160"/>
        <v>0</v>
      </c>
      <c r="R342" s="50"/>
      <c r="S342" s="2067"/>
      <c r="T342" s="2067"/>
      <c r="U342" s="2067"/>
      <c r="V342" s="2067"/>
      <c r="W342" s="2020">
        <f t="shared" si="142"/>
        <v>0</v>
      </c>
      <c r="X342" s="2026">
        <f t="shared" si="143"/>
        <v>0</v>
      </c>
      <c r="Y342" s="2026">
        <f t="shared" si="144"/>
        <v>0</v>
      </c>
      <c r="Z342" s="50"/>
      <c r="AA342" s="50"/>
      <c r="AB342" s="48"/>
      <c r="AC342" s="48"/>
      <c r="AD342" s="48"/>
      <c r="AE342" s="45"/>
      <c r="AF342" s="51"/>
      <c r="AG342" s="42"/>
      <c r="AH342" s="52" t="s">
        <v>10343</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8"/>
      <c r="BT342" s="778"/>
      <c r="BU342" s="778"/>
    </row>
    <row r="343" spans="1:73" s="22" customFormat="1" ht="15.75" customHeight="1" outlineLevel="1">
      <c r="A343" s="778"/>
      <c r="B343" s="44"/>
      <c r="C343" s="45"/>
      <c r="D343" s="46"/>
      <c r="E343" s="46"/>
      <c r="F343" s="45"/>
      <c r="G343" s="46"/>
      <c r="H343" s="45"/>
      <c r="I343" s="45"/>
      <c r="J343" s="47"/>
      <c r="K343" s="48"/>
      <c r="L343" s="47"/>
      <c r="M343" s="2048"/>
      <c r="N343" s="48"/>
      <c r="O343" s="49"/>
      <c r="P343" s="49"/>
      <c r="Q343" s="2019">
        <f t="shared" si="160"/>
        <v>0</v>
      </c>
      <c r="R343" s="50"/>
      <c r="S343" s="2067"/>
      <c r="T343" s="2067"/>
      <c r="U343" s="2067"/>
      <c r="V343" s="2067"/>
      <c r="W343" s="2020">
        <f t="shared" si="142"/>
        <v>0</v>
      </c>
      <c r="X343" s="2026">
        <f t="shared" si="143"/>
        <v>0</v>
      </c>
      <c r="Y343" s="2026">
        <f t="shared" si="144"/>
        <v>0</v>
      </c>
      <c r="Z343" s="50"/>
      <c r="AA343" s="50"/>
      <c r="AB343" s="48"/>
      <c r="AC343" s="48"/>
      <c r="AD343" s="48"/>
      <c r="AE343" s="45"/>
      <c r="AF343" s="51"/>
      <c r="AG343" s="42"/>
      <c r="AH343" s="52" t="s">
        <v>10344</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8"/>
      <c r="BT343" s="778"/>
      <c r="BU343" s="778"/>
    </row>
    <row r="344" spans="1:73" s="22" customFormat="1" ht="15.75" customHeight="1" outlineLevel="1">
      <c r="A344" s="778"/>
      <c r="B344" s="44"/>
      <c r="C344" s="45"/>
      <c r="D344" s="46"/>
      <c r="E344" s="46"/>
      <c r="F344" s="45"/>
      <c r="G344" s="46"/>
      <c r="H344" s="45"/>
      <c r="I344" s="45"/>
      <c r="J344" s="47"/>
      <c r="K344" s="48"/>
      <c r="L344" s="47"/>
      <c r="M344" s="2048"/>
      <c r="N344" s="48"/>
      <c r="O344" s="49"/>
      <c r="P344" s="49"/>
      <c r="Q344" s="2019">
        <f t="shared" si="160"/>
        <v>0</v>
      </c>
      <c r="R344" s="50"/>
      <c r="S344" s="2067"/>
      <c r="T344" s="2067"/>
      <c r="U344" s="2067"/>
      <c r="V344" s="2067"/>
      <c r="W344" s="2020">
        <f t="shared" si="142"/>
        <v>0</v>
      </c>
      <c r="X344" s="2026">
        <f t="shared" si="143"/>
        <v>0</v>
      </c>
      <c r="Y344" s="2026">
        <f t="shared" si="144"/>
        <v>0</v>
      </c>
      <c r="Z344" s="50"/>
      <c r="AA344" s="50"/>
      <c r="AB344" s="48"/>
      <c r="AC344" s="48"/>
      <c r="AD344" s="48"/>
      <c r="AE344" s="45"/>
      <c r="AF344" s="51"/>
      <c r="AG344" s="42"/>
      <c r="AH344" s="52" t="s">
        <v>10345</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8"/>
      <c r="BT344" s="778"/>
      <c r="BU344" s="778"/>
    </row>
    <row r="345" spans="1:73" s="22" customFormat="1" ht="15.75" customHeight="1" outlineLevel="1">
      <c r="A345" s="778"/>
      <c r="B345" s="44"/>
      <c r="C345" s="45"/>
      <c r="D345" s="46"/>
      <c r="E345" s="46"/>
      <c r="F345" s="45"/>
      <c r="G345" s="46"/>
      <c r="H345" s="45"/>
      <c r="I345" s="45"/>
      <c r="J345" s="47"/>
      <c r="K345" s="48"/>
      <c r="L345" s="47"/>
      <c r="M345" s="2048"/>
      <c r="N345" s="48"/>
      <c r="O345" s="49"/>
      <c r="P345" s="49"/>
      <c r="Q345" s="2019">
        <f t="shared" si="160"/>
        <v>0</v>
      </c>
      <c r="R345" s="50"/>
      <c r="S345" s="2067"/>
      <c r="T345" s="2067"/>
      <c r="U345" s="2067"/>
      <c r="V345" s="2067"/>
      <c r="W345" s="2020">
        <f t="shared" si="142"/>
        <v>0</v>
      </c>
      <c r="X345" s="2026">
        <f t="shared" si="143"/>
        <v>0</v>
      </c>
      <c r="Y345" s="2026">
        <f t="shared" si="144"/>
        <v>0</v>
      </c>
      <c r="Z345" s="50"/>
      <c r="AA345" s="50"/>
      <c r="AB345" s="48"/>
      <c r="AC345" s="48"/>
      <c r="AD345" s="48"/>
      <c r="AE345" s="45"/>
      <c r="AF345" s="51"/>
      <c r="AG345" s="42"/>
      <c r="AH345" s="52" t="s">
        <v>10346</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8"/>
      <c r="BT345" s="778"/>
      <c r="BU345" s="778"/>
    </row>
    <row r="346" spans="1:73" s="22" customFormat="1" ht="15.75" customHeight="1" outlineLevel="1">
      <c r="A346" s="778"/>
      <c r="B346" s="44"/>
      <c r="C346" s="45"/>
      <c r="D346" s="46"/>
      <c r="E346" s="46"/>
      <c r="F346" s="45"/>
      <c r="G346" s="46"/>
      <c r="H346" s="45"/>
      <c r="I346" s="45"/>
      <c r="J346" s="47"/>
      <c r="K346" s="48"/>
      <c r="L346" s="47"/>
      <c r="M346" s="2048"/>
      <c r="N346" s="48"/>
      <c r="O346" s="49"/>
      <c r="P346" s="49"/>
      <c r="Q346" s="2019">
        <f t="shared" si="160"/>
        <v>0</v>
      </c>
      <c r="R346" s="50"/>
      <c r="S346" s="2067"/>
      <c r="T346" s="2067"/>
      <c r="U346" s="2067"/>
      <c r="V346" s="2067"/>
      <c r="W346" s="2020">
        <f t="shared" si="142"/>
        <v>0</v>
      </c>
      <c r="X346" s="2026">
        <f t="shared" si="143"/>
        <v>0</v>
      </c>
      <c r="Y346" s="2026">
        <f t="shared" si="144"/>
        <v>0</v>
      </c>
      <c r="Z346" s="50"/>
      <c r="AA346" s="50"/>
      <c r="AB346" s="48"/>
      <c r="AC346" s="48"/>
      <c r="AD346" s="48"/>
      <c r="AE346" s="45"/>
      <c r="AF346" s="51"/>
      <c r="AG346" s="42"/>
      <c r="AH346" s="52" t="s">
        <v>10347</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8"/>
      <c r="BT346" s="778"/>
      <c r="BU346" s="778"/>
    </row>
    <row r="347" spans="1:73" s="22" customFormat="1" ht="15.75" customHeight="1" outlineLevel="1">
      <c r="A347" s="778"/>
      <c r="B347" s="44"/>
      <c r="C347" s="45"/>
      <c r="D347" s="46"/>
      <c r="E347" s="46"/>
      <c r="F347" s="45"/>
      <c r="G347" s="46"/>
      <c r="H347" s="45"/>
      <c r="I347" s="45"/>
      <c r="J347" s="47"/>
      <c r="K347" s="48"/>
      <c r="L347" s="47"/>
      <c r="M347" s="2048"/>
      <c r="N347" s="48"/>
      <c r="O347" s="49"/>
      <c r="P347" s="49"/>
      <c r="Q347" s="2019">
        <f t="shared" si="160"/>
        <v>0</v>
      </c>
      <c r="R347" s="50"/>
      <c r="S347" s="2067"/>
      <c r="T347" s="2067"/>
      <c r="U347" s="2067"/>
      <c r="V347" s="2067"/>
      <c r="W347" s="2020">
        <f t="shared" si="142"/>
        <v>0</v>
      </c>
      <c r="X347" s="2026">
        <f t="shared" si="143"/>
        <v>0</v>
      </c>
      <c r="Y347" s="2026">
        <f t="shared" si="144"/>
        <v>0</v>
      </c>
      <c r="Z347" s="50"/>
      <c r="AA347" s="50"/>
      <c r="AB347" s="48"/>
      <c r="AC347" s="48"/>
      <c r="AD347" s="48"/>
      <c r="AE347" s="45"/>
      <c r="AF347" s="51"/>
      <c r="AG347" s="42"/>
      <c r="AH347" s="52" t="s">
        <v>10348</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8"/>
      <c r="BT347" s="778"/>
      <c r="BU347" s="778"/>
    </row>
    <row r="348" spans="1:73" s="22" customFormat="1" ht="15.75" customHeight="1" outlineLevel="1">
      <c r="A348" s="778"/>
      <c r="B348" s="44"/>
      <c r="C348" s="45"/>
      <c r="D348" s="46"/>
      <c r="E348" s="46"/>
      <c r="F348" s="45"/>
      <c r="G348" s="46"/>
      <c r="H348" s="45"/>
      <c r="I348" s="45"/>
      <c r="J348" s="47"/>
      <c r="K348" s="48"/>
      <c r="L348" s="47"/>
      <c r="M348" s="2048"/>
      <c r="N348" s="48"/>
      <c r="O348" s="49"/>
      <c r="P348" s="49"/>
      <c r="Q348" s="2019">
        <f t="shared" si="160"/>
        <v>0</v>
      </c>
      <c r="R348" s="50"/>
      <c r="S348" s="2067"/>
      <c r="T348" s="2067"/>
      <c r="U348" s="2067"/>
      <c r="V348" s="2067"/>
      <c r="W348" s="2020">
        <f t="shared" si="142"/>
        <v>0</v>
      </c>
      <c r="X348" s="2026">
        <f t="shared" si="143"/>
        <v>0</v>
      </c>
      <c r="Y348" s="2026">
        <f t="shared" si="144"/>
        <v>0</v>
      </c>
      <c r="Z348" s="50"/>
      <c r="AA348" s="50"/>
      <c r="AB348" s="48"/>
      <c r="AC348" s="48"/>
      <c r="AD348" s="48"/>
      <c r="AE348" s="45"/>
      <c r="AF348" s="51"/>
      <c r="AG348" s="42"/>
      <c r="AH348" s="52" t="s">
        <v>10349</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8"/>
      <c r="BT348" s="778"/>
      <c r="BU348" s="778"/>
    </row>
    <row r="349" spans="1:73" s="22" customFormat="1" ht="15.75" customHeight="1" outlineLevel="1">
      <c r="A349" s="778"/>
      <c r="B349" s="44"/>
      <c r="C349" s="45"/>
      <c r="D349" s="46"/>
      <c r="E349" s="46"/>
      <c r="F349" s="45"/>
      <c r="G349" s="46"/>
      <c r="H349" s="45"/>
      <c r="I349" s="45"/>
      <c r="J349" s="47"/>
      <c r="K349" s="48"/>
      <c r="L349" s="47"/>
      <c r="M349" s="2048"/>
      <c r="N349" s="48"/>
      <c r="O349" s="49"/>
      <c r="P349" s="49"/>
      <c r="Q349" s="2019">
        <f t="shared" si="160"/>
        <v>0</v>
      </c>
      <c r="R349" s="50"/>
      <c r="S349" s="2067"/>
      <c r="T349" s="2067"/>
      <c r="U349" s="2067"/>
      <c r="V349" s="2067"/>
      <c r="W349" s="2020">
        <f t="shared" si="142"/>
        <v>0</v>
      </c>
      <c r="X349" s="2026">
        <f t="shared" si="143"/>
        <v>0</v>
      </c>
      <c r="Y349" s="2026">
        <f t="shared" si="144"/>
        <v>0</v>
      </c>
      <c r="Z349" s="50"/>
      <c r="AA349" s="50"/>
      <c r="AB349" s="48"/>
      <c r="AC349" s="48"/>
      <c r="AD349" s="48"/>
      <c r="AE349" s="45"/>
      <c r="AF349" s="51"/>
      <c r="AG349" s="42"/>
      <c r="AH349" s="52" t="s">
        <v>10350</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8"/>
      <c r="BT349" s="778"/>
      <c r="BU349" s="778"/>
    </row>
    <row r="350" spans="1:73" s="22" customFormat="1" ht="15.75" customHeight="1" outlineLevel="1">
      <c r="A350" s="778"/>
      <c r="B350" s="44"/>
      <c r="C350" s="45"/>
      <c r="D350" s="46"/>
      <c r="E350" s="46"/>
      <c r="F350" s="45"/>
      <c r="G350" s="46"/>
      <c r="H350" s="45"/>
      <c r="I350" s="45"/>
      <c r="J350" s="47"/>
      <c r="K350" s="48"/>
      <c r="L350" s="47"/>
      <c r="M350" s="2048"/>
      <c r="N350" s="48"/>
      <c r="O350" s="49"/>
      <c r="P350" s="49"/>
      <c r="Q350" s="2019">
        <f t="shared" si="160"/>
        <v>0</v>
      </c>
      <c r="R350" s="50"/>
      <c r="S350" s="2067"/>
      <c r="T350" s="2067"/>
      <c r="U350" s="2067"/>
      <c r="V350" s="2067"/>
      <c r="W350" s="2020">
        <f t="shared" si="142"/>
        <v>0</v>
      </c>
      <c r="X350" s="2026">
        <f t="shared" si="143"/>
        <v>0</v>
      </c>
      <c r="Y350" s="2026">
        <f t="shared" si="144"/>
        <v>0</v>
      </c>
      <c r="Z350" s="50"/>
      <c r="AA350" s="50"/>
      <c r="AB350" s="48"/>
      <c r="AC350" s="48"/>
      <c r="AD350" s="48"/>
      <c r="AE350" s="45"/>
      <c r="AF350" s="51"/>
      <c r="AG350" s="42"/>
      <c r="AH350" s="52" t="s">
        <v>10351</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8"/>
      <c r="BT350" s="778"/>
      <c r="BU350" s="778"/>
    </row>
    <row r="351" spans="1:73" s="22" customFormat="1" ht="15.75" customHeight="1" outlineLevel="1">
      <c r="A351" s="778"/>
      <c r="B351" s="44"/>
      <c r="C351" s="45"/>
      <c r="D351" s="46"/>
      <c r="E351" s="46"/>
      <c r="F351" s="45"/>
      <c r="G351" s="46"/>
      <c r="H351" s="45"/>
      <c r="I351" s="45"/>
      <c r="J351" s="47"/>
      <c r="K351" s="48"/>
      <c r="L351" s="47"/>
      <c r="M351" s="2048"/>
      <c r="N351" s="48"/>
      <c r="O351" s="49"/>
      <c r="P351" s="49"/>
      <c r="Q351" s="2019">
        <f t="shared" si="160"/>
        <v>0</v>
      </c>
      <c r="R351" s="50"/>
      <c r="S351" s="2067"/>
      <c r="T351" s="2067"/>
      <c r="U351" s="2067"/>
      <c r="V351" s="2067"/>
      <c r="W351" s="2020">
        <f t="shared" si="142"/>
        <v>0</v>
      </c>
      <c r="X351" s="2026">
        <f t="shared" si="143"/>
        <v>0</v>
      </c>
      <c r="Y351" s="2026">
        <f t="shared" si="144"/>
        <v>0</v>
      </c>
      <c r="Z351" s="50"/>
      <c r="AA351" s="50"/>
      <c r="AB351" s="48"/>
      <c r="AC351" s="48"/>
      <c r="AD351" s="48"/>
      <c r="AE351" s="45"/>
      <c r="AF351" s="51"/>
      <c r="AG351" s="42"/>
      <c r="AH351" s="52" t="s">
        <v>10352</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8"/>
      <c r="BT351" s="778"/>
      <c r="BU351" s="778"/>
    </row>
    <row r="352" spans="1:73" s="22" customFormat="1" ht="15.75" customHeight="1" outlineLevel="1">
      <c r="A352" s="778"/>
      <c r="B352" s="44"/>
      <c r="C352" s="45"/>
      <c r="D352" s="46"/>
      <c r="E352" s="46"/>
      <c r="F352" s="45"/>
      <c r="G352" s="46"/>
      <c r="H352" s="45"/>
      <c r="I352" s="45"/>
      <c r="J352" s="47"/>
      <c r="K352" s="48"/>
      <c r="L352" s="47"/>
      <c r="M352" s="2048"/>
      <c r="N352" s="48"/>
      <c r="O352" s="49"/>
      <c r="P352" s="49"/>
      <c r="Q352" s="2019">
        <f t="shared" si="160"/>
        <v>0</v>
      </c>
      <c r="R352" s="50"/>
      <c r="S352" s="2067"/>
      <c r="T352" s="2067"/>
      <c r="U352" s="2067"/>
      <c r="V352" s="2067"/>
      <c r="W352" s="2020">
        <f t="shared" si="142"/>
        <v>0</v>
      </c>
      <c r="X352" s="2026">
        <f t="shared" si="143"/>
        <v>0</v>
      </c>
      <c r="Y352" s="2026">
        <f t="shared" si="144"/>
        <v>0</v>
      </c>
      <c r="Z352" s="50"/>
      <c r="AA352" s="50"/>
      <c r="AB352" s="48"/>
      <c r="AC352" s="48"/>
      <c r="AD352" s="48"/>
      <c r="AE352" s="45"/>
      <c r="AF352" s="51"/>
      <c r="AG352" s="42"/>
      <c r="AH352" s="52" t="s">
        <v>10353</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8"/>
      <c r="BT352" s="778"/>
      <c r="BU352" s="778"/>
    </row>
    <row r="353" spans="1:73" s="22" customFormat="1" ht="15.75"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10354</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10355</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10356</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10357</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10358</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10359</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10360</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10361</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10362</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10363</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10364</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10365</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customHeight="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10366</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10367</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10368</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10369</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10370</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10371</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10372</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10373</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10374</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10375</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10376</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10377</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10378</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10379</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10380</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10381</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10382</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10383</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10384</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10385</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10386</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10387</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10388</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10389</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10390</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10391</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10392</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10393</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10394</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10395</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10396</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10397</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10398</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10399</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10400</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10401</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10402</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10403</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10404</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10405</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10406</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10407</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10408</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10409</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10410</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10411</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10412</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10413</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10414</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10415</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10416</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10417</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10418</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10419</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10420</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10421</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10422</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10423</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10424</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10425</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10426</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10427</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10428</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10429</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10430</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10431</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10432</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10433</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10434</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10435</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10436</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10437</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10438</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10439</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10440</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10441</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10442</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10443</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10444</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10445</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10446</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10447</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10448</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10449</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10450</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10451</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10452</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10453</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10454</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10455</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10456</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10457</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10458</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10459</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10460</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10461</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10462</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10463</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10464</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10465</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10466</v>
      </c>
      <c r="C465" s="2050"/>
      <c r="D465" s="2050"/>
      <c r="E465" s="2050"/>
      <c r="F465" s="2051"/>
      <c r="G465" s="2051"/>
      <c r="H465" s="2052"/>
      <c r="I465" s="2052"/>
      <c r="J465" s="2053"/>
      <c r="K465" s="2054"/>
      <c r="L465" s="2053"/>
      <c r="M465" s="2055"/>
      <c r="N465" s="2022">
        <f>SUM(N315:N464)</f>
        <v>807.053</v>
      </c>
      <c r="O465" s="2022">
        <f>SUM(O315:O464)</f>
        <v>1205.806</v>
      </c>
      <c r="P465" s="2022">
        <f>SUM(P315:P464)</f>
        <v>1205.806</v>
      </c>
      <c r="Q465" s="2021">
        <f>SUM(Q315:Q464)</f>
        <v>17865.743999999999</v>
      </c>
      <c r="R465" s="2055"/>
      <c r="S465" s="2055"/>
      <c r="T465" s="2055"/>
      <c r="U465" s="2055"/>
      <c r="V465" s="2055"/>
      <c r="W465" s="2055"/>
      <c r="X465" s="2022">
        <f>SUM(X315:X464)</f>
        <v>15.399430835149277</v>
      </c>
      <c r="Y465" s="2022">
        <f>SUM(Y315:Y464)</f>
        <v>15.399430835149307</v>
      </c>
      <c r="Z465" s="2055"/>
      <c r="AA465" s="2055"/>
      <c r="AB465" s="2022">
        <f>SUM(AB315:AB464)</f>
        <v>2.3299999999999996</v>
      </c>
      <c r="AC465" s="2022">
        <f>SUM(AC315:AC464)</f>
        <v>1203.4949999999999</v>
      </c>
      <c r="AD465" s="2022">
        <f>SUM(AD315:AD464)</f>
        <v>1214.9940000000001</v>
      </c>
      <c r="AE465" s="2052"/>
      <c r="AF465" s="2057"/>
      <c r="AG465" s="42"/>
      <c r="AH465" s="54" t="s">
        <v>10467</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10468</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t="s">
        <v>10469</v>
      </c>
      <c r="C468" s="36" t="s">
        <v>9941</v>
      </c>
      <c r="D468" s="37" t="s">
        <v>10470</v>
      </c>
      <c r="E468" s="2629" t="s">
        <v>9937</v>
      </c>
      <c r="F468" s="36" t="s">
        <v>9921</v>
      </c>
      <c r="G468" s="36" t="s">
        <v>9922</v>
      </c>
      <c r="H468" s="36" t="s">
        <v>9921</v>
      </c>
      <c r="I468" s="36" t="s">
        <v>9923</v>
      </c>
      <c r="J468" s="38" t="s">
        <v>9921</v>
      </c>
      <c r="K468" s="39">
        <v>100</v>
      </c>
      <c r="L468" s="38">
        <v>51072</v>
      </c>
      <c r="M468" s="2046">
        <v>16.600000000000001</v>
      </c>
      <c r="N468" s="39">
        <v>100</v>
      </c>
      <c r="O468" s="39">
        <v>117.751</v>
      </c>
      <c r="P468" s="39">
        <v>117.751</v>
      </c>
      <c r="Q468" s="2017">
        <f>IFERROR(M468*O468,"")</f>
        <v>1954.6666000000002</v>
      </c>
      <c r="R468" s="2066"/>
      <c r="S468" s="2631">
        <v>2.3999999999999998E-3</v>
      </c>
      <c r="T468" s="2066"/>
      <c r="U468" s="2066"/>
      <c r="V468" s="2066"/>
      <c r="W468" s="2018">
        <f t="shared" ref="W468:W531" si="200">IF(S468=0,0,((1+S468)*(1+C$627))-1)</f>
        <v>2.3999999999999577E-3</v>
      </c>
      <c r="X468" s="2025">
        <f t="shared" ref="X468:X531" si="201">W468*P468</f>
        <v>0.28260239999999504</v>
      </c>
      <c r="Y468" s="2025">
        <f t="shared" ref="Y468:Y531" si="202" xml:space="preserve"> S468*P468</f>
        <v>0.28260239999999998</v>
      </c>
      <c r="Z468" s="40">
        <v>0</v>
      </c>
      <c r="AA468" s="40">
        <v>0</v>
      </c>
      <c r="AB468" s="39">
        <v>0.33800000000000002</v>
      </c>
      <c r="AC468" s="39">
        <v>117.413</v>
      </c>
      <c r="AD468" s="39">
        <v>116.64700000000001</v>
      </c>
      <c r="AE468" s="36">
        <v>0</v>
      </c>
      <c r="AF468" s="41">
        <v>0</v>
      </c>
      <c r="AG468" s="42"/>
      <c r="AH468" s="43" t="s">
        <v>10471</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0</v>
      </c>
      <c r="AV468" s="285">
        <f t="shared" ref="AV468:AV531" si="206" xml:space="preserve"> IF( ISNUMBER(L468 ), 0, 1 )</f>
        <v>0</v>
      </c>
      <c r="AW468" s="285">
        <f t="shared" ref="AW468:AW531" si="207" xml:space="preserve"> IF( ISNUMBER(M468 ), 0, 1 )</f>
        <v>0</v>
      </c>
      <c r="AX468" s="285">
        <f t="shared" ref="AX468:AX531" si="208" xml:space="preserve"> IF( ISNUMBER(N468 ), 0, 1 )</f>
        <v>0</v>
      </c>
      <c r="AY468" s="285">
        <f t="shared" ref="AY468:AY531" si="209" xml:space="preserve"> IF( ISNUMBER(O468 ), 0, 1 )</f>
        <v>0</v>
      </c>
      <c r="AZ468" s="285">
        <f t="shared" ref="AZ468:AZ531" si="210" xml:space="preserve"> IF( ISNUMBER(P468 ), 0, 1 )</f>
        <v>0</v>
      </c>
      <c r="BA468" s="270"/>
      <c r="BB468" s="270"/>
      <c r="BC468" s="285">
        <f t="shared" ref="BC468:BC531" si="211" xml:space="preserve"> IF( ISNUMBER(S468 ), 0, 1 )</f>
        <v>0</v>
      </c>
      <c r="BD468" s="270"/>
      <c r="BE468" s="270"/>
      <c r="BF468" s="270"/>
      <c r="BG468" s="270"/>
      <c r="BH468" s="270"/>
      <c r="BI468" s="270"/>
      <c r="BJ468" s="285">
        <f t="shared" ref="BJ468:BJ531" si="212" xml:space="preserve"> IF( ISNUMBER(Z468 ), 0, 1 )</f>
        <v>0</v>
      </c>
      <c r="BK468" s="285">
        <f t="shared" ref="BK468:BK531" si="213" xml:space="preserve"> IF( ISNUMBER(AA468 ), 0, 1 )</f>
        <v>0</v>
      </c>
      <c r="BL468" s="285">
        <f t="shared" ref="BL468:BL531" si="214" xml:space="preserve"> IF( ISNUMBER(AB468 ), 0, 1 )</f>
        <v>0</v>
      </c>
      <c r="BM468" s="285">
        <f t="shared" ref="BM468:BM531" si="215" xml:space="preserve"> IF( ISNUMBER(AC468 ), 0, 1 )</f>
        <v>0</v>
      </c>
      <c r="BN468" s="285">
        <f t="shared" ref="BN468:BN531" si="216" xml:space="preserve"> IF( ISNUMBER(AD468 ), 0, 1 )</f>
        <v>0</v>
      </c>
      <c r="BO468" s="285">
        <f t="shared" ref="BO468:BO531" si="217" xml:space="preserve"> IF( ISNUMBER(AF468 ), 0, 1 )</f>
        <v>0</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10472</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10473</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10474</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10475</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10476</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10477</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10478</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10479</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10480</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10481</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10482</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10483</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10484</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10485</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10486</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10487</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10488</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10489</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10490</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10491</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10492</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10493</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10494</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10495</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10496</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10497</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10498</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10499</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10500</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10501</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10502</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10503</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10504</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10505</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10506</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10507</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10508</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10509</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10510</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10511</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10512</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10513</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10514</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10515</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10516</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10517</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10518</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10519</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10520</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10521</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10522</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10523</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10524</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10525</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10526</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10527</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10528</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10529</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10530</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10531</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10532</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10533</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10534</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10535</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10536</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10537</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10538</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10539</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10540</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10541</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10542</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10543</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10544</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10545</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10546</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10547</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10548</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10549</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10550</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10551</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10552</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10553</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10554</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10555</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10556</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10557</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10558</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10559</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10560</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10561</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10562</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10563</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10564</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10565</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10566</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10567</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10568</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10569</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10570</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10571</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10572</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10573</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10574</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10575</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10576</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10577</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10578</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10579</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10580</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10581</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10582</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10583</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10584</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10585</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10586</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10587</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10588</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10589</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10590</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10591</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10592</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10593</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10594</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10595</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10596</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10597</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10598</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10599</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10600</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10601</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10602</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10603</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10604</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10605</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10606</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10607</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10608</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10609</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10610</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10611</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10612</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10613</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10614</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10615</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10616</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10617</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10618</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10619</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10620</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10621</v>
      </c>
      <c r="C618" s="2050"/>
      <c r="D618" s="2050"/>
      <c r="E618" s="2050"/>
      <c r="F618" s="2051"/>
      <c r="G618" s="2051"/>
      <c r="H618" s="2052"/>
      <c r="I618" s="2052"/>
      <c r="J618" s="2053"/>
      <c r="K618" s="2054"/>
      <c r="L618" s="2053"/>
      <c r="M618" s="2055"/>
      <c r="N618" s="2022">
        <f>SUM(N468:N617)</f>
        <v>100</v>
      </c>
      <c r="O618" s="2022">
        <f>SUM(O468:O617)</f>
        <v>117.751</v>
      </c>
      <c r="P618" s="2022">
        <f>SUM(P468:P617)</f>
        <v>117.751</v>
      </c>
      <c r="Q618" s="2021">
        <f>SUM(Q468:Q617)</f>
        <v>1954.6666000000002</v>
      </c>
      <c r="R618" s="2055"/>
      <c r="S618" s="2055"/>
      <c r="T618" s="2055"/>
      <c r="U618" s="2055"/>
      <c r="V618" s="2055"/>
      <c r="W618" s="2055"/>
      <c r="X618" s="2022">
        <f>SUM(X468:X617)</f>
        <v>0.28260239999999504</v>
      </c>
      <c r="Y618" s="2022">
        <f>SUM(Y468:Y617)</f>
        <v>0.28260239999999998</v>
      </c>
      <c r="Z618" s="2055"/>
      <c r="AA618" s="2055"/>
      <c r="AB618" s="2022">
        <f>SUM(AB468:AB617)</f>
        <v>0.33800000000000002</v>
      </c>
      <c r="AC618" s="2022">
        <f>SUM(AC468:AC617)</f>
        <v>117.413</v>
      </c>
      <c r="AD618" s="2022">
        <f>SUM(AD468:AD617)</f>
        <v>116.64700000000001</v>
      </c>
      <c r="AE618" s="2052"/>
      <c r="AF618" s="2057"/>
      <c r="AG618" s="42"/>
      <c r="AH618" s="54" t="s">
        <v>10622</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10623</v>
      </c>
      <c r="C620" s="2071"/>
      <c r="D620" s="2071"/>
      <c r="E620" s="2071"/>
      <c r="F620" s="2072"/>
      <c r="G620" s="2072"/>
      <c r="H620" s="2073"/>
      <c r="I620" s="2073"/>
      <c r="J620" s="2074"/>
      <c r="K620" s="2075"/>
      <c r="L620" s="2074"/>
      <c r="M620" s="2076"/>
      <c r="N620" s="2023">
        <f>SUM(N159,N312,N465,N618)</f>
        <v>4109.5969999999998</v>
      </c>
      <c r="O620" s="2023">
        <f>SUM(O159,O312,O465,O618)</f>
        <v>3484.6170000000002</v>
      </c>
      <c r="P620" s="2023">
        <f>SUM(P159,P312,P465,P618)</f>
        <v>3484.6170000000002</v>
      </c>
      <c r="Q620" s="2024">
        <f>SUM(Q159,Q312,Q465,Q618)</f>
        <v>39070.122599999995</v>
      </c>
      <c r="R620" s="2076"/>
      <c r="S620" s="2076"/>
      <c r="T620" s="2076"/>
      <c r="U620" s="2076"/>
      <c r="V620" s="2076"/>
      <c r="W620" s="2076"/>
      <c r="X620" s="2023">
        <f>SUM(X159,X312,X465,X618)</f>
        <v>109.36051726514927</v>
      </c>
      <c r="Y620" s="2023">
        <f>SUM(Y159,Y312,Y465,Y618)</f>
        <v>109.3605172651493</v>
      </c>
      <c r="Z620" s="2076"/>
      <c r="AA620" s="2076"/>
      <c r="AB620" s="2023">
        <f>SUM(AB159,AB312,AB465,AB618)</f>
        <v>3.8719999999999999</v>
      </c>
      <c r="AC620" s="2023">
        <f>SUM(AC159,AC312,AC465,AC618)</f>
        <v>3435.0949999999998</v>
      </c>
      <c r="AD620" s="2023">
        <f>SUM(AD159,AD312,AD465,AD618)</f>
        <v>3427.5240000000003</v>
      </c>
      <c r="AE620" s="2073"/>
      <c r="AF620" s="2077"/>
      <c r="AG620" s="42"/>
      <c r="AH620" s="59" t="s">
        <v>10624</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10625</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10626</v>
      </c>
      <c r="C623" s="63">
        <v>44651</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10627</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10628</v>
      </c>
      <c r="C626" s="65"/>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10629</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10630</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10631</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7846</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7847</v>
      </c>
      <c r="C630" s="2027">
        <f>IF(X620=0,0,(X620/O620))</f>
        <v>3.1383798352917769E-2</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10632</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7854</v>
      </c>
      <c r="C631" s="2028">
        <f>IF(Y620=0,0,(Y620/O620))</f>
        <v>3.1383798352917776E-2</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10633</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10634</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10635</v>
      </c>
      <c r="C634" s="2029">
        <f>IF($O$312=0,0,$O$312/$O$620)</f>
        <v>5.9375248413240248E-3</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10636</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10637</v>
      </c>
      <c r="C635" s="2030">
        <f>IF($O$159=0,0,$O$159/$O$620)</f>
        <v>0.6142339315913341</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10638</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10639</v>
      </c>
      <c r="C636" s="2030">
        <f>IF($O$465=0,0,$O$465/$O$620)</f>
        <v>0.34603688152815648</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10640</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10641</v>
      </c>
      <c r="C637" s="2030">
        <f>IF($O$618=0,0,$O$618/$O$620)</f>
        <v>3.379166203918537E-2</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10642</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10643</v>
      </c>
      <c r="C638" s="2030">
        <f>IF(($O$465+$O$618)=0,0,($O$465+$O$618)/$O$620)</f>
        <v>0.3798285435673418</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10644</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10645</v>
      </c>
      <c r="C639" s="2031">
        <f>C638+C635</f>
        <v>0.99406247515867596</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10646</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7862</v>
      </c>
      <c r="C640" s="2032">
        <f>IF($Q$620=0,0,$Q$620/$O$620)</f>
        <v>11.212171265880869</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10647</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5"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00B050"/>
    <pageSetUpPr fitToPage="1"/>
  </sheetPr>
  <dimension ref="A1:AS51"/>
  <sheetViews>
    <sheetView showGridLines="0" zoomScale="40" zoomScaleNormal="40" zoomScaleSheetLayoutView="100" workbookViewId="0">
      <pane ySplit="6" topLeftCell="A15" activePane="bottomLeft" state="frozen"/>
      <selection pane="bottomLeft" activeCell="L16" sqref="L16"/>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60" customWidth="1"/>
    <col min="15" max="15" width="1.625" style="260" customWidth="1"/>
    <col min="16" max="16" width="12.5" style="224" customWidth="1"/>
    <col min="17" max="17" width="1.625" style="224" customWidth="1"/>
    <col min="18" max="18" width="26.75" style="224" customWidth="1"/>
    <col min="19" max="20" width="1.625" style="224" customWidth="1"/>
    <col min="21" max="21" width="25.125" style="224" customWidth="1"/>
    <col min="22" max="22" width="1.625" style="263" customWidth="1"/>
    <col min="23" max="32" width="8.125" style="263" hidden="1" customWidth="1"/>
    <col min="33" max="33" width="1.625" style="263"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89" customFormat="1" ht="29.25" customHeight="1">
      <c r="B1" s="479" t="s">
        <v>10648</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7220</v>
      </c>
      <c r="AJ1" s="479"/>
      <c r="AK1" s="778"/>
      <c r="AL1" s="778"/>
      <c r="AM1" s="778"/>
      <c r="AN1" s="778"/>
      <c r="AO1" s="778"/>
      <c r="AP1" s="778"/>
      <c r="AQ1" s="778"/>
      <c r="AR1" s="778"/>
      <c r="AS1" s="778"/>
    </row>
    <row r="2" spans="1:45" s="389" customFormat="1" ht="29.25" customHeight="1">
      <c r="B2" s="479" t="str">
        <f>SelectCompany!B4</f>
        <v>Northumbrian Water</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15" t="s">
        <v>10649</v>
      </c>
      <c r="C3" s="2815"/>
      <c r="D3" s="2815"/>
      <c r="E3" s="2815"/>
      <c r="F3" s="2815"/>
      <c r="G3" s="2815"/>
      <c r="H3" s="2815"/>
      <c r="I3" s="2815"/>
      <c r="J3" s="2815"/>
      <c r="K3" s="2815"/>
      <c r="L3" s="2815"/>
      <c r="M3" s="2815"/>
      <c r="N3" s="2815"/>
      <c r="O3" s="2815"/>
      <c r="P3" s="2815"/>
      <c r="Q3" s="2815"/>
      <c r="R3" s="2815"/>
      <c r="T3" s="342"/>
      <c r="U3" s="265" t="s">
        <v>7222</v>
      </c>
      <c r="V3" s="361"/>
      <c r="AG3" s="361"/>
      <c r="AI3" s="2815" t="s">
        <v>10649</v>
      </c>
      <c r="AJ3" s="2815"/>
      <c r="AK3" s="2815"/>
      <c r="AL3" s="2815"/>
      <c r="AM3" s="2815"/>
      <c r="AN3" s="2815"/>
      <c r="AO3" s="2815"/>
      <c r="AP3" s="2815"/>
      <c r="AQ3" s="2815"/>
      <c r="AR3" s="2815"/>
      <c r="AS3" s="2815"/>
    </row>
    <row r="4" spans="1:45" ht="15" customHeight="1" thickBot="1">
      <c r="B4" s="690"/>
      <c r="C4" s="690"/>
      <c r="D4" s="690"/>
      <c r="E4" s="690"/>
      <c r="F4" s="690"/>
      <c r="G4" s="690"/>
      <c r="H4" s="690"/>
      <c r="I4" s="690"/>
      <c r="J4" s="690"/>
      <c r="K4" s="690"/>
      <c r="L4" s="690"/>
      <c r="M4" s="690"/>
      <c r="N4" s="690"/>
      <c r="O4" s="690"/>
      <c r="P4" s="260"/>
      <c r="T4" s="345"/>
      <c r="U4" s="267"/>
      <c r="V4" s="361"/>
      <c r="W4" s="2668" t="s">
        <v>7223</v>
      </c>
      <c r="X4" s="2668"/>
      <c r="Y4" s="2668"/>
      <c r="Z4" s="2668"/>
      <c r="AA4" s="2668"/>
      <c r="AB4" s="2668"/>
      <c r="AC4" s="2668"/>
      <c r="AD4" s="2668"/>
      <c r="AE4" s="2668"/>
      <c r="AF4" s="2668"/>
      <c r="AG4" s="361"/>
      <c r="AI4" s="690"/>
      <c r="AJ4" s="690"/>
      <c r="AK4" s="690"/>
      <c r="AL4" s="690"/>
      <c r="AM4" s="690"/>
      <c r="AN4" s="690"/>
      <c r="AO4" s="690"/>
      <c r="AP4" s="690"/>
      <c r="AQ4" s="690"/>
      <c r="AR4" s="690"/>
      <c r="AS4" s="690"/>
    </row>
    <row r="5" spans="1:45" ht="15" customHeight="1" thickTop="1">
      <c r="A5" s="197"/>
      <c r="B5" s="2811" t="s">
        <v>7224</v>
      </c>
      <c r="C5" s="2673" t="s">
        <v>7225</v>
      </c>
      <c r="D5" s="2673" t="s">
        <v>670</v>
      </c>
      <c r="E5" s="2813" t="s">
        <v>7871</v>
      </c>
      <c r="F5" s="2813"/>
      <c r="G5" s="2813"/>
      <c r="H5" s="2813"/>
      <c r="I5" s="2813"/>
      <c r="J5" s="2813" t="s">
        <v>10650</v>
      </c>
      <c r="K5" s="2813"/>
      <c r="L5" s="2813"/>
      <c r="M5" s="2813"/>
      <c r="N5" s="2814"/>
      <c r="O5" s="781"/>
      <c r="P5" s="2790" t="s">
        <v>7229</v>
      </c>
      <c r="Q5" s="197"/>
      <c r="R5" s="2790" t="s">
        <v>7230</v>
      </c>
      <c r="S5" s="197"/>
      <c r="T5" s="345"/>
      <c r="U5" s="267"/>
      <c r="V5" s="361"/>
      <c r="W5" s="269" t="s">
        <v>7231</v>
      </c>
      <c r="X5" s="270"/>
      <c r="Y5" s="270"/>
      <c r="Z5" s="270"/>
      <c r="AA5" s="270"/>
      <c r="AB5" s="270"/>
      <c r="AC5" s="270"/>
      <c r="AD5" s="270"/>
      <c r="AE5" s="270"/>
      <c r="AF5" s="270"/>
      <c r="AG5" s="361"/>
      <c r="AI5" s="2811" t="s">
        <v>7224</v>
      </c>
      <c r="AJ5" s="2813" t="s">
        <v>7871</v>
      </c>
      <c r="AK5" s="2813"/>
      <c r="AL5" s="2813"/>
      <c r="AM5" s="2813"/>
      <c r="AN5" s="2813"/>
      <c r="AO5" s="2813" t="s">
        <v>10650</v>
      </c>
      <c r="AP5" s="2813"/>
      <c r="AQ5" s="2813"/>
      <c r="AR5" s="2813"/>
      <c r="AS5" s="2814"/>
    </row>
    <row r="6" spans="1:45" ht="56.25" customHeight="1" thickBot="1">
      <c r="A6" s="197"/>
      <c r="B6" s="2812"/>
      <c r="C6" s="2816"/>
      <c r="D6" s="2816"/>
      <c r="E6" s="782" t="s">
        <v>8160</v>
      </c>
      <c r="F6" s="782" t="s">
        <v>10651</v>
      </c>
      <c r="G6" s="782" t="s">
        <v>10652</v>
      </c>
      <c r="H6" s="782" t="s">
        <v>8163</v>
      </c>
      <c r="I6" s="782" t="s">
        <v>8164</v>
      </c>
      <c r="J6" s="782" t="s">
        <v>8160</v>
      </c>
      <c r="K6" s="782" t="s">
        <v>10651</v>
      </c>
      <c r="L6" s="782" t="s">
        <v>10652</v>
      </c>
      <c r="M6" s="782" t="s">
        <v>8163</v>
      </c>
      <c r="N6" s="783" t="s">
        <v>8164</v>
      </c>
      <c r="O6" s="349"/>
      <c r="P6" s="2792"/>
      <c r="Q6" s="197"/>
      <c r="R6" s="2792"/>
      <c r="S6" s="197"/>
      <c r="T6" s="345"/>
      <c r="U6" s="267"/>
      <c r="V6" s="361"/>
      <c r="W6" s="224"/>
      <c r="X6" s="224"/>
      <c r="Y6" s="224"/>
      <c r="Z6" s="224"/>
      <c r="AA6" s="224"/>
      <c r="AB6" s="224"/>
      <c r="AC6" s="224"/>
      <c r="AD6" s="224"/>
      <c r="AE6" s="224"/>
      <c r="AF6" s="224"/>
      <c r="AG6" s="361"/>
      <c r="AI6" s="2812"/>
      <c r="AJ6" s="782" t="s">
        <v>8160</v>
      </c>
      <c r="AK6" s="782" t="s">
        <v>10651</v>
      </c>
      <c r="AL6" s="782" t="s">
        <v>10652</v>
      </c>
      <c r="AM6" s="782" t="s">
        <v>8163</v>
      </c>
      <c r="AN6" s="782" t="s">
        <v>10653</v>
      </c>
      <c r="AO6" s="782" t="s">
        <v>8160</v>
      </c>
      <c r="AP6" s="782" t="s">
        <v>10651</v>
      </c>
      <c r="AQ6" s="782" t="s">
        <v>10652</v>
      </c>
      <c r="AR6" s="782" t="s">
        <v>8163</v>
      </c>
      <c r="AS6" s="783" t="s">
        <v>10653</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5" thickTop="1" thickBot="1">
      <c r="A8" s="197"/>
      <c r="B8" s="784" t="s">
        <v>10654</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10654</v>
      </c>
      <c r="AJ8" s="786"/>
      <c r="AK8" s="349"/>
      <c r="AL8" s="349"/>
      <c r="AM8" s="349"/>
      <c r="AN8" s="349"/>
      <c r="AO8" s="349"/>
      <c r="AP8" s="349"/>
      <c r="AQ8" s="349"/>
      <c r="AR8" s="349"/>
      <c r="AS8" s="349"/>
    </row>
    <row r="9" spans="1:45" ht="45.75" thickTop="1">
      <c r="A9" s="197"/>
      <c r="B9" s="787" t="s">
        <v>10655</v>
      </c>
      <c r="C9" s="788" t="s">
        <v>681</v>
      </c>
      <c r="D9" s="788">
        <v>3</v>
      </c>
      <c r="E9" s="789">
        <v>25.178000000000001</v>
      </c>
      <c r="F9" s="789">
        <v>284.75700000000001</v>
      </c>
      <c r="G9" s="789">
        <v>219.99199999999999</v>
      </c>
      <c r="H9" s="789">
        <v>18.074999999999999</v>
      </c>
      <c r="I9" s="789">
        <v>0</v>
      </c>
      <c r="J9" s="789">
        <v>74.893000000000001</v>
      </c>
      <c r="K9" s="789">
        <v>804.73</v>
      </c>
      <c r="L9" s="789">
        <v>551.58399999999995</v>
      </c>
      <c r="M9" s="789">
        <v>50.978999999999999</v>
      </c>
      <c r="N9" s="790">
        <v>0</v>
      </c>
      <c r="O9" s="349"/>
      <c r="P9" s="791" t="s">
        <v>10656</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7" t="s">
        <v>10657</v>
      </c>
      <c r="AJ9" s="789" t="s">
        <v>10658</v>
      </c>
      <c r="AK9" s="789" t="s">
        <v>10659</v>
      </c>
      <c r="AL9" s="789" t="s">
        <v>10660</v>
      </c>
      <c r="AM9" s="789" t="s">
        <v>10661</v>
      </c>
      <c r="AN9" s="789" t="s">
        <v>10662</v>
      </c>
      <c r="AO9" s="789" t="s">
        <v>10663</v>
      </c>
      <c r="AP9" s="789" t="s">
        <v>10664</v>
      </c>
      <c r="AQ9" s="789" t="s">
        <v>10665</v>
      </c>
      <c r="AR9" s="789" t="s">
        <v>10666</v>
      </c>
      <c r="AS9" s="790" t="s">
        <v>10667</v>
      </c>
    </row>
    <row r="10" spans="1:45" ht="32.25" customHeight="1">
      <c r="A10" s="197"/>
      <c r="B10" s="792" t="s">
        <v>10668</v>
      </c>
      <c r="C10" s="325" t="s">
        <v>681</v>
      </c>
      <c r="D10" s="325">
        <v>3</v>
      </c>
      <c r="E10" s="793">
        <v>55.222999999999999</v>
      </c>
      <c r="F10" s="793">
        <v>297.01100000000002</v>
      </c>
      <c r="G10" s="793">
        <v>206.34100000000001</v>
      </c>
      <c r="H10" s="793">
        <v>2.7440000000000002</v>
      </c>
      <c r="I10" s="793">
        <v>0</v>
      </c>
      <c r="J10" s="793">
        <v>130.51</v>
      </c>
      <c r="K10" s="793">
        <v>777.10900000000004</v>
      </c>
      <c r="L10" s="793">
        <v>561.14099999999996</v>
      </c>
      <c r="M10" s="793">
        <v>8.9499999999999993</v>
      </c>
      <c r="N10" s="794">
        <v>0</v>
      </c>
      <c r="O10" s="349"/>
      <c r="P10" s="795" t="s">
        <v>10669</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2" t="s">
        <v>10670</v>
      </c>
      <c r="AJ10" s="793" t="s">
        <v>10671</v>
      </c>
      <c r="AK10" s="793" t="s">
        <v>10672</v>
      </c>
      <c r="AL10" s="793" t="s">
        <v>10673</v>
      </c>
      <c r="AM10" s="793" t="s">
        <v>10674</v>
      </c>
      <c r="AN10" s="793" t="s">
        <v>10675</v>
      </c>
      <c r="AO10" s="793" t="s">
        <v>10676</v>
      </c>
      <c r="AP10" s="793" t="s">
        <v>10677</v>
      </c>
      <c r="AQ10" s="793" t="s">
        <v>10678</v>
      </c>
      <c r="AR10" s="793" t="s">
        <v>10679</v>
      </c>
      <c r="AS10" s="794" t="s">
        <v>10680</v>
      </c>
    </row>
    <row r="11" spans="1:45" ht="15.75" customHeight="1">
      <c r="A11" s="197"/>
      <c r="B11" s="792" t="s">
        <v>10681</v>
      </c>
      <c r="C11" s="325" t="s">
        <v>681</v>
      </c>
      <c r="D11" s="325">
        <v>3</v>
      </c>
      <c r="E11" s="793">
        <v>0</v>
      </c>
      <c r="F11" s="793">
        <v>0</v>
      </c>
      <c r="G11" s="793">
        <v>0</v>
      </c>
      <c r="H11" s="793">
        <v>0</v>
      </c>
      <c r="I11" s="793">
        <v>0</v>
      </c>
      <c r="J11" s="793">
        <v>0</v>
      </c>
      <c r="K11" s="793">
        <v>0</v>
      </c>
      <c r="L11" s="793">
        <v>0</v>
      </c>
      <c r="M11" s="793">
        <v>0</v>
      </c>
      <c r="N11" s="794">
        <v>0</v>
      </c>
      <c r="O11" s="349"/>
      <c r="P11" s="795" t="s">
        <v>10682</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2" t="s">
        <v>10681</v>
      </c>
      <c r="AJ11" s="793" t="s">
        <v>10683</v>
      </c>
      <c r="AK11" s="793" t="s">
        <v>10684</v>
      </c>
      <c r="AL11" s="793" t="s">
        <v>10685</v>
      </c>
      <c r="AM11" s="793" t="s">
        <v>10686</v>
      </c>
      <c r="AN11" s="793" t="s">
        <v>10687</v>
      </c>
      <c r="AO11" s="793" t="s">
        <v>10688</v>
      </c>
      <c r="AP11" s="793" t="s">
        <v>10689</v>
      </c>
      <c r="AQ11" s="793" t="s">
        <v>10690</v>
      </c>
      <c r="AR11" s="793" t="s">
        <v>10691</v>
      </c>
      <c r="AS11" s="794" t="s">
        <v>10692</v>
      </c>
    </row>
    <row r="12" spans="1:45" ht="15.75" customHeight="1">
      <c r="A12" s="197"/>
      <c r="B12" s="792" t="s">
        <v>10693</v>
      </c>
      <c r="C12" s="325" t="s">
        <v>681</v>
      </c>
      <c r="D12" s="325">
        <v>3</v>
      </c>
      <c r="E12" s="793">
        <v>0</v>
      </c>
      <c r="F12" s="793">
        <v>0.55300000000000005</v>
      </c>
      <c r="G12" s="793">
        <v>3.6999999999999998E-2</v>
      </c>
      <c r="H12" s="793">
        <v>0</v>
      </c>
      <c r="I12" s="793">
        <v>0</v>
      </c>
      <c r="J12" s="793">
        <v>0.158</v>
      </c>
      <c r="K12" s="793">
        <v>4.7409999999999997</v>
      </c>
      <c r="L12" s="793">
        <v>2.8119999999999998</v>
      </c>
      <c r="M12" s="793">
        <v>0.248</v>
      </c>
      <c r="N12" s="796">
        <v>0</v>
      </c>
      <c r="O12" s="349"/>
      <c r="P12" s="795" t="s">
        <v>10694</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2" t="s">
        <v>10693</v>
      </c>
      <c r="AJ12" s="793" t="s">
        <v>10695</v>
      </c>
      <c r="AK12" s="793" t="s">
        <v>10696</v>
      </c>
      <c r="AL12" s="793" t="s">
        <v>10697</v>
      </c>
      <c r="AM12" s="793" t="s">
        <v>10698</v>
      </c>
      <c r="AN12" s="793" t="s">
        <v>10699</v>
      </c>
      <c r="AO12" s="793" t="s">
        <v>10700</v>
      </c>
      <c r="AP12" s="793" t="s">
        <v>10701</v>
      </c>
      <c r="AQ12" s="793" t="s">
        <v>10702</v>
      </c>
      <c r="AR12" s="793" t="s">
        <v>10703</v>
      </c>
      <c r="AS12" s="796" t="s">
        <v>10704</v>
      </c>
    </row>
    <row r="13" spans="1:45" ht="33" customHeight="1">
      <c r="A13" s="197"/>
      <c r="B13" s="792" t="s">
        <v>10705</v>
      </c>
      <c r="C13" s="325" t="s">
        <v>681</v>
      </c>
      <c r="D13" s="325">
        <v>3</v>
      </c>
      <c r="E13" s="797">
        <f>IFERROR(E10 + E11 - E12, 0)</f>
        <v>55.222999999999999</v>
      </c>
      <c r="F13" s="797">
        <f t="shared" ref="F13:N13" si="12">IFERROR(F10 + F11 - F12, 0)</f>
        <v>296.45800000000003</v>
      </c>
      <c r="G13" s="797">
        <f t="shared" si="12"/>
        <v>206.304</v>
      </c>
      <c r="H13" s="797">
        <f t="shared" ref="H13" si="13">IFERROR(H10 + H11 - H12, 0)</f>
        <v>2.7440000000000002</v>
      </c>
      <c r="I13" s="797">
        <f t="shared" si="12"/>
        <v>0</v>
      </c>
      <c r="J13" s="797">
        <f t="shared" si="12"/>
        <v>130.352</v>
      </c>
      <c r="K13" s="797">
        <f t="shared" si="12"/>
        <v>772.36800000000005</v>
      </c>
      <c r="L13" s="797">
        <f t="shared" si="12"/>
        <v>558.32899999999995</v>
      </c>
      <c r="M13" s="797">
        <f t="shared" ref="M13" si="14">IFERROR(M10 + M11 - M12, 0)</f>
        <v>8.702</v>
      </c>
      <c r="N13" s="798">
        <f t="shared" si="12"/>
        <v>0</v>
      </c>
      <c r="O13" s="349"/>
      <c r="P13" s="795" t="s">
        <v>10706</v>
      </c>
      <c r="Q13" s="197"/>
      <c r="R13" s="291"/>
      <c r="S13" s="197"/>
      <c r="T13" s="363"/>
      <c r="U13" s="267"/>
      <c r="V13" s="361"/>
      <c r="W13" s="224"/>
      <c r="X13" s="224"/>
      <c r="Y13" s="224"/>
      <c r="Z13" s="224"/>
      <c r="AA13" s="224"/>
      <c r="AB13" s="224"/>
      <c r="AC13" s="224"/>
      <c r="AD13" s="224"/>
      <c r="AE13" s="224"/>
      <c r="AF13" s="224"/>
      <c r="AG13" s="361"/>
      <c r="AI13" s="792" t="s">
        <v>10705</v>
      </c>
      <c r="AJ13" s="797" t="s">
        <v>10707</v>
      </c>
      <c r="AK13" s="797" t="s">
        <v>10708</v>
      </c>
      <c r="AL13" s="797" t="s">
        <v>10709</v>
      </c>
      <c r="AM13" s="797" t="s">
        <v>10710</v>
      </c>
      <c r="AN13" s="797" t="s">
        <v>10711</v>
      </c>
      <c r="AO13" s="797" t="s">
        <v>10712</v>
      </c>
      <c r="AP13" s="797" t="s">
        <v>10713</v>
      </c>
      <c r="AQ13" s="797" t="s">
        <v>10714</v>
      </c>
      <c r="AR13" s="797" t="s">
        <v>10715</v>
      </c>
      <c r="AS13" s="798" t="s">
        <v>10716</v>
      </c>
    </row>
    <row r="14" spans="1:45" ht="15.75" customHeight="1">
      <c r="A14" s="197"/>
      <c r="B14" s="792" t="s">
        <v>10717</v>
      </c>
      <c r="C14" s="325" t="s">
        <v>681</v>
      </c>
      <c r="D14" s="325">
        <v>3</v>
      </c>
      <c r="E14" s="797">
        <f>IFERROR(E13 - E9, 0)</f>
        <v>30.044999999999998</v>
      </c>
      <c r="F14" s="797">
        <f>IFERROR(F13 - F9, 0)</f>
        <v>11.701000000000022</v>
      </c>
      <c r="G14" s="797">
        <f t="shared" ref="G14:N14" si="15">IFERROR(G13 - G9, 0)</f>
        <v>-13.687999999999988</v>
      </c>
      <c r="H14" s="797">
        <f t="shared" ref="H14" si="16">IFERROR(H13 - H9, 0)</f>
        <v>-15.331</v>
      </c>
      <c r="I14" s="797">
        <f t="shared" si="15"/>
        <v>0</v>
      </c>
      <c r="J14" s="797">
        <f t="shared" si="15"/>
        <v>55.459000000000003</v>
      </c>
      <c r="K14" s="797">
        <f t="shared" si="15"/>
        <v>-32.361999999999966</v>
      </c>
      <c r="L14" s="797">
        <f t="shared" si="15"/>
        <v>6.7450000000000045</v>
      </c>
      <c r="M14" s="797">
        <f t="shared" ref="M14" si="17">IFERROR(M13 - M9, 0)</f>
        <v>-42.277000000000001</v>
      </c>
      <c r="N14" s="798">
        <f t="shared" si="15"/>
        <v>0</v>
      </c>
      <c r="O14" s="349"/>
      <c r="P14" s="795" t="s">
        <v>10718</v>
      </c>
      <c r="Q14" s="197"/>
      <c r="R14" s="291"/>
      <c r="S14" s="197"/>
      <c r="T14" s="363"/>
      <c r="U14" s="267"/>
      <c r="V14" s="361"/>
      <c r="W14" s="224"/>
      <c r="X14" s="224"/>
      <c r="Y14" s="224"/>
      <c r="Z14" s="224"/>
      <c r="AA14" s="224"/>
      <c r="AB14" s="224"/>
      <c r="AC14" s="224"/>
      <c r="AD14" s="224"/>
      <c r="AE14" s="224"/>
      <c r="AF14" s="224"/>
      <c r="AG14" s="361"/>
      <c r="AI14" s="792" t="s">
        <v>10717</v>
      </c>
      <c r="AJ14" s="797" t="s">
        <v>10719</v>
      </c>
      <c r="AK14" s="797" t="s">
        <v>10720</v>
      </c>
      <c r="AL14" s="797" t="s">
        <v>10721</v>
      </c>
      <c r="AM14" s="797" t="s">
        <v>10722</v>
      </c>
      <c r="AN14" s="797" t="s">
        <v>10723</v>
      </c>
      <c r="AO14" s="797" t="s">
        <v>10724</v>
      </c>
      <c r="AP14" s="797" t="s">
        <v>10725</v>
      </c>
      <c r="AQ14" s="797" t="s">
        <v>10726</v>
      </c>
      <c r="AR14" s="797" t="s">
        <v>10727</v>
      </c>
      <c r="AS14" s="798" t="s">
        <v>10728</v>
      </c>
    </row>
    <row r="15" spans="1:45" ht="15.75" customHeight="1">
      <c r="A15" s="197"/>
      <c r="B15" s="792" t="s">
        <v>10729</v>
      </c>
      <c r="C15" s="325" t="s">
        <v>681</v>
      </c>
      <c r="D15" s="325">
        <v>3</v>
      </c>
      <c r="E15" s="799">
        <v>-19.395</v>
      </c>
      <c r="F15" s="799">
        <v>-1.675</v>
      </c>
      <c r="G15" s="799">
        <v>6.335</v>
      </c>
      <c r="H15" s="799">
        <v>8.7040000000000006</v>
      </c>
      <c r="I15" s="799">
        <v>0</v>
      </c>
      <c r="J15" s="799">
        <v>0</v>
      </c>
      <c r="K15" s="799">
        <v>-48.057000000000002</v>
      </c>
      <c r="L15" s="799">
        <v>0</v>
      </c>
      <c r="M15" s="799">
        <v>0</v>
      </c>
      <c r="N15" s="800">
        <v>0</v>
      </c>
      <c r="O15" s="349"/>
      <c r="P15" s="795" t="s">
        <v>10730</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2" t="s">
        <v>10729</v>
      </c>
      <c r="AJ15" s="799" t="s">
        <v>10731</v>
      </c>
      <c r="AK15" s="799" t="s">
        <v>10732</v>
      </c>
      <c r="AL15" s="799" t="s">
        <v>10733</v>
      </c>
      <c r="AM15" s="799" t="s">
        <v>10734</v>
      </c>
      <c r="AN15" s="799" t="s">
        <v>10735</v>
      </c>
      <c r="AO15" s="799" t="s">
        <v>10736</v>
      </c>
      <c r="AP15" s="799" t="s">
        <v>10737</v>
      </c>
      <c r="AQ15" s="799" t="s">
        <v>10738</v>
      </c>
      <c r="AR15" s="799" t="s">
        <v>10739</v>
      </c>
      <c r="AS15" s="800" t="s">
        <v>10740</v>
      </c>
    </row>
    <row r="16" spans="1:45" ht="15.75" customHeight="1">
      <c r="A16" s="197"/>
      <c r="B16" s="792" t="s">
        <v>10741</v>
      </c>
      <c r="C16" s="325" t="s">
        <v>681</v>
      </c>
      <c r="D16" s="325">
        <v>3</v>
      </c>
      <c r="E16" s="797">
        <f>IFERROR(E14 - E15, 0)</f>
        <v>49.44</v>
      </c>
      <c r="F16" s="797">
        <f t="shared" ref="F16:L16" si="28">IFERROR(F14 - F15, 0)</f>
        <v>13.376000000000023</v>
      </c>
      <c r="G16" s="797">
        <f t="shared" si="28"/>
        <v>-20.022999999999989</v>
      </c>
      <c r="H16" s="797">
        <f>IFERROR(H14 - H15, 0)</f>
        <v>-24.035</v>
      </c>
      <c r="I16" s="797">
        <f t="shared" si="28"/>
        <v>0</v>
      </c>
      <c r="J16" s="797">
        <f t="shared" si="28"/>
        <v>55.459000000000003</v>
      </c>
      <c r="K16" s="797">
        <f t="shared" si="28"/>
        <v>15.695000000000036</v>
      </c>
      <c r="L16" s="797">
        <f t="shared" si="28"/>
        <v>6.7450000000000045</v>
      </c>
      <c r="M16" s="797">
        <f t="shared" ref="M16" si="29">IFERROR(M14 - M15, 0)</f>
        <v>-42.277000000000001</v>
      </c>
      <c r="N16" s="798">
        <f>IFERROR(N14 - N15, 0)</f>
        <v>0</v>
      </c>
      <c r="O16" s="349"/>
      <c r="P16" s="795" t="s">
        <v>10742</v>
      </c>
      <c r="Q16" s="197"/>
      <c r="R16" s="291"/>
      <c r="S16" s="197"/>
      <c r="T16" s="363"/>
      <c r="U16" s="267"/>
      <c r="V16" s="361"/>
      <c r="W16" s="224"/>
      <c r="X16" s="224"/>
      <c r="Y16" s="224"/>
      <c r="Z16" s="224"/>
      <c r="AA16" s="224"/>
      <c r="AB16" s="224"/>
      <c r="AC16" s="224"/>
      <c r="AD16" s="224"/>
      <c r="AE16" s="224"/>
      <c r="AF16" s="224"/>
      <c r="AG16" s="361"/>
      <c r="AI16" s="792" t="s">
        <v>10741</v>
      </c>
      <c r="AJ16" s="797" t="s">
        <v>10743</v>
      </c>
      <c r="AK16" s="797" t="s">
        <v>10744</v>
      </c>
      <c r="AL16" s="797" t="s">
        <v>10745</v>
      </c>
      <c r="AM16" s="797" t="s">
        <v>10746</v>
      </c>
      <c r="AN16" s="797" t="s">
        <v>10747</v>
      </c>
      <c r="AO16" s="797" t="s">
        <v>10748</v>
      </c>
      <c r="AP16" s="797" t="s">
        <v>10749</v>
      </c>
      <c r="AQ16" s="797" t="s">
        <v>10750</v>
      </c>
      <c r="AR16" s="797" t="s">
        <v>10751</v>
      </c>
      <c r="AS16" s="798" t="s">
        <v>10752</v>
      </c>
    </row>
    <row r="17" spans="1:45" ht="15.75" customHeight="1">
      <c r="A17" s="197"/>
      <c r="B17" s="792" t="s">
        <v>10753</v>
      </c>
      <c r="C17" s="325" t="s">
        <v>3137</v>
      </c>
      <c r="D17" s="325">
        <v>2</v>
      </c>
      <c r="E17" s="2088">
        <v>0.55000000000000004</v>
      </c>
      <c r="F17" s="2088">
        <v>0.55000000000000004</v>
      </c>
      <c r="G17" s="2088">
        <v>0.55000000000000004</v>
      </c>
      <c r="H17" s="2088">
        <v>0</v>
      </c>
      <c r="I17" s="2088">
        <v>0</v>
      </c>
      <c r="J17" s="2088">
        <v>0.55000000000000004</v>
      </c>
      <c r="K17" s="2088">
        <v>0.55000000000000004</v>
      </c>
      <c r="L17" s="2088">
        <v>0.55000000000000004</v>
      </c>
      <c r="M17" s="2088">
        <v>0</v>
      </c>
      <c r="N17" s="2089">
        <v>0</v>
      </c>
      <c r="O17" s="349"/>
      <c r="P17" s="803" t="s">
        <v>10754</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2" t="s">
        <v>10753</v>
      </c>
      <c r="AJ17" s="801" t="s">
        <v>10755</v>
      </c>
      <c r="AK17" s="801" t="s">
        <v>10756</v>
      </c>
      <c r="AL17" s="801" t="s">
        <v>10757</v>
      </c>
      <c r="AM17" s="801" t="s">
        <v>10758</v>
      </c>
      <c r="AN17" s="801" t="s">
        <v>10759</v>
      </c>
      <c r="AO17" s="801" t="s">
        <v>10760</v>
      </c>
      <c r="AP17" s="801" t="s">
        <v>10761</v>
      </c>
      <c r="AQ17" s="801" t="s">
        <v>10762</v>
      </c>
      <c r="AR17" s="801" t="s">
        <v>10763</v>
      </c>
      <c r="AS17" s="802" t="s">
        <v>10764</v>
      </c>
    </row>
    <row r="18" spans="1:45" ht="15.75" customHeight="1">
      <c r="A18" s="197"/>
      <c r="B18" s="792" t="s">
        <v>10765</v>
      </c>
      <c r="C18" s="325" t="s">
        <v>3137</v>
      </c>
      <c r="D18" s="325">
        <v>2</v>
      </c>
      <c r="E18" s="804">
        <v>0.45</v>
      </c>
      <c r="F18" s="804">
        <v>0.45</v>
      </c>
      <c r="G18" s="804">
        <v>0.45</v>
      </c>
      <c r="H18" s="804">
        <v>0</v>
      </c>
      <c r="I18" s="804">
        <v>0</v>
      </c>
      <c r="J18" s="804">
        <v>0.45</v>
      </c>
      <c r="K18" s="804">
        <v>0.45</v>
      </c>
      <c r="L18" s="804">
        <v>0.45</v>
      </c>
      <c r="M18" s="2088">
        <v>0</v>
      </c>
      <c r="N18" s="805">
        <v>0</v>
      </c>
      <c r="O18" s="349"/>
      <c r="P18" s="803" t="s">
        <v>10766</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2" t="s">
        <v>10765</v>
      </c>
      <c r="AJ18" s="804" t="s">
        <v>10767</v>
      </c>
      <c r="AK18" s="804" t="s">
        <v>10768</v>
      </c>
      <c r="AL18" s="804" t="s">
        <v>10769</v>
      </c>
      <c r="AM18" s="804" t="s">
        <v>10770</v>
      </c>
      <c r="AN18" s="804" t="s">
        <v>10771</v>
      </c>
      <c r="AO18" s="804" t="s">
        <v>10772</v>
      </c>
      <c r="AP18" s="804" t="s">
        <v>10773</v>
      </c>
      <c r="AQ18" s="804" t="s">
        <v>10774</v>
      </c>
      <c r="AR18" s="801" t="s">
        <v>10775</v>
      </c>
      <c r="AS18" s="805" t="s">
        <v>10776</v>
      </c>
    </row>
    <row r="19" spans="1:45" ht="15.75" customHeight="1">
      <c r="A19" s="197"/>
      <c r="B19" s="792" t="s">
        <v>10777</v>
      </c>
      <c r="C19" s="325" t="s">
        <v>681</v>
      </c>
      <c r="D19" s="325">
        <v>3</v>
      </c>
      <c r="E19" s="797">
        <f>IF(E16&gt;0, E16*E18,0)</f>
        <v>22.248000000000001</v>
      </c>
      <c r="F19" s="797">
        <f>IF(F16&gt;0, F16*F18,0)</f>
        <v>6.0192000000000103</v>
      </c>
      <c r="G19" s="797">
        <f t="shared" ref="G19:N19" si="41">IF(G16&gt;0, G16*G17,0)</f>
        <v>0</v>
      </c>
      <c r="H19" s="797">
        <f t="shared" si="41"/>
        <v>0</v>
      </c>
      <c r="I19" s="797">
        <f t="shared" si="41"/>
        <v>0</v>
      </c>
      <c r="J19" s="797">
        <f>IF(J16&gt;0, J16*J18,0)</f>
        <v>24.956550000000004</v>
      </c>
      <c r="K19" s="797">
        <f>IF(K16&gt;0, K16*K18,0)</f>
        <v>7.0627500000000163</v>
      </c>
      <c r="L19" s="797">
        <f>IF(L16&gt;0, L16*L18,0)</f>
        <v>3.0352500000000022</v>
      </c>
      <c r="M19" s="797">
        <f t="shared" si="41"/>
        <v>0</v>
      </c>
      <c r="N19" s="798">
        <f t="shared" si="41"/>
        <v>0</v>
      </c>
      <c r="O19" s="349"/>
      <c r="P19" s="803" t="s">
        <v>10778</v>
      </c>
      <c r="Q19" s="197"/>
      <c r="R19" s="291"/>
      <c r="S19" s="197"/>
      <c r="T19" s="363"/>
      <c r="U19" s="267"/>
      <c r="V19" s="361"/>
      <c r="W19" s="224"/>
      <c r="X19" s="224"/>
      <c r="Y19" s="224"/>
      <c r="Z19" s="224"/>
      <c r="AA19" s="224"/>
      <c r="AB19" s="224"/>
      <c r="AC19" s="224"/>
      <c r="AD19" s="224"/>
      <c r="AE19" s="224"/>
      <c r="AF19" s="224"/>
      <c r="AG19" s="361"/>
      <c r="AI19" s="792" t="s">
        <v>10777</v>
      </c>
      <c r="AJ19" s="797" t="s">
        <v>10779</v>
      </c>
      <c r="AK19" s="797" t="s">
        <v>10780</v>
      </c>
      <c r="AL19" s="797" t="s">
        <v>10781</v>
      </c>
      <c r="AM19" s="797" t="s">
        <v>10782</v>
      </c>
      <c r="AN19" s="797" t="s">
        <v>10783</v>
      </c>
      <c r="AO19" s="797" t="s">
        <v>10784</v>
      </c>
      <c r="AP19" s="797" t="s">
        <v>10785</v>
      </c>
      <c r="AQ19" s="797" t="s">
        <v>10786</v>
      </c>
      <c r="AR19" s="797" t="s">
        <v>10787</v>
      </c>
      <c r="AS19" s="798" t="s">
        <v>10788</v>
      </c>
    </row>
    <row r="20" spans="1:45" ht="15.75" customHeight="1">
      <c r="A20" s="197"/>
      <c r="B20" s="792" t="s">
        <v>10789</v>
      </c>
      <c r="C20" s="325" t="s">
        <v>681</v>
      </c>
      <c r="D20" s="325">
        <v>3</v>
      </c>
      <c r="E20" s="797">
        <f>IF(E16&lt;0, E16*E17, 0)</f>
        <v>0</v>
      </c>
      <c r="F20" s="797">
        <f t="shared" ref="F20:N20" si="42">IF(F16&lt;0, F16*F17, 0)</f>
        <v>0</v>
      </c>
      <c r="G20" s="797">
        <f t="shared" si="42"/>
        <v>-11.012649999999995</v>
      </c>
      <c r="H20" s="797">
        <f t="shared" si="42"/>
        <v>0</v>
      </c>
      <c r="I20" s="797">
        <f t="shared" si="42"/>
        <v>0</v>
      </c>
      <c r="J20" s="797">
        <f t="shared" si="42"/>
        <v>0</v>
      </c>
      <c r="K20" s="797">
        <f t="shared" si="42"/>
        <v>0</v>
      </c>
      <c r="L20" s="797">
        <f t="shared" si="42"/>
        <v>0</v>
      </c>
      <c r="M20" s="797">
        <f t="shared" si="42"/>
        <v>0</v>
      </c>
      <c r="N20" s="798">
        <f t="shared" si="42"/>
        <v>0</v>
      </c>
      <c r="O20" s="349"/>
      <c r="P20" s="803" t="s">
        <v>10790</v>
      </c>
      <c r="Q20" s="197"/>
      <c r="R20" s="291"/>
      <c r="S20" s="197"/>
      <c r="T20" s="363"/>
      <c r="U20" s="267"/>
      <c r="V20" s="361"/>
      <c r="W20" s="224"/>
      <c r="X20" s="224"/>
      <c r="Y20" s="224"/>
      <c r="Z20" s="224"/>
      <c r="AA20" s="224"/>
      <c r="AB20" s="224"/>
      <c r="AC20" s="224"/>
      <c r="AD20" s="224"/>
      <c r="AE20" s="224"/>
      <c r="AF20" s="224"/>
      <c r="AG20" s="361"/>
      <c r="AI20" s="792" t="s">
        <v>10789</v>
      </c>
      <c r="AJ20" s="797" t="s">
        <v>10791</v>
      </c>
      <c r="AK20" s="797" t="s">
        <v>10792</v>
      </c>
      <c r="AL20" s="797" t="s">
        <v>10793</v>
      </c>
      <c r="AM20" s="797" t="s">
        <v>10794</v>
      </c>
      <c r="AN20" s="797" t="s">
        <v>10795</v>
      </c>
      <c r="AO20" s="797" t="s">
        <v>10796</v>
      </c>
      <c r="AP20" s="797" t="s">
        <v>10797</v>
      </c>
      <c r="AQ20" s="797" t="s">
        <v>10798</v>
      </c>
      <c r="AR20" s="797" t="s">
        <v>10799</v>
      </c>
      <c r="AS20" s="798" t="s">
        <v>10800</v>
      </c>
    </row>
    <row r="21" spans="1:45" ht="15.75" customHeight="1">
      <c r="A21" s="197"/>
      <c r="B21" s="792" t="s">
        <v>10801</v>
      </c>
      <c r="C21" s="325" t="s">
        <v>681</v>
      </c>
      <c r="D21" s="325">
        <v>3</v>
      </c>
      <c r="E21" s="797">
        <f t="shared" ref="E21:N21" si="43">IF(E19=0, 0, E16-E19)</f>
        <v>27.191999999999997</v>
      </c>
      <c r="F21" s="797">
        <f t="shared" si="43"/>
        <v>7.3568000000000122</v>
      </c>
      <c r="G21" s="797">
        <f t="shared" si="43"/>
        <v>0</v>
      </c>
      <c r="H21" s="797">
        <f>IF(H16&gt;0, H16,0)</f>
        <v>0</v>
      </c>
      <c r="I21" s="797">
        <f t="shared" si="43"/>
        <v>0</v>
      </c>
      <c r="J21" s="797">
        <f t="shared" si="43"/>
        <v>30.50245</v>
      </c>
      <c r="K21" s="797">
        <f t="shared" si="43"/>
        <v>8.6322500000000204</v>
      </c>
      <c r="L21" s="797">
        <f t="shared" si="43"/>
        <v>3.7097500000000023</v>
      </c>
      <c r="M21" s="797">
        <f>IF(M16&gt;0, M16,0)</f>
        <v>0</v>
      </c>
      <c r="N21" s="798">
        <f t="shared" si="43"/>
        <v>0</v>
      </c>
      <c r="O21" s="349"/>
      <c r="P21" s="803" t="s">
        <v>10802</v>
      </c>
      <c r="Q21" s="197"/>
      <c r="R21" s="291"/>
      <c r="S21" s="197"/>
      <c r="T21" s="363"/>
      <c r="U21" s="267"/>
      <c r="V21" s="361"/>
      <c r="W21" s="224"/>
      <c r="X21" s="224"/>
      <c r="Y21" s="224"/>
      <c r="Z21" s="224"/>
      <c r="AA21" s="224"/>
      <c r="AB21" s="224"/>
      <c r="AC21" s="224"/>
      <c r="AD21" s="224"/>
      <c r="AE21" s="224"/>
      <c r="AF21" s="224"/>
      <c r="AG21" s="361"/>
      <c r="AI21" s="792" t="s">
        <v>10801</v>
      </c>
      <c r="AJ21" s="797" t="s">
        <v>10803</v>
      </c>
      <c r="AK21" s="797" t="s">
        <v>10804</v>
      </c>
      <c r="AL21" s="797" t="s">
        <v>10805</v>
      </c>
      <c r="AM21" s="797" t="s">
        <v>10806</v>
      </c>
      <c r="AN21" s="797" t="s">
        <v>10807</v>
      </c>
      <c r="AO21" s="797" t="s">
        <v>10808</v>
      </c>
      <c r="AP21" s="797" t="s">
        <v>10809</v>
      </c>
      <c r="AQ21" s="797" t="s">
        <v>10810</v>
      </c>
      <c r="AR21" s="797" t="s">
        <v>10811</v>
      </c>
      <c r="AS21" s="798" t="s">
        <v>10812</v>
      </c>
    </row>
    <row r="22" spans="1:45" ht="15.75" customHeight="1" thickBot="1">
      <c r="A22" s="197"/>
      <c r="B22" s="453" t="s">
        <v>10813</v>
      </c>
      <c r="C22" s="332" t="s">
        <v>681</v>
      </c>
      <c r="D22" s="332">
        <v>3</v>
      </c>
      <c r="E22" s="806">
        <f t="shared" ref="E22:N22" si="44">IF(E20=0, 0, E16-E20)</f>
        <v>0</v>
      </c>
      <c r="F22" s="806">
        <f t="shared" si="44"/>
        <v>0</v>
      </c>
      <c r="G22" s="806">
        <f t="shared" si="44"/>
        <v>-9.0103499999999936</v>
      </c>
      <c r="H22" s="806">
        <f>IF(H16&lt;0, H16,0)</f>
        <v>-24.035</v>
      </c>
      <c r="I22" s="806">
        <f t="shared" si="44"/>
        <v>0</v>
      </c>
      <c r="J22" s="806">
        <f t="shared" si="44"/>
        <v>0</v>
      </c>
      <c r="K22" s="806">
        <f t="shared" si="44"/>
        <v>0</v>
      </c>
      <c r="L22" s="806">
        <f t="shared" si="44"/>
        <v>0</v>
      </c>
      <c r="M22" s="806">
        <f>IF(M16&lt;0, M16,0)</f>
        <v>-42.277000000000001</v>
      </c>
      <c r="N22" s="807">
        <f t="shared" si="44"/>
        <v>0</v>
      </c>
      <c r="O22" s="349"/>
      <c r="P22" s="808" t="s">
        <v>10814</v>
      </c>
      <c r="Q22" s="197"/>
      <c r="R22" s="302"/>
      <c r="S22" s="197"/>
      <c r="T22" s="363"/>
      <c r="U22" s="267"/>
      <c r="V22" s="361"/>
      <c r="W22" s="224"/>
      <c r="X22" s="224"/>
      <c r="Y22" s="224"/>
      <c r="Z22" s="224"/>
      <c r="AA22" s="224"/>
      <c r="AB22" s="224"/>
      <c r="AC22" s="224"/>
      <c r="AD22" s="224"/>
      <c r="AE22" s="224"/>
      <c r="AF22" s="224"/>
      <c r="AG22" s="361"/>
      <c r="AI22" s="453" t="s">
        <v>10813</v>
      </c>
      <c r="AJ22" s="806" t="s">
        <v>10815</v>
      </c>
      <c r="AK22" s="806" t="s">
        <v>10816</v>
      </c>
      <c r="AL22" s="806" t="s">
        <v>10817</v>
      </c>
      <c r="AM22" s="806" t="s">
        <v>10818</v>
      </c>
      <c r="AN22" s="806" t="s">
        <v>10819</v>
      </c>
      <c r="AO22" s="806" t="s">
        <v>10820</v>
      </c>
      <c r="AP22" s="806" t="s">
        <v>10821</v>
      </c>
      <c r="AQ22" s="806" t="s">
        <v>10822</v>
      </c>
      <c r="AR22" s="806" t="s">
        <v>10823</v>
      </c>
      <c r="AS22" s="807" t="s">
        <v>10824</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10825</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10825</v>
      </c>
      <c r="AJ24" s="34"/>
      <c r="AK24" s="349"/>
      <c r="AL24" s="349"/>
      <c r="AM24" s="349"/>
      <c r="AN24" s="349"/>
      <c r="AO24" s="349"/>
      <c r="AP24" s="349"/>
      <c r="AQ24" s="349"/>
      <c r="AR24" s="349"/>
      <c r="AS24" s="349"/>
    </row>
    <row r="25" spans="1:45" ht="30.75" thickTop="1">
      <c r="A25" s="197"/>
      <c r="B25" s="787" t="s">
        <v>10826</v>
      </c>
      <c r="C25" s="788" t="s">
        <v>681</v>
      </c>
      <c r="D25" s="788">
        <v>3</v>
      </c>
      <c r="E25" s="809">
        <v>51.341999999999999</v>
      </c>
      <c r="F25" s="809">
        <v>29.995000000000001</v>
      </c>
      <c r="G25" s="809">
        <v>7.8250000000000002</v>
      </c>
      <c r="H25" s="809">
        <v>1.607</v>
      </c>
      <c r="I25" s="809">
        <v>0</v>
      </c>
      <c r="J25" s="809">
        <v>144.071</v>
      </c>
      <c r="K25" s="809">
        <v>84.17</v>
      </c>
      <c r="L25" s="809">
        <v>21.957999999999998</v>
      </c>
      <c r="M25" s="809">
        <v>4.5090000000000003</v>
      </c>
      <c r="N25" s="810">
        <v>0</v>
      </c>
      <c r="O25" s="349"/>
      <c r="P25" s="791" t="s">
        <v>10827</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7" t="s">
        <v>10826</v>
      </c>
      <c r="AJ25" s="809" t="s">
        <v>10828</v>
      </c>
      <c r="AK25" s="809" t="s">
        <v>10829</v>
      </c>
      <c r="AL25" s="809" t="s">
        <v>10830</v>
      </c>
      <c r="AM25" s="809" t="s">
        <v>10831</v>
      </c>
      <c r="AN25" s="809" t="s">
        <v>10832</v>
      </c>
      <c r="AO25" s="809" t="s">
        <v>10833</v>
      </c>
      <c r="AP25" s="809" t="s">
        <v>10834</v>
      </c>
      <c r="AQ25" s="809" t="s">
        <v>10835</v>
      </c>
      <c r="AR25" s="809" t="s">
        <v>10836</v>
      </c>
      <c r="AS25" s="810" t="s">
        <v>10837</v>
      </c>
    </row>
    <row r="26" spans="1:45" ht="15.75" customHeight="1">
      <c r="A26" s="197"/>
      <c r="B26" s="792" t="s">
        <v>10838</v>
      </c>
      <c r="C26" s="325" t="s">
        <v>681</v>
      </c>
      <c r="D26" s="325">
        <v>3</v>
      </c>
      <c r="E26" s="799">
        <v>43.786999999999999</v>
      </c>
      <c r="F26" s="799">
        <v>27.259</v>
      </c>
      <c r="G26" s="799">
        <v>7.7169999999999996</v>
      </c>
      <c r="H26" s="799">
        <v>1.615</v>
      </c>
      <c r="I26" s="799">
        <v>0</v>
      </c>
      <c r="J26" s="799">
        <v>139.178</v>
      </c>
      <c r="K26" s="799">
        <v>81.274000000000001</v>
      </c>
      <c r="L26" s="799">
        <v>19.372</v>
      </c>
      <c r="M26" s="799">
        <v>4.0019999999999998</v>
      </c>
      <c r="N26" s="800">
        <v>0</v>
      </c>
      <c r="O26" s="349"/>
      <c r="P26" s="795" t="s">
        <v>10839</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2" t="s">
        <v>10838</v>
      </c>
      <c r="AJ26" s="799" t="s">
        <v>10840</v>
      </c>
      <c r="AK26" s="799" t="s">
        <v>10841</v>
      </c>
      <c r="AL26" s="799" t="s">
        <v>10842</v>
      </c>
      <c r="AM26" s="799" t="s">
        <v>10843</v>
      </c>
      <c r="AN26" s="799" t="s">
        <v>10844</v>
      </c>
      <c r="AO26" s="799" t="s">
        <v>10845</v>
      </c>
      <c r="AP26" s="799" t="s">
        <v>10846</v>
      </c>
      <c r="AQ26" s="799" t="s">
        <v>10847</v>
      </c>
      <c r="AR26" s="799" t="s">
        <v>10848</v>
      </c>
      <c r="AS26" s="800" t="s">
        <v>10849</v>
      </c>
    </row>
    <row r="27" spans="1:45" ht="15.75" customHeight="1">
      <c r="A27" s="197"/>
      <c r="B27" s="792" t="s">
        <v>10850</v>
      </c>
      <c r="C27" s="325" t="s">
        <v>681</v>
      </c>
      <c r="D27" s="325">
        <v>3</v>
      </c>
      <c r="E27" s="797">
        <f>IFERROR(E26 - E25, 0)</f>
        <v>-7.5549999999999997</v>
      </c>
      <c r="F27" s="797">
        <f t="shared" ref="F27:N27" si="56">IFERROR(F26 - F25, 0)</f>
        <v>-2.7360000000000007</v>
      </c>
      <c r="G27" s="797">
        <f t="shared" si="56"/>
        <v>-0.10800000000000054</v>
      </c>
      <c r="H27" s="797">
        <f t="shared" si="56"/>
        <v>8.0000000000000071E-3</v>
      </c>
      <c r="I27" s="797">
        <f t="shared" si="56"/>
        <v>0</v>
      </c>
      <c r="J27" s="797">
        <f t="shared" si="56"/>
        <v>-4.8930000000000007</v>
      </c>
      <c r="K27" s="797">
        <f t="shared" si="56"/>
        <v>-2.8960000000000008</v>
      </c>
      <c r="L27" s="797">
        <f t="shared" si="56"/>
        <v>-2.5859999999999985</v>
      </c>
      <c r="M27" s="797">
        <f t="shared" si="56"/>
        <v>-0.50700000000000056</v>
      </c>
      <c r="N27" s="798">
        <f t="shared" si="56"/>
        <v>0</v>
      </c>
      <c r="O27" s="349"/>
      <c r="P27" s="795" t="s">
        <v>10851</v>
      </c>
      <c r="Q27" s="197"/>
      <c r="R27" s="291"/>
      <c r="S27" s="197"/>
      <c r="T27" s="363"/>
      <c r="U27" s="267"/>
      <c r="V27" s="361"/>
      <c r="W27" s="224"/>
      <c r="X27" s="224"/>
      <c r="Y27" s="224"/>
      <c r="Z27" s="224"/>
      <c r="AA27" s="224"/>
      <c r="AB27" s="224"/>
      <c r="AC27" s="224"/>
      <c r="AD27" s="224"/>
      <c r="AE27" s="224"/>
      <c r="AF27" s="224"/>
      <c r="AG27" s="361"/>
      <c r="AI27" s="792" t="s">
        <v>10850</v>
      </c>
      <c r="AJ27" s="797" t="s">
        <v>10852</v>
      </c>
      <c r="AK27" s="797" t="s">
        <v>10853</v>
      </c>
      <c r="AL27" s="797" t="s">
        <v>10854</v>
      </c>
      <c r="AM27" s="797" t="s">
        <v>10855</v>
      </c>
      <c r="AN27" s="797" t="s">
        <v>10856</v>
      </c>
      <c r="AO27" s="797" t="s">
        <v>10857</v>
      </c>
      <c r="AP27" s="797" t="s">
        <v>10858</v>
      </c>
      <c r="AQ27" s="797" t="s">
        <v>10859</v>
      </c>
      <c r="AR27" s="797" t="s">
        <v>10860</v>
      </c>
      <c r="AS27" s="798" t="s">
        <v>10861</v>
      </c>
    </row>
    <row r="28" spans="1:45" ht="15.75" customHeight="1">
      <c r="A28" s="197"/>
      <c r="B28" s="792" t="s">
        <v>10862</v>
      </c>
      <c r="C28" s="325" t="s">
        <v>3137</v>
      </c>
      <c r="D28" s="325">
        <v>2</v>
      </c>
      <c r="E28" s="804">
        <v>0.82950000000000002</v>
      </c>
      <c r="F28" s="804">
        <v>0.90139999999999998</v>
      </c>
      <c r="G28" s="804">
        <v>0.9</v>
      </c>
      <c r="H28" s="804">
        <v>0.9</v>
      </c>
      <c r="I28" s="804">
        <v>0</v>
      </c>
      <c r="J28" s="804">
        <v>0.82609999999999995</v>
      </c>
      <c r="K28" s="804">
        <v>0.90869999999999995</v>
      </c>
      <c r="L28" s="804">
        <v>0.9</v>
      </c>
      <c r="M28" s="804">
        <v>0.9</v>
      </c>
      <c r="N28" s="805">
        <v>0</v>
      </c>
      <c r="O28" s="349"/>
      <c r="P28" s="803" t="s">
        <v>10863</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2" t="s">
        <v>10862</v>
      </c>
      <c r="AJ28" s="804" t="s">
        <v>10864</v>
      </c>
      <c r="AK28" s="804" t="s">
        <v>10865</v>
      </c>
      <c r="AL28" s="804" t="s">
        <v>10866</v>
      </c>
      <c r="AM28" s="804" t="s">
        <v>10867</v>
      </c>
      <c r="AN28" s="804" t="s">
        <v>10868</v>
      </c>
      <c r="AO28" s="804" t="s">
        <v>10869</v>
      </c>
      <c r="AP28" s="804" t="s">
        <v>10870</v>
      </c>
      <c r="AQ28" s="804" t="s">
        <v>10871</v>
      </c>
      <c r="AR28" s="804" t="s">
        <v>10872</v>
      </c>
      <c r="AS28" s="805" t="s">
        <v>10873</v>
      </c>
    </row>
    <row r="29" spans="1:45" ht="15.75" customHeight="1">
      <c r="A29" s="197"/>
      <c r="B29" s="792" t="s">
        <v>10874</v>
      </c>
      <c r="C29" s="325" t="s">
        <v>3137</v>
      </c>
      <c r="D29" s="325">
        <v>2</v>
      </c>
      <c r="E29" s="804">
        <v>0.82669999999999999</v>
      </c>
      <c r="F29" s="804">
        <v>0.75</v>
      </c>
      <c r="G29" s="804">
        <v>0.75</v>
      </c>
      <c r="H29" s="804">
        <v>0.75</v>
      </c>
      <c r="I29" s="804">
        <v>0</v>
      </c>
      <c r="J29" s="804">
        <v>0.82669999999999999</v>
      </c>
      <c r="K29" s="804">
        <v>0.75</v>
      </c>
      <c r="L29" s="804">
        <v>0.75</v>
      </c>
      <c r="M29" s="804">
        <v>0.75</v>
      </c>
      <c r="N29" s="805">
        <v>0</v>
      </c>
      <c r="O29" s="349"/>
      <c r="P29" s="803" t="s">
        <v>10875</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2" t="s">
        <v>10874</v>
      </c>
      <c r="AJ29" s="804" t="s">
        <v>10876</v>
      </c>
      <c r="AK29" s="804" t="s">
        <v>10877</v>
      </c>
      <c r="AL29" s="804" t="s">
        <v>10878</v>
      </c>
      <c r="AM29" s="804" t="s">
        <v>10879</v>
      </c>
      <c r="AN29" s="804" t="s">
        <v>10880</v>
      </c>
      <c r="AO29" s="804" t="s">
        <v>10881</v>
      </c>
      <c r="AP29" s="804" t="s">
        <v>10882</v>
      </c>
      <c r="AQ29" s="804" t="s">
        <v>10883</v>
      </c>
      <c r="AR29" s="804" t="s">
        <v>10884</v>
      </c>
      <c r="AS29" s="805" t="s">
        <v>10885</v>
      </c>
    </row>
    <row r="30" spans="1:45" ht="30">
      <c r="A30" s="197"/>
      <c r="B30" s="792" t="s">
        <v>10886</v>
      </c>
      <c r="C30" s="325" t="s">
        <v>681</v>
      </c>
      <c r="D30" s="325">
        <v>3</v>
      </c>
      <c r="E30" s="2033">
        <f>IFERROR(E27 * E28,0)</f>
        <v>-6.2668724999999998</v>
      </c>
      <c r="F30" s="2033">
        <f t="shared" ref="F30:N30" si="68">IFERROR(F27 * F28,0)</f>
        <v>-2.4662304000000006</v>
      </c>
      <c r="G30" s="2033">
        <f t="shared" si="68"/>
        <v>-9.7200000000000494E-2</v>
      </c>
      <c r="H30" s="2033">
        <f t="shared" si="68"/>
        <v>7.2000000000000067E-3</v>
      </c>
      <c r="I30" s="2033">
        <f t="shared" si="68"/>
        <v>0</v>
      </c>
      <c r="J30" s="2033">
        <f t="shared" si="68"/>
        <v>-4.0421073000000005</v>
      </c>
      <c r="K30" s="2033">
        <f t="shared" si="68"/>
        <v>-2.6315952000000005</v>
      </c>
      <c r="L30" s="2033">
        <f t="shared" si="68"/>
        <v>-2.3273999999999986</v>
      </c>
      <c r="M30" s="2033">
        <f t="shared" si="68"/>
        <v>-0.45630000000000054</v>
      </c>
      <c r="N30" s="2034">
        <f t="shared" si="68"/>
        <v>0</v>
      </c>
      <c r="O30" s="349"/>
      <c r="P30" s="795" t="s">
        <v>10887</v>
      </c>
      <c r="Q30" s="197"/>
      <c r="R30" s="291"/>
      <c r="S30" s="197"/>
      <c r="T30" s="363"/>
      <c r="U30" s="267"/>
      <c r="V30" s="361"/>
      <c r="W30" s="224"/>
      <c r="X30" s="224"/>
      <c r="Y30" s="224"/>
      <c r="Z30" s="224"/>
      <c r="AA30" s="224"/>
      <c r="AB30" s="224"/>
      <c r="AC30" s="224"/>
      <c r="AD30" s="224"/>
      <c r="AE30" s="224"/>
      <c r="AF30" s="224"/>
      <c r="AG30" s="370"/>
      <c r="AI30" s="792" t="s">
        <v>10886</v>
      </c>
      <c r="AJ30" s="811" t="s">
        <v>10888</v>
      </c>
      <c r="AK30" s="811" t="s">
        <v>10889</v>
      </c>
      <c r="AL30" s="811" t="s">
        <v>10890</v>
      </c>
      <c r="AM30" s="811" t="s">
        <v>10891</v>
      </c>
      <c r="AN30" s="811" t="s">
        <v>10892</v>
      </c>
      <c r="AO30" s="811" t="s">
        <v>10893</v>
      </c>
      <c r="AP30" s="811" t="s">
        <v>10894</v>
      </c>
      <c r="AQ30" s="811" t="s">
        <v>10895</v>
      </c>
      <c r="AR30" s="811" t="s">
        <v>10896</v>
      </c>
      <c r="AS30" s="812" t="s">
        <v>10897</v>
      </c>
    </row>
    <row r="31" spans="1:45" ht="30.75" thickBot="1">
      <c r="A31" s="197"/>
      <c r="B31" s="453" t="s">
        <v>10898</v>
      </c>
      <c r="C31" s="332" t="s">
        <v>681</v>
      </c>
      <c r="D31" s="332">
        <v>3</v>
      </c>
      <c r="E31" s="806">
        <f>IFERROR(E27 - E30, 0)</f>
        <v>-1.2881274999999999</v>
      </c>
      <c r="F31" s="806">
        <f t="shared" ref="F31:M31" si="69">IFERROR(F27 - F30, 0)</f>
        <v>-0.26976960000000005</v>
      </c>
      <c r="G31" s="806">
        <f t="shared" si="69"/>
        <v>-1.0800000000000046E-2</v>
      </c>
      <c r="H31" s="806">
        <f t="shared" si="69"/>
        <v>8.0000000000000036E-4</v>
      </c>
      <c r="I31" s="806">
        <f t="shared" si="69"/>
        <v>0</v>
      </c>
      <c r="J31" s="806">
        <f t="shared" si="69"/>
        <v>-0.85089270000000017</v>
      </c>
      <c r="K31" s="806">
        <f t="shared" si="69"/>
        <v>-0.26440480000000033</v>
      </c>
      <c r="L31" s="806">
        <f t="shared" si="69"/>
        <v>-0.25859999999999994</v>
      </c>
      <c r="M31" s="806">
        <f t="shared" si="69"/>
        <v>-5.0700000000000023E-2</v>
      </c>
      <c r="N31" s="807">
        <f>IFERROR(N27 - N30, 0)</f>
        <v>0</v>
      </c>
      <c r="O31" s="349"/>
      <c r="P31" s="813" t="s">
        <v>10899</v>
      </c>
      <c r="Q31" s="197"/>
      <c r="R31" s="302"/>
      <c r="S31" s="197"/>
      <c r="T31" s="363"/>
      <c r="U31" s="267"/>
      <c r="V31" s="370"/>
      <c r="W31" s="224"/>
      <c r="X31" s="224"/>
      <c r="Y31" s="224"/>
      <c r="Z31" s="224"/>
      <c r="AA31" s="224"/>
      <c r="AB31" s="224"/>
      <c r="AC31" s="224"/>
      <c r="AD31" s="224"/>
      <c r="AE31" s="224"/>
      <c r="AF31" s="224"/>
      <c r="AG31" s="370"/>
      <c r="AI31" s="453" t="s">
        <v>10898</v>
      </c>
      <c r="AJ31" s="806" t="s">
        <v>10900</v>
      </c>
      <c r="AK31" s="806" t="s">
        <v>10901</v>
      </c>
      <c r="AL31" s="806" t="s">
        <v>10902</v>
      </c>
      <c r="AM31" s="806" t="s">
        <v>10903</v>
      </c>
      <c r="AN31" s="806" t="s">
        <v>10904</v>
      </c>
      <c r="AO31" s="806" t="s">
        <v>10905</v>
      </c>
      <c r="AP31" s="806" t="s">
        <v>10906</v>
      </c>
      <c r="AQ31" s="806" t="s">
        <v>10907</v>
      </c>
      <c r="AR31" s="806" t="s">
        <v>10908</v>
      </c>
      <c r="AS31" s="807" t="s">
        <v>10909</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10910</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10910</v>
      </c>
      <c r="AJ33" s="34"/>
      <c r="AK33" s="83"/>
      <c r="AL33" s="83"/>
      <c r="AM33" s="83"/>
      <c r="AN33" s="83"/>
      <c r="AO33" s="83"/>
      <c r="AP33" s="83"/>
      <c r="AQ33" s="83"/>
      <c r="AR33" s="83"/>
      <c r="AS33" s="83"/>
    </row>
    <row r="34" spans="1:45" ht="15.75" customHeight="1" thickTop="1">
      <c r="A34" s="197"/>
      <c r="B34" s="814" t="s">
        <v>10911</v>
      </c>
      <c r="C34" s="788" t="s">
        <v>681</v>
      </c>
      <c r="D34" s="788">
        <v>3</v>
      </c>
      <c r="E34" s="809">
        <v>5.6980000000000004</v>
      </c>
      <c r="F34" s="809">
        <v>3.778</v>
      </c>
      <c r="G34" s="809">
        <v>3.3000000000000002E-2</v>
      </c>
      <c r="H34" s="809">
        <v>0</v>
      </c>
      <c r="I34" s="809">
        <v>0</v>
      </c>
      <c r="J34" s="809">
        <v>16.315000000000001</v>
      </c>
      <c r="K34" s="809">
        <v>12.243</v>
      </c>
      <c r="L34" s="809">
        <v>0.65500000000000003</v>
      </c>
      <c r="M34" s="809">
        <v>4.2000000000000003E-2</v>
      </c>
      <c r="N34" s="810">
        <v>0</v>
      </c>
      <c r="O34" s="349"/>
      <c r="P34" s="791" t="s">
        <v>10912</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4" t="s">
        <v>10911</v>
      </c>
      <c r="AJ34" s="809" t="s">
        <v>10913</v>
      </c>
      <c r="AK34" s="809" t="s">
        <v>10914</v>
      </c>
      <c r="AL34" s="809" t="s">
        <v>10915</v>
      </c>
      <c r="AM34" s="809" t="s">
        <v>10916</v>
      </c>
      <c r="AN34" s="809" t="s">
        <v>10917</v>
      </c>
      <c r="AO34" s="809" t="s">
        <v>10918</v>
      </c>
      <c r="AP34" s="809" t="s">
        <v>10919</v>
      </c>
      <c r="AQ34" s="809" t="s">
        <v>10920</v>
      </c>
      <c r="AR34" s="809" t="s">
        <v>10921</v>
      </c>
      <c r="AS34" s="810" t="s">
        <v>10922</v>
      </c>
    </row>
    <row r="35" spans="1:45" ht="15.75" customHeight="1">
      <c r="A35" s="197"/>
      <c r="B35" s="792" t="s">
        <v>10923</v>
      </c>
      <c r="C35" s="325" t="s">
        <v>681</v>
      </c>
      <c r="D35" s="325">
        <v>3</v>
      </c>
      <c r="E35" s="799">
        <v>5.6</v>
      </c>
      <c r="F35" s="799">
        <v>10.628</v>
      </c>
      <c r="G35" s="799">
        <v>1.5349999999999999</v>
      </c>
      <c r="H35" s="799">
        <v>2E-3</v>
      </c>
      <c r="I35" s="799">
        <v>0</v>
      </c>
      <c r="J35" s="799">
        <v>23.384</v>
      </c>
      <c r="K35" s="799">
        <v>31.376000000000001</v>
      </c>
      <c r="L35" s="799">
        <v>2.4609999999999999</v>
      </c>
      <c r="M35" s="799">
        <v>2E-3</v>
      </c>
      <c r="N35" s="800">
        <v>0</v>
      </c>
      <c r="O35" s="349"/>
      <c r="P35" s="795" t="s">
        <v>10924</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2" t="s">
        <v>10923</v>
      </c>
      <c r="AJ35" s="799" t="s">
        <v>10925</v>
      </c>
      <c r="AK35" s="799" t="s">
        <v>10926</v>
      </c>
      <c r="AL35" s="799" t="s">
        <v>10927</v>
      </c>
      <c r="AM35" s="799" t="s">
        <v>10928</v>
      </c>
      <c r="AN35" s="799" t="s">
        <v>10929</v>
      </c>
      <c r="AO35" s="799" t="s">
        <v>10930</v>
      </c>
      <c r="AP35" s="799" t="s">
        <v>10931</v>
      </c>
      <c r="AQ35" s="799" t="s">
        <v>10932</v>
      </c>
      <c r="AR35" s="799" t="s">
        <v>10933</v>
      </c>
      <c r="AS35" s="800" t="s">
        <v>10934</v>
      </c>
    </row>
    <row r="36" spans="1:45" ht="15.75" customHeight="1" thickBot="1">
      <c r="A36" s="197"/>
      <c r="B36" s="453" t="s">
        <v>10935</v>
      </c>
      <c r="C36" s="332" t="s">
        <v>681</v>
      </c>
      <c r="D36" s="332">
        <v>3</v>
      </c>
      <c r="E36" s="806">
        <f>IFERROR(E35 - E34, 0)</f>
        <v>-9.8000000000000753E-2</v>
      </c>
      <c r="F36" s="806">
        <f>IFERROR(F35 - F34, 0)</f>
        <v>6.85</v>
      </c>
      <c r="G36" s="806">
        <f t="shared" ref="G36:N36" si="81">IFERROR(G35 - G34, 0)</f>
        <v>1.502</v>
      </c>
      <c r="H36" s="806">
        <f t="shared" si="81"/>
        <v>2E-3</v>
      </c>
      <c r="I36" s="806">
        <f t="shared" si="81"/>
        <v>0</v>
      </c>
      <c r="J36" s="806">
        <f>IFERROR(J35 - J34, 0)</f>
        <v>7.0689999999999991</v>
      </c>
      <c r="K36" s="806">
        <f t="shared" si="81"/>
        <v>19.133000000000003</v>
      </c>
      <c r="L36" s="806">
        <f>IFERROR(L35 - L34, 0)</f>
        <v>1.8059999999999998</v>
      </c>
      <c r="M36" s="806">
        <f t="shared" si="81"/>
        <v>-0.04</v>
      </c>
      <c r="N36" s="807">
        <f t="shared" si="81"/>
        <v>0</v>
      </c>
      <c r="O36" s="349"/>
      <c r="P36" s="813" t="s">
        <v>10936</v>
      </c>
      <c r="Q36" s="197"/>
      <c r="R36" s="302"/>
      <c r="S36" s="197"/>
      <c r="T36" s="363"/>
      <c r="U36" s="267"/>
      <c r="V36" s="361"/>
      <c r="W36" s="224"/>
      <c r="X36" s="224"/>
      <c r="Y36" s="224"/>
      <c r="Z36" s="224"/>
      <c r="AA36" s="224"/>
      <c r="AB36" s="224"/>
      <c r="AC36" s="224"/>
      <c r="AD36" s="224"/>
      <c r="AE36" s="224"/>
      <c r="AF36" s="224"/>
      <c r="AG36" s="370"/>
      <c r="AI36" s="453" t="s">
        <v>10935</v>
      </c>
      <c r="AJ36" s="806" t="s">
        <v>10937</v>
      </c>
      <c r="AK36" s="806" t="s">
        <v>10938</v>
      </c>
      <c r="AL36" s="806" t="s">
        <v>10939</v>
      </c>
      <c r="AM36" s="806" t="s">
        <v>10940</v>
      </c>
      <c r="AN36" s="806" t="s">
        <v>10941</v>
      </c>
      <c r="AO36" s="806" t="s">
        <v>10942</v>
      </c>
      <c r="AP36" s="806" t="s">
        <v>10943</v>
      </c>
      <c r="AQ36" s="806" t="s">
        <v>10944</v>
      </c>
      <c r="AR36" s="806" t="s">
        <v>10945</v>
      </c>
      <c r="AS36" s="807" t="s">
        <v>10946</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10947</v>
      </c>
      <c r="C38" s="384" t="s">
        <v>681</v>
      </c>
      <c r="D38" s="384">
        <v>3</v>
      </c>
      <c r="E38" s="816">
        <f>IFERROR(E19 + E20 + E30, 0)</f>
        <v>15.981127500000001</v>
      </c>
      <c r="F38" s="816">
        <f t="shared" ref="F38:N38" si="82">IFERROR(F19 + F20 + F30, 0)</f>
        <v>3.5529696000000097</v>
      </c>
      <c r="G38" s="816">
        <f t="shared" si="82"/>
        <v>-11.109849999999996</v>
      </c>
      <c r="H38" s="816">
        <f t="shared" si="82"/>
        <v>7.2000000000000067E-3</v>
      </c>
      <c r="I38" s="816">
        <f t="shared" si="82"/>
        <v>0</v>
      </c>
      <c r="J38" s="816">
        <f t="shared" si="82"/>
        <v>20.914442700000002</v>
      </c>
      <c r="K38" s="816">
        <f t="shared" si="82"/>
        <v>4.4311548000000158</v>
      </c>
      <c r="L38" s="816">
        <f t="shared" si="82"/>
        <v>0.70785000000000364</v>
      </c>
      <c r="M38" s="816">
        <f t="shared" si="82"/>
        <v>-0.45630000000000054</v>
      </c>
      <c r="N38" s="373">
        <f t="shared" si="82"/>
        <v>0</v>
      </c>
      <c r="O38" s="349"/>
      <c r="P38" s="817" t="s">
        <v>10948</v>
      </c>
      <c r="Q38" s="197"/>
      <c r="R38" s="375"/>
      <c r="S38" s="197"/>
      <c r="T38" s="363"/>
      <c r="U38" s="267"/>
      <c r="V38" s="361"/>
      <c r="W38" s="224"/>
      <c r="X38" s="224"/>
      <c r="Y38" s="224"/>
      <c r="Z38" s="224"/>
      <c r="AA38" s="224"/>
      <c r="AB38" s="224"/>
      <c r="AC38" s="224"/>
      <c r="AD38" s="224"/>
      <c r="AE38" s="224"/>
      <c r="AF38" s="224"/>
      <c r="AG38" s="370"/>
      <c r="AI38" s="815" t="s">
        <v>10949</v>
      </c>
      <c r="AJ38" s="816" t="s">
        <v>10950</v>
      </c>
      <c r="AK38" s="816" t="s">
        <v>10951</v>
      </c>
      <c r="AL38" s="816" t="s">
        <v>10952</v>
      </c>
      <c r="AM38" s="816" t="s">
        <v>10953</v>
      </c>
      <c r="AN38" s="816" t="s">
        <v>10954</v>
      </c>
      <c r="AO38" s="816" t="s">
        <v>10955</v>
      </c>
      <c r="AP38" s="816" t="s">
        <v>10956</v>
      </c>
      <c r="AQ38" s="816" t="s">
        <v>10957</v>
      </c>
      <c r="AR38" s="816" t="s">
        <v>10958</v>
      </c>
      <c r="AS38" s="373" t="s">
        <v>10959</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10960</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10960</v>
      </c>
      <c r="AJ40" s="34"/>
      <c r="AK40" s="83"/>
      <c r="AL40" s="83"/>
      <c r="AM40" s="83"/>
      <c r="AN40" s="83"/>
      <c r="AO40" s="83"/>
      <c r="AP40" s="83"/>
      <c r="AQ40" s="83"/>
      <c r="AR40" s="83"/>
      <c r="AS40" s="83"/>
    </row>
    <row r="41" spans="1:45" ht="15.75" customHeight="1" thickTop="1">
      <c r="A41" s="197"/>
      <c r="B41" s="814" t="s">
        <v>10947</v>
      </c>
      <c r="C41" s="788" t="s">
        <v>681</v>
      </c>
      <c r="D41" s="788">
        <v>3</v>
      </c>
      <c r="E41" s="2141">
        <f>IFERROR(E38, 0)</f>
        <v>15.981127500000001</v>
      </c>
      <c r="F41" s="2141">
        <f t="shared" ref="F41:N41" si="83">IFERROR(F38, 0)</f>
        <v>3.5529696000000097</v>
      </c>
      <c r="G41" s="2141">
        <f t="shared" si="83"/>
        <v>-11.109849999999996</v>
      </c>
      <c r="H41" s="2141">
        <f t="shared" si="83"/>
        <v>7.2000000000000067E-3</v>
      </c>
      <c r="I41" s="2141">
        <f t="shared" si="83"/>
        <v>0</v>
      </c>
      <c r="J41" s="2141">
        <f t="shared" si="83"/>
        <v>20.914442700000002</v>
      </c>
      <c r="K41" s="2141">
        <f t="shared" si="83"/>
        <v>4.4311548000000158</v>
      </c>
      <c r="L41" s="2141">
        <f t="shared" si="83"/>
        <v>0.70785000000000364</v>
      </c>
      <c r="M41" s="2141">
        <f t="shared" si="83"/>
        <v>-0.45630000000000054</v>
      </c>
      <c r="N41" s="2142">
        <f t="shared" si="83"/>
        <v>0</v>
      </c>
      <c r="O41" s="349"/>
      <c r="P41" s="791" t="s">
        <v>10961</v>
      </c>
      <c r="Q41" s="197"/>
      <c r="R41" s="283"/>
      <c r="S41" s="197"/>
      <c r="T41" s="363"/>
      <c r="U41" s="267"/>
      <c r="V41" s="363"/>
      <c r="W41" s="224"/>
      <c r="X41" s="224"/>
      <c r="Y41" s="224"/>
      <c r="Z41" s="224"/>
      <c r="AA41" s="224"/>
      <c r="AB41" s="224"/>
      <c r="AC41" s="224"/>
      <c r="AD41" s="224"/>
      <c r="AE41" s="224"/>
      <c r="AF41" s="224"/>
      <c r="AG41" s="363"/>
      <c r="AI41" s="814" t="s">
        <v>10949</v>
      </c>
      <c r="AJ41" s="2143" t="s">
        <v>10962</v>
      </c>
      <c r="AK41" s="2143" t="s">
        <v>10963</v>
      </c>
      <c r="AL41" s="2143" t="s">
        <v>10964</v>
      </c>
      <c r="AM41" s="2143" t="s">
        <v>10965</v>
      </c>
      <c r="AN41" s="2143" t="s">
        <v>10966</v>
      </c>
      <c r="AO41" s="2143" t="s">
        <v>10967</v>
      </c>
      <c r="AP41" s="2143" t="s">
        <v>10968</v>
      </c>
      <c r="AQ41" s="2143" t="s">
        <v>10969</v>
      </c>
      <c r="AR41" s="2143" t="s">
        <v>10970</v>
      </c>
      <c r="AS41" s="2144" t="s">
        <v>10971</v>
      </c>
    </row>
    <row r="42" spans="1:45" ht="15.75" customHeight="1">
      <c r="A42" s="197"/>
      <c r="B42" s="792" t="s">
        <v>10972</v>
      </c>
      <c r="C42" s="325" t="s">
        <v>3137</v>
      </c>
      <c r="D42" s="325">
        <v>2</v>
      </c>
      <c r="E42" s="818">
        <v>0.91439999999999999</v>
      </c>
      <c r="F42" s="818">
        <v>0.54469999999999996</v>
      </c>
      <c r="G42" s="818">
        <v>0.37709999999999999</v>
      </c>
      <c r="H42" s="818">
        <v>0.40720000000000001</v>
      </c>
      <c r="I42" s="818">
        <v>0</v>
      </c>
      <c r="J42" s="818">
        <v>0.90100000000000002</v>
      </c>
      <c r="K42" s="818">
        <v>0.54620000000000002</v>
      </c>
      <c r="L42" s="818">
        <v>0.43149999999999999</v>
      </c>
      <c r="M42" s="818">
        <v>0.40870000000000001</v>
      </c>
      <c r="N42" s="819">
        <v>0</v>
      </c>
      <c r="O42" s="349"/>
      <c r="P42" s="795" t="s">
        <v>10973</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2" t="s">
        <v>10972</v>
      </c>
      <c r="AJ42" s="818" t="s">
        <v>10974</v>
      </c>
      <c r="AK42" s="818" t="s">
        <v>10975</v>
      </c>
      <c r="AL42" s="818" t="s">
        <v>10976</v>
      </c>
      <c r="AM42" s="818" t="s">
        <v>10977</v>
      </c>
      <c r="AN42" s="818" t="s">
        <v>10978</v>
      </c>
      <c r="AO42" s="818" t="s">
        <v>10979</v>
      </c>
      <c r="AP42" s="818" t="s">
        <v>10980</v>
      </c>
      <c r="AQ42" s="818" t="s">
        <v>10981</v>
      </c>
      <c r="AR42" s="818" t="s">
        <v>10982</v>
      </c>
      <c r="AS42" s="819" t="s">
        <v>10983</v>
      </c>
    </row>
    <row r="43" spans="1:45" ht="15.75" customHeight="1">
      <c r="A43" s="197"/>
      <c r="B43" s="792" t="s">
        <v>10984</v>
      </c>
      <c r="C43" s="325" t="s">
        <v>681</v>
      </c>
      <c r="D43" s="325">
        <v>3</v>
      </c>
      <c r="E43" s="797">
        <f>IFERROR(E41 * (1 - E42), 0 )</f>
        <v>1.3679845140000002</v>
      </c>
      <c r="F43" s="797">
        <f t="shared" ref="F43:N43" si="95">IFERROR(F41 * (1 - F42), 0 )</f>
        <v>1.6176670588800046</v>
      </c>
      <c r="G43" s="797">
        <f t="shared" si="95"/>
        <v>-6.920325564999998</v>
      </c>
      <c r="H43" s="797">
        <f t="shared" si="95"/>
        <v>4.2681600000000043E-3</v>
      </c>
      <c r="I43" s="797">
        <f t="shared" si="95"/>
        <v>0</v>
      </c>
      <c r="J43" s="797">
        <f t="shared" si="95"/>
        <v>2.0705298272999997</v>
      </c>
      <c r="K43" s="797">
        <f t="shared" si="95"/>
        <v>2.0108580482400069</v>
      </c>
      <c r="L43" s="797">
        <f t="shared" si="95"/>
        <v>0.40241272500000208</v>
      </c>
      <c r="M43" s="797">
        <f>IFERROR(M41 * (1 - M42), 0 )</f>
        <v>-0.26981019000000028</v>
      </c>
      <c r="N43" s="798">
        <f t="shared" si="95"/>
        <v>0</v>
      </c>
      <c r="O43" s="349"/>
      <c r="P43" s="795" t="s">
        <v>10985</v>
      </c>
      <c r="Q43" s="197"/>
      <c r="R43" s="291"/>
      <c r="S43" s="197"/>
      <c r="T43" s="363"/>
      <c r="U43" s="267"/>
      <c r="V43" s="363"/>
      <c r="W43" s="224"/>
      <c r="X43" s="224"/>
      <c r="Y43" s="224"/>
      <c r="Z43" s="224"/>
      <c r="AA43" s="224"/>
      <c r="AB43" s="224"/>
      <c r="AC43" s="224"/>
      <c r="AD43" s="224"/>
      <c r="AE43" s="224"/>
      <c r="AF43" s="224"/>
      <c r="AG43" s="363"/>
      <c r="AI43" s="792" t="s">
        <v>10986</v>
      </c>
      <c r="AJ43" s="797" t="s">
        <v>10987</v>
      </c>
      <c r="AK43" s="797" t="s">
        <v>10988</v>
      </c>
      <c r="AL43" s="797" t="s">
        <v>10989</v>
      </c>
      <c r="AM43" s="797" t="s">
        <v>10990</v>
      </c>
      <c r="AN43" s="797" t="s">
        <v>10991</v>
      </c>
      <c r="AO43" s="797" t="s">
        <v>10992</v>
      </c>
      <c r="AP43" s="797" t="s">
        <v>10993</v>
      </c>
      <c r="AQ43" s="797" t="s">
        <v>10994</v>
      </c>
      <c r="AR43" s="797" t="s">
        <v>10995</v>
      </c>
      <c r="AS43" s="798" t="s">
        <v>10996</v>
      </c>
    </row>
    <row r="44" spans="1:45" ht="30">
      <c r="A44" s="197"/>
      <c r="B44" s="792" t="s">
        <v>10997</v>
      </c>
      <c r="C44" s="325" t="s">
        <v>681</v>
      </c>
      <c r="D44" s="325">
        <v>3</v>
      </c>
      <c r="E44" s="820"/>
      <c r="F44" s="820"/>
      <c r="G44" s="820"/>
      <c r="H44" s="820"/>
      <c r="I44" s="820"/>
      <c r="J44" s="799">
        <v>0</v>
      </c>
      <c r="K44" s="799">
        <v>0</v>
      </c>
      <c r="L44" s="799">
        <v>0</v>
      </c>
      <c r="M44" s="799">
        <v>0</v>
      </c>
      <c r="N44" s="800">
        <v>0</v>
      </c>
      <c r="O44" s="86"/>
      <c r="P44" s="795" t="s">
        <v>10998</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2" t="s">
        <v>10997</v>
      </c>
      <c r="AJ44" s="820"/>
      <c r="AK44" s="820"/>
      <c r="AL44" s="820"/>
      <c r="AM44" s="820"/>
      <c r="AN44" s="820"/>
      <c r="AO44" s="799" t="s">
        <v>10999</v>
      </c>
      <c r="AP44" s="799" t="s">
        <v>11000</v>
      </c>
      <c r="AQ44" s="799" t="s">
        <v>11001</v>
      </c>
      <c r="AR44" s="799" t="s">
        <v>11002</v>
      </c>
      <c r="AS44" s="800" t="s">
        <v>11003</v>
      </c>
    </row>
    <row r="45" spans="1:45" ht="15.75" customHeight="1">
      <c r="A45" s="197"/>
      <c r="B45" s="792" t="s">
        <v>11004</v>
      </c>
      <c r="C45" s="325" t="s">
        <v>681</v>
      </c>
      <c r="D45" s="325">
        <v>3</v>
      </c>
      <c r="E45" s="820"/>
      <c r="F45" s="820"/>
      <c r="G45" s="820"/>
      <c r="H45" s="820"/>
      <c r="I45" s="820"/>
      <c r="J45" s="854">
        <f>'4U'!J23</f>
        <v>0</v>
      </c>
      <c r="K45" s="854">
        <f>'4U'!K23</f>
        <v>0</v>
      </c>
      <c r="L45" s="854">
        <f>'4U'!L23</f>
        <v>0</v>
      </c>
      <c r="M45" s="820"/>
      <c r="N45" s="2035">
        <f>'4U'!N23</f>
        <v>0</v>
      </c>
      <c r="O45" s="86"/>
      <c r="P45" s="803" t="s">
        <v>11005</v>
      </c>
      <c r="Q45" s="197"/>
      <c r="R45" s="291"/>
      <c r="S45" s="197"/>
      <c r="T45" s="363"/>
      <c r="U45" s="267"/>
      <c r="V45" s="363"/>
      <c r="W45" s="224"/>
      <c r="X45" s="224"/>
      <c r="Y45" s="224"/>
      <c r="Z45" s="224"/>
      <c r="AA45" s="224"/>
      <c r="AB45" s="224"/>
      <c r="AC45" s="224"/>
      <c r="AD45" s="224"/>
      <c r="AE45" s="224"/>
      <c r="AF45" s="224"/>
      <c r="AG45" s="363"/>
      <c r="AI45" s="792" t="s">
        <v>11004</v>
      </c>
      <c r="AJ45" s="820"/>
      <c r="AK45" s="820"/>
      <c r="AL45" s="820"/>
      <c r="AM45" s="820"/>
      <c r="AN45" s="820"/>
      <c r="AO45" s="821" t="s">
        <v>11006</v>
      </c>
      <c r="AP45" s="821" t="s">
        <v>11007</v>
      </c>
      <c r="AQ45" s="821" t="s">
        <v>11008</v>
      </c>
      <c r="AR45" s="820"/>
      <c r="AS45" s="822" t="s">
        <v>11009</v>
      </c>
    </row>
    <row r="46" spans="1:45" ht="15.75" customHeight="1">
      <c r="A46" s="197"/>
      <c r="B46" s="792" t="s">
        <v>11010</v>
      </c>
      <c r="C46" s="325" t="s">
        <v>681</v>
      </c>
      <c r="D46" s="325">
        <v>3</v>
      </c>
      <c r="E46" s="820"/>
      <c r="F46" s="820"/>
      <c r="G46" s="820"/>
      <c r="H46" s="820"/>
      <c r="I46" s="820"/>
      <c r="J46" s="751">
        <v>340.36099999999999</v>
      </c>
      <c r="K46" s="751">
        <v>2259.0219999999999</v>
      </c>
      <c r="L46" s="751">
        <v>2328.848</v>
      </c>
      <c r="M46" s="751">
        <v>169.15299999999999</v>
      </c>
      <c r="N46" s="796">
        <v>0</v>
      </c>
      <c r="O46" s="86"/>
      <c r="P46" s="795" t="s">
        <v>11011</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2" t="s">
        <v>11010</v>
      </c>
      <c r="AJ46" s="820"/>
      <c r="AK46" s="820"/>
      <c r="AL46" s="820"/>
      <c r="AM46" s="820"/>
      <c r="AN46" s="820"/>
      <c r="AO46" s="751" t="s">
        <v>11012</v>
      </c>
      <c r="AP46" s="751" t="s">
        <v>11013</v>
      </c>
      <c r="AQ46" s="751" t="s">
        <v>11014</v>
      </c>
      <c r="AR46" s="751" t="s">
        <v>11015</v>
      </c>
      <c r="AS46" s="796" t="s">
        <v>11016</v>
      </c>
    </row>
    <row r="47" spans="1:45" ht="15.75" customHeight="1" thickBot="1">
      <c r="A47" s="197"/>
      <c r="B47" s="453" t="s">
        <v>11017</v>
      </c>
      <c r="C47" s="332" t="s">
        <v>681</v>
      </c>
      <c r="D47" s="332">
        <v>3</v>
      </c>
      <c r="E47" s="823"/>
      <c r="F47" s="823"/>
      <c r="G47" s="823"/>
      <c r="H47" s="823"/>
      <c r="I47" s="823"/>
      <c r="J47" s="1931">
        <f>IFERROR(SUM(J43:J46), 0)</f>
        <v>342.43152982729998</v>
      </c>
      <c r="K47" s="1931">
        <f t="shared" ref="K47:M47" si="108">IFERROR(SUM(K43:K46), 0)</f>
        <v>2261.0328580482401</v>
      </c>
      <c r="L47" s="1931">
        <f t="shared" si="108"/>
        <v>2329.2504127249999</v>
      </c>
      <c r="M47" s="1931">
        <f t="shared" si="108"/>
        <v>168.88318981</v>
      </c>
      <c r="N47" s="1932">
        <f>IFERROR(SUM(N43:N46), 0)</f>
        <v>0</v>
      </c>
      <c r="O47" s="349"/>
      <c r="P47" s="813" t="s">
        <v>11018</v>
      </c>
      <c r="Q47" s="197"/>
      <c r="R47" s="302"/>
      <c r="S47" s="197"/>
      <c r="T47" s="363"/>
      <c r="U47" s="267"/>
      <c r="V47" s="363"/>
      <c r="W47" s="224"/>
      <c r="X47" s="224"/>
      <c r="Y47" s="224"/>
      <c r="Z47" s="224"/>
      <c r="AA47" s="224"/>
      <c r="AB47" s="224"/>
      <c r="AC47" s="224"/>
      <c r="AD47" s="224"/>
      <c r="AE47" s="224"/>
      <c r="AF47" s="224"/>
      <c r="AG47" s="363"/>
      <c r="AI47" s="453" t="s">
        <v>11017</v>
      </c>
      <c r="AJ47" s="823"/>
      <c r="AK47" s="823"/>
      <c r="AL47" s="823"/>
      <c r="AM47" s="823"/>
      <c r="AN47" s="823"/>
      <c r="AO47" s="314" t="s">
        <v>11019</v>
      </c>
      <c r="AP47" s="314" t="s">
        <v>11020</v>
      </c>
      <c r="AQ47" s="314" t="s">
        <v>11021</v>
      </c>
      <c r="AR47" s="314" t="s">
        <v>11022</v>
      </c>
      <c r="AS47" s="315" t="s">
        <v>11023</v>
      </c>
    </row>
    <row r="48" spans="1:45" ht="16.5"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tabColor rgb="FF00B050"/>
    <pageSetUpPr fitToPage="1"/>
  </sheetPr>
  <dimension ref="A1:AG53"/>
  <sheetViews>
    <sheetView showGridLines="0" zoomScale="40" zoomScaleNormal="40" zoomScaleSheetLayoutView="100" workbookViewId="0">
      <selection activeCell="E19" sqref="E19"/>
    </sheetView>
  </sheetViews>
  <sheetFormatPr defaultColWidth="9" defaultRowHeight="15.75"/>
  <cols>
    <col min="1" max="1" width="1.625" style="224" customWidth="1"/>
    <col min="2" max="2" width="45" style="247"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824"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47" bestFit="1" customWidth="1"/>
    <col min="27" max="32" width="15" style="224" customWidth="1"/>
    <col min="33" max="33" width="1.625" style="224" customWidth="1"/>
    <col min="34" max="16384" width="9" style="224"/>
  </cols>
  <sheetData>
    <row r="1" spans="2:33" s="389" customFormat="1" ht="29.25" customHeight="1">
      <c r="B1" s="2661" t="s">
        <v>11024</v>
      </c>
      <c r="C1" s="2661"/>
      <c r="D1" s="2661"/>
      <c r="E1" s="2661"/>
      <c r="F1" s="2661"/>
      <c r="G1" s="2661"/>
      <c r="H1" s="2661"/>
      <c r="I1" s="2661"/>
      <c r="J1" s="339"/>
      <c r="K1" s="259"/>
      <c r="L1" s="824"/>
      <c r="P1" s="825"/>
      <c r="Q1" s="224"/>
      <c r="R1" s="825"/>
      <c r="X1" s="825"/>
      <c r="Z1" s="2661" t="s">
        <v>7220</v>
      </c>
      <c r="AA1" s="2661"/>
      <c r="AB1" s="2661"/>
      <c r="AC1" s="2661"/>
      <c r="AD1" s="2661"/>
      <c r="AE1" s="2661"/>
      <c r="AF1" s="339"/>
    </row>
    <row r="2" spans="2:33" s="389" customFormat="1" ht="29.25" customHeight="1">
      <c r="B2" s="2661" t="str">
        <f>SelectCompany!B4</f>
        <v>Northumbrian Water</v>
      </c>
      <c r="C2" s="2661"/>
      <c r="D2" s="2661"/>
      <c r="E2" s="2661"/>
      <c r="F2" s="2661"/>
      <c r="G2" s="2661"/>
      <c r="H2" s="2661"/>
      <c r="I2" s="2661"/>
      <c r="J2" s="339"/>
      <c r="K2" s="259"/>
      <c r="L2" s="824"/>
      <c r="P2" s="825"/>
      <c r="Q2" s="224"/>
      <c r="R2" s="825"/>
      <c r="X2" s="825"/>
      <c r="Z2" s="2661"/>
      <c r="AA2" s="2661"/>
      <c r="AB2" s="2661"/>
      <c r="AC2" s="2661"/>
      <c r="AD2" s="2661"/>
      <c r="AE2" s="2661"/>
      <c r="AF2" s="2661"/>
      <c r="AG2" s="2661"/>
    </row>
    <row r="3" spans="2:33" ht="45" customHeight="1">
      <c r="B3" s="2807" t="s">
        <v>11025</v>
      </c>
      <c r="C3" s="2807"/>
      <c r="D3" s="2807"/>
      <c r="E3" s="2807"/>
      <c r="F3" s="2807"/>
      <c r="G3" s="2807"/>
      <c r="H3" s="2807"/>
      <c r="I3" s="2807"/>
      <c r="J3" s="2807"/>
      <c r="K3" s="2807"/>
      <c r="L3" s="2807"/>
      <c r="M3" s="2807"/>
      <c r="N3" s="2807"/>
      <c r="P3" s="363"/>
      <c r="Q3" s="650" t="s">
        <v>7222</v>
      </c>
      <c r="R3" s="363"/>
      <c r="X3" s="363"/>
      <c r="Z3" s="2807" t="s">
        <v>11025</v>
      </c>
      <c r="AA3" s="2807"/>
      <c r="AB3" s="2807"/>
      <c r="AC3" s="2807"/>
      <c r="AD3" s="2807"/>
      <c r="AE3" s="2807"/>
      <c r="AF3" s="2807"/>
    </row>
    <row r="4" spans="2:33" ht="15" customHeight="1" thickBot="1">
      <c r="B4" s="690"/>
      <c r="C4" s="826"/>
      <c r="D4" s="826"/>
      <c r="E4" s="826"/>
      <c r="F4" s="826"/>
      <c r="G4" s="826"/>
      <c r="H4" s="826"/>
      <c r="I4" s="826"/>
      <c r="J4" s="826"/>
      <c r="K4" s="827"/>
      <c r="P4" s="363"/>
      <c r="Q4" s="284"/>
      <c r="R4" s="363"/>
      <c r="S4" s="2668" t="s">
        <v>7223</v>
      </c>
      <c r="T4" s="2668"/>
      <c r="U4" s="2668"/>
      <c r="V4" s="2819"/>
      <c r="W4" s="2819"/>
      <c r="X4" s="363"/>
      <c r="Z4" s="690"/>
      <c r="AA4" s="826"/>
      <c r="AB4" s="826"/>
      <c r="AC4" s="826"/>
      <c r="AD4" s="826"/>
      <c r="AE4" s="826"/>
      <c r="AF4" s="826"/>
    </row>
    <row r="5" spans="2:33" s="197" customFormat="1" ht="15" customHeight="1" thickTop="1">
      <c r="B5" s="2811" t="s">
        <v>7224</v>
      </c>
      <c r="C5" s="2673" t="s">
        <v>7225</v>
      </c>
      <c r="D5" s="2673" t="s">
        <v>670</v>
      </c>
      <c r="E5" s="2673" t="s">
        <v>8160</v>
      </c>
      <c r="F5" s="2673" t="s">
        <v>11026</v>
      </c>
      <c r="G5" s="2673"/>
      <c r="H5" s="2673"/>
      <c r="I5" s="2673"/>
      <c r="J5" s="2675" t="s">
        <v>7445</v>
      </c>
      <c r="L5" s="2790" t="s">
        <v>7229</v>
      </c>
      <c r="N5" s="2790" t="s">
        <v>7230</v>
      </c>
      <c r="P5" s="828"/>
      <c r="Q5" s="284"/>
      <c r="R5" s="828"/>
      <c r="S5" s="269" t="s">
        <v>7231</v>
      </c>
      <c r="X5" s="828"/>
      <c r="Z5" s="2811" t="s">
        <v>7224</v>
      </c>
      <c r="AA5" s="2673" t="s">
        <v>8160</v>
      </c>
      <c r="AB5" s="2673" t="s">
        <v>11026</v>
      </c>
      <c r="AC5" s="2673"/>
      <c r="AD5" s="2673"/>
      <c r="AE5" s="2673"/>
      <c r="AF5" s="2675" t="s">
        <v>7445</v>
      </c>
    </row>
    <row r="6" spans="2:33" s="197" customFormat="1" ht="41.25" customHeight="1" thickBot="1">
      <c r="B6" s="2812"/>
      <c r="C6" s="2816"/>
      <c r="D6" s="2816"/>
      <c r="E6" s="2674"/>
      <c r="F6" s="271" t="s">
        <v>11027</v>
      </c>
      <c r="G6" s="271" t="s">
        <v>11028</v>
      </c>
      <c r="H6" s="271" t="s">
        <v>11029</v>
      </c>
      <c r="I6" s="271" t="s">
        <v>11030</v>
      </c>
      <c r="J6" s="2676"/>
      <c r="L6" s="2792"/>
      <c r="N6" s="2792"/>
      <c r="P6" s="828"/>
      <c r="Q6" s="284"/>
      <c r="R6" s="828"/>
      <c r="X6" s="828"/>
      <c r="Z6" s="2812"/>
      <c r="AA6" s="2674"/>
      <c r="AB6" s="271" t="s">
        <v>11027</v>
      </c>
      <c r="AC6" s="271" t="s">
        <v>11028</v>
      </c>
      <c r="AD6" s="271" t="s">
        <v>11029</v>
      </c>
      <c r="AE6" s="271" t="s">
        <v>11030</v>
      </c>
      <c r="AF6" s="2676"/>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8479</v>
      </c>
      <c r="C8" s="785"/>
      <c r="D8" s="785"/>
      <c r="E8" s="482"/>
      <c r="F8" s="482"/>
      <c r="G8" s="482"/>
      <c r="L8" s="824"/>
      <c r="P8" s="828"/>
      <c r="Q8" s="284"/>
      <c r="R8" s="828"/>
      <c r="X8" s="828"/>
      <c r="Z8" s="393" t="s">
        <v>8479</v>
      </c>
      <c r="AA8" s="482"/>
      <c r="AB8" s="482"/>
      <c r="AC8" s="482"/>
    </row>
    <row r="9" spans="2:33" s="197" customFormat="1" ht="15.75" customHeight="1" thickTop="1">
      <c r="B9" s="829" t="s">
        <v>8261</v>
      </c>
      <c r="C9" s="788" t="s">
        <v>681</v>
      </c>
      <c r="D9" s="788">
        <v>3</v>
      </c>
      <c r="E9" s="1573">
        <f>IFERROR('4J'!E27,0)</f>
        <v>73.646999999999991</v>
      </c>
      <c r="F9" s="1573">
        <f>IFERROR('4J'!F27,0)</f>
        <v>6.798</v>
      </c>
      <c r="G9" s="1573">
        <f>IFERROR('4J'!G27,0)</f>
        <v>2.3099999999999996</v>
      </c>
      <c r="H9" s="1573">
        <f>IFERROR('4J'!H27,0)</f>
        <v>63.363</v>
      </c>
      <c r="I9" s="1573">
        <f>IFERROR('4J'!I27,0)</f>
        <v>110.75700000000001</v>
      </c>
      <c r="J9" s="1574">
        <f>IFERROR(SUM(E9:I9), 0)</f>
        <v>256.875</v>
      </c>
      <c r="L9" s="832" t="s">
        <v>11031</v>
      </c>
      <c r="N9" s="283"/>
      <c r="P9" s="828"/>
      <c r="Q9" s="284"/>
      <c r="R9" s="828"/>
      <c r="X9" s="828"/>
      <c r="Z9" s="829" t="s">
        <v>8261</v>
      </c>
      <c r="AA9" s="830" t="s">
        <v>11032</v>
      </c>
      <c r="AB9" s="830" t="s">
        <v>11033</v>
      </c>
      <c r="AC9" s="830" t="s">
        <v>11034</v>
      </c>
      <c r="AD9" s="830" t="s">
        <v>11035</v>
      </c>
      <c r="AE9" s="830" t="s">
        <v>11036</v>
      </c>
      <c r="AF9" s="831" t="s">
        <v>11037</v>
      </c>
    </row>
    <row r="10" spans="2:33" s="197" customFormat="1" ht="15.75" customHeight="1">
      <c r="B10" s="833" t="s">
        <v>8336</v>
      </c>
      <c r="C10" s="834" t="s">
        <v>681</v>
      </c>
      <c r="D10" s="834">
        <v>3</v>
      </c>
      <c r="E10" s="1575">
        <f>IFERROR('4L'!F129, 0)</f>
        <v>1.1579999999999999</v>
      </c>
      <c r="F10" s="1575">
        <f>IFERROR('4L'!G129, 0)</f>
        <v>1E-3</v>
      </c>
      <c r="G10" s="1575">
        <f>IFERROR('4L'!H129, 0)</f>
        <v>0</v>
      </c>
      <c r="H10" s="1575">
        <f>IFERROR('4L'!I129, 0)</f>
        <v>0.41699999999999998</v>
      </c>
      <c r="I10" s="1575">
        <f>IFERROR('4L'!J129, 0)</f>
        <v>0.51</v>
      </c>
      <c r="J10" s="1576">
        <f>IFERROR(SUM(E10:I10), 0)</f>
        <v>2.0859999999999999</v>
      </c>
      <c r="L10" s="837" t="s">
        <v>11038</v>
      </c>
      <c r="N10" s="291"/>
      <c r="P10" s="828"/>
      <c r="Q10" s="284"/>
      <c r="R10" s="828"/>
      <c r="X10" s="828"/>
      <c r="Z10" s="833" t="s">
        <v>8336</v>
      </c>
      <c r="AA10" s="835" t="s">
        <v>8338</v>
      </c>
      <c r="AB10" s="835" t="s">
        <v>11039</v>
      </c>
      <c r="AC10" s="835" t="s">
        <v>11040</v>
      </c>
      <c r="AD10" s="835" t="s">
        <v>11041</v>
      </c>
      <c r="AE10" s="835" t="s">
        <v>11042</v>
      </c>
      <c r="AF10" s="836" t="s">
        <v>11043</v>
      </c>
    </row>
    <row r="11" spans="2:33" s="197" customFormat="1" ht="15.75" customHeight="1">
      <c r="B11" s="833" t="s">
        <v>11044</v>
      </c>
      <c r="C11" s="834" t="s">
        <v>681</v>
      </c>
      <c r="D11" s="834">
        <v>3</v>
      </c>
      <c r="E11" s="1588">
        <v>0</v>
      </c>
      <c r="F11" s="1588">
        <v>0</v>
      </c>
      <c r="G11" s="1588">
        <v>0</v>
      </c>
      <c r="H11" s="1588">
        <v>0</v>
      </c>
      <c r="I11" s="1588">
        <v>0</v>
      </c>
      <c r="J11" s="1576">
        <f t="shared" ref="J11:J13" si="0">IFERROR(SUM(E11:I11), 0)</f>
        <v>0</v>
      </c>
      <c r="L11" s="837" t="s">
        <v>11045</v>
      </c>
      <c r="N11" s="291"/>
      <c r="P11" s="828"/>
      <c r="Q11" s="284">
        <f t="shared" ref="Q11:Q17" si="1">IF( SUM( S11:W11 ) = 0, 0, $S$5 )</f>
        <v>0</v>
      </c>
      <c r="R11" s="828"/>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8"/>
      <c r="Z11" s="833" t="s">
        <v>11044</v>
      </c>
      <c r="AA11" s="838" t="s">
        <v>11046</v>
      </c>
      <c r="AB11" s="838" t="s">
        <v>11047</v>
      </c>
      <c r="AC11" s="838" t="s">
        <v>11048</v>
      </c>
      <c r="AD11" s="838" t="s">
        <v>11049</v>
      </c>
      <c r="AE11" s="838" t="s">
        <v>11050</v>
      </c>
      <c r="AF11" s="836" t="s">
        <v>11051</v>
      </c>
    </row>
    <row r="12" spans="2:33" s="197" customFormat="1" ht="33" customHeight="1">
      <c r="B12" s="833" t="s">
        <v>8353</v>
      </c>
      <c r="C12" s="839" t="s">
        <v>681</v>
      </c>
      <c r="D12" s="839">
        <v>3</v>
      </c>
      <c r="E12" s="1577">
        <f>IFERROR(SUM(E9:E11), 0)</f>
        <v>74.804999999999993</v>
      </c>
      <c r="F12" s="1577">
        <f t="shared" ref="F12:G12" si="7">IFERROR(SUM(F9:F11), 0)</f>
        <v>6.7990000000000004</v>
      </c>
      <c r="G12" s="1577">
        <f t="shared" si="7"/>
        <v>2.3099999999999996</v>
      </c>
      <c r="H12" s="1577">
        <f>IFERROR(SUM(H9:H11), 0)</f>
        <v>63.78</v>
      </c>
      <c r="I12" s="1577">
        <f>IFERROR(SUM(I9:I11), 0)</f>
        <v>111.26700000000001</v>
      </c>
      <c r="J12" s="1576">
        <f>IFERROR(SUM(E12:I12), 0)</f>
        <v>258.96100000000001</v>
      </c>
      <c r="L12" s="837" t="s">
        <v>11052</v>
      </c>
      <c r="N12" s="291"/>
      <c r="P12" s="828"/>
      <c r="Q12" s="284"/>
      <c r="R12" s="828"/>
      <c r="X12" s="828"/>
      <c r="Z12" s="833" t="s">
        <v>8353</v>
      </c>
      <c r="AA12" s="840" t="s">
        <v>11053</v>
      </c>
      <c r="AB12" s="840" t="s">
        <v>11054</v>
      </c>
      <c r="AC12" s="840" t="s">
        <v>11055</v>
      </c>
      <c r="AD12" s="840" t="s">
        <v>11056</v>
      </c>
      <c r="AE12" s="840" t="s">
        <v>11057</v>
      </c>
      <c r="AF12" s="836" t="s">
        <v>11058</v>
      </c>
    </row>
    <row r="13" spans="2:33" s="197" customFormat="1" ht="15.75" customHeight="1">
      <c r="B13" s="833" t="s">
        <v>8361</v>
      </c>
      <c r="C13" s="834" t="s">
        <v>681</v>
      </c>
      <c r="D13" s="834">
        <v>3</v>
      </c>
      <c r="E13" s="1588">
        <v>5.6</v>
      </c>
      <c r="F13" s="1588">
        <v>1.446</v>
      </c>
      <c r="G13" s="1588">
        <v>2.4E-2</v>
      </c>
      <c r="H13" s="1588">
        <v>0.52300000000000002</v>
      </c>
      <c r="I13" s="1588">
        <v>2.0059999999999998</v>
      </c>
      <c r="J13" s="1576">
        <f t="shared" si="0"/>
        <v>9.5989999999999984</v>
      </c>
      <c r="L13" s="837" t="s">
        <v>11059</v>
      </c>
      <c r="N13" s="842"/>
      <c r="P13" s="828"/>
      <c r="Q13" s="284">
        <f t="shared" si="1"/>
        <v>0</v>
      </c>
      <c r="R13" s="828"/>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8"/>
      <c r="Z13" s="833" t="s">
        <v>8361</v>
      </c>
      <c r="AA13" s="841" t="s">
        <v>8363</v>
      </c>
      <c r="AB13" s="841" t="s">
        <v>11060</v>
      </c>
      <c r="AC13" s="841" t="s">
        <v>11061</v>
      </c>
      <c r="AD13" s="841" t="s">
        <v>11062</v>
      </c>
      <c r="AE13" s="841" t="s">
        <v>11063</v>
      </c>
      <c r="AF13" s="836" t="s">
        <v>11064</v>
      </c>
    </row>
    <row r="14" spans="2:33" s="197" customFormat="1" ht="15.75" customHeight="1" thickBot="1">
      <c r="B14" s="843" t="s">
        <v>5475</v>
      </c>
      <c r="C14" s="844" t="s">
        <v>681</v>
      </c>
      <c r="D14" s="844">
        <v>3</v>
      </c>
      <c r="E14" s="1578">
        <f>IFERROR(E12 + E13, 0)</f>
        <v>80.404999999999987</v>
      </c>
      <c r="F14" s="1578">
        <f>IFERROR(F12 + F13, 0)</f>
        <v>8.245000000000001</v>
      </c>
      <c r="G14" s="1578">
        <f>IFERROR(G12 + G13, 0)</f>
        <v>2.3339999999999996</v>
      </c>
      <c r="H14" s="1578">
        <f>IFERROR(H12 + H13, 0)</f>
        <v>64.302999999999997</v>
      </c>
      <c r="I14" s="1578">
        <f>IFERROR(I12 + I13, 0)</f>
        <v>113.27300000000001</v>
      </c>
      <c r="J14" s="1579">
        <f>IFERROR(SUM(E14:I14), 0)</f>
        <v>268.56</v>
      </c>
      <c r="L14" s="847" t="s">
        <v>11065</v>
      </c>
      <c r="N14" s="302"/>
      <c r="P14" s="828"/>
      <c r="Q14" s="284"/>
      <c r="R14" s="828"/>
      <c r="X14" s="828"/>
      <c r="Z14" s="843" t="s">
        <v>5475</v>
      </c>
      <c r="AA14" s="845" t="s">
        <v>11066</v>
      </c>
      <c r="AB14" s="845" t="s">
        <v>11067</v>
      </c>
      <c r="AC14" s="845" t="s">
        <v>11068</v>
      </c>
      <c r="AD14" s="845" t="s">
        <v>11069</v>
      </c>
      <c r="AE14" s="845" t="s">
        <v>11070</v>
      </c>
      <c r="AF14" s="846" t="s">
        <v>11071</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8376</v>
      </c>
      <c r="C16" s="394"/>
      <c r="D16" s="394"/>
      <c r="E16" s="106"/>
      <c r="F16" s="106"/>
      <c r="G16" s="106"/>
      <c r="H16" s="106"/>
      <c r="I16" s="106"/>
      <c r="J16" s="106"/>
      <c r="K16" s="106"/>
      <c r="L16" s="848"/>
      <c r="P16" s="828"/>
      <c r="Q16" s="284"/>
      <c r="R16" s="828"/>
      <c r="X16" s="828"/>
      <c r="Z16" s="393" t="s">
        <v>8376</v>
      </c>
      <c r="AA16" s="106"/>
      <c r="AB16" s="106"/>
      <c r="AC16" s="106"/>
      <c r="AD16" s="106"/>
      <c r="AE16" s="106"/>
      <c r="AF16" s="106"/>
    </row>
    <row r="17" spans="2:32" s="197" customFormat="1" ht="15.75" customHeight="1" thickTop="1" thickBot="1">
      <c r="B17" s="420" t="s">
        <v>8377</v>
      </c>
      <c r="C17" s="371" t="s">
        <v>681</v>
      </c>
      <c r="D17" s="371">
        <v>3</v>
      </c>
      <c r="E17" s="1580">
        <v>0</v>
      </c>
      <c r="F17" s="1580">
        <v>0</v>
      </c>
      <c r="G17" s="1580">
        <v>0</v>
      </c>
      <c r="H17" s="1580">
        <v>0</v>
      </c>
      <c r="I17" s="1580">
        <v>0</v>
      </c>
      <c r="J17" s="1581">
        <f>IFERROR(SUM(E17:I17), 0)</f>
        <v>0</v>
      </c>
      <c r="K17" s="200"/>
      <c r="L17" s="850" t="s">
        <v>11072</v>
      </c>
      <c r="N17" s="477"/>
      <c r="P17" s="828"/>
      <c r="Q17" s="284">
        <f t="shared" si="1"/>
        <v>0</v>
      </c>
      <c r="R17" s="828"/>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8"/>
      <c r="Z17" s="420" t="s">
        <v>8377</v>
      </c>
      <c r="AA17" s="849" t="s">
        <v>8379</v>
      </c>
      <c r="AB17" s="849" t="s">
        <v>11073</v>
      </c>
      <c r="AC17" s="849" t="s">
        <v>11074</v>
      </c>
      <c r="AD17" s="849" t="s">
        <v>11075</v>
      </c>
      <c r="AE17" s="849" t="s">
        <v>11076</v>
      </c>
      <c r="AF17" s="687" t="s">
        <v>11077</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7721</v>
      </c>
      <c r="C19" s="394"/>
      <c r="D19" s="394"/>
      <c r="E19" s="349"/>
      <c r="F19" s="349"/>
      <c r="G19" s="349"/>
      <c r="H19" s="349"/>
      <c r="I19" s="349"/>
      <c r="J19" s="349"/>
      <c r="K19" s="106"/>
      <c r="L19" s="851"/>
      <c r="P19" s="828"/>
      <c r="Q19" s="284"/>
      <c r="R19" s="828"/>
      <c r="X19" s="828"/>
      <c r="Z19" s="393" t="s">
        <v>7721</v>
      </c>
      <c r="AA19" s="349"/>
      <c r="AB19" s="349"/>
      <c r="AC19" s="349"/>
      <c r="AD19" s="349"/>
      <c r="AE19" s="349"/>
      <c r="AF19" s="349"/>
    </row>
    <row r="20" spans="2:32" s="197" customFormat="1" ht="15.75" customHeight="1" thickTop="1">
      <c r="B20" s="451" t="s">
        <v>8385</v>
      </c>
      <c r="C20" s="277" t="s">
        <v>681</v>
      </c>
      <c r="D20" s="277">
        <v>3</v>
      </c>
      <c r="E20" s="1582">
        <f>IFERROR('4J'!E32, 0)</f>
        <v>21.808</v>
      </c>
      <c r="F20" s="1582">
        <f>IFERROR('4J'!F32, 0)</f>
        <v>0.13800000000000001</v>
      </c>
      <c r="G20" s="1582">
        <f>IFERROR('4J'!G32, 0)</f>
        <v>0</v>
      </c>
      <c r="H20" s="1582">
        <f>IFERROR('4J'!H32, 0)</f>
        <v>53.197000000000003</v>
      </c>
      <c r="I20" s="1582">
        <f>IFERROR('4J'!I32, 0)</f>
        <v>63.975000000000001</v>
      </c>
      <c r="J20" s="1574">
        <f t="shared" ref="J20:J25" si="18">IFERROR(SUM(E20:I20), 0)</f>
        <v>139.11799999999999</v>
      </c>
      <c r="K20" s="106"/>
      <c r="L20" s="832" t="s">
        <v>11078</v>
      </c>
      <c r="N20" s="283"/>
      <c r="P20" s="828"/>
      <c r="Q20" s="284"/>
      <c r="R20" s="828"/>
      <c r="X20" s="828"/>
      <c r="Z20" s="451" t="s">
        <v>8385</v>
      </c>
      <c r="AA20" s="853" t="s">
        <v>8387</v>
      </c>
      <c r="AB20" s="853" t="s">
        <v>11079</v>
      </c>
      <c r="AC20" s="853" t="s">
        <v>11080</v>
      </c>
      <c r="AD20" s="853" t="s">
        <v>11081</v>
      </c>
      <c r="AE20" s="853" t="s">
        <v>11082</v>
      </c>
      <c r="AF20" s="831" t="s">
        <v>11083</v>
      </c>
    </row>
    <row r="21" spans="2:32" s="197" customFormat="1" ht="15.75" customHeight="1">
      <c r="B21" s="792" t="s">
        <v>8393</v>
      </c>
      <c r="C21" s="325" t="s">
        <v>681</v>
      </c>
      <c r="D21" s="325">
        <v>3</v>
      </c>
      <c r="E21" s="1583">
        <f>IFERROR('4L'!F128, 0)</f>
        <v>2.3970000000000002</v>
      </c>
      <c r="F21" s="1583">
        <f>IFERROR('4L'!G128, 0)</f>
        <v>1.175</v>
      </c>
      <c r="G21" s="1583">
        <f>IFERROR('4L'!H128, 0)</f>
        <v>0</v>
      </c>
      <c r="H21" s="1583">
        <f>IFERROR('4L'!I128, 0)</f>
        <v>3.4260000000000002</v>
      </c>
      <c r="I21" s="1583">
        <f>IFERROR('4L'!J128, 0)</f>
        <v>17.448999999999998</v>
      </c>
      <c r="J21" s="1576">
        <f t="shared" si="18"/>
        <v>24.446999999999999</v>
      </c>
      <c r="L21" s="837" t="s">
        <v>11084</v>
      </c>
      <c r="N21" s="291"/>
      <c r="P21" s="828"/>
      <c r="Q21" s="284"/>
      <c r="R21" s="828"/>
      <c r="X21" s="828"/>
      <c r="Z21" s="792" t="s">
        <v>8393</v>
      </c>
      <c r="AA21" s="854" t="s">
        <v>8395</v>
      </c>
      <c r="AB21" s="854" t="s">
        <v>11085</v>
      </c>
      <c r="AC21" s="854" t="s">
        <v>11086</v>
      </c>
      <c r="AD21" s="854" t="s">
        <v>11087</v>
      </c>
      <c r="AE21" s="854" t="s">
        <v>11088</v>
      </c>
      <c r="AF21" s="836" t="s">
        <v>11089</v>
      </c>
    </row>
    <row r="22" spans="2:32" s="197" customFormat="1" ht="15.75" customHeight="1">
      <c r="B22" s="460" t="s">
        <v>11090</v>
      </c>
      <c r="C22" s="292" t="s">
        <v>681</v>
      </c>
      <c r="D22" s="292">
        <v>3</v>
      </c>
      <c r="E22" s="2090">
        <v>0</v>
      </c>
      <c r="F22" s="2090">
        <v>0</v>
      </c>
      <c r="G22" s="2090">
        <v>0</v>
      </c>
      <c r="H22" s="2090">
        <v>0</v>
      </c>
      <c r="I22" s="2090">
        <v>20.472000000000001</v>
      </c>
      <c r="J22" s="1576">
        <f t="shared" si="18"/>
        <v>20.472000000000001</v>
      </c>
      <c r="L22" s="837" t="s">
        <v>11091</v>
      </c>
      <c r="N22" s="291"/>
      <c r="P22" s="828"/>
      <c r="Q22" s="284">
        <f t="shared" ref="Q22" si="19">IF( SUM( S22:W22 ) = 0, 0, $S$5 )</f>
        <v>0</v>
      </c>
      <c r="R22" s="828"/>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8"/>
      <c r="Z22" s="460" t="s">
        <v>11090</v>
      </c>
      <c r="AA22" s="855" t="s">
        <v>11092</v>
      </c>
      <c r="AB22" s="855" t="s">
        <v>11093</v>
      </c>
      <c r="AC22" s="855" t="s">
        <v>11094</v>
      </c>
      <c r="AD22" s="855" t="s">
        <v>11095</v>
      </c>
      <c r="AE22" s="855" t="s">
        <v>11096</v>
      </c>
      <c r="AF22" s="836" t="s">
        <v>11097</v>
      </c>
    </row>
    <row r="23" spans="2:32" s="197" customFormat="1" ht="33" customHeight="1">
      <c r="B23" s="460" t="s">
        <v>8410</v>
      </c>
      <c r="C23" s="292" t="s">
        <v>681</v>
      </c>
      <c r="D23" s="292">
        <v>3</v>
      </c>
      <c r="E23" s="1577">
        <f>IFERROR(E20 + E21 + E22, 0)</f>
        <v>24.204999999999998</v>
      </c>
      <c r="F23" s="1577">
        <f t="shared" ref="F23:H23" si="25">IFERROR(F20 + F21 + F22, 0)</f>
        <v>1.3130000000000002</v>
      </c>
      <c r="G23" s="1577">
        <f t="shared" si="25"/>
        <v>0</v>
      </c>
      <c r="H23" s="1577">
        <f t="shared" si="25"/>
        <v>56.623000000000005</v>
      </c>
      <c r="I23" s="1577">
        <f>IFERROR(I20 + I21 + I22, 0)</f>
        <v>101.89600000000002</v>
      </c>
      <c r="J23" s="1576">
        <f t="shared" si="18"/>
        <v>184.03700000000003</v>
      </c>
      <c r="K23" s="106"/>
      <c r="L23" s="837" t="s">
        <v>11098</v>
      </c>
      <c r="N23" s="291"/>
      <c r="P23" s="828"/>
      <c r="Q23" s="284"/>
      <c r="R23" s="828"/>
      <c r="X23" s="828"/>
      <c r="Z23" s="460" t="s">
        <v>8412</v>
      </c>
      <c r="AA23" s="840" t="s">
        <v>11099</v>
      </c>
      <c r="AB23" s="840" t="s">
        <v>11100</v>
      </c>
      <c r="AC23" s="840" t="s">
        <v>11101</v>
      </c>
      <c r="AD23" s="840" t="s">
        <v>11102</v>
      </c>
      <c r="AE23" s="840" t="s">
        <v>11103</v>
      </c>
      <c r="AF23" s="836" t="s">
        <v>11104</v>
      </c>
    </row>
    <row r="24" spans="2:32" s="197" customFormat="1" ht="15.75" customHeight="1">
      <c r="B24" s="460" t="s">
        <v>8361</v>
      </c>
      <c r="C24" s="286" t="s">
        <v>681</v>
      </c>
      <c r="D24" s="286">
        <v>3</v>
      </c>
      <c r="E24" s="2090">
        <v>0</v>
      </c>
      <c r="F24" s="2090">
        <v>0</v>
      </c>
      <c r="G24" s="2090">
        <v>0</v>
      </c>
      <c r="H24" s="2090">
        <v>0</v>
      </c>
      <c r="I24" s="2090">
        <v>0</v>
      </c>
      <c r="J24" s="1576">
        <f t="shared" si="18"/>
        <v>0</v>
      </c>
      <c r="K24" s="106"/>
      <c r="L24" s="837" t="s">
        <v>11105</v>
      </c>
      <c r="N24" s="842"/>
      <c r="P24" s="828"/>
      <c r="Q24" s="284">
        <f t="shared" ref="Q24" si="26">IF( SUM( S24:W24 ) = 0, 0, $S$5 )</f>
        <v>0</v>
      </c>
      <c r="R24" s="828"/>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8"/>
      <c r="Z24" s="460" t="s">
        <v>8361</v>
      </c>
      <c r="AA24" s="841" t="s">
        <v>8420</v>
      </c>
      <c r="AB24" s="841" t="s">
        <v>11106</v>
      </c>
      <c r="AC24" s="841" t="s">
        <v>11107</v>
      </c>
      <c r="AD24" s="841" t="s">
        <v>11108</v>
      </c>
      <c r="AE24" s="841" t="s">
        <v>11109</v>
      </c>
      <c r="AF24" s="836" t="s">
        <v>11110</v>
      </c>
    </row>
    <row r="25" spans="2:32" s="197" customFormat="1" ht="15.75" customHeight="1" thickBot="1">
      <c r="B25" s="411" t="s">
        <v>8426</v>
      </c>
      <c r="C25" s="844" t="s">
        <v>681</v>
      </c>
      <c r="D25" s="844">
        <v>3</v>
      </c>
      <c r="E25" s="1584">
        <f>IFERROR(E23 + E24, 0)</f>
        <v>24.204999999999998</v>
      </c>
      <c r="F25" s="1584">
        <f t="shared" ref="F25:H25" si="32">IFERROR(F23 + F24, 0)</f>
        <v>1.3130000000000002</v>
      </c>
      <c r="G25" s="1584">
        <f t="shared" si="32"/>
        <v>0</v>
      </c>
      <c r="H25" s="1584">
        <f t="shared" si="32"/>
        <v>56.623000000000005</v>
      </c>
      <c r="I25" s="1584">
        <f>IFERROR(I23 + I24, 0)</f>
        <v>101.89600000000002</v>
      </c>
      <c r="J25" s="1579">
        <f t="shared" si="18"/>
        <v>184.03700000000003</v>
      </c>
      <c r="K25" s="106"/>
      <c r="L25" s="847" t="s">
        <v>11111</v>
      </c>
      <c r="N25" s="302"/>
      <c r="P25" s="828"/>
      <c r="Q25" s="284"/>
      <c r="R25" s="828"/>
      <c r="X25" s="828"/>
      <c r="Z25" s="411" t="s">
        <v>8426</v>
      </c>
      <c r="AA25" s="856" t="s">
        <v>11112</v>
      </c>
      <c r="AB25" s="856" t="s">
        <v>11113</v>
      </c>
      <c r="AC25" s="856" t="s">
        <v>11114</v>
      </c>
      <c r="AD25" s="856" t="s">
        <v>11115</v>
      </c>
      <c r="AE25" s="856" t="s">
        <v>11116</v>
      </c>
      <c r="AF25" s="846" t="s">
        <v>11117</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8376</v>
      </c>
      <c r="C27" s="394"/>
      <c r="D27" s="394"/>
      <c r="E27" s="106"/>
      <c r="F27" s="106"/>
      <c r="P27" s="828"/>
      <c r="Q27" s="284"/>
      <c r="R27" s="828"/>
      <c r="X27" s="828"/>
      <c r="Z27" s="393" t="s">
        <v>8376</v>
      </c>
      <c r="AA27" s="106"/>
      <c r="AB27" s="106"/>
    </row>
    <row r="28" spans="2:32" s="197" customFormat="1" ht="15.75" customHeight="1" thickTop="1" thickBot="1">
      <c r="B28" s="420" t="s">
        <v>8434</v>
      </c>
      <c r="C28" s="371" t="s">
        <v>681</v>
      </c>
      <c r="D28" s="371">
        <v>3</v>
      </c>
      <c r="E28" s="1580">
        <v>0</v>
      </c>
      <c r="F28" s="1580">
        <v>0</v>
      </c>
      <c r="G28" s="1580">
        <v>0</v>
      </c>
      <c r="H28" s="1580">
        <v>0</v>
      </c>
      <c r="I28" s="1580">
        <v>13.089</v>
      </c>
      <c r="J28" s="1585">
        <f>IFERROR(SUM(E28:I28), 0)</f>
        <v>13.089</v>
      </c>
      <c r="L28" s="850" t="s">
        <v>11118</v>
      </c>
      <c r="N28" s="477"/>
      <c r="P28" s="828"/>
      <c r="Q28" s="284">
        <f t="shared" ref="Q28" si="33">IF( SUM( S28:W28 ) = 0, 0, $S$5 )</f>
        <v>0</v>
      </c>
      <c r="R28" s="828"/>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8"/>
      <c r="Z28" s="420" t="s">
        <v>8434</v>
      </c>
      <c r="AA28" s="849" t="s">
        <v>8436</v>
      </c>
      <c r="AB28" s="849" t="s">
        <v>11119</v>
      </c>
      <c r="AC28" s="849" t="s">
        <v>11120</v>
      </c>
      <c r="AD28" s="849" t="s">
        <v>11121</v>
      </c>
      <c r="AE28" s="849" t="s">
        <v>11122</v>
      </c>
      <c r="AF28" s="858" t="s">
        <v>11123</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8442</v>
      </c>
      <c r="C30" s="371" t="s">
        <v>681</v>
      </c>
      <c r="D30" s="371">
        <v>3</v>
      </c>
      <c r="E30" s="1586">
        <f>IFERROR(E14 + E25 - E17 - E28, 0)</f>
        <v>104.60999999999999</v>
      </c>
      <c r="F30" s="1586">
        <f t="shared" ref="F30:I30" si="39">IFERROR(F14 + F25 - F17 - F28, 0)</f>
        <v>9.5580000000000016</v>
      </c>
      <c r="G30" s="1586">
        <f t="shared" si="39"/>
        <v>2.3339999999999996</v>
      </c>
      <c r="H30" s="1586">
        <f t="shared" si="39"/>
        <v>120.926</v>
      </c>
      <c r="I30" s="1586">
        <f t="shared" si="39"/>
        <v>202.08000000000004</v>
      </c>
      <c r="J30" s="1585">
        <f>IFERROR(SUM(E30:I30), 0)</f>
        <v>439.50800000000004</v>
      </c>
      <c r="K30" s="106"/>
      <c r="L30" s="850" t="s">
        <v>11124</v>
      </c>
      <c r="N30" s="375"/>
      <c r="P30" s="828"/>
      <c r="Q30" s="284"/>
      <c r="R30" s="828"/>
      <c r="X30" s="828"/>
      <c r="Z30" s="420" t="s">
        <v>8442</v>
      </c>
      <c r="AA30" s="372" t="s">
        <v>11125</v>
      </c>
      <c r="AB30" s="372" t="s">
        <v>11126</v>
      </c>
      <c r="AC30" s="372" t="s">
        <v>11127</v>
      </c>
      <c r="AD30" s="372" t="s">
        <v>11128</v>
      </c>
      <c r="AE30" s="372" t="s">
        <v>11129</v>
      </c>
      <c r="AF30" s="858" t="s">
        <v>11130</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8450</v>
      </c>
      <c r="C32" s="394"/>
      <c r="D32" s="394"/>
      <c r="E32" s="349"/>
      <c r="F32" s="349"/>
      <c r="G32" s="349"/>
      <c r="H32" s="349"/>
      <c r="I32" s="349"/>
      <c r="J32" s="349"/>
      <c r="K32" s="106"/>
      <c r="L32" s="857"/>
      <c r="P32" s="828"/>
      <c r="Q32" s="284"/>
      <c r="R32" s="828"/>
      <c r="X32" s="828"/>
      <c r="Z32" s="393" t="s">
        <v>8450</v>
      </c>
      <c r="AA32" s="349"/>
      <c r="AB32" s="349"/>
      <c r="AC32" s="349"/>
      <c r="AD32" s="349"/>
      <c r="AE32" s="349"/>
      <c r="AF32" s="349"/>
    </row>
    <row r="33" spans="1:33" s="197" customFormat="1" ht="15.75" customHeight="1" thickTop="1">
      <c r="B33" s="451" t="s">
        <v>8451</v>
      </c>
      <c r="C33" s="277" t="s">
        <v>681</v>
      </c>
      <c r="D33" s="277">
        <v>3</v>
      </c>
      <c r="E33" s="1587">
        <v>0.57899999999999996</v>
      </c>
      <c r="F33" s="1587">
        <v>5.6000000000000001E-2</v>
      </c>
      <c r="G33" s="1587">
        <v>4.4999999999999998E-2</v>
      </c>
      <c r="H33" s="1587">
        <v>3.6019999999999999</v>
      </c>
      <c r="I33" s="1587">
        <v>9.1780000000000008</v>
      </c>
      <c r="J33" s="1574">
        <f>IFERROR(SUM(E33:I33), 0)</f>
        <v>13.46</v>
      </c>
      <c r="K33" s="106"/>
      <c r="L33" s="832" t="s">
        <v>11131</v>
      </c>
      <c r="N33" s="861"/>
      <c r="P33" s="828"/>
      <c r="Q33" s="284">
        <f t="shared" ref="Q33:Q34" si="40">IF( SUM( S33:W33 ) = 0, 0, $S$5 )</f>
        <v>0</v>
      </c>
      <c r="R33" s="828"/>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8"/>
      <c r="Z33" s="451" t="s">
        <v>8451</v>
      </c>
      <c r="AA33" s="860" t="s">
        <v>8453</v>
      </c>
      <c r="AB33" s="860" t="s">
        <v>11132</v>
      </c>
      <c r="AC33" s="860" t="s">
        <v>11133</v>
      </c>
      <c r="AD33" s="860" t="s">
        <v>11134</v>
      </c>
      <c r="AE33" s="860" t="s">
        <v>11135</v>
      </c>
      <c r="AF33" s="831" t="s">
        <v>11136</v>
      </c>
    </row>
    <row r="34" spans="1:33" s="197" customFormat="1" ht="15.75" customHeight="1">
      <c r="B34" s="460" t="s">
        <v>8459</v>
      </c>
      <c r="C34" s="286" t="s">
        <v>681</v>
      </c>
      <c r="D34" s="286">
        <v>3</v>
      </c>
      <c r="E34" s="1588">
        <v>0</v>
      </c>
      <c r="F34" s="1588">
        <v>0</v>
      </c>
      <c r="G34" s="1588">
        <v>0</v>
      </c>
      <c r="H34" s="1588">
        <v>0</v>
      </c>
      <c r="I34" s="1588">
        <v>0</v>
      </c>
      <c r="J34" s="1576">
        <f>IFERROR(SUM(E34:I34), 0)</f>
        <v>0</v>
      </c>
      <c r="K34" s="106"/>
      <c r="L34" s="837" t="s">
        <v>11137</v>
      </c>
      <c r="N34" s="842"/>
      <c r="P34" s="828"/>
      <c r="Q34" s="284">
        <f t="shared" si="40"/>
        <v>0</v>
      </c>
      <c r="R34" s="828"/>
      <c r="S34" s="285">
        <f t="shared" si="41"/>
        <v>0</v>
      </c>
      <c r="T34" s="285">
        <f t="shared" si="42"/>
        <v>0</v>
      </c>
      <c r="U34" s="285">
        <f t="shared" si="43"/>
        <v>0</v>
      </c>
      <c r="V34" s="285">
        <f t="shared" si="44"/>
        <v>0</v>
      </c>
      <c r="W34" s="285">
        <f t="shared" si="45"/>
        <v>0</v>
      </c>
      <c r="X34" s="828"/>
      <c r="Z34" s="460" t="s">
        <v>8459</v>
      </c>
      <c r="AA34" s="841" t="s">
        <v>8461</v>
      </c>
      <c r="AB34" s="841" t="s">
        <v>11138</v>
      </c>
      <c r="AC34" s="841" t="s">
        <v>11139</v>
      </c>
      <c r="AD34" s="841" t="s">
        <v>11140</v>
      </c>
      <c r="AE34" s="841" t="s">
        <v>11141</v>
      </c>
      <c r="AF34" s="836" t="s">
        <v>11142</v>
      </c>
    </row>
    <row r="35" spans="1:33" s="197" customFormat="1" ht="15.75" customHeight="1" thickBot="1">
      <c r="B35" s="463" t="s">
        <v>8467</v>
      </c>
      <c r="C35" s="355" t="s">
        <v>681</v>
      </c>
      <c r="D35" s="355">
        <v>3</v>
      </c>
      <c r="E35" s="1589">
        <f>IFERROR(E30 + E33 + E34, 0)</f>
        <v>105.18899999999998</v>
      </c>
      <c r="F35" s="1589">
        <f t="shared" ref="F35:H35" si="46">IFERROR(F30 + F33 + F34, 0)</f>
        <v>9.6140000000000008</v>
      </c>
      <c r="G35" s="1589">
        <f t="shared" si="46"/>
        <v>2.3789999999999996</v>
      </c>
      <c r="H35" s="1589">
        <f t="shared" si="46"/>
        <v>124.52800000000001</v>
      </c>
      <c r="I35" s="1589">
        <f>IFERROR(I30 + I33 + I34, 0)</f>
        <v>211.25800000000004</v>
      </c>
      <c r="J35" s="1579">
        <f>IFERROR(SUM(E35:I35), 0)</f>
        <v>452.96800000000002</v>
      </c>
      <c r="K35" s="106"/>
      <c r="L35" s="847" t="s">
        <v>11143</v>
      </c>
      <c r="N35" s="302"/>
      <c r="P35" s="828"/>
      <c r="Q35" s="284"/>
      <c r="R35" s="828"/>
      <c r="X35" s="828"/>
      <c r="Z35" s="463" t="s">
        <v>8467</v>
      </c>
      <c r="AA35" s="679" t="s">
        <v>11144</v>
      </c>
      <c r="AB35" s="679" t="s">
        <v>11145</v>
      </c>
      <c r="AC35" s="679" t="s">
        <v>11146</v>
      </c>
      <c r="AD35" s="679" t="s">
        <v>11147</v>
      </c>
      <c r="AE35" s="679" t="s">
        <v>11148</v>
      </c>
      <c r="AF35" s="846" t="s">
        <v>11149</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50000000000001" customHeight="1" thickTop="1">
      <c r="B37" s="2811" t="s">
        <v>7224</v>
      </c>
      <c r="C37" s="2673" t="s">
        <v>7225</v>
      </c>
      <c r="D37" s="2673" t="s">
        <v>670</v>
      </c>
      <c r="E37" s="2817" t="s">
        <v>8160</v>
      </c>
      <c r="F37" s="2817" t="s">
        <v>11026</v>
      </c>
      <c r="G37" s="2817"/>
      <c r="H37" s="2817"/>
      <c r="I37" s="2817"/>
      <c r="J37" s="2820" t="s">
        <v>7445</v>
      </c>
      <c r="K37" s="365"/>
      <c r="L37" s="365"/>
      <c r="M37" s="365"/>
      <c r="N37" s="365"/>
      <c r="P37" s="828"/>
      <c r="Q37" s="284"/>
      <c r="R37" s="828"/>
      <c r="X37" s="828"/>
      <c r="Z37" s="2811" t="s">
        <v>7224</v>
      </c>
      <c r="AA37" s="2817" t="s">
        <v>8160</v>
      </c>
      <c r="AB37" s="2817" t="s">
        <v>11026</v>
      </c>
      <c r="AC37" s="2817"/>
      <c r="AD37" s="2817"/>
      <c r="AE37" s="2817"/>
      <c r="AF37" s="2820" t="s">
        <v>7445</v>
      </c>
      <c r="AG37" s="467"/>
    </row>
    <row r="38" spans="1:33" s="197" customFormat="1" ht="33" customHeight="1" thickBot="1">
      <c r="B38" s="2812"/>
      <c r="C38" s="2816"/>
      <c r="D38" s="2816"/>
      <c r="E38" s="2818"/>
      <c r="F38" s="862" t="s">
        <v>11027</v>
      </c>
      <c r="G38" s="862" t="s">
        <v>11028</v>
      </c>
      <c r="H38" s="862" t="s">
        <v>11029</v>
      </c>
      <c r="I38" s="862" t="s">
        <v>11030</v>
      </c>
      <c r="J38" s="2821"/>
      <c r="K38" s="365"/>
      <c r="L38" s="365"/>
      <c r="M38" s="365"/>
      <c r="N38" s="365"/>
      <c r="P38" s="828"/>
      <c r="Q38" s="284"/>
      <c r="R38" s="828"/>
      <c r="X38" s="828"/>
      <c r="Z38" s="2812"/>
      <c r="AA38" s="2818"/>
      <c r="AB38" s="862" t="s">
        <v>11027</v>
      </c>
      <c r="AC38" s="862" t="s">
        <v>11028</v>
      </c>
      <c r="AD38" s="862" t="s">
        <v>11029</v>
      </c>
      <c r="AE38" s="862" t="s">
        <v>11030</v>
      </c>
      <c r="AF38" s="2821"/>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11150</v>
      </c>
      <c r="C40" s="824"/>
      <c r="D40" s="824"/>
      <c r="E40" s="824"/>
      <c r="F40" s="824"/>
      <c r="G40" s="824"/>
      <c r="H40" s="824"/>
      <c r="I40" s="824"/>
      <c r="J40" s="824"/>
      <c r="K40" s="865"/>
      <c r="M40" s="197"/>
      <c r="N40" s="197"/>
      <c r="O40" s="197"/>
      <c r="P40" s="363"/>
      <c r="Q40" s="284"/>
      <c r="R40" s="363"/>
      <c r="S40" s="197"/>
      <c r="T40" s="197"/>
      <c r="U40" s="197"/>
      <c r="V40" s="197"/>
      <c r="W40" s="197"/>
      <c r="X40" s="363"/>
      <c r="Z40" s="393" t="s">
        <v>11150</v>
      </c>
      <c r="AA40" s="824"/>
      <c r="AB40" s="824"/>
      <c r="AC40" s="824"/>
      <c r="AD40" s="824"/>
      <c r="AE40" s="824"/>
      <c r="AF40" s="824"/>
    </row>
    <row r="41" spans="1:33" ht="15.75" customHeight="1" thickTop="1">
      <c r="A41" s="197"/>
      <c r="B41" s="829" t="s">
        <v>11151</v>
      </c>
      <c r="C41" s="788" t="s">
        <v>681</v>
      </c>
      <c r="D41" s="788">
        <v>3</v>
      </c>
      <c r="E41" s="1587">
        <v>-0.30499999999999999</v>
      </c>
      <c r="F41" s="1587">
        <v>-0.03</v>
      </c>
      <c r="G41" s="1587">
        <v>-1.7000000000000001E-2</v>
      </c>
      <c r="H41" s="1587">
        <v>-1.9610000000000001</v>
      </c>
      <c r="I41" s="1587">
        <v>-4.9020000000000001</v>
      </c>
      <c r="J41" s="1574">
        <f t="shared" ref="J41:J46" si="47">IFERROR(SUM(E41:I41), 0)</f>
        <v>-7.2149999999999999</v>
      </c>
      <c r="K41" s="197"/>
      <c r="L41" s="832" t="s">
        <v>11152</v>
      </c>
      <c r="M41" s="197"/>
      <c r="N41" s="861"/>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9" t="s">
        <v>11153</v>
      </c>
      <c r="AA41" s="860" t="s">
        <v>11154</v>
      </c>
      <c r="AB41" s="860" t="s">
        <v>11155</v>
      </c>
      <c r="AC41" s="860" t="s">
        <v>11156</v>
      </c>
      <c r="AD41" s="860" t="s">
        <v>11157</v>
      </c>
      <c r="AE41" s="860" t="s">
        <v>11158</v>
      </c>
      <c r="AF41" s="831" t="s">
        <v>11159</v>
      </c>
    </row>
    <row r="42" spans="1:33" ht="15.75" customHeight="1">
      <c r="A42" s="197"/>
      <c r="B42" s="833" t="s">
        <v>11160</v>
      </c>
      <c r="C42" s="834" t="s">
        <v>681</v>
      </c>
      <c r="D42" s="834">
        <v>3</v>
      </c>
      <c r="E42" s="1590">
        <v>0</v>
      </c>
      <c r="F42" s="1590">
        <v>0</v>
      </c>
      <c r="G42" s="1590">
        <v>0</v>
      </c>
      <c r="H42" s="1590">
        <v>0</v>
      </c>
      <c r="I42" s="1590">
        <v>0</v>
      </c>
      <c r="J42" s="1576">
        <f t="shared" si="47"/>
        <v>0</v>
      </c>
      <c r="K42" s="197"/>
      <c r="L42" s="837" t="s">
        <v>11161</v>
      </c>
      <c r="M42" s="197"/>
      <c r="N42" s="842"/>
      <c r="O42" s="197"/>
      <c r="P42" s="363"/>
      <c r="Q42" s="284">
        <f t="shared" si="48"/>
        <v>0</v>
      </c>
      <c r="R42" s="363"/>
      <c r="S42" s="285">
        <f t="shared" si="49"/>
        <v>0</v>
      </c>
      <c r="T42" s="285">
        <f t="shared" si="50"/>
        <v>0</v>
      </c>
      <c r="U42" s="285">
        <f t="shared" si="51"/>
        <v>0</v>
      </c>
      <c r="V42" s="285">
        <f t="shared" si="52"/>
        <v>0</v>
      </c>
      <c r="W42" s="285">
        <f t="shared" si="53"/>
        <v>0</v>
      </c>
      <c r="X42" s="363"/>
      <c r="Z42" s="833" t="s">
        <v>11160</v>
      </c>
      <c r="AA42" s="867" t="s">
        <v>11162</v>
      </c>
      <c r="AB42" s="867" t="s">
        <v>11163</v>
      </c>
      <c r="AC42" s="867" t="s">
        <v>11164</v>
      </c>
      <c r="AD42" s="867" t="s">
        <v>11165</v>
      </c>
      <c r="AE42" s="867" t="s">
        <v>11166</v>
      </c>
      <c r="AF42" s="836" t="s">
        <v>11167</v>
      </c>
    </row>
    <row r="43" spans="1:33" ht="15.75" customHeight="1">
      <c r="A43" s="197"/>
      <c r="B43" s="833" t="s">
        <v>11168</v>
      </c>
      <c r="C43" s="834" t="s">
        <v>681</v>
      </c>
      <c r="D43" s="834">
        <v>3</v>
      </c>
      <c r="E43" s="1590">
        <v>0</v>
      </c>
      <c r="F43" s="1590">
        <v>0</v>
      </c>
      <c r="G43" s="1590">
        <v>0</v>
      </c>
      <c r="H43" s="1590">
        <v>0</v>
      </c>
      <c r="I43" s="1590">
        <v>0</v>
      </c>
      <c r="J43" s="1576">
        <f t="shared" si="47"/>
        <v>0</v>
      </c>
      <c r="K43" s="197"/>
      <c r="L43" s="837" t="s">
        <v>11169</v>
      </c>
      <c r="M43" s="197"/>
      <c r="N43" s="842"/>
      <c r="O43" s="197"/>
      <c r="P43" s="363"/>
      <c r="Q43" s="284">
        <f t="shared" si="48"/>
        <v>0</v>
      </c>
      <c r="R43" s="363"/>
      <c r="S43" s="285">
        <f t="shared" si="49"/>
        <v>0</v>
      </c>
      <c r="T43" s="285">
        <f t="shared" si="50"/>
        <v>0</v>
      </c>
      <c r="U43" s="285">
        <f t="shared" si="51"/>
        <v>0</v>
      </c>
      <c r="V43" s="285">
        <f t="shared" si="52"/>
        <v>0</v>
      </c>
      <c r="W43" s="285">
        <f t="shared" si="53"/>
        <v>0</v>
      </c>
      <c r="X43" s="363"/>
      <c r="Z43" s="833" t="s">
        <v>11168</v>
      </c>
      <c r="AA43" s="867" t="s">
        <v>11170</v>
      </c>
      <c r="AB43" s="867" t="s">
        <v>11171</v>
      </c>
      <c r="AC43" s="867" t="s">
        <v>11172</v>
      </c>
      <c r="AD43" s="867" t="s">
        <v>11173</v>
      </c>
      <c r="AE43" s="867" t="s">
        <v>11174</v>
      </c>
      <c r="AF43" s="836" t="s">
        <v>11175</v>
      </c>
    </row>
    <row r="44" spans="1:33" ht="15.75" customHeight="1">
      <c r="A44" s="197"/>
      <c r="B44" s="833" t="s">
        <v>11176</v>
      </c>
      <c r="C44" s="834" t="s">
        <v>681</v>
      </c>
      <c r="D44" s="834">
        <v>3</v>
      </c>
      <c r="E44" s="1590">
        <v>0</v>
      </c>
      <c r="F44" s="1590">
        <v>0</v>
      </c>
      <c r="G44" s="1590">
        <v>0</v>
      </c>
      <c r="H44" s="1590">
        <v>0</v>
      </c>
      <c r="I44" s="1590">
        <v>0</v>
      </c>
      <c r="J44" s="1576">
        <f t="shared" si="47"/>
        <v>0</v>
      </c>
      <c r="K44" s="197"/>
      <c r="L44" s="837" t="s">
        <v>11177</v>
      </c>
      <c r="M44" s="197"/>
      <c r="N44" s="842"/>
      <c r="O44" s="197"/>
      <c r="P44" s="363"/>
      <c r="Q44" s="284">
        <f t="shared" si="48"/>
        <v>0</v>
      </c>
      <c r="R44" s="363"/>
      <c r="S44" s="285">
        <f t="shared" si="49"/>
        <v>0</v>
      </c>
      <c r="T44" s="285">
        <f t="shared" si="50"/>
        <v>0</v>
      </c>
      <c r="U44" s="285">
        <f t="shared" si="51"/>
        <v>0</v>
      </c>
      <c r="V44" s="285">
        <f t="shared" si="52"/>
        <v>0</v>
      </c>
      <c r="W44" s="285">
        <f t="shared" si="53"/>
        <v>0</v>
      </c>
      <c r="X44" s="363"/>
      <c r="Z44" s="833" t="s">
        <v>11176</v>
      </c>
      <c r="AA44" s="867" t="s">
        <v>11178</v>
      </c>
      <c r="AB44" s="867" t="s">
        <v>11179</v>
      </c>
      <c r="AC44" s="867" t="s">
        <v>11180</v>
      </c>
      <c r="AD44" s="867" t="s">
        <v>11181</v>
      </c>
      <c r="AE44" s="867" t="s">
        <v>11182</v>
      </c>
      <c r="AF44" s="836" t="s">
        <v>11183</v>
      </c>
    </row>
    <row r="45" spans="1:33" ht="15.75" customHeight="1">
      <c r="A45" s="197"/>
      <c r="B45" s="833" t="s">
        <v>11184</v>
      </c>
      <c r="C45" s="834" t="s">
        <v>681</v>
      </c>
      <c r="D45" s="834">
        <v>3</v>
      </c>
      <c r="E45" s="1590">
        <v>0</v>
      </c>
      <c r="F45" s="1590">
        <v>0</v>
      </c>
      <c r="G45" s="1590">
        <v>0</v>
      </c>
      <c r="H45" s="1590">
        <v>0</v>
      </c>
      <c r="I45" s="1590">
        <v>0</v>
      </c>
      <c r="J45" s="1576">
        <f t="shared" si="47"/>
        <v>0</v>
      </c>
      <c r="K45" s="197"/>
      <c r="L45" s="837" t="s">
        <v>11185</v>
      </c>
      <c r="M45" s="197"/>
      <c r="N45" s="842"/>
      <c r="O45" s="197"/>
      <c r="P45" s="363"/>
      <c r="Q45" s="284">
        <f t="shared" si="48"/>
        <v>0</v>
      </c>
      <c r="R45" s="363"/>
      <c r="S45" s="285">
        <f t="shared" si="49"/>
        <v>0</v>
      </c>
      <c r="T45" s="285">
        <f t="shared" si="50"/>
        <v>0</v>
      </c>
      <c r="U45" s="285">
        <f t="shared" si="51"/>
        <v>0</v>
      </c>
      <c r="V45" s="285">
        <f t="shared" si="52"/>
        <v>0</v>
      </c>
      <c r="W45" s="285">
        <f t="shared" si="53"/>
        <v>0</v>
      </c>
      <c r="X45" s="363"/>
      <c r="Z45" s="833" t="s">
        <v>11184</v>
      </c>
      <c r="AA45" s="867" t="s">
        <v>11186</v>
      </c>
      <c r="AB45" s="867" t="s">
        <v>11187</v>
      </c>
      <c r="AC45" s="867" t="s">
        <v>11188</v>
      </c>
      <c r="AD45" s="867" t="s">
        <v>11189</v>
      </c>
      <c r="AE45" s="867" t="s">
        <v>11190</v>
      </c>
      <c r="AF45" s="836" t="s">
        <v>11191</v>
      </c>
    </row>
    <row r="46" spans="1:33" ht="15.75" customHeight="1" thickBot="1">
      <c r="A46" s="197"/>
      <c r="B46" s="868" t="s">
        <v>11192</v>
      </c>
      <c r="C46" s="844" t="s">
        <v>681</v>
      </c>
      <c r="D46" s="844">
        <v>3</v>
      </c>
      <c r="E46" s="1584">
        <f>IFERROR(SUM(E41:E45), 0)</f>
        <v>-0.30499999999999999</v>
      </c>
      <c r="F46" s="1584">
        <f t="shared" ref="F46:H46" si="54">IFERROR(SUM(F41:F45), 0)</f>
        <v>-0.03</v>
      </c>
      <c r="G46" s="1584">
        <f t="shared" si="54"/>
        <v>-1.7000000000000001E-2</v>
      </c>
      <c r="H46" s="1584">
        <f t="shared" si="54"/>
        <v>-1.9610000000000001</v>
      </c>
      <c r="I46" s="1584">
        <f>IFERROR(SUM(I41:I45), 0)</f>
        <v>-4.9020000000000001</v>
      </c>
      <c r="J46" s="1579">
        <f t="shared" si="47"/>
        <v>-7.2149999999999999</v>
      </c>
      <c r="K46" s="197"/>
      <c r="L46" s="847" t="s">
        <v>11193</v>
      </c>
      <c r="M46" s="197"/>
      <c r="N46" s="302"/>
      <c r="O46" s="197"/>
      <c r="P46" s="363"/>
      <c r="Q46" s="284"/>
      <c r="R46" s="363"/>
      <c r="S46" s="197"/>
      <c r="T46" s="197"/>
      <c r="U46" s="197"/>
      <c r="V46" s="197"/>
      <c r="W46" s="197"/>
      <c r="X46" s="363"/>
      <c r="Z46" s="868" t="s">
        <v>11192</v>
      </c>
      <c r="AA46" s="856" t="s">
        <v>11194</v>
      </c>
      <c r="AB46" s="856" t="s">
        <v>11195</v>
      </c>
      <c r="AC46" s="856" t="s">
        <v>11196</v>
      </c>
      <c r="AD46" s="856" t="s">
        <v>11197</v>
      </c>
      <c r="AE46" s="856" t="s">
        <v>11198</v>
      </c>
      <c r="AF46" s="846" t="s">
        <v>11199</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tabColor rgb="FF00B050"/>
    <pageSetUpPr fitToPage="1"/>
  </sheetPr>
  <dimension ref="A1:AO51"/>
  <sheetViews>
    <sheetView showGridLines="0" zoomScale="40" zoomScaleNormal="40" zoomScaleSheetLayoutView="100" workbookViewId="0">
      <pane ySplit="6" topLeftCell="A26" activePane="bottomLeft" state="frozen"/>
      <selection pane="bottomLeft" activeCell="E43" sqref="E43"/>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83"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47" customWidth="1"/>
    <col min="33" max="41" width="15" style="224" customWidth="1"/>
    <col min="42" max="42" width="1.625" style="224" customWidth="1"/>
    <col min="43" max="16384" width="9" style="224"/>
  </cols>
  <sheetData>
    <row r="1" spans="2:41" s="389" customFormat="1" ht="29.25" customHeight="1">
      <c r="B1" s="2661" t="s">
        <v>11200</v>
      </c>
      <c r="C1" s="2661"/>
      <c r="D1" s="2661"/>
      <c r="E1" s="2661"/>
      <c r="F1" s="2661"/>
      <c r="G1" s="2661"/>
      <c r="H1" s="2661"/>
      <c r="I1" s="2661"/>
      <c r="J1" s="339"/>
      <c r="K1" s="561"/>
      <c r="L1" s="561"/>
      <c r="M1" s="561"/>
      <c r="N1" s="561"/>
      <c r="O1" s="824"/>
      <c r="S1" s="825"/>
      <c r="U1" s="825"/>
      <c r="AD1" s="825"/>
      <c r="AF1" s="2661" t="s">
        <v>7220</v>
      </c>
      <c r="AG1" s="2661"/>
      <c r="AH1" s="2661"/>
      <c r="AI1" s="2661"/>
      <c r="AJ1" s="2661"/>
      <c r="AK1" s="2661"/>
      <c r="AL1" s="339"/>
      <c r="AM1" s="2661"/>
      <c r="AN1" s="2661"/>
      <c r="AO1" s="2661"/>
    </row>
    <row r="2" spans="2:41" s="389" customFormat="1" ht="29.25" customHeight="1">
      <c r="B2" s="2661" t="str">
        <f>SelectCompany!B4</f>
        <v>Northumbrian Water</v>
      </c>
      <c r="C2" s="2661"/>
      <c r="D2" s="2661"/>
      <c r="E2" s="2661"/>
      <c r="F2" s="2661"/>
      <c r="G2" s="2661"/>
      <c r="H2" s="2661"/>
      <c r="I2" s="2661"/>
      <c r="J2" s="339"/>
      <c r="K2" s="390"/>
      <c r="L2" s="390"/>
      <c r="M2" s="390"/>
      <c r="N2" s="390"/>
      <c r="O2" s="824"/>
      <c r="S2" s="825"/>
      <c r="U2" s="825"/>
      <c r="AD2" s="825"/>
      <c r="AF2" s="2661"/>
      <c r="AG2" s="2661"/>
      <c r="AH2" s="2661"/>
      <c r="AI2" s="2661"/>
      <c r="AJ2" s="2661"/>
      <c r="AK2" s="2661"/>
      <c r="AL2" s="2661"/>
      <c r="AM2" s="2661"/>
      <c r="AN2" s="390"/>
      <c r="AO2" s="390"/>
    </row>
    <row r="3" spans="2:41" ht="45.75" customHeight="1">
      <c r="B3" s="2807" t="s">
        <v>11201</v>
      </c>
      <c r="C3" s="2807"/>
      <c r="D3" s="2807"/>
      <c r="E3" s="2807"/>
      <c r="F3" s="2807"/>
      <c r="G3" s="2807"/>
      <c r="H3" s="2807"/>
      <c r="I3" s="2807"/>
      <c r="J3" s="2807"/>
      <c r="K3" s="2807"/>
      <c r="L3" s="2807"/>
      <c r="M3" s="2807"/>
      <c r="N3" s="2807"/>
      <c r="O3" s="2807"/>
      <c r="P3" s="2807"/>
      <c r="Q3" s="2807"/>
      <c r="S3" s="363"/>
      <c r="T3" s="650" t="s">
        <v>7222</v>
      </c>
      <c r="U3" s="363"/>
      <c r="AD3" s="363"/>
      <c r="AF3" s="2807" t="s">
        <v>11201</v>
      </c>
      <c r="AG3" s="2807"/>
      <c r="AH3" s="2807"/>
      <c r="AI3" s="2807"/>
      <c r="AJ3" s="2807"/>
      <c r="AK3" s="2807"/>
      <c r="AL3" s="2807"/>
      <c r="AM3" s="2807"/>
      <c r="AN3" s="2807"/>
      <c r="AO3" s="2807"/>
    </row>
    <row r="4" spans="2:41" ht="15" customHeight="1" thickBot="1">
      <c r="B4" s="690"/>
      <c r="C4" s="690"/>
      <c r="D4" s="690"/>
      <c r="E4" s="690"/>
      <c r="F4" s="690"/>
      <c r="G4" s="690"/>
      <c r="H4" s="690"/>
      <c r="I4" s="690"/>
      <c r="J4" s="690"/>
      <c r="K4" s="690"/>
      <c r="L4" s="690"/>
      <c r="M4" s="690"/>
      <c r="N4" s="870"/>
      <c r="O4" s="824"/>
      <c r="S4" s="363"/>
      <c r="T4" s="284"/>
      <c r="U4" s="363"/>
      <c r="V4" s="2668" t="s">
        <v>7223</v>
      </c>
      <c r="W4" s="2668"/>
      <c r="X4" s="2668"/>
      <c r="Y4" s="2819"/>
      <c r="Z4" s="2819"/>
      <c r="AA4" s="2819"/>
      <c r="AB4" s="2819"/>
      <c r="AC4" s="2819"/>
      <c r="AD4" s="363"/>
      <c r="AF4" s="690"/>
      <c r="AG4" s="690"/>
      <c r="AH4" s="690"/>
      <c r="AI4" s="690"/>
      <c r="AJ4" s="690"/>
      <c r="AK4" s="690"/>
      <c r="AL4" s="690"/>
      <c r="AM4" s="690"/>
      <c r="AN4" s="690"/>
      <c r="AO4" s="690"/>
    </row>
    <row r="5" spans="2:41" s="197" customFormat="1" ht="30" customHeight="1" thickTop="1">
      <c r="B5" s="2811" t="s">
        <v>7224</v>
      </c>
      <c r="C5" s="2673" t="s">
        <v>7225</v>
      </c>
      <c r="D5" s="2673" t="s">
        <v>670</v>
      </c>
      <c r="E5" s="2673" t="s">
        <v>11202</v>
      </c>
      <c r="F5" s="2673"/>
      <c r="G5" s="2673"/>
      <c r="H5" s="2673" t="s">
        <v>11203</v>
      </c>
      <c r="I5" s="2673"/>
      <c r="J5" s="2673" t="s">
        <v>8163</v>
      </c>
      <c r="K5" s="2673"/>
      <c r="L5" s="2673"/>
      <c r="M5" s="2675" t="s">
        <v>7445</v>
      </c>
      <c r="O5" s="2790" t="s">
        <v>7229</v>
      </c>
      <c r="Q5" s="2790" t="s">
        <v>7230</v>
      </c>
      <c r="S5" s="828"/>
      <c r="T5" s="284"/>
      <c r="U5" s="828"/>
      <c r="V5" s="269" t="s">
        <v>7231</v>
      </c>
      <c r="AD5" s="828"/>
      <c r="AF5" s="2811" t="s">
        <v>7224</v>
      </c>
      <c r="AG5" s="2673" t="s">
        <v>11202</v>
      </c>
      <c r="AH5" s="2673"/>
      <c r="AI5" s="2673"/>
      <c r="AJ5" s="2673" t="s">
        <v>11203</v>
      </c>
      <c r="AK5" s="2673"/>
      <c r="AL5" s="2673" t="s">
        <v>8163</v>
      </c>
      <c r="AM5" s="2673"/>
      <c r="AN5" s="2673"/>
      <c r="AO5" s="2675" t="s">
        <v>7445</v>
      </c>
    </row>
    <row r="6" spans="2:41" s="197" customFormat="1" ht="56.25" customHeight="1" thickBot="1">
      <c r="B6" s="2812"/>
      <c r="C6" s="2674"/>
      <c r="D6" s="2674"/>
      <c r="E6" s="271" t="s">
        <v>11204</v>
      </c>
      <c r="F6" s="271" t="s">
        <v>11205</v>
      </c>
      <c r="G6" s="271" t="s">
        <v>11206</v>
      </c>
      <c r="H6" s="271" t="s">
        <v>11207</v>
      </c>
      <c r="I6" s="271" t="s">
        <v>11208</v>
      </c>
      <c r="J6" s="271" t="s">
        <v>11209</v>
      </c>
      <c r="K6" s="271" t="s">
        <v>11210</v>
      </c>
      <c r="L6" s="271" t="s">
        <v>11211</v>
      </c>
      <c r="M6" s="2676"/>
      <c r="O6" s="2792"/>
      <c r="Q6" s="2792"/>
      <c r="S6" s="828"/>
      <c r="T6" s="284"/>
      <c r="U6" s="828"/>
      <c r="AD6" s="828"/>
      <c r="AF6" s="2812"/>
      <c r="AG6" s="271" t="s">
        <v>11204</v>
      </c>
      <c r="AH6" s="271" t="s">
        <v>11205</v>
      </c>
      <c r="AI6" s="271" t="s">
        <v>11206</v>
      </c>
      <c r="AJ6" s="271" t="s">
        <v>11207</v>
      </c>
      <c r="AK6" s="271" t="s">
        <v>11208</v>
      </c>
      <c r="AL6" s="271" t="s">
        <v>11209</v>
      </c>
      <c r="AM6" s="271" t="s">
        <v>11210</v>
      </c>
      <c r="AN6" s="271" t="s">
        <v>11211</v>
      </c>
      <c r="AO6" s="2676"/>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8479</v>
      </c>
      <c r="C8" s="394"/>
      <c r="D8" s="394"/>
      <c r="E8" s="482"/>
      <c r="F8" s="482"/>
      <c r="G8" s="482"/>
      <c r="O8" s="824"/>
      <c r="S8" s="828"/>
      <c r="T8" s="284"/>
      <c r="U8" s="828"/>
      <c r="AD8" s="828"/>
      <c r="AF8" s="393" t="s">
        <v>8479</v>
      </c>
      <c r="AG8" s="482"/>
      <c r="AH8" s="482"/>
      <c r="AI8" s="482"/>
    </row>
    <row r="9" spans="2:41" s="197" customFormat="1" ht="15.75" customHeight="1" thickTop="1">
      <c r="B9" s="829" t="s">
        <v>8261</v>
      </c>
      <c r="C9" s="788" t="s">
        <v>681</v>
      </c>
      <c r="D9" s="788">
        <v>3</v>
      </c>
      <c r="E9" s="1573">
        <f>IFERROR('4K'!E28, 0)</f>
        <v>14.196999999999999</v>
      </c>
      <c r="F9" s="1573">
        <f>IFERROR('4K'!F28, 0)</f>
        <v>20.559000000000001</v>
      </c>
      <c r="G9" s="1573">
        <f>IFERROR('4K'!G28, 0)</f>
        <v>11.057</v>
      </c>
      <c r="H9" s="1573">
        <f>IFERROR('4K'!H28, 0)</f>
        <v>64.966999999999999</v>
      </c>
      <c r="I9" s="1573">
        <f>IFERROR('4K'!I28, 0)</f>
        <v>7.0590000000000002</v>
      </c>
      <c r="J9" s="1573">
        <f>IFERROR('4K'!J28, 0)</f>
        <v>5.4740000000000002</v>
      </c>
      <c r="K9" s="1573">
        <f>IFERROR('4K'!K28, 0)</f>
        <v>-5.7910000000000004</v>
      </c>
      <c r="L9" s="1573">
        <f>IFERROR('4K'!L28, 0)</f>
        <v>1.1479999999999999</v>
      </c>
      <c r="M9" s="1574">
        <f>IFERROR(SUM(E9:L9), 0)</f>
        <v>118.67</v>
      </c>
      <c r="O9" s="832" t="s">
        <v>11212</v>
      </c>
      <c r="Q9" s="283"/>
      <c r="S9" s="828"/>
      <c r="T9" s="284"/>
      <c r="U9" s="828"/>
      <c r="AD9" s="828"/>
      <c r="AF9" s="829" t="s">
        <v>8261</v>
      </c>
      <c r="AG9" s="830" t="s">
        <v>11213</v>
      </c>
      <c r="AH9" s="830" t="s">
        <v>11214</v>
      </c>
      <c r="AI9" s="830" t="s">
        <v>11215</v>
      </c>
      <c r="AJ9" s="830" t="s">
        <v>11216</v>
      </c>
      <c r="AK9" s="830" t="s">
        <v>11217</v>
      </c>
      <c r="AL9" s="830" t="s">
        <v>11218</v>
      </c>
      <c r="AM9" s="830" t="s">
        <v>11219</v>
      </c>
      <c r="AN9" s="830" t="s">
        <v>11220</v>
      </c>
      <c r="AO9" s="831" t="s">
        <v>11221</v>
      </c>
    </row>
    <row r="10" spans="2:41" s="197" customFormat="1" ht="15.75" customHeight="1">
      <c r="B10" s="833" t="s">
        <v>8336</v>
      </c>
      <c r="C10" s="834" t="s">
        <v>681</v>
      </c>
      <c r="D10" s="834">
        <v>3</v>
      </c>
      <c r="E10" s="1575">
        <f>IFERROR('4M'!F100, 0)</f>
        <v>0.05</v>
      </c>
      <c r="F10" s="1575">
        <f>IFERROR('4M'!G100, 0)</f>
        <v>1.3000000000000001E-2</v>
      </c>
      <c r="G10" s="1575">
        <f>IFERROR('4M'!H100, 0)</f>
        <v>7.0000000000000001E-3</v>
      </c>
      <c r="H10" s="1575">
        <f>IFERROR('4M'!I100, 0)</f>
        <v>0.19400000000000001</v>
      </c>
      <c r="I10" s="1575">
        <f>IFERROR('4M'!J100, 0)</f>
        <v>0</v>
      </c>
      <c r="J10" s="1575">
        <f>IFERROR('4M'!K100, 0)</f>
        <v>0</v>
      </c>
      <c r="K10" s="1575">
        <f>IFERROR('4M'!L100, 0)</f>
        <v>5.0000000000000001E-3</v>
      </c>
      <c r="L10" s="1575">
        <f>IFERROR('4M'!M100, 0)</f>
        <v>0</v>
      </c>
      <c r="M10" s="1576">
        <f t="shared" ref="M10:M13" si="0">IFERROR(SUM(E10:L10), 0)</f>
        <v>0.26900000000000002</v>
      </c>
      <c r="O10" s="837" t="s">
        <v>11222</v>
      </c>
      <c r="Q10" s="291"/>
      <c r="S10" s="828"/>
      <c r="T10" s="284"/>
      <c r="U10" s="828"/>
      <c r="AD10" s="828"/>
      <c r="AF10" s="833" t="s">
        <v>8336</v>
      </c>
      <c r="AG10" s="835" t="s">
        <v>11223</v>
      </c>
      <c r="AH10" s="835" t="s">
        <v>11224</v>
      </c>
      <c r="AI10" s="835" t="s">
        <v>11225</v>
      </c>
      <c r="AJ10" s="835" t="s">
        <v>11226</v>
      </c>
      <c r="AK10" s="835" t="s">
        <v>11227</v>
      </c>
      <c r="AL10" s="835" t="s">
        <v>11228</v>
      </c>
      <c r="AM10" s="835" t="s">
        <v>11229</v>
      </c>
      <c r="AN10" s="835" t="s">
        <v>11230</v>
      </c>
      <c r="AO10" s="836" t="s">
        <v>11231</v>
      </c>
    </row>
    <row r="11" spans="2:41" s="197" customFormat="1" ht="15.75" customHeight="1">
      <c r="B11" s="833" t="s">
        <v>8344</v>
      </c>
      <c r="C11" s="834" t="s">
        <v>681</v>
      </c>
      <c r="D11" s="834">
        <v>3</v>
      </c>
      <c r="E11" s="1588">
        <v>0.23599999999999999</v>
      </c>
      <c r="F11" s="1588">
        <v>0</v>
      </c>
      <c r="G11" s="1588">
        <v>0</v>
      </c>
      <c r="H11" s="1588">
        <v>0</v>
      </c>
      <c r="I11" s="1588">
        <v>0</v>
      </c>
      <c r="J11" s="1588">
        <v>0</v>
      </c>
      <c r="K11" s="1588">
        <v>0</v>
      </c>
      <c r="L11" s="1588">
        <v>0</v>
      </c>
      <c r="M11" s="1576">
        <f t="shared" si="0"/>
        <v>0.23599999999999999</v>
      </c>
      <c r="O11" s="837" t="s">
        <v>11232</v>
      </c>
      <c r="Q11" s="291"/>
      <c r="S11" s="828"/>
      <c r="T11" s="284">
        <f t="shared" ref="T11:T13" si="1">IF( SUM( V11:AC11 ) = 0, 0, $V$5 )</f>
        <v>0</v>
      </c>
      <c r="U11" s="828"/>
      <c r="V11" s="285">
        <f t="shared" ref="V11" si="2" xml:space="preserve"> IF( ISNUMBER( E11 ), 0, 1 )</f>
        <v>0</v>
      </c>
      <c r="W11" s="285">
        <f t="shared" ref="W11" si="3" xml:space="preserve"> IF( ISNUMBER( F11 ), 0, 1 )</f>
        <v>0</v>
      </c>
      <c r="X11" s="285">
        <f t="shared" ref="X11" si="4" xml:space="preserve"> IF( ISNUMBER( G11 ), 0, 1 )</f>
        <v>0</v>
      </c>
      <c r="Y11" s="285">
        <f t="shared" ref="Y11" si="5" xml:space="preserve"> IF( ISNUMBER( H11 ), 0, 1 )</f>
        <v>0</v>
      </c>
      <c r="Z11" s="285">
        <f t="shared" ref="Z11" si="6" xml:space="preserve"> IF( ISNUMBER( I11 ), 0, 1 )</f>
        <v>0</v>
      </c>
      <c r="AA11" s="285">
        <f t="shared" ref="AA11" si="7" xml:space="preserve"> IF( ISNUMBER( J11 ), 0, 1 )</f>
        <v>0</v>
      </c>
      <c r="AB11" s="285">
        <f t="shared" ref="AB11" si="8" xml:space="preserve"> IF( ISNUMBER( K11 ), 0, 1 )</f>
        <v>0</v>
      </c>
      <c r="AC11" s="285">
        <f t="shared" ref="AC11" si="9" xml:space="preserve"> IF( ISNUMBER( L11 ), 0, 1 )</f>
        <v>0</v>
      </c>
      <c r="AD11" s="828"/>
      <c r="AF11" s="833" t="s">
        <v>8344</v>
      </c>
      <c r="AG11" s="838" t="s">
        <v>11233</v>
      </c>
      <c r="AH11" s="838" t="s">
        <v>11234</v>
      </c>
      <c r="AI11" s="838" t="s">
        <v>11235</v>
      </c>
      <c r="AJ11" s="838" t="s">
        <v>11236</v>
      </c>
      <c r="AK11" s="838" t="s">
        <v>11237</v>
      </c>
      <c r="AL11" s="838" t="s">
        <v>11238</v>
      </c>
      <c r="AM11" s="838" t="s">
        <v>11239</v>
      </c>
      <c r="AN11" s="838" t="s">
        <v>11240</v>
      </c>
      <c r="AO11" s="836" t="s">
        <v>11241</v>
      </c>
    </row>
    <row r="12" spans="2:41" s="197" customFormat="1" ht="15.75" customHeight="1">
      <c r="B12" s="872" t="s">
        <v>8353</v>
      </c>
      <c r="C12" s="839" t="s">
        <v>681</v>
      </c>
      <c r="D12" s="839">
        <v>3</v>
      </c>
      <c r="E12" s="1577">
        <f>IFERROR(E9 + E10 + E11, 0)</f>
        <v>14.483000000000001</v>
      </c>
      <c r="F12" s="1577">
        <f t="shared" ref="F12:L12" si="10">IFERROR(F9 + F10 + F11, 0)</f>
        <v>20.572000000000003</v>
      </c>
      <c r="G12" s="1577">
        <f t="shared" si="10"/>
        <v>11.064</v>
      </c>
      <c r="H12" s="1577">
        <f t="shared" si="10"/>
        <v>65.161000000000001</v>
      </c>
      <c r="I12" s="1577">
        <f t="shared" si="10"/>
        <v>7.0590000000000002</v>
      </c>
      <c r="J12" s="1577">
        <f t="shared" si="10"/>
        <v>5.4740000000000002</v>
      </c>
      <c r="K12" s="1577">
        <f t="shared" si="10"/>
        <v>-5.7860000000000005</v>
      </c>
      <c r="L12" s="1577">
        <f t="shared" si="10"/>
        <v>1.1479999999999999</v>
      </c>
      <c r="M12" s="1576">
        <f t="shared" si="0"/>
        <v>119.175</v>
      </c>
      <c r="O12" s="837" t="s">
        <v>11242</v>
      </c>
      <c r="Q12" s="291"/>
      <c r="S12" s="828"/>
      <c r="T12" s="284"/>
      <c r="U12" s="828"/>
      <c r="AD12" s="828"/>
      <c r="AF12" s="872" t="s">
        <v>8353</v>
      </c>
      <c r="AG12" s="840" t="s">
        <v>11243</v>
      </c>
      <c r="AH12" s="840" t="s">
        <v>11244</v>
      </c>
      <c r="AI12" s="840" t="s">
        <v>11245</v>
      </c>
      <c r="AJ12" s="840" t="s">
        <v>11246</v>
      </c>
      <c r="AK12" s="840" t="s">
        <v>11247</v>
      </c>
      <c r="AL12" s="840" t="s">
        <v>11248</v>
      </c>
      <c r="AM12" s="840" t="s">
        <v>11249</v>
      </c>
      <c r="AN12" s="840" t="s">
        <v>11250</v>
      </c>
      <c r="AO12" s="836" t="s">
        <v>11251</v>
      </c>
    </row>
    <row r="13" spans="2:41" s="197" customFormat="1" ht="15.75" customHeight="1">
      <c r="B13" s="833" t="s">
        <v>11252</v>
      </c>
      <c r="C13" s="834" t="s">
        <v>681</v>
      </c>
      <c r="D13" s="834">
        <v>3</v>
      </c>
      <c r="E13" s="1588">
        <v>4.5999999999999999E-2</v>
      </c>
      <c r="F13" s="1588">
        <v>7.5999999999999998E-2</v>
      </c>
      <c r="G13" s="1588">
        <v>4.1000000000000002E-2</v>
      </c>
      <c r="H13" s="1588">
        <v>2.5000000000000001E-2</v>
      </c>
      <c r="I13" s="1588">
        <v>0</v>
      </c>
      <c r="J13" s="1588">
        <v>0</v>
      </c>
      <c r="K13" s="1588">
        <v>2E-3</v>
      </c>
      <c r="L13" s="1588">
        <v>0</v>
      </c>
      <c r="M13" s="1576">
        <f t="shared" si="0"/>
        <v>0.19</v>
      </c>
      <c r="O13" s="837" t="s">
        <v>11253</v>
      </c>
      <c r="Q13" s="291"/>
      <c r="S13" s="828"/>
      <c r="T13" s="284">
        <f t="shared" si="1"/>
        <v>0</v>
      </c>
      <c r="U13" s="828"/>
      <c r="V13" s="285">
        <f t="shared" ref="V13" si="11" xml:space="preserve"> IF( ISNUMBER( E13 ), 0, 1 )</f>
        <v>0</v>
      </c>
      <c r="W13" s="285">
        <f t="shared" ref="W13" si="12" xml:space="preserve"> IF( ISNUMBER( F13 ), 0, 1 )</f>
        <v>0</v>
      </c>
      <c r="X13" s="285">
        <f t="shared" ref="X13" si="13" xml:space="preserve"> IF( ISNUMBER( G13 ), 0, 1 )</f>
        <v>0</v>
      </c>
      <c r="Y13" s="285">
        <f t="shared" ref="Y13" si="14" xml:space="preserve"> IF( ISNUMBER( H13 ), 0, 1 )</f>
        <v>0</v>
      </c>
      <c r="Z13" s="285">
        <f t="shared" ref="Z13" si="15" xml:space="preserve"> IF( ISNUMBER( I13 ), 0, 1 )</f>
        <v>0</v>
      </c>
      <c r="AA13" s="285">
        <f t="shared" ref="AA13" si="16" xml:space="preserve"> IF( ISNUMBER( J13 ), 0, 1 )</f>
        <v>0</v>
      </c>
      <c r="AB13" s="285">
        <f t="shared" ref="AB13" si="17" xml:space="preserve"> IF( ISNUMBER( K13 ), 0, 1 )</f>
        <v>0</v>
      </c>
      <c r="AC13" s="285">
        <f t="shared" ref="AC13" si="18" xml:space="preserve"> IF( ISNUMBER( L13 ), 0, 1 )</f>
        <v>0</v>
      </c>
      <c r="AD13" s="828"/>
      <c r="AF13" s="833" t="s">
        <v>8361</v>
      </c>
      <c r="AG13" s="841" t="s">
        <v>11254</v>
      </c>
      <c r="AH13" s="841" t="s">
        <v>11255</v>
      </c>
      <c r="AI13" s="841" t="s">
        <v>11256</v>
      </c>
      <c r="AJ13" s="841" t="s">
        <v>11257</v>
      </c>
      <c r="AK13" s="841" t="s">
        <v>11258</v>
      </c>
      <c r="AL13" s="841" t="s">
        <v>11259</v>
      </c>
      <c r="AM13" s="841" t="s">
        <v>11260</v>
      </c>
      <c r="AN13" s="841" t="s">
        <v>11261</v>
      </c>
      <c r="AO13" s="836" t="s">
        <v>11262</v>
      </c>
    </row>
    <row r="14" spans="2:41" s="197" customFormat="1" ht="15.75" customHeight="1" thickBot="1">
      <c r="B14" s="868" t="s">
        <v>5475</v>
      </c>
      <c r="C14" s="844" t="s">
        <v>681</v>
      </c>
      <c r="D14" s="844">
        <v>3</v>
      </c>
      <c r="E14" s="1591">
        <f>IFERROR(E12 + E13, 0)</f>
        <v>14.529</v>
      </c>
      <c r="F14" s="1591">
        <f t="shared" ref="F14:L14" si="19">IFERROR(F12 + F13, 0)</f>
        <v>20.648000000000003</v>
      </c>
      <c r="G14" s="1591">
        <f t="shared" si="19"/>
        <v>11.105</v>
      </c>
      <c r="H14" s="1591">
        <f t="shared" si="19"/>
        <v>65.186000000000007</v>
      </c>
      <c r="I14" s="1591">
        <f t="shared" si="19"/>
        <v>7.0590000000000002</v>
      </c>
      <c r="J14" s="1591">
        <f t="shared" si="19"/>
        <v>5.4740000000000002</v>
      </c>
      <c r="K14" s="1591">
        <f t="shared" si="19"/>
        <v>-5.7840000000000007</v>
      </c>
      <c r="L14" s="1591">
        <f t="shared" si="19"/>
        <v>1.1479999999999999</v>
      </c>
      <c r="M14" s="1579">
        <f>IFERROR(SUM(E14:L14), 0)</f>
        <v>119.36500000000001</v>
      </c>
      <c r="O14" s="847" t="s">
        <v>11263</v>
      </c>
      <c r="Q14" s="302"/>
      <c r="S14" s="828"/>
      <c r="T14" s="284"/>
      <c r="U14" s="828"/>
      <c r="AD14" s="828"/>
      <c r="AF14" s="868" t="s">
        <v>5475</v>
      </c>
      <c r="AG14" s="873" t="s">
        <v>11264</v>
      </c>
      <c r="AH14" s="873" t="s">
        <v>11265</v>
      </c>
      <c r="AI14" s="873" t="s">
        <v>11266</v>
      </c>
      <c r="AJ14" s="873" t="s">
        <v>11267</v>
      </c>
      <c r="AK14" s="873" t="s">
        <v>11268</v>
      </c>
      <c r="AL14" s="873" t="s">
        <v>11269</v>
      </c>
      <c r="AM14" s="873" t="s">
        <v>11270</v>
      </c>
      <c r="AN14" s="873" t="s">
        <v>11271</v>
      </c>
      <c r="AO14" s="846" t="s">
        <v>11272</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8376</v>
      </c>
      <c r="C16" s="394"/>
      <c r="D16" s="394"/>
      <c r="E16" s="1592"/>
      <c r="F16" s="1592"/>
      <c r="G16" s="1592"/>
      <c r="H16" s="1592"/>
      <c r="I16" s="1592"/>
      <c r="J16" s="1592"/>
      <c r="K16" s="1592"/>
      <c r="L16" s="1592"/>
      <c r="M16" s="1592"/>
      <c r="N16" s="106"/>
      <c r="O16" s="874"/>
      <c r="S16" s="828"/>
      <c r="T16" s="284"/>
      <c r="U16" s="828"/>
      <c r="AD16" s="828"/>
      <c r="AF16" s="393" t="s">
        <v>8376</v>
      </c>
      <c r="AG16" s="349"/>
      <c r="AH16" s="349"/>
      <c r="AI16" s="349"/>
      <c r="AJ16" s="349"/>
      <c r="AK16" s="349"/>
      <c r="AL16" s="349"/>
      <c r="AM16" s="349"/>
      <c r="AN16" s="349"/>
      <c r="AO16" s="349"/>
    </row>
    <row r="17" spans="2:41" s="197" customFormat="1" ht="15.75" customHeight="1" thickTop="1" thickBot="1">
      <c r="B17" s="420" t="s">
        <v>8377</v>
      </c>
      <c r="C17" s="371" t="s">
        <v>681</v>
      </c>
      <c r="D17" s="371">
        <v>3</v>
      </c>
      <c r="E17" s="1580">
        <v>0</v>
      </c>
      <c r="F17" s="1580">
        <v>0</v>
      </c>
      <c r="G17" s="1580">
        <v>0</v>
      </c>
      <c r="H17" s="1580">
        <v>0</v>
      </c>
      <c r="I17" s="1580">
        <v>0</v>
      </c>
      <c r="J17" s="1580">
        <v>0</v>
      </c>
      <c r="K17" s="1580">
        <v>0</v>
      </c>
      <c r="L17" s="1580">
        <v>0</v>
      </c>
      <c r="M17" s="1585">
        <f>IFERROR(SUM(E17:L17), 0)</f>
        <v>0</v>
      </c>
      <c r="N17" s="106"/>
      <c r="O17" s="876" t="s">
        <v>11273</v>
      </c>
      <c r="Q17" s="375"/>
      <c r="S17" s="828"/>
      <c r="T17" s="284">
        <f t="shared" ref="T17" si="20">IF( SUM( V17:AC17 ) = 0, 0, $V$5 )</f>
        <v>0</v>
      </c>
      <c r="U17" s="828"/>
      <c r="V17" s="285">
        <f t="shared" ref="V17" si="21" xml:space="preserve"> IF( ISNUMBER( E17 ), 0, 1 )</f>
        <v>0</v>
      </c>
      <c r="W17" s="285">
        <f t="shared" ref="W17" si="22" xml:space="preserve"> IF( ISNUMBER( F17 ), 0, 1 )</f>
        <v>0</v>
      </c>
      <c r="X17" s="285">
        <f t="shared" ref="X17" si="23" xml:space="preserve"> IF( ISNUMBER( G17 ), 0, 1 )</f>
        <v>0</v>
      </c>
      <c r="Y17" s="285">
        <f t="shared" ref="Y17" si="24" xml:space="preserve"> IF( ISNUMBER( H17 ), 0, 1 )</f>
        <v>0</v>
      </c>
      <c r="Z17" s="285">
        <f t="shared" ref="Z17" si="25" xml:space="preserve"> IF( ISNUMBER( I17 ), 0, 1 )</f>
        <v>0</v>
      </c>
      <c r="AA17" s="285">
        <f t="shared" ref="AA17" si="26" xml:space="preserve"> IF( ISNUMBER( J17 ), 0, 1 )</f>
        <v>0</v>
      </c>
      <c r="AB17" s="285">
        <f t="shared" ref="AB17" si="27" xml:space="preserve"> IF( ISNUMBER( K17 ), 0, 1 )</f>
        <v>0</v>
      </c>
      <c r="AC17" s="285">
        <f t="shared" ref="AC17" si="28" xml:space="preserve"> IF( ISNUMBER( L17 ), 0, 1 )</f>
        <v>0</v>
      </c>
      <c r="AD17" s="828"/>
      <c r="AF17" s="420" t="s">
        <v>8377</v>
      </c>
      <c r="AG17" s="875" t="s">
        <v>11274</v>
      </c>
      <c r="AH17" s="875" t="s">
        <v>11275</v>
      </c>
      <c r="AI17" s="875" t="s">
        <v>11276</v>
      </c>
      <c r="AJ17" s="875" t="s">
        <v>11277</v>
      </c>
      <c r="AK17" s="875" t="s">
        <v>11278</v>
      </c>
      <c r="AL17" s="875" t="s">
        <v>11279</v>
      </c>
      <c r="AM17" s="875" t="s">
        <v>11280</v>
      </c>
      <c r="AN17" s="875" t="s">
        <v>11281</v>
      </c>
      <c r="AO17" s="858" t="s">
        <v>11282</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7721</v>
      </c>
      <c r="C19" s="394"/>
      <c r="D19" s="394"/>
      <c r="E19" s="1593"/>
      <c r="F19" s="1593"/>
      <c r="G19" s="1592"/>
      <c r="H19" s="1592"/>
      <c r="I19" s="1592"/>
      <c r="J19" s="1592"/>
      <c r="K19" s="1592"/>
      <c r="L19" s="1592"/>
      <c r="M19" s="1592"/>
      <c r="N19" s="106"/>
      <c r="O19" s="857"/>
      <c r="S19" s="828"/>
      <c r="T19" s="284"/>
      <c r="U19" s="828"/>
      <c r="AD19" s="828"/>
      <c r="AF19" s="393" t="s">
        <v>7721</v>
      </c>
      <c r="AG19" s="106"/>
      <c r="AH19" s="106"/>
      <c r="AI19" s="349"/>
      <c r="AJ19" s="349"/>
      <c r="AK19" s="349"/>
      <c r="AL19" s="349"/>
      <c r="AM19" s="349"/>
      <c r="AN19" s="349"/>
      <c r="AO19" s="349"/>
    </row>
    <row r="20" spans="2:41" s="197" customFormat="1" ht="15.75" customHeight="1" thickTop="1">
      <c r="B20" s="451" t="s">
        <v>8385</v>
      </c>
      <c r="C20" s="277" t="s">
        <v>681</v>
      </c>
      <c r="D20" s="277">
        <v>3</v>
      </c>
      <c r="E20" s="1582">
        <f>IFERROR('4K'!E33, 0)</f>
        <v>11.620999999999999</v>
      </c>
      <c r="F20" s="1582">
        <f>IFERROR('4K'!F33, 0)</f>
        <v>19.262</v>
      </c>
      <c r="G20" s="1582">
        <f>IFERROR('4K'!G33, 0)</f>
        <v>10.372</v>
      </c>
      <c r="H20" s="1582">
        <f>IFERROR('4K'!H33, 0)</f>
        <v>25.664000000000001</v>
      </c>
      <c r="I20" s="1582">
        <f>IFERROR('4K'!I33, 0)</f>
        <v>0</v>
      </c>
      <c r="J20" s="1582">
        <f>IFERROR('4K'!J33, 0)</f>
        <v>0.504</v>
      </c>
      <c r="K20" s="1582">
        <f>IFERROR('4K'!K33, 0)</f>
        <v>3.0179999999999998</v>
      </c>
      <c r="L20" s="1582">
        <f>IFERROR('4K'!L33, 0)</f>
        <v>1E-3</v>
      </c>
      <c r="M20" s="1574">
        <f>IFERROR(SUM(E20:L20), 0)</f>
        <v>70.442000000000007</v>
      </c>
      <c r="N20" s="106"/>
      <c r="O20" s="832" t="s">
        <v>11283</v>
      </c>
      <c r="Q20" s="283"/>
      <c r="S20" s="828"/>
      <c r="T20" s="284"/>
      <c r="U20" s="828"/>
      <c r="AD20" s="828"/>
      <c r="AF20" s="451" t="s">
        <v>8385</v>
      </c>
      <c r="AG20" s="853" t="s">
        <v>11284</v>
      </c>
      <c r="AH20" s="853" t="s">
        <v>11285</v>
      </c>
      <c r="AI20" s="853" t="s">
        <v>11286</v>
      </c>
      <c r="AJ20" s="853" t="s">
        <v>11287</v>
      </c>
      <c r="AK20" s="853" t="s">
        <v>11288</v>
      </c>
      <c r="AL20" s="853" t="s">
        <v>11289</v>
      </c>
      <c r="AM20" s="853" t="s">
        <v>11290</v>
      </c>
      <c r="AN20" s="853" t="s">
        <v>11291</v>
      </c>
      <c r="AO20" s="831" t="s">
        <v>11292</v>
      </c>
    </row>
    <row r="21" spans="2:41" s="197" customFormat="1" ht="15.75" customHeight="1">
      <c r="B21" s="792" t="s">
        <v>8393</v>
      </c>
      <c r="C21" s="325" t="s">
        <v>681</v>
      </c>
      <c r="D21" s="325">
        <v>3</v>
      </c>
      <c r="E21" s="1583">
        <f>IFERROR('4M'!F99, 0)</f>
        <v>0.45800000000000002</v>
      </c>
      <c r="F21" s="1583">
        <f>IFERROR('4M'!G99, 0)</f>
        <v>0.76200000000000001</v>
      </c>
      <c r="G21" s="1583">
        <f>IFERROR('4M'!H99, 0)</f>
        <v>0.41000000000000003</v>
      </c>
      <c r="H21" s="1583">
        <f>IFERROR('4M'!I99, 0)</f>
        <v>29.088999999999999</v>
      </c>
      <c r="I21" s="1583">
        <f>IFERROR('4M'!J99, 0)</f>
        <v>0</v>
      </c>
      <c r="J21" s="1583">
        <f>IFERROR('4M'!K99, 0)</f>
        <v>0</v>
      </c>
      <c r="K21" s="1583">
        <f>IFERROR('4M'!L99, 0)</f>
        <v>0</v>
      </c>
      <c r="L21" s="1583">
        <f>IFERROR('4M'!M99, 0)</f>
        <v>0</v>
      </c>
      <c r="M21" s="1576">
        <f t="shared" ref="M21:M24" si="29">IFERROR(SUM(E21:L21), 0)</f>
        <v>30.718999999999998</v>
      </c>
      <c r="O21" s="837" t="s">
        <v>11293</v>
      </c>
      <c r="Q21" s="291"/>
      <c r="S21" s="828"/>
      <c r="T21" s="284"/>
      <c r="U21" s="828"/>
      <c r="AD21" s="828"/>
      <c r="AF21" s="792" t="s">
        <v>8393</v>
      </c>
      <c r="AG21" s="854" t="s">
        <v>11294</v>
      </c>
      <c r="AH21" s="854" t="s">
        <v>11295</v>
      </c>
      <c r="AI21" s="854" t="s">
        <v>11296</v>
      </c>
      <c r="AJ21" s="854" t="s">
        <v>11297</v>
      </c>
      <c r="AK21" s="854" t="s">
        <v>11298</v>
      </c>
      <c r="AL21" s="854" t="s">
        <v>11299</v>
      </c>
      <c r="AM21" s="854" t="s">
        <v>11300</v>
      </c>
      <c r="AN21" s="854" t="s">
        <v>11301</v>
      </c>
      <c r="AO21" s="836" t="s">
        <v>11302</v>
      </c>
    </row>
    <row r="22" spans="2:41" s="197" customFormat="1" ht="15.75" customHeight="1">
      <c r="B22" s="353" t="s">
        <v>8401</v>
      </c>
      <c r="C22" s="292" t="s">
        <v>681</v>
      </c>
      <c r="D22" s="292">
        <v>3</v>
      </c>
      <c r="E22" s="2090">
        <v>0.39800000000000002</v>
      </c>
      <c r="F22" s="2090">
        <v>0.66</v>
      </c>
      <c r="G22" s="2090">
        <v>0.35599999999999998</v>
      </c>
      <c r="H22" s="2090">
        <v>0</v>
      </c>
      <c r="I22" s="2090">
        <v>0</v>
      </c>
      <c r="J22" s="2090">
        <v>0</v>
      </c>
      <c r="K22" s="2090">
        <v>0</v>
      </c>
      <c r="L22" s="2090">
        <v>0</v>
      </c>
      <c r="M22" s="1576">
        <f t="shared" si="29"/>
        <v>1.4140000000000001</v>
      </c>
      <c r="O22" s="837" t="s">
        <v>11303</v>
      </c>
      <c r="Q22" s="291"/>
      <c r="S22" s="828"/>
      <c r="T22" s="284">
        <f t="shared" ref="T22" si="30">IF( SUM( V22:AC22 ) = 0, 0, $V$5 )</f>
        <v>0</v>
      </c>
      <c r="U22" s="828"/>
      <c r="V22" s="285">
        <f t="shared" ref="V22" si="31" xml:space="preserve"> IF( ISNUMBER( E22 ), 0, 1 )</f>
        <v>0</v>
      </c>
      <c r="W22" s="285">
        <f t="shared" ref="W22" si="32" xml:space="preserve"> IF( ISNUMBER( F22 ), 0, 1 )</f>
        <v>0</v>
      </c>
      <c r="X22" s="285">
        <f t="shared" ref="X22" si="33" xml:space="preserve"> IF( ISNUMBER( G22 ), 0, 1 )</f>
        <v>0</v>
      </c>
      <c r="Y22" s="285">
        <f t="shared" ref="Y22" si="34" xml:space="preserve"> IF( ISNUMBER( H22 ), 0, 1 )</f>
        <v>0</v>
      </c>
      <c r="Z22" s="285">
        <f t="shared" ref="Z22" si="35" xml:space="preserve"> IF( ISNUMBER( I22 ), 0, 1 )</f>
        <v>0</v>
      </c>
      <c r="AA22" s="285">
        <f t="shared" ref="AA22" si="36" xml:space="preserve"> IF( ISNUMBER( J22 ), 0, 1 )</f>
        <v>0</v>
      </c>
      <c r="AB22" s="285">
        <f t="shared" ref="AB22" si="37" xml:space="preserve"> IF( ISNUMBER( K22 ), 0, 1 )</f>
        <v>0</v>
      </c>
      <c r="AC22" s="285">
        <f t="shared" ref="AC22" si="38" xml:space="preserve"> IF( ISNUMBER( L22 ), 0, 1 )</f>
        <v>0</v>
      </c>
      <c r="AD22" s="828"/>
      <c r="AF22" s="353" t="s">
        <v>8401</v>
      </c>
      <c r="AG22" s="855" t="s">
        <v>11304</v>
      </c>
      <c r="AH22" s="855" t="s">
        <v>11305</v>
      </c>
      <c r="AI22" s="855" t="s">
        <v>11306</v>
      </c>
      <c r="AJ22" s="855" t="s">
        <v>11307</v>
      </c>
      <c r="AK22" s="855" t="s">
        <v>11308</v>
      </c>
      <c r="AL22" s="855" t="s">
        <v>11309</v>
      </c>
      <c r="AM22" s="855" t="s">
        <v>11310</v>
      </c>
      <c r="AN22" s="855" t="s">
        <v>11311</v>
      </c>
      <c r="AO22" s="836" t="s">
        <v>11312</v>
      </c>
    </row>
    <row r="23" spans="2:41" s="197" customFormat="1" ht="15.75" customHeight="1">
      <c r="B23" s="353" t="s">
        <v>8410</v>
      </c>
      <c r="C23" s="292" t="s">
        <v>681</v>
      </c>
      <c r="D23" s="292">
        <v>3</v>
      </c>
      <c r="E23" s="1594">
        <f>IFERROR(E20 + E21 + E22, 0)</f>
        <v>12.476999999999999</v>
      </c>
      <c r="F23" s="1594">
        <f t="shared" ref="F23:K23" si="39">IFERROR(F20 + F21 + F22, 0)</f>
        <v>20.684000000000001</v>
      </c>
      <c r="G23" s="1594">
        <f t="shared" si="39"/>
        <v>11.138</v>
      </c>
      <c r="H23" s="1594">
        <f t="shared" si="39"/>
        <v>54.753</v>
      </c>
      <c r="I23" s="1594">
        <f t="shared" si="39"/>
        <v>0</v>
      </c>
      <c r="J23" s="1594">
        <f t="shared" si="39"/>
        <v>0.504</v>
      </c>
      <c r="K23" s="1594">
        <f t="shared" si="39"/>
        <v>3.0179999999999998</v>
      </c>
      <c r="L23" s="1594">
        <f>IFERROR(L20 + L21 + L22, 0)</f>
        <v>1E-3</v>
      </c>
      <c r="M23" s="1576">
        <f t="shared" si="29"/>
        <v>102.575</v>
      </c>
      <c r="N23" s="106"/>
      <c r="O23" s="837" t="s">
        <v>11313</v>
      </c>
      <c r="Q23" s="291"/>
      <c r="S23" s="828"/>
      <c r="T23" s="284"/>
      <c r="U23" s="828"/>
      <c r="AD23" s="828"/>
      <c r="AF23" s="353" t="s">
        <v>8412</v>
      </c>
      <c r="AG23" s="877" t="s">
        <v>11314</v>
      </c>
      <c r="AH23" s="877" t="s">
        <v>11315</v>
      </c>
      <c r="AI23" s="877" t="s">
        <v>11316</v>
      </c>
      <c r="AJ23" s="877" t="s">
        <v>11317</v>
      </c>
      <c r="AK23" s="877" t="s">
        <v>11318</v>
      </c>
      <c r="AL23" s="877" t="s">
        <v>11319</v>
      </c>
      <c r="AM23" s="877" t="s">
        <v>11320</v>
      </c>
      <c r="AN23" s="877" t="s">
        <v>11321</v>
      </c>
      <c r="AO23" s="836" t="s">
        <v>11322</v>
      </c>
    </row>
    <row r="24" spans="2:41" s="197" customFormat="1" ht="15.75" customHeight="1">
      <c r="B24" s="460" t="s">
        <v>8361</v>
      </c>
      <c r="C24" s="286" t="s">
        <v>681</v>
      </c>
      <c r="D24" s="286">
        <v>3</v>
      </c>
      <c r="E24" s="1588">
        <v>0</v>
      </c>
      <c r="F24" s="1588">
        <v>0</v>
      </c>
      <c r="G24" s="1588">
        <v>0</v>
      </c>
      <c r="H24" s="1588">
        <v>0</v>
      </c>
      <c r="I24" s="1588">
        <v>0</v>
      </c>
      <c r="J24" s="1588">
        <v>0</v>
      </c>
      <c r="K24" s="1588">
        <v>0</v>
      </c>
      <c r="L24" s="1588">
        <v>0</v>
      </c>
      <c r="M24" s="1576">
        <f t="shared" si="29"/>
        <v>0</v>
      </c>
      <c r="N24" s="106"/>
      <c r="O24" s="837" t="s">
        <v>11323</v>
      </c>
      <c r="Q24" s="291"/>
      <c r="S24" s="828"/>
      <c r="T24" s="284">
        <f t="shared" ref="T24" si="40">IF( SUM( V24:AC24 ) = 0, 0, $V$5 )</f>
        <v>0</v>
      </c>
      <c r="U24" s="828"/>
      <c r="V24" s="285">
        <f t="shared" ref="V24" si="41" xml:space="preserve"> IF( ISNUMBER( E24 ), 0, 1 )</f>
        <v>0</v>
      </c>
      <c r="W24" s="285">
        <f t="shared" ref="W24" si="42" xml:space="preserve"> IF( ISNUMBER( F24 ), 0, 1 )</f>
        <v>0</v>
      </c>
      <c r="X24" s="285">
        <f t="shared" ref="X24" si="43" xml:space="preserve"> IF( ISNUMBER( G24 ), 0, 1 )</f>
        <v>0</v>
      </c>
      <c r="Y24" s="285">
        <f t="shared" ref="Y24" si="44" xml:space="preserve"> IF( ISNUMBER( H24 ), 0, 1 )</f>
        <v>0</v>
      </c>
      <c r="Z24" s="285">
        <f t="shared" ref="Z24" si="45" xml:space="preserve"> IF( ISNUMBER( I24 ), 0, 1 )</f>
        <v>0</v>
      </c>
      <c r="AA24" s="285">
        <f t="shared" ref="AA24" si="46" xml:space="preserve"> IF( ISNUMBER( J24 ), 0, 1 )</f>
        <v>0</v>
      </c>
      <c r="AB24" s="285">
        <f t="shared" ref="AB24" si="47" xml:space="preserve"> IF( ISNUMBER( K24 ), 0, 1 )</f>
        <v>0</v>
      </c>
      <c r="AC24" s="285">
        <f t="shared" ref="AC24" si="48" xml:space="preserve"> IF( ISNUMBER( L24 ), 0, 1 )</f>
        <v>0</v>
      </c>
      <c r="AD24" s="828"/>
      <c r="AF24" s="460" t="s">
        <v>8361</v>
      </c>
      <c r="AG24" s="878" t="s">
        <v>11324</v>
      </c>
      <c r="AH24" s="878" t="s">
        <v>11325</v>
      </c>
      <c r="AI24" s="878" t="s">
        <v>11326</v>
      </c>
      <c r="AJ24" s="878" t="s">
        <v>11327</v>
      </c>
      <c r="AK24" s="878" t="s">
        <v>11328</v>
      </c>
      <c r="AL24" s="878" t="s">
        <v>11329</v>
      </c>
      <c r="AM24" s="878" t="s">
        <v>11330</v>
      </c>
      <c r="AN24" s="878" t="s">
        <v>11331</v>
      </c>
      <c r="AO24" s="836" t="s">
        <v>11332</v>
      </c>
    </row>
    <row r="25" spans="2:41" s="197" customFormat="1" ht="15.75" customHeight="1" thickBot="1">
      <c r="B25" s="463" t="s">
        <v>8426</v>
      </c>
      <c r="C25" s="355" t="s">
        <v>681</v>
      </c>
      <c r="D25" s="355">
        <v>3</v>
      </c>
      <c r="E25" s="1589">
        <f>IFERROR(E23 + E24, 0)</f>
        <v>12.476999999999999</v>
      </c>
      <c r="F25" s="1589">
        <f t="shared" ref="F25:K25" si="49">IFERROR(F23 + F24, 0)</f>
        <v>20.684000000000001</v>
      </c>
      <c r="G25" s="1589">
        <f t="shared" si="49"/>
        <v>11.138</v>
      </c>
      <c r="H25" s="1589">
        <f t="shared" si="49"/>
        <v>54.753</v>
      </c>
      <c r="I25" s="1589">
        <f t="shared" si="49"/>
        <v>0</v>
      </c>
      <c r="J25" s="1589">
        <f t="shared" si="49"/>
        <v>0.504</v>
      </c>
      <c r="K25" s="1589">
        <f t="shared" si="49"/>
        <v>3.0179999999999998</v>
      </c>
      <c r="L25" s="1589">
        <f>IFERROR(L23 + L24, 0)</f>
        <v>1E-3</v>
      </c>
      <c r="M25" s="1579">
        <f>IFERROR(SUM(E25:L25), 0)</f>
        <v>102.575</v>
      </c>
      <c r="N25" s="106"/>
      <c r="O25" s="847" t="s">
        <v>11333</v>
      </c>
      <c r="Q25" s="302"/>
      <c r="S25" s="828"/>
      <c r="T25" s="284"/>
      <c r="U25" s="828"/>
      <c r="AD25" s="828"/>
      <c r="AF25" s="463" t="s">
        <v>8426</v>
      </c>
      <c r="AG25" s="679" t="s">
        <v>11334</v>
      </c>
      <c r="AH25" s="679" t="s">
        <v>11335</v>
      </c>
      <c r="AI25" s="679" t="s">
        <v>11336</v>
      </c>
      <c r="AJ25" s="679" t="s">
        <v>11337</v>
      </c>
      <c r="AK25" s="679" t="s">
        <v>11338</v>
      </c>
      <c r="AL25" s="679" t="s">
        <v>11339</v>
      </c>
      <c r="AM25" s="679" t="s">
        <v>11340</v>
      </c>
      <c r="AN25" s="679" t="s">
        <v>11341</v>
      </c>
      <c r="AO25" s="846" t="s">
        <v>11342</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8376</v>
      </c>
      <c r="C27" s="394"/>
      <c r="D27" s="394"/>
      <c r="E27" s="1593"/>
      <c r="F27" s="1593"/>
      <c r="G27" s="1593"/>
      <c r="H27" s="1593"/>
      <c r="I27" s="1593"/>
      <c r="J27" s="1593"/>
      <c r="K27" s="1593"/>
      <c r="L27" s="1593"/>
      <c r="M27" s="1593"/>
      <c r="N27" s="106"/>
      <c r="S27" s="828"/>
      <c r="T27" s="284"/>
      <c r="U27" s="828"/>
      <c r="AD27" s="828"/>
      <c r="AF27" s="393" t="s">
        <v>8376</v>
      </c>
      <c r="AG27" s="106"/>
      <c r="AH27" s="106"/>
      <c r="AI27" s="106"/>
      <c r="AJ27" s="106"/>
      <c r="AK27" s="106"/>
      <c r="AL27" s="106"/>
      <c r="AM27" s="106"/>
      <c r="AN27" s="106"/>
      <c r="AO27" s="106"/>
    </row>
    <row r="28" spans="2:41" s="197" customFormat="1" ht="15.75" customHeight="1" thickTop="1" thickBot="1">
      <c r="B28" s="420" t="s">
        <v>8434</v>
      </c>
      <c r="C28" s="371" t="s">
        <v>681</v>
      </c>
      <c r="D28" s="371">
        <v>3</v>
      </c>
      <c r="E28" s="1580">
        <v>0.56000000000000005</v>
      </c>
      <c r="F28" s="1580">
        <v>0.92700000000000005</v>
      </c>
      <c r="G28" s="1580">
        <v>0.499</v>
      </c>
      <c r="H28" s="1580">
        <v>0</v>
      </c>
      <c r="I28" s="1580">
        <v>0</v>
      </c>
      <c r="J28" s="1580">
        <v>0</v>
      </c>
      <c r="K28" s="1580">
        <v>0</v>
      </c>
      <c r="L28" s="1580">
        <v>0</v>
      </c>
      <c r="M28" s="1585">
        <f>IFERROR(SUM(E28:L28), 0)</f>
        <v>1.9860000000000002</v>
      </c>
      <c r="N28" s="106"/>
      <c r="O28" s="876" t="s">
        <v>11343</v>
      </c>
      <c r="Q28" s="375"/>
      <c r="S28" s="828"/>
      <c r="T28" s="284">
        <f t="shared" ref="T28" si="50">IF( SUM( V28:AC28 ) = 0, 0, $V$5 )</f>
        <v>0</v>
      </c>
      <c r="U28" s="828"/>
      <c r="V28" s="285">
        <f t="shared" ref="V28" si="51" xml:space="preserve"> IF( ISNUMBER( E28 ), 0, 1 )</f>
        <v>0</v>
      </c>
      <c r="W28" s="285">
        <f t="shared" ref="W28" si="52" xml:space="preserve"> IF( ISNUMBER( F28 ), 0, 1 )</f>
        <v>0</v>
      </c>
      <c r="X28" s="285">
        <f t="shared" ref="X28" si="53" xml:space="preserve"> IF( ISNUMBER( G28 ), 0, 1 )</f>
        <v>0</v>
      </c>
      <c r="Y28" s="285">
        <f t="shared" ref="Y28" si="54" xml:space="preserve"> IF( ISNUMBER( H28 ), 0, 1 )</f>
        <v>0</v>
      </c>
      <c r="Z28" s="285">
        <f t="shared" ref="Z28" si="55" xml:space="preserve"> IF( ISNUMBER( I28 ), 0, 1 )</f>
        <v>0</v>
      </c>
      <c r="AA28" s="285">
        <f t="shared" ref="AA28" si="56" xml:space="preserve"> IF( ISNUMBER( J28 ), 0, 1 )</f>
        <v>0</v>
      </c>
      <c r="AB28" s="285">
        <f t="shared" ref="AB28" si="57" xml:space="preserve"> IF( ISNUMBER( K28 ), 0, 1 )</f>
        <v>0</v>
      </c>
      <c r="AC28" s="285">
        <f t="shared" ref="AC28" si="58" xml:space="preserve"> IF( ISNUMBER( L28 ), 0, 1 )</f>
        <v>0</v>
      </c>
      <c r="AD28" s="828"/>
      <c r="AF28" s="420" t="s">
        <v>8434</v>
      </c>
      <c r="AG28" s="875" t="s">
        <v>11344</v>
      </c>
      <c r="AH28" s="875" t="s">
        <v>11345</v>
      </c>
      <c r="AI28" s="875" t="s">
        <v>11346</v>
      </c>
      <c r="AJ28" s="875" t="s">
        <v>11347</v>
      </c>
      <c r="AK28" s="875" t="s">
        <v>11348</v>
      </c>
      <c r="AL28" s="875" t="s">
        <v>11349</v>
      </c>
      <c r="AM28" s="875" t="s">
        <v>11350</v>
      </c>
      <c r="AN28" s="875" t="s">
        <v>11351</v>
      </c>
      <c r="AO28" s="858" t="s">
        <v>11352</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8442</v>
      </c>
      <c r="C30" s="371" t="s">
        <v>681</v>
      </c>
      <c r="D30" s="371">
        <v>3</v>
      </c>
      <c r="E30" s="1586">
        <f>IFERROR(E14 + E25 - E17 - E28, 0)</f>
        <v>26.446000000000002</v>
      </c>
      <c r="F30" s="1586">
        <f t="shared" ref="F30:L30" si="59">IFERROR(F14 + F25 - F17 - F28, 0)</f>
        <v>40.405000000000008</v>
      </c>
      <c r="G30" s="1586">
        <f t="shared" si="59"/>
        <v>21.744000000000003</v>
      </c>
      <c r="H30" s="1586">
        <f t="shared" si="59"/>
        <v>119.93900000000001</v>
      </c>
      <c r="I30" s="1586">
        <f t="shared" si="59"/>
        <v>7.0590000000000002</v>
      </c>
      <c r="J30" s="1586">
        <f t="shared" si="59"/>
        <v>5.9779999999999998</v>
      </c>
      <c r="K30" s="1586">
        <f t="shared" si="59"/>
        <v>-2.7660000000000009</v>
      </c>
      <c r="L30" s="1586">
        <f t="shared" si="59"/>
        <v>1.1489999999999998</v>
      </c>
      <c r="M30" s="1581">
        <f>SUM(E30:L30)</f>
        <v>219.95400000000004</v>
      </c>
      <c r="N30" s="106"/>
      <c r="O30" s="876" t="s">
        <v>11353</v>
      </c>
      <c r="Q30" s="375"/>
      <c r="S30" s="828"/>
      <c r="T30" s="284"/>
      <c r="U30" s="828"/>
      <c r="AD30" s="828"/>
      <c r="AF30" s="420" t="s">
        <v>8442</v>
      </c>
      <c r="AG30" s="372" t="s">
        <v>11354</v>
      </c>
      <c r="AH30" s="372" t="s">
        <v>11355</v>
      </c>
      <c r="AI30" s="372" t="s">
        <v>11356</v>
      </c>
      <c r="AJ30" s="372" t="s">
        <v>11357</v>
      </c>
      <c r="AK30" s="372" t="s">
        <v>11358</v>
      </c>
      <c r="AL30" s="372" t="s">
        <v>11359</v>
      </c>
      <c r="AM30" s="372" t="s">
        <v>11360</v>
      </c>
      <c r="AN30" s="372" t="s">
        <v>11361</v>
      </c>
      <c r="AO30" s="687" t="s">
        <v>11362</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8450</v>
      </c>
      <c r="C32" s="394"/>
      <c r="D32" s="394"/>
      <c r="E32" s="1592"/>
      <c r="F32" s="1592"/>
      <c r="G32" s="1592"/>
      <c r="H32" s="1592"/>
      <c r="I32" s="1592"/>
      <c r="J32" s="1592"/>
      <c r="K32" s="1592"/>
      <c r="L32" s="1592"/>
      <c r="M32" s="1592"/>
      <c r="N32" s="106"/>
      <c r="O32" s="857"/>
      <c r="S32" s="828"/>
      <c r="T32" s="284"/>
      <c r="U32" s="828"/>
      <c r="AD32" s="828"/>
      <c r="AF32" s="393" t="s">
        <v>8450</v>
      </c>
      <c r="AG32" s="349"/>
      <c r="AH32" s="349"/>
      <c r="AI32" s="349"/>
      <c r="AJ32" s="349"/>
      <c r="AK32" s="349"/>
      <c r="AL32" s="349"/>
      <c r="AM32" s="349"/>
      <c r="AN32" s="349"/>
      <c r="AO32" s="349"/>
    </row>
    <row r="33" spans="1:41" s="197" customFormat="1" ht="15.75" customHeight="1" thickTop="1">
      <c r="B33" s="451" t="s">
        <v>8451</v>
      </c>
      <c r="C33" s="277" t="s">
        <v>681</v>
      </c>
      <c r="D33" s="277">
        <v>3</v>
      </c>
      <c r="E33" s="1587">
        <v>2.9169999999999998</v>
      </c>
      <c r="F33" s="1587">
        <v>7.0999999999999994E-2</v>
      </c>
      <c r="G33" s="1587">
        <v>0</v>
      </c>
      <c r="H33" s="1587">
        <v>3.0579999999999998</v>
      </c>
      <c r="I33" s="1587">
        <v>0</v>
      </c>
      <c r="J33" s="1587">
        <v>1.4E-2</v>
      </c>
      <c r="K33" s="1587">
        <v>0.28899999999999998</v>
      </c>
      <c r="L33" s="1587">
        <v>2.8000000000000001E-2</v>
      </c>
      <c r="M33" s="1574">
        <f>IFERROR(SUM(E33:L33), 0)</f>
        <v>6.3769999999999989</v>
      </c>
      <c r="N33" s="106"/>
      <c r="O33" s="832" t="s">
        <v>11363</v>
      </c>
      <c r="Q33" s="283"/>
      <c r="S33" s="828"/>
      <c r="T33" s="284">
        <f t="shared" ref="T33:T34" si="60">IF( SUM( V33:AC33 ) = 0, 0, $V$5 )</f>
        <v>0</v>
      </c>
      <c r="U33" s="828"/>
      <c r="V33" s="285">
        <f t="shared" ref="V33:V34" si="61" xml:space="preserve"> IF( ISNUMBER( E33 ), 0, 1 )</f>
        <v>0</v>
      </c>
      <c r="W33" s="285">
        <f t="shared" ref="W33:W34" si="62" xml:space="preserve"> IF( ISNUMBER( F33 ), 0, 1 )</f>
        <v>0</v>
      </c>
      <c r="X33" s="285">
        <f t="shared" ref="X33:X34" si="63" xml:space="preserve"> IF( ISNUMBER( G33 ), 0, 1 )</f>
        <v>0</v>
      </c>
      <c r="Y33" s="285">
        <f t="shared" ref="Y33:Y34" si="64" xml:space="preserve"> IF( ISNUMBER( H33 ), 0, 1 )</f>
        <v>0</v>
      </c>
      <c r="Z33" s="285">
        <f t="shared" ref="Z33:Z34" si="65" xml:space="preserve"> IF( ISNUMBER( I33 ), 0, 1 )</f>
        <v>0</v>
      </c>
      <c r="AA33" s="285">
        <f t="shared" ref="AA33:AA34" si="66" xml:space="preserve"> IF( ISNUMBER( J33 ), 0, 1 )</f>
        <v>0</v>
      </c>
      <c r="AB33" s="285">
        <f t="shared" ref="AB33:AB34" si="67" xml:space="preserve"> IF( ISNUMBER( K33 ), 0, 1 )</f>
        <v>0</v>
      </c>
      <c r="AC33" s="285">
        <f t="shared" ref="AC33:AC34" si="68" xml:space="preserve"> IF( ISNUMBER( L33 ), 0, 1 )</f>
        <v>0</v>
      </c>
      <c r="AD33" s="828"/>
      <c r="AF33" s="451" t="s">
        <v>8451</v>
      </c>
      <c r="AG33" s="880" t="s">
        <v>11364</v>
      </c>
      <c r="AH33" s="880" t="s">
        <v>11365</v>
      </c>
      <c r="AI33" s="880" t="s">
        <v>11366</v>
      </c>
      <c r="AJ33" s="880" t="s">
        <v>11367</v>
      </c>
      <c r="AK33" s="880" t="s">
        <v>11368</v>
      </c>
      <c r="AL33" s="880" t="s">
        <v>11369</v>
      </c>
      <c r="AM33" s="880" t="s">
        <v>11370</v>
      </c>
      <c r="AN33" s="880" t="s">
        <v>11371</v>
      </c>
      <c r="AO33" s="831" t="s">
        <v>11372</v>
      </c>
    </row>
    <row r="34" spans="1:41" s="197" customFormat="1" ht="15.75" customHeight="1">
      <c r="B34" s="460" t="s">
        <v>8459</v>
      </c>
      <c r="C34" s="286" t="s">
        <v>681</v>
      </c>
      <c r="D34" s="286">
        <v>3</v>
      </c>
      <c r="E34" s="1588">
        <v>0</v>
      </c>
      <c r="F34" s="1588">
        <v>0</v>
      </c>
      <c r="G34" s="1588">
        <v>0</v>
      </c>
      <c r="H34" s="1588">
        <v>0</v>
      </c>
      <c r="I34" s="1588">
        <v>0</v>
      </c>
      <c r="J34" s="1588">
        <v>0</v>
      </c>
      <c r="K34" s="1588">
        <v>0</v>
      </c>
      <c r="L34" s="1588">
        <v>0</v>
      </c>
      <c r="M34" s="1576">
        <f>IFERROR(SUM(E34:L34), 0)</f>
        <v>0</v>
      </c>
      <c r="N34" s="106"/>
      <c r="O34" s="837" t="s">
        <v>11373</v>
      </c>
      <c r="Q34" s="291"/>
      <c r="S34" s="828"/>
      <c r="T34" s="284">
        <f t="shared" si="60"/>
        <v>0</v>
      </c>
      <c r="U34" s="828"/>
      <c r="V34" s="285">
        <f t="shared" si="61"/>
        <v>0</v>
      </c>
      <c r="W34" s="285">
        <f t="shared" si="62"/>
        <v>0</v>
      </c>
      <c r="X34" s="285">
        <f t="shared" si="63"/>
        <v>0</v>
      </c>
      <c r="Y34" s="285">
        <f t="shared" si="64"/>
        <v>0</v>
      </c>
      <c r="Z34" s="285">
        <f t="shared" si="65"/>
        <v>0</v>
      </c>
      <c r="AA34" s="285">
        <f t="shared" si="66"/>
        <v>0</v>
      </c>
      <c r="AB34" s="285">
        <f t="shared" si="67"/>
        <v>0</v>
      </c>
      <c r="AC34" s="285">
        <f t="shared" si="68"/>
        <v>0</v>
      </c>
      <c r="AD34" s="828"/>
      <c r="AF34" s="460" t="s">
        <v>8459</v>
      </c>
      <c r="AG34" s="878" t="s">
        <v>11374</v>
      </c>
      <c r="AH34" s="878" t="s">
        <v>11375</v>
      </c>
      <c r="AI34" s="878" t="s">
        <v>11376</v>
      </c>
      <c r="AJ34" s="878" t="s">
        <v>11377</v>
      </c>
      <c r="AK34" s="878" t="s">
        <v>11378</v>
      </c>
      <c r="AL34" s="878" t="s">
        <v>11379</v>
      </c>
      <c r="AM34" s="878" t="s">
        <v>11380</v>
      </c>
      <c r="AN34" s="878" t="s">
        <v>11381</v>
      </c>
      <c r="AO34" s="836" t="s">
        <v>11382</v>
      </c>
    </row>
    <row r="35" spans="1:41" s="197" customFormat="1" ht="15.75" customHeight="1" thickBot="1">
      <c r="B35" s="463" t="s">
        <v>8467</v>
      </c>
      <c r="C35" s="355" t="s">
        <v>681</v>
      </c>
      <c r="D35" s="355">
        <v>3</v>
      </c>
      <c r="E35" s="1589">
        <f>IFERROR(E30 + E33 + E34, 0)</f>
        <v>29.363</v>
      </c>
      <c r="F35" s="1589">
        <f t="shared" ref="F35:K35" si="69">IFERROR(F30 + F33 + F34, 0)</f>
        <v>40.476000000000006</v>
      </c>
      <c r="G35" s="1589">
        <f t="shared" si="69"/>
        <v>21.744000000000003</v>
      </c>
      <c r="H35" s="1589">
        <f t="shared" si="69"/>
        <v>122.99700000000001</v>
      </c>
      <c r="I35" s="1589">
        <f t="shared" si="69"/>
        <v>7.0590000000000002</v>
      </c>
      <c r="J35" s="1589">
        <f t="shared" si="69"/>
        <v>5.992</v>
      </c>
      <c r="K35" s="1589">
        <f t="shared" si="69"/>
        <v>-2.4770000000000008</v>
      </c>
      <c r="L35" s="1589">
        <f>IFERROR(L30 + L33 + L34, 0)</f>
        <v>1.1769999999999998</v>
      </c>
      <c r="M35" s="1579">
        <f>IFERROR(SUM(E35:L35), 0)</f>
        <v>226.33099999999999</v>
      </c>
      <c r="N35" s="106"/>
      <c r="O35" s="847" t="s">
        <v>11383</v>
      </c>
      <c r="Q35" s="302"/>
      <c r="S35" s="828"/>
      <c r="T35" s="284"/>
      <c r="U35" s="828"/>
      <c r="AD35" s="828"/>
      <c r="AF35" s="463" t="s">
        <v>8467</v>
      </c>
      <c r="AG35" s="679" t="s">
        <v>11384</v>
      </c>
      <c r="AH35" s="679" t="s">
        <v>11385</v>
      </c>
      <c r="AI35" s="679" t="s">
        <v>11386</v>
      </c>
      <c r="AJ35" s="679" t="s">
        <v>11387</v>
      </c>
      <c r="AK35" s="679" t="s">
        <v>11388</v>
      </c>
      <c r="AL35" s="679" t="s">
        <v>11389</v>
      </c>
      <c r="AM35" s="679" t="s">
        <v>11390</v>
      </c>
      <c r="AN35" s="679" t="s">
        <v>11391</v>
      </c>
      <c r="AO35" s="846" t="s">
        <v>11392</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thickTop="1">
      <c r="B37" s="2811" t="s">
        <v>7224</v>
      </c>
      <c r="C37" s="2673" t="s">
        <v>7225</v>
      </c>
      <c r="D37" s="2673" t="s">
        <v>670</v>
      </c>
      <c r="E37" s="2673" t="s">
        <v>11202</v>
      </c>
      <c r="F37" s="2673"/>
      <c r="G37" s="2673"/>
      <c r="H37" s="2673" t="s">
        <v>11203</v>
      </c>
      <c r="I37" s="2673"/>
      <c r="J37" s="2673" t="s">
        <v>8163</v>
      </c>
      <c r="K37" s="2673"/>
      <c r="L37" s="2673"/>
      <c r="M37" s="2675" t="s">
        <v>7445</v>
      </c>
      <c r="N37" s="365"/>
      <c r="O37" s="365"/>
      <c r="Q37" s="770"/>
      <c r="S37" s="828"/>
      <c r="T37" s="284"/>
      <c r="U37" s="828"/>
      <c r="AD37" s="828"/>
      <c r="AF37" s="2811" t="s">
        <v>7224</v>
      </c>
      <c r="AG37" s="2673" t="s">
        <v>11202</v>
      </c>
      <c r="AH37" s="2673"/>
      <c r="AI37" s="2673"/>
      <c r="AJ37" s="2673" t="s">
        <v>11203</v>
      </c>
      <c r="AK37" s="2673"/>
      <c r="AL37" s="2673" t="s">
        <v>8163</v>
      </c>
      <c r="AM37" s="2673"/>
      <c r="AN37" s="2673"/>
      <c r="AO37" s="2675" t="s">
        <v>7445</v>
      </c>
    </row>
    <row r="38" spans="1:41" s="197" customFormat="1" ht="60.75" thickBot="1">
      <c r="B38" s="2812"/>
      <c r="C38" s="2674"/>
      <c r="D38" s="2674"/>
      <c r="E38" s="271" t="s">
        <v>11204</v>
      </c>
      <c r="F38" s="271" t="s">
        <v>11205</v>
      </c>
      <c r="G38" s="271" t="s">
        <v>11206</v>
      </c>
      <c r="H38" s="271" t="s">
        <v>11207</v>
      </c>
      <c r="I38" s="271" t="s">
        <v>11208</v>
      </c>
      <c r="J38" s="271" t="s">
        <v>11209</v>
      </c>
      <c r="K38" s="271" t="s">
        <v>11210</v>
      </c>
      <c r="L38" s="271" t="s">
        <v>11211</v>
      </c>
      <c r="M38" s="2676"/>
      <c r="N38" s="365"/>
      <c r="O38" s="365"/>
      <c r="Q38" s="770"/>
      <c r="S38" s="828"/>
      <c r="T38" s="284"/>
      <c r="U38" s="828"/>
      <c r="AD38" s="828"/>
      <c r="AF38" s="2812"/>
      <c r="AG38" s="271" t="s">
        <v>11204</v>
      </c>
      <c r="AH38" s="271" t="s">
        <v>11205</v>
      </c>
      <c r="AI38" s="271" t="s">
        <v>11206</v>
      </c>
      <c r="AJ38" s="271" t="s">
        <v>11207</v>
      </c>
      <c r="AK38" s="271" t="s">
        <v>11208</v>
      </c>
      <c r="AL38" s="271" t="s">
        <v>11209</v>
      </c>
      <c r="AM38" s="271" t="s">
        <v>11210</v>
      </c>
      <c r="AN38" s="271" t="s">
        <v>11211</v>
      </c>
      <c r="AO38" s="2676"/>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11150</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11150</v>
      </c>
      <c r="AG40" s="857"/>
      <c r="AH40" s="857"/>
      <c r="AI40" s="857"/>
      <c r="AJ40" s="857"/>
      <c r="AK40" s="857"/>
      <c r="AL40" s="857"/>
      <c r="AM40" s="857"/>
      <c r="AN40" s="857"/>
      <c r="AO40" s="857"/>
    </row>
    <row r="41" spans="1:41" s="824" customFormat="1" ht="15.75" customHeight="1" thickTop="1">
      <c r="B41" s="829" t="s">
        <v>11151</v>
      </c>
      <c r="C41" s="788" t="s">
        <v>681</v>
      </c>
      <c r="D41" s="788">
        <v>3</v>
      </c>
      <c r="E41" s="1587">
        <v>-0.435</v>
      </c>
      <c r="F41" s="1587">
        <v>-0.72099999999999997</v>
      </c>
      <c r="G41" s="1587">
        <v>-0.38800000000000001</v>
      </c>
      <c r="H41" s="1587">
        <v>-1.9790000000000001</v>
      </c>
      <c r="I41" s="1587">
        <v>0</v>
      </c>
      <c r="J41" s="1587">
        <v>-8.0000000000000002E-3</v>
      </c>
      <c r="K41" s="1587">
        <v>-0.246</v>
      </c>
      <c r="L41" s="1587">
        <v>-1.4999999999999999E-2</v>
      </c>
      <c r="M41" s="1574">
        <f>IFERROR(SUM(E41:L41), 0)</f>
        <v>-3.7920000000000003</v>
      </c>
      <c r="N41" s="200"/>
      <c r="O41" s="832" t="s">
        <v>11393</v>
      </c>
      <c r="Q41" s="283"/>
      <c r="S41" s="881"/>
      <c r="T41" s="284">
        <f t="shared" ref="T41:T45" si="70">IF( SUM( V41:AC41 ) = 0, 0, $V$5 )</f>
        <v>0</v>
      </c>
      <c r="U41" s="881"/>
      <c r="V41" s="285">
        <f t="shared" ref="V41:V45" si="71" xml:space="preserve"> IF( ISNUMBER( E41 ), 0, 1 )</f>
        <v>0</v>
      </c>
      <c r="W41" s="285">
        <f t="shared" ref="W41:W45" si="72" xml:space="preserve"> IF( ISNUMBER( F41 ), 0, 1 )</f>
        <v>0</v>
      </c>
      <c r="X41" s="285">
        <f t="shared" ref="X41:X45" si="73" xml:space="preserve"> IF( ISNUMBER( G41 ), 0, 1 )</f>
        <v>0</v>
      </c>
      <c r="Y41" s="285">
        <f t="shared" ref="Y41:Y45" si="74" xml:space="preserve"> IF( ISNUMBER( H41 ), 0, 1 )</f>
        <v>0</v>
      </c>
      <c r="Z41" s="285">
        <f t="shared" ref="Z41:Z45" si="75" xml:space="preserve"> IF( ISNUMBER( I41 ), 0, 1 )</f>
        <v>0</v>
      </c>
      <c r="AA41" s="285">
        <f t="shared" ref="AA41:AA45" si="76" xml:space="preserve"> IF( ISNUMBER( J41 ), 0, 1 )</f>
        <v>0</v>
      </c>
      <c r="AB41" s="285">
        <f t="shared" ref="AB41:AB45" si="77" xml:space="preserve"> IF( ISNUMBER( K41 ), 0, 1 )</f>
        <v>0</v>
      </c>
      <c r="AC41" s="285">
        <f t="shared" ref="AC41:AC45" si="78" xml:space="preserve"> IF( ISNUMBER( L41 ), 0, 1 )</f>
        <v>0</v>
      </c>
      <c r="AD41" s="881"/>
      <c r="AF41" s="829" t="s">
        <v>11153</v>
      </c>
      <c r="AG41" s="880" t="s">
        <v>11394</v>
      </c>
      <c r="AH41" s="880" t="s">
        <v>11395</v>
      </c>
      <c r="AI41" s="880" t="s">
        <v>11396</v>
      </c>
      <c r="AJ41" s="880" t="s">
        <v>11397</v>
      </c>
      <c r="AK41" s="880" t="s">
        <v>11398</v>
      </c>
      <c r="AL41" s="880" t="s">
        <v>11399</v>
      </c>
      <c r="AM41" s="880" t="s">
        <v>11400</v>
      </c>
      <c r="AN41" s="880" t="s">
        <v>11401</v>
      </c>
      <c r="AO41" s="831" t="s">
        <v>11402</v>
      </c>
    </row>
    <row r="42" spans="1:41" s="824" customFormat="1" ht="15.75" customHeight="1">
      <c r="B42" s="833" t="s">
        <v>11160</v>
      </c>
      <c r="C42" s="834" t="s">
        <v>681</v>
      </c>
      <c r="D42" s="834">
        <v>3</v>
      </c>
      <c r="E42" s="1590">
        <v>0</v>
      </c>
      <c r="F42" s="1590">
        <v>0</v>
      </c>
      <c r="G42" s="1590">
        <v>0</v>
      </c>
      <c r="H42" s="1590">
        <v>0</v>
      </c>
      <c r="I42" s="1590">
        <v>0</v>
      </c>
      <c r="J42" s="1590">
        <v>0</v>
      </c>
      <c r="K42" s="1590">
        <v>0</v>
      </c>
      <c r="L42" s="1590">
        <v>0</v>
      </c>
      <c r="M42" s="1576">
        <f t="shared" ref="M42:M45" si="79">IFERROR(SUM(E42:L42), 0)</f>
        <v>0</v>
      </c>
      <c r="N42" s="200"/>
      <c r="O42" s="837" t="s">
        <v>11403</v>
      </c>
      <c r="Q42" s="291"/>
      <c r="S42" s="881"/>
      <c r="T42" s="284">
        <f t="shared" si="70"/>
        <v>0</v>
      </c>
      <c r="U42" s="881"/>
      <c r="V42" s="285">
        <f t="shared" si="71"/>
        <v>0</v>
      </c>
      <c r="W42" s="285">
        <f t="shared" si="72"/>
        <v>0</v>
      </c>
      <c r="X42" s="285">
        <f t="shared" si="73"/>
        <v>0</v>
      </c>
      <c r="Y42" s="285">
        <f t="shared" si="74"/>
        <v>0</v>
      </c>
      <c r="Z42" s="285">
        <f t="shared" si="75"/>
        <v>0</v>
      </c>
      <c r="AA42" s="285">
        <f t="shared" si="76"/>
        <v>0</v>
      </c>
      <c r="AB42" s="285">
        <f t="shared" si="77"/>
        <v>0</v>
      </c>
      <c r="AC42" s="285">
        <f t="shared" si="78"/>
        <v>0</v>
      </c>
      <c r="AD42" s="881"/>
      <c r="AF42" s="833" t="s">
        <v>11160</v>
      </c>
      <c r="AG42" s="882" t="s">
        <v>11404</v>
      </c>
      <c r="AH42" s="882" t="s">
        <v>11405</v>
      </c>
      <c r="AI42" s="882" t="s">
        <v>11406</v>
      </c>
      <c r="AJ42" s="882" t="s">
        <v>11407</v>
      </c>
      <c r="AK42" s="882" t="s">
        <v>11408</v>
      </c>
      <c r="AL42" s="882" t="s">
        <v>11409</v>
      </c>
      <c r="AM42" s="882" t="s">
        <v>11410</v>
      </c>
      <c r="AN42" s="882" t="s">
        <v>11411</v>
      </c>
      <c r="AO42" s="836" t="s">
        <v>11412</v>
      </c>
    </row>
    <row r="43" spans="1:41" s="824" customFormat="1" ht="15.75" customHeight="1">
      <c r="B43" s="833" t="s">
        <v>11168</v>
      </c>
      <c r="C43" s="834" t="s">
        <v>681</v>
      </c>
      <c r="D43" s="834">
        <v>3</v>
      </c>
      <c r="E43" s="1590">
        <v>0</v>
      </c>
      <c r="F43" s="1590">
        <v>0</v>
      </c>
      <c r="G43" s="1590">
        <v>0</v>
      </c>
      <c r="H43" s="1590">
        <v>0</v>
      </c>
      <c r="I43" s="1590">
        <v>0</v>
      </c>
      <c r="J43" s="1590">
        <v>0</v>
      </c>
      <c r="K43" s="1590">
        <v>0</v>
      </c>
      <c r="L43" s="1590">
        <v>0</v>
      </c>
      <c r="M43" s="1576">
        <f t="shared" si="79"/>
        <v>0</v>
      </c>
      <c r="N43" s="200"/>
      <c r="O43" s="837" t="s">
        <v>11413</v>
      </c>
      <c r="Q43" s="291"/>
      <c r="S43" s="881"/>
      <c r="T43" s="284">
        <f t="shared" si="70"/>
        <v>0</v>
      </c>
      <c r="U43" s="881"/>
      <c r="V43" s="285">
        <f t="shared" si="71"/>
        <v>0</v>
      </c>
      <c r="W43" s="285">
        <f t="shared" si="72"/>
        <v>0</v>
      </c>
      <c r="X43" s="285">
        <f t="shared" si="73"/>
        <v>0</v>
      </c>
      <c r="Y43" s="285">
        <f t="shared" si="74"/>
        <v>0</v>
      </c>
      <c r="Z43" s="285">
        <f t="shared" si="75"/>
        <v>0</v>
      </c>
      <c r="AA43" s="285">
        <f t="shared" si="76"/>
        <v>0</v>
      </c>
      <c r="AB43" s="285">
        <f t="shared" si="77"/>
        <v>0</v>
      </c>
      <c r="AC43" s="285">
        <f t="shared" si="78"/>
        <v>0</v>
      </c>
      <c r="AD43" s="881"/>
      <c r="AF43" s="833" t="s">
        <v>11168</v>
      </c>
      <c r="AG43" s="882" t="s">
        <v>11414</v>
      </c>
      <c r="AH43" s="882" t="s">
        <v>11415</v>
      </c>
      <c r="AI43" s="882" t="s">
        <v>11416</v>
      </c>
      <c r="AJ43" s="882" t="s">
        <v>11417</v>
      </c>
      <c r="AK43" s="882" t="s">
        <v>11418</v>
      </c>
      <c r="AL43" s="882" t="s">
        <v>11419</v>
      </c>
      <c r="AM43" s="882" t="s">
        <v>11420</v>
      </c>
      <c r="AN43" s="882" t="s">
        <v>11421</v>
      </c>
      <c r="AO43" s="836" t="s">
        <v>11422</v>
      </c>
    </row>
    <row r="44" spans="1:41" s="824" customFormat="1" ht="15.75" customHeight="1">
      <c r="B44" s="833" t="s">
        <v>11176</v>
      </c>
      <c r="C44" s="834" t="s">
        <v>681</v>
      </c>
      <c r="D44" s="834">
        <v>3</v>
      </c>
      <c r="E44" s="1590">
        <v>0</v>
      </c>
      <c r="F44" s="1590">
        <v>0</v>
      </c>
      <c r="G44" s="1590">
        <v>0</v>
      </c>
      <c r="H44" s="1590">
        <v>0</v>
      </c>
      <c r="I44" s="1590">
        <v>0</v>
      </c>
      <c r="J44" s="1590">
        <v>0</v>
      </c>
      <c r="K44" s="1590">
        <v>0</v>
      </c>
      <c r="L44" s="1590">
        <v>0</v>
      </c>
      <c r="M44" s="1576">
        <f t="shared" si="79"/>
        <v>0</v>
      </c>
      <c r="N44" s="200"/>
      <c r="O44" s="837" t="s">
        <v>11423</v>
      </c>
      <c r="Q44" s="291"/>
      <c r="S44" s="881"/>
      <c r="T44" s="284">
        <f t="shared" si="70"/>
        <v>0</v>
      </c>
      <c r="U44" s="881"/>
      <c r="V44" s="285">
        <f t="shared" si="71"/>
        <v>0</v>
      </c>
      <c r="W44" s="285">
        <f t="shared" si="72"/>
        <v>0</v>
      </c>
      <c r="X44" s="285">
        <f t="shared" si="73"/>
        <v>0</v>
      </c>
      <c r="Y44" s="285">
        <f t="shared" si="74"/>
        <v>0</v>
      </c>
      <c r="Z44" s="285">
        <f t="shared" si="75"/>
        <v>0</v>
      </c>
      <c r="AA44" s="285">
        <f t="shared" si="76"/>
        <v>0</v>
      </c>
      <c r="AB44" s="285">
        <f t="shared" si="77"/>
        <v>0</v>
      </c>
      <c r="AC44" s="285">
        <f t="shared" si="78"/>
        <v>0</v>
      </c>
      <c r="AD44" s="881"/>
      <c r="AF44" s="833" t="s">
        <v>11176</v>
      </c>
      <c r="AG44" s="882" t="s">
        <v>11424</v>
      </c>
      <c r="AH44" s="882" t="s">
        <v>11425</v>
      </c>
      <c r="AI44" s="882" t="s">
        <v>11426</v>
      </c>
      <c r="AJ44" s="882" t="s">
        <v>11427</v>
      </c>
      <c r="AK44" s="882" t="s">
        <v>11428</v>
      </c>
      <c r="AL44" s="882" t="s">
        <v>11429</v>
      </c>
      <c r="AM44" s="882" t="s">
        <v>11430</v>
      </c>
      <c r="AN44" s="882" t="s">
        <v>11431</v>
      </c>
      <c r="AO44" s="836" t="s">
        <v>11432</v>
      </c>
    </row>
    <row r="45" spans="1:41" s="824" customFormat="1" ht="15.75" customHeight="1">
      <c r="B45" s="833" t="s">
        <v>11184</v>
      </c>
      <c r="C45" s="834" t="s">
        <v>681</v>
      </c>
      <c r="D45" s="834">
        <v>3</v>
      </c>
      <c r="E45" s="1590">
        <v>0</v>
      </c>
      <c r="F45" s="1590">
        <v>0</v>
      </c>
      <c r="G45" s="1590">
        <v>0</v>
      </c>
      <c r="H45" s="1590">
        <v>0</v>
      </c>
      <c r="I45" s="1590">
        <v>0</v>
      </c>
      <c r="J45" s="1590">
        <v>0</v>
      </c>
      <c r="K45" s="1590">
        <v>0</v>
      </c>
      <c r="L45" s="1590">
        <v>0</v>
      </c>
      <c r="M45" s="1576">
        <f t="shared" si="79"/>
        <v>0</v>
      </c>
      <c r="N45" s="200"/>
      <c r="O45" s="837" t="s">
        <v>11433</v>
      </c>
      <c r="Q45" s="291"/>
      <c r="S45" s="881"/>
      <c r="T45" s="284">
        <f t="shared" si="70"/>
        <v>0</v>
      </c>
      <c r="U45" s="881"/>
      <c r="V45" s="285">
        <f t="shared" si="71"/>
        <v>0</v>
      </c>
      <c r="W45" s="285">
        <f t="shared" si="72"/>
        <v>0</v>
      </c>
      <c r="X45" s="285">
        <f t="shared" si="73"/>
        <v>0</v>
      </c>
      <c r="Y45" s="285">
        <f t="shared" si="74"/>
        <v>0</v>
      </c>
      <c r="Z45" s="285">
        <f t="shared" si="75"/>
        <v>0</v>
      </c>
      <c r="AA45" s="285">
        <f t="shared" si="76"/>
        <v>0</v>
      </c>
      <c r="AB45" s="285">
        <f t="shared" si="77"/>
        <v>0</v>
      </c>
      <c r="AC45" s="285">
        <f t="shared" si="78"/>
        <v>0</v>
      </c>
      <c r="AD45" s="881"/>
      <c r="AF45" s="833" t="s">
        <v>11184</v>
      </c>
      <c r="AG45" s="882" t="s">
        <v>11434</v>
      </c>
      <c r="AH45" s="882" t="s">
        <v>11435</v>
      </c>
      <c r="AI45" s="882" t="s">
        <v>11436</v>
      </c>
      <c r="AJ45" s="882" t="s">
        <v>11437</v>
      </c>
      <c r="AK45" s="882" t="s">
        <v>11438</v>
      </c>
      <c r="AL45" s="882" t="s">
        <v>11439</v>
      </c>
      <c r="AM45" s="882" t="s">
        <v>11440</v>
      </c>
      <c r="AN45" s="882" t="s">
        <v>11441</v>
      </c>
      <c r="AO45" s="836" t="s">
        <v>11442</v>
      </c>
    </row>
    <row r="46" spans="1:41" s="824" customFormat="1" ht="15.75" customHeight="1" thickBot="1">
      <c r="B46" s="868" t="s">
        <v>11192</v>
      </c>
      <c r="C46" s="844" t="s">
        <v>681</v>
      </c>
      <c r="D46" s="844">
        <v>3</v>
      </c>
      <c r="E46" s="1591">
        <f>IFERROR(SUM(E41:E45), 0)</f>
        <v>-0.435</v>
      </c>
      <c r="F46" s="1591">
        <f t="shared" ref="F46:L46" si="80">IFERROR(SUM(F41:F45), 0)</f>
        <v>-0.72099999999999997</v>
      </c>
      <c r="G46" s="1591">
        <f t="shared" si="80"/>
        <v>-0.38800000000000001</v>
      </c>
      <c r="H46" s="1591">
        <f t="shared" si="80"/>
        <v>-1.9790000000000001</v>
      </c>
      <c r="I46" s="1591">
        <f t="shared" si="80"/>
        <v>0</v>
      </c>
      <c r="J46" s="1591">
        <f t="shared" si="80"/>
        <v>-8.0000000000000002E-3</v>
      </c>
      <c r="K46" s="1591">
        <f t="shared" si="80"/>
        <v>-0.246</v>
      </c>
      <c r="L46" s="1591">
        <f t="shared" si="80"/>
        <v>-1.4999999999999999E-2</v>
      </c>
      <c r="M46" s="1579">
        <f>IFERROR(SUM(E46:L46), 0)</f>
        <v>-3.7920000000000003</v>
      </c>
      <c r="N46" s="200"/>
      <c r="O46" s="847" t="s">
        <v>11443</v>
      </c>
      <c r="Q46" s="302"/>
      <c r="S46" s="881"/>
      <c r="T46" s="284"/>
      <c r="U46" s="881"/>
      <c r="V46" s="197"/>
      <c r="W46" s="197"/>
      <c r="X46" s="197"/>
      <c r="Y46" s="197"/>
      <c r="Z46" s="197"/>
      <c r="AA46" s="197"/>
      <c r="AB46" s="197"/>
      <c r="AC46" s="197"/>
      <c r="AD46" s="881"/>
      <c r="AF46" s="868" t="s">
        <v>11192</v>
      </c>
      <c r="AG46" s="873" t="s">
        <v>11444</v>
      </c>
      <c r="AH46" s="873" t="s">
        <v>11445</v>
      </c>
      <c r="AI46" s="873" t="s">
        <v>11446</v>
      </c>
      <c r="AJ46" s="873" t="s">
        <v>11447</v>
      </c>
      <c r="AK46" s="873" t="s">
        <v>11448</v>
      </c>
      <c r="AL46" s="873" t="s">
        <v>11449</v>
      </c>
      <c r="AM46" s="873" t="s">
        <v>11450</v>
      </c>
      <c r="AN46" s="873" t="s">
        <v>11451</v>
      </c>
      <c r="AO46" s="846" t="s">
        <v>11452</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theme="0" tint="-0.499984740745262"/>
    <pageSetUpPr fitToPage="1"/>
  </sheetPr>
  <dimension ref="A1:AJ39"/>
  <sheetViews>
    <sheetView showGridLines="0" topLeftCell="H9" zoomScaleNormal="100" zoomScaleSheetLayoutView="100" workbookViewId="0"/>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661" t="s">
        <v>11453</v>
      </c>
      <c r="C1" s="2661"/>
      <c r="D1" s="2661"/>
      <c r="E1" s="2661"/>
      <c r="F1" s="2661"/>
      <c r="G1" s="2661"/>
      <c r="H1" s="2661"/>
      <c r="I1" s="2661"/>
      <c r="J1" s="339"/>
      <c r="K1" s="561"/>
      <c r="L1" s="561"/>
      <c r="M1" s="561"/>
      <c r="N1" s="561"/>
      <c r="O1" s="2661"/>
      <c r="P1" s="2661"/>
      <c r="V1" s="238"/>
      <c r="X1" s="238"/>
      <c r="AJ1" s="238"/>
    </row>
    <row r="2" spans="2:36" ht="29.25" customHeight="1">
      <c r="B2" s="2661" t="str">
        <f>SelectCompany!B4</f>
        <v>Northumbrian Water</v>
      </c>
      <c r="C2" s="2661"/>
      <c r="D2" s="2661"/>
      <c r="E2" s="2661"/>
      <c r="F2" s="2661"/>
      <c r="G2" s="2661"/>
      <c r="H2" s="2661"/>
      <c r="I2" s="2661"/>
      <c r="J2" s="339"/>
      <c r="K2" s="390"/>
      <c r="L2" s="390"/>
      <c r="M2" s="390"/>
      <c r="N2" s="390"/>
      <c r="O2" s="390"/>
      <c r="P2" s="390"/>
      <c r="V2" s="238"/>
      <c r="X2" s="238"/>
      <c r="AJ2" s="238"/>
    </row>
    <row r="3" spans="2:36" ht="45" customHeight="1">
      <c r="B3" s="2807" t="s">
        <v>11454</v>
      </c>
      <c r="C3" s="2807"/>
      <c r="D3" s="2807"/>
      <c r="E3" s="2807"/>
      <c r="F3" s="2807"/>
      <c r="G3" s="2807"/>
      <c r="H3" s="2807"/>
      <c r="I3" s="2807"/>
      <c r="J3" s="2807"/>
      <c r="K3" s="2807"/>
      <c r="L3" s="2807"/>
      <c r="M3" s="2807"/>
      <c r="N3" s="2807"/>
      <c r="O3" s="2807"/>
      <c r="P3" s="2807"/>
      <c r="Q3" s="2807"/>
      <c r="R3" s="2807"/>
      <c r="S3" s="2807"/>
      <c r="T3" s="2807"/>
      <c r="V3" s="238"/>
      <c r="W3" s="650" t="s">
        <v>7222</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22" t="s">
        <v>7224</v>
      </c>
      <c r="C5" s="2825" t="s">
        <v>7225</v>
      </c>
      <c r="D5" s="2825" t="s">
        <v>11455</v>
      </c>
      <c r="E5" s="2813" t="s">
        <v>11456</v>
      </c>
      <c r="F5" s="2813"/>
      <c r="G5" s="2813"/>
      <c r="H5" s="2813"/>
      <c r="I5" s="2813"/>
      <c r="J5" s="2813"/>
      <c r="K5" s="2813" t="s">
        <v>11457</v>
      </c>
      <c r="L5" s="2813"/>
      <c r="M5" s="2813"/>
      <c r="N5" s="2813"/>
      <c r="O5" s="2813"/>
      <c r="P5" s="2814"/>
      <c r="R5" s="2790" t="s">
        <v>7229</v>
      </c>
      <c r="T5" s="2790" t="s">
        <v>7230</v>
      </c>
      <c r="V5" s="886"/>
      <c r="X5" s="886"/>
      <c r="AJ5" s="886"/>
    </row>
    <row r="6" spans="2:36" s="242" customFormat="1" ht="15" customHeight="1">
      <c r="B6" s="2823"/>
      <c r="C6" s="2826"/>
      <c r="D6" s="2826"/>
      <c r="E6" s="2828" t="s">
        <v>8160</v>
      </c>
      <c r="F6" s="2828" t="s">
        <v>9202</v>
      </c>
      <c r="G6" s="2828"/>
      <c r="H6" s="2828"/>
      <c r="I6" s="2828"/>
      <c r="J6" s="2828" t="s">
        <v>7445</v>
      </c>
      <c r="K6" s="2828" t="s">
        <v>8160</v>
      </c>
      <c r="L6" s="2828" t="s">
        <v>9202</v>
      </c>
      <c r="M6" s="2828"/>
      <c r="N6" s="2828"/>
      <c r="O6" s="2828"/>
      <c r="P6" s="2830" t="s">
        <v>7445</v>
      </c>
      <c r="R6" s="2791"/>
      <c r="T6" s="2791"/>
      <c r="V6" s="886"/>
      <c r="X6" s="886"/>
      <c r="AJ6" s="886"/>
    </row>
    <row r="7" spans="2:36" s="242" customFormat="1" ht="63" customHeight="1" thickBot="1">
      <c r="B7" s="2824"/>
      <c r="C7" s="2827"/>
      <c r="D7" s="2827"/>
      <c r="E7" s="2829"/>
      <c r="F7" s="887" t="s">
        <v>11027</v>
      </c>
      <c r="G7" s="887" t="s">
        <v>11028</v>
      </c>
      <c r="H7" s="887" t="s">
        <v>11029</v>
      </c>
      <c r="I7" s="887" t="s">
        <v>11030</v>
      </c>
      <c r="J7" s="2829"/>
      <c r="K7" s="2829"/>
      <c r="L7" s="887" t="s">
        <v>11027</v>
      </c>
      <c r="M7" s="887" t="s">
        <v>11028</v>
      </c>
      <c r="N7" s="887" t="s">
        <v>11029</v>
      </c>
      <c r="O7" s="887" t="s">
        <v>11030</v>
      </c>
      <c r="P7" s="2831"/>
      <c r="R7" s="2792"/>
      <c r="T7" s="2792"/>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668" t="s">
        <v>7223</v>
      </c>
      <c r="Z8" s="2668"/>
      <c r="AA8" s="2668"/>
      <c r="AB8" s="2819"/>
      <c r="AC8" s="2819"/>
      <c r="AJ8" s="886"/>
    </row>
    <row r="9" spans="2:36" s="242" customFormat="1" ht="31.5" thickTop="1" thickBot="1">
      <c r="B9" s="393" t="s">
        <v>11458</v>
      </c>
      <c r="C9" s="394"/>
      <c r="D9" s="394"/>
      <c r="E9" s="482"/>
      <c r="F9" s="482"/>
      <c r="G9" s="890"/>
      <c r="H9" s="890"/>
      <c r="I9" s="890"/>
      <c r="J9" s="890"/>
      <c r="K9" s="890"/>
      <c r="L9" s="890"/>
      <c r="M9" s="890"/>
      <c r="N9" s="890"/>
      <c r="O9" s="890"/>
      <c r="P9" s="890"/>
      <c r="R9" s="824"/>
      <c r="V9" s="886"/>
      <c r="X9" s="886"/>
      <c r="Y9" s="269" t="s">
        <v>7231</v>
      </c>
      <c r="AJ9" s="886"/>
    </row>
    <row r="10" spans="2:36" s="242" customFormat="1" ht="15.75" customHeight="1" thickTop="1">
      <c r="B10" s="773" t="s">
        <v>11459</v>
      </c>
      <c r="C10" s="277" t="s">
        <v>681</v>
      </c>
      <c r="D10" s="277">
        <v>3</v>
      </c>
      <c r="E10" s="891"/>
      <c r="F10" s="891"/>
      <c r="G10" s="891"/>
      <c r="H10" s="891"/>
      <c r="I10" s="891"/>
      <c r="J10" s="675">
        <f>IFERROR(SUM(E10:I10), 0)</f>
        <v>0</v>
      </c>
      <c r="K10" s="891"/>
      <c r="L10" s="891"/>
      <c r="M10" s="891"/>
      <c r="N10" s="891"/>
      <c r="O10" s="891"/>
      <c r="P10" s="416">
        <f>IFERROR(SUM(K10:O10), 0)</f>
        <v>0</v>
      </c>
      <c r="R10" s="281" t="s">
        <v>11460</v>
      </c>
      <c r="T10" s="283"/>
      <c r="V10" s="886"/>
      <c r="W10" s="284" t="str">
        <f t="shared" ref="W10:W19" si="0">IF( SUM( Y10:AI10 ) = 0, 0, $Y$9 )</f>
        <v>Please complete all cells in row</v>
      </c>
      <c r="X10" s="886"/>
      <c r="Y10" s="285">
        <f t="shared" ref="Y10" si="1" xml:space="preserve"> IF( ISNUMBER( E10 ), 0, 1 )</f>
        <v>1</v>
      </c>
      <c r="Z10" s="285">
        <f t="shared" ref="Z10" si="2" xml:space="preserve"> IF( ISNUMBER( F10 ), 0, 1 )</f>
        <v>1</v>
      </c>
      <c r="AA10" s="285">
        <f t="shared" ref="AA10" si="3" xml:space="preserve"> IF( ISNUMBER( G10 ), 0, 1 )</f>
        <v>1</v>
      </c>
      <c r="AB10" s="285">
        <f t="shared" ref="AB10" si="4" xml:space="preserve"> IF( ISNUMBER( H10 ), 0, 1 )</f>
        <v>1</v>
      </c>
      <c r="AC10" s="285">
        <f t="shared" ref="AC10" si="5" xml:space="preserve"> IF( ISNUMBER( I10 ), 0, 1 )</f>
        <v>1</v>
      </c>
      <c r="AE10" s="285">
        <f t="shared" ref="AE10" si="6" xml:space="preserve"> IF( ISNUMBER( K10 ), 0, 1 )</f>
        <v>1</v>
      </c>
      <c r="AF10" s="285">
        <f t="shared" ref="AF10" si="7" xml:space="preserve"> IF( ISNUMBER( L10 ), 0, 1 )</f>
        <v>1</v>
      </c>
      <c r="AG10" s="285">
        <f t="shared" ref="AG10" si="8" xml:space="preserve"> IF( ISNUMBER( M10 ), 0, 1 )</f>
        <v>1</v>
      </c>
      <c r="AH10" s="285">
        <f t="shared" ref="AH10" si="9" xml:space="preserve"> IF( ISNUMBER( N10 ), 0, 1 )</f>
        <v>1</v>
      </c>
      <c r="AI10" s="285">
        <f t="shared" ref="AI10" si="10" xml:space="preserve"> IF( ISNUMBER( O10 ), 0, 1 )</f>
        <v>1</v>
      </c>
      <c r="AJ10" s="886"/>
    </row>
    <row r="11" spans="2:36" s="242" customFormat="1" ht="15.75" customHeight="1">
      <c r="B11" s="775" t="s">
        <v>11461</v>
      </c>
      <c r="C11" s="286" t="s">
        <v>681</v>
      </c>
      <c r="D11" s="286">
        <v>3</v>
      </c>
      <c r="E11" s="892"/>
      <c r="F11" s="892"/>
      <c r="G11" s="892"/>
      <c r="H11" s="892"/>
      <c r="I11" s="892"/>
      <c r="J11" s="677">
        <f t="shared" ref="J11:J19" si="11">IFERROR(SUM(E11:I11), 0)</f>
        <v>0</v>
      </c>
      <c r="K11" s="892"/>
      <c r="L11" s="892"/>
      <c r="M11" s="892"/>
      <c r="N11" s="892"/>
      <c r="O11" s="892"/>
      <c r="P11" s="893">
        <f>IFERROR(SUM(K11:O11), 0)</f>
        <v>0</v>
      </c>
      <c r="R11" s="290" t="s">
        <v>11462</v>
      </c>
      <c r="T11" s="291"/>
      <c r="V11" s="886"/>
      <c r="W11" s="284" t="str">
        <f t="shared" si="0"/>
        <v>Please complete all cells in row</v>
      </c>
      <c r="X11" s="886"/>
      <c r="Y11" s="285">
        <f t="shared" ref="Y11:Y19" si="12" xml:space="preserve"> IF( ISNUMBER( E11 ), 0, 1 )</f>
        <v>1</v>
      </c>
      <c r="Z11" s="285">
        <f t="shared" ref="Z11:Z19" si="13" xml:space="preserve"> IF( ISNUMBER( F11 ), 0, 1 )</f>
        <v>1</v>
      </c>
      <c r="AA11" s="285">
        <f t="shared" ref="AA11:AA19" si="14" xml:space="preserve"> IF( ISNUMBER( G11 ), 0, 1 )</f>
        <v>1</v>
      </c>
      <c r="AB11" s="285">
        <f t="shared" ref="AB11:AB19" si="15" xml:space="preserve"> IF( ISNUMBER( H11 ), 0, 1 )</f>
        <v>1</v>
      </c>
      <c r="AC11" s="285">
        <f t="shared" ref="AC11:AC19" si="16" xml:space="preserve"> IF( ISNUMBER( I11 ), 0, 1 )</f>
        <v>1</v>
      </c>
      <c r="AE11" s="285">
        <f t="shared" ref="AE11:AE19" si="17" xml:space="preserve"> IF( ISNUMBER( K11 ), 0, 1 )</f>
        <v>1</v>
      </c>
      <c r="AF11" s="285">
        <f t="shared" ref="AF11:AF19" si="18" xml:space="preserve"> IF( ISNUMBER( L11 ), 0, 1 )</f>
        <v>1</v>
      </c>
      <c r="AG11" s="285">
        <f t="shared" ref="AG11:AG19" si="19" xml:space="preserve"> IF( ISNUMBER( M11 ), 0, 1 )</f>
        <v>1</v>
      </c>
      <c r="AH11" s="285">
        <f t="shared" ref="AH11:AH19" si="20" xml:space="preserve"> IF( ISNUMBER( N11 ), 0, 1 )</f>
        <v>1</v>
      </c>
      <c r="AI11" s="285">
        <f t="shared" ref="AI11:AI19" si="21" xml:space="preserve"> IF( ISNUMBER( O11 ), 0, 1 )</f>
        <v>1</v>
      </c>
      <c r="AJ11" s="886"/>
    </row>
    <row r="12" spans="2:36" s="242" customFormat="1" ht="15.75" customHeight="1">
      <c r="B12" s="775" t="s">
        <v>11463</v>
      </c>
      <c r="C12" s="286" t="s">
        <v>681</v>
      </c>
      <c r="D12" s="286">
        <v>3</v>
      </c>
      <c r="E12" s="892"/>
      <c r="F12" s="892"/>
      <c r="G12" s="892"/>
      <c r="H12" s="892"/>
      <c r="I12" s="892"/>
      <c r="J12" s="677">
        <f t="shared" si="11"/>
        <v>0</v>
      </c>
      <c r="K12" s="892"/>
      <c r="L12" s="892"/>
      <c r="M12" s="892"/>
      <c r="N12" s="892"/>
      <c r="O12" s="892"/>
      <c r="P12" s="893">
        <f t="shared" ref="P12:P19" si="22">IFERROR(SUM(K12:O12), 0)</f>
        <v>0</v>
      </c>
      <c r="R12" s="290" t="s">
        <v>11464</v>
      </c>
      <c r="T12" s="291"/>
      <c r="V12" s="886"/>
      <c r="W12" s="284" t="str">
        <f t="shared" si="0"/>
        <v>Please complete all cells in row</v>
      </c>
      <c r="X12" s="886"/>
      <c r="Y12" s="285">
        <f t="shared" si="12"/>
        <v>1</v>
      </c>
      <c r="Z12" s="285">
        <f t="shared" si="13"/>
        <v>1</v>
      </c>
      <c r="AA12" s="285">
        <f t="shared" si="14"/>
        <v>1</v>
      </c>
      <c r="AB12" s="285">
        <f t="shared" si="15"/>
        <v>1</v>
      </c>
      <c r="AC12" s="285">
        <f t="shared" si="16"/>
        <v>1</v>
      </c>
      <c r="AE12" s="285">
        <f t="shared" si="17"/>
        <v>1</v>
      </c>
      <c r="AF12" s="285">
        <f t="shared" si="18"/>
        <v>1</v>
      </c>
      <c r="AG12" s="285">
        <f t="shared" si="19"/>
        <v>1</v>
      </c>
      <c r="AH12" s="285">
        <f t="shared" si="20"/>
        <v>1</v>
      </c>
      <c r="AI12" s="285">
        <f t="shared" si="21"/>
        <v>1</v>
      </c>
      <c r="AJ12" s="886"/>
    </row>
    <row r="13" spans="2:36" s="242" customFormat="1" ht="15.75" customHeight="1">
      <c r="B13" s="775" t="s">
        <v>11465</v>
      </c>
      <c r="C13" s="286" t="s">
        <v>681</v>
      </c>
      <c r="D13" s="286">
        <v>3</v>
      </c>
      <c r="E13" s="892"/>
      <c r="F13" s="892"/>
      <c r="G13" s="892"/>
      <c r="H13" s="892"/>
      <c r="I13" s="892"/>
      <c r="J13" s="677">
        <f t="shared" si="11"/>
        <v>0</v>
      </c>
      <c r="K13" s="892"/>
      <c r="L13" s="892"/>
      <c r="M13" s="892"/>
      <c r="N13" s="892"/>
      <c r="O13" s="892"/>
      <c r="P13" s="893">
        <f t="shared" si="22"/>
        <v>0</v>
      </c>
      <c r="R13" s="290" t="s">
        <v>11466</v>
      </c>
      <c r="T13" s="291"/>
      <c r="V13" s="886"/>
      <c r="W13" s="284" t="str">
        <f t="shared" si="0"/>
        <v>Please complete all cells in row</v>
      </c>
      <c r="X13" s="886"/>
      <c r="Y13" s="285">
        <f t="shared" si="12"/>
        <v>1</v>
      </c>
      <c r="Z13" s="285">
        <f t="shared" si="13"/>
        <v>1</v>
      </c>
      <c r="AA13" s="285">
        <f t="shared" si="14"/>
        <v>1</v>
      </c>
      <c r="AB13" s="285">
        <f t="shared" si="15"/>
        <v>1</v>
      </c>
      <c r="AC13" s="285">
        <f t="shared" si="16"/>
        <v>1</v>
      </c>
      <c r="AE13" s="285">
        <f t="shared" si="17"/>
        <v>1</v>
      </c>
      <c r="AF13" s="285">
        <f t="shared" si="18"/>
        <v>1</v>
      </c>
      <c r="AG13" s="285">
        <f t="shared" si="19"/>
        <v>1</v>
      </c>
      <c r="AH13" s="285">
        <f t="shared" si="20"/>
        <v>1</v>
      </c>
      <c r="AI13" s="285">
        <f t="shared" si="21"/>
        <v>1</v>
      </c>
      <c r="AJ13" s="886"/>
    </row>
    <row r="14" spans="2:36" s="242" customFormat="1" ht="15.75" customHeight="1">
      <c r="B14" s="775" t="s">
        <v>11467</v>
      </c>
      <c r="C14" s="286" t="s">
        <v>681</v>
      </c>
      <c r="D14" s="286">
        <v>3</v>
      </c>
      <c r="E14" s="892"/>
      <c r="F14" s="892"/>
      <c r="G14" s="892"/>
      <c r="H14" s="892"/>
      <c r="I14" s="892"/>
      <c r="J14" s="677">
        <f t="shared" si="11"/>
        <v>0</v>
      </c>
      <c r="K14" s="892"/>
      <c r="L14" s="892"/>
      <c r="M14" s="892"/>
      <c r="N14" s="892"/>
      <c r="O14" s="892"/>
      <c r="P14" s="893">
        <f t="shared" si="22"/>
        <v>0</v>
      </c>
      <c r="R14" s="290" t="s">
        <v>11468</v>
      </c>
      <c r="T14" s="291"/>
      <c r="V14" s="886"/>
      <c r="W14" s="284" t="str">
        <f t="shared" si="0"/>
        <v>Please complete all cells in row</v>
      </c>
      <c r="X14" s="886"/>
      <c r="Y14" s="285">
        <f t="shared" si="12"/>
        <v>1</v>
      </c>
      <c r="Z14" s="285">
        <f t="shared" si="13"/>
        <v>1</v>
      </c>
      <c r="AA14" s="285">
        <f t="shared" si="14"/>
        <v>1</v>
      </c>
      <c r="AB14" s="285">
        <f t="shared" si="15"/>
        <v>1</v>
      </c>
      <c r="AC14" s="285">
        <f t="shared" si="16"/>
        <v>1</v>
      </c>
      <c r="AE14" s="285">
        <f t="shared" si="17"/>
        <v>1</v>
      </c>
      <c r="AF14" s="285">
        <f t="shared" si="18"/>
        <v>1</v>
      </c>
      <c r="AG14" s="285">
        <f t="shared" si="19"/>
        <v>1</v>
      </c>
      <c r="AH14" s="285">
        <f t="shared" si="20"/>
        <v>1</v>
      </c>
      <c r="AI14" s="285">
        <f t="shared" si="21"/>
        <v>1</v>
      </c>
      <c r="AJ14" s="886"/>
    </row>
    <row r="15" spans="2:36" s="242" customFormat="1" ht="15.75" customHeight="1">
      <c r="B15" s="775" t="s">
        <v>11469</v>
      </c>
      <c r="C15" s="286" t="s">
        <v>681</v>
      </c>
      <c r="D15" s="286">
        <v>3</v>
      </c>
      <c r="E15" s="892"/>
      <c r="F15" s="892"/>
      <c r="G15" s="892"/>
      <c r="H15" s="892"/>
      <c r="I15" s="892"/>
      <c r="J15" s="677">
        <f t="shared" si="11"/>
        <v>0</v>
      </c>
      <c r="K15" s="892"/>
      <c r="L15" s="892"/>
      <c r="M15" s="892"/>
      <c r="N15" s="892"/>
      <c r="O15" s="892"/>
      <c r="P15" s="893">
        <f t="shared" si="22"/>
        <v>0</v>
      </c>
      <c r="R15" s="290" t="s">
        <v>11470</v>
      </c>
      <c r="T15" s="291"/>
      <c r="V15" s="886"/>
      <c r="W15" s="284" t="str">
        <f t="shared" si="0"/>
        <v>Please complete all cells in row</v>
      </c>
      <c r="X15" s="886"/>
      <c r="Y15" s="285">
        <f t="shared" si="12"/>
        <v>1</v>
      </c>
      <c r="Z15" s="285">
        <f t="shared" si="13"/>
        <v>1</v>
      </c>
      <c r="AA15" s="285">
        <f t="shared" si="14"/>
        <v>1</v>
      </c>
      <c r="AB15" s="285">
        <f t="shared" si="15"/>
        <v>1</v>
      </c>
      <c r="AC15" s="285">
        <f t="shared" si="16"/>
        <v>1</v>
      </c>
      <c r="AE15" s="285">
        <f t="shared" si="17"/>
        <v>1</v>
      </c>
      <c r="AF15" s="285">
        <f t="shared" si="18"/>
        <v>1</v>
      </c>
      <c r="AG15" s="285">
        <f t="shared" si="19"/>
        <v>1</v>
      </c>
      <c r="AH15" s="285">
        <f t="shared" si="20"/>
        <v>1</v>
      </c>
      <c r="AI15" s="285">
        <f t="shared" si="21"/>
        <v>1</v>
      </c>
      <c r="AJ15" s="886"/>
    </row>
    <row r="16" spans="2:36" s="242" customFormat="1" ht="15.75" customHeight="1">
      <c r="B16" s="775" t="s">
        <v>11471</v>
      </c>
      <c r="C16" s="286" t="s">
        <v>681</v>
      </c>
      <c r="D16" s="286">
        <v>3</v>
      </c>
      <c r="E16" s="892"/>
      <c r="F16" s="892"/>
      <c r="G16" s="892"/>
      <c r="H16" s="892"/>
      <c r="I16" s="892"/>
      <c r="J16" s="677">
        <f t="shared" si="11"/>
        <v>0</v>
      </c>
      <c r="K16" s="892"/>
      <c r="L16" s="892"/>
      <c r="M16" s="892"/>
      <c r="N16" s="892"/>
      <c r="O16" s="892"/>
      <c r="P16" s="893">
        <f t="shared" si="22"/>
        <v>0</v>
      </c>
      <c r="R16" s="290" t="s">
        <v>11472</v>
      </c>
      <c r="T16" s="291"/>
      <c r="V16" s="886"/>
      <c r="W16" s="284" t="str">
        <f t="shared" si="0"/>
        <v>Please complete all cells in row</v>
      </c>
      <c r="X16" s="886"/>
      <c r="Y16" s="285">
        <f t="shared" si="12"/>
        <v>1</v>
      </c>
      <c r="Z16" s="285">
        <f t="shared" si="13"/>
        <v>1</v>
      </c>
      <c r="AA16" s="285">
        <f t="shared" si="14"/>
        <v>1</v>
      </c>
      <c r="AB16" s="285">
        <f t="shared" si="15"/>
        <v>1</v>
      </c>
      <c r="AC16" s="285">
        <f t="shared" si="16"/>
        <v>1</v>
      </c>
      <c r="AE16" s="285">
        <f t="shared" si="17"/>
        <v>1</v>
      </c>
      <c r="AF16" s="285">
        <f t="shared" si="18"/>
        <v>1</v>
      </c>
      <c r="AG16" s="285">
        <f t="shared" si="19"/>
        <v>1</v>
      </c>
      <c r="AH16" s="285">
        <f t="shared" si="20"/>
        <v>1</v>
      </c>
      <c r="AI16" s="285">
        <f t="shared" si="21"/>
        <v>1</v>
      </c>
      <c r="AJ16" s="886"/>
    </row>
    <row r="17" spans="2:36" s="242" customFormat="1" ht="15.75" customHeight="1">
      <c r="B17" s="775" t="s">
        <v>11473</v>
      </c>
      <c r="C17" s="286" t="s">
        <v>681</v>
      </c>
      <c r="D17" s="286">
        <v>3</v>
      </c>
      <c r="E17" s="892"/>
      <c r="F17" s="892"/>
      <c r="G17" s="892"/>
      <c r="H17" s="892"/>
      <c r="I17" s="892"/>
      <c r="J17" s="677">
        <f t="shared" si="11"/>
        <v>0</v>
      </c>
      <c r="K17" s="892"/>
      <c r="L17" s="892"/>
      <c r="M17" s="892"/>
      <c r="N17" s="892"/>
      <c r="O17" s="892"/>
      <c r="P17" s="893">
        <f t="shared" si="22"/>
        <v>0</v>
      </c>
      <c r="R17" s="290" t="s">
        <v>11474</v>
      </c>
      <c r="T17" s="291"/>
      <c r="V17" s="886"/>
      <c r="W17" s="284" t="str">
        <f t="shared" si="0"/>
        <v>Please complete all cells in row</v>
      </c>
      <c r="X17" s="886"/>
      <c r="Y17" s="285">
        <f t="shared" si="12"/>
        <v>1</v>
      </c>
      <c r="Z17" s="285">
        <f t="shared" si="13"/>
        <v>1</v>
      </c>
      <c r="AA17" s="285">
        <f t="shared" si="14"/>
        <v>1</v>
      </c>
      <c r="AB17" s="285">
        <f t="shared" si="15"/>
        <v>1</v>
      </c>
      <c r="AC17" s="285">
        <f t="shared" si="16"/>
        <v>1</v>
      </c>
      <c r="AE17" s="285">
        <f t="shared" si="17"/>
        <v>1</v>
      </c>
      <c r="AF17" s="285">
        <f t="shared" si="18"/>
        <v>1</v>
      </c>
      <c r="AG17" s="285">
        <f t="shared" si="19"/>
        <v>1</v>
      </c>
      <c r="AH17" s="285">
        <f t="shared" si="20"/>
        <v>1</v>
      </c>
      <c r="AI17" s="285">
        <f t="shared" si="21"/>
        <v>1</v>
      </c>
      <c r="AJ17" s="886"/>
    </row>
    <row r="18" spans="2:36" s="242" customFormat="1" ht="15.75" customHeight="1">
      <c r="B18" s="775" t="s">
        <v>11475</v>
      </c>
      <c r="C18" s="286" t="s">
        <v>681</v>
      </c>
      <c r="D18" s="286">
        <v>3</v>
      </c>
      <c r="E18" s="892"/>
      <c r="F18" s="892"/>
      <c r="G18" s="892"/>
      <c r="H18" s="892"/>
      <c r="I18" s="892"/>
      <c r="J18" s="677">
        <f t="shared" si="11"/>
        <v>0</v>
      </c>
      <c r="K18" s="892"/>
      <c r="L18" s="892"/>
      <c r="M18" s="892"/>
      <c r="N18" s="892"/>
      <c r="O18" s="892"/>
      <c r="P18" s="893">
        <f t="shared" si="22"/>
        <v>0</v>
      </c>
      <c r="R18" s="290" t="s">
        <v>11476</v>
      </c>
      <c r="T18" s="291"/>
      <c r="V18" s="886"/>
      <c r="W18" s="284" t="str">
        <f t="shared" si="0"/>
        <v>Please complete all cells in row</v>
      </c>
      <c r="X18" s="886"/>
      <c r="Y18" s="285">
        <f t="shared" si="12"/>
        <v>1</v>
      </c>
      <c r="Z18" s="285">
        <f t="shared" si="13"/>
        <v>1</v>
      </c>
      <c r="AA18" s="285">
        <f t="shared" si="14"/>
        <v>1</v>
      </c>
      <c r="AB18" s="285">
        <f t="shared" si="15"/>
        <v>1</v>
      </c>
      <c r="AC18" s="285">
        <f t="shared" si="16"/>
        <v>1</v>
      </c>
      <c r="AE18" s="285">
        <f t="shared" si="17"/>
        <v>1</v>
      </c>
      <c r="AF18" s="285">
        <f t="shared" si="18"/>
        <v>1</v>
      </c>
      <c r="AG18" s="285">
        <f t="shared" si="19"/>
        <v>1</v>
      </c>
      <c r="AH18" s="285">
        <f t="shared" si="20"/>
        <v>1</v>
      </c>
      <c r="AI18" s="285">
        <f t="shared" si="21"/>
        <v>1</v>
      </c>
      <c r="AJ18" s="886"/>
    </row>
    <row r="19" spans="2:36" s="242" customFormat="1" ht="15.75" customHeight="1">
      <c r="B19" s="775" t="s">
        <v>11477</v>
      </c>
      <c r="C19" s="286" t="s">
        <v>681</v>
      </c>
      <c r="D19" s="286">
        <v>3</v>
      </c>
      <c r="E19" s="892"/>
      <c r="F19" s="892"/>
      <c r="G19" s="892"/>
      <c r="H19" s="892"/>
      <c r="I19" s="892"/>
      <c r="J19" s="677">
        <f t="shared" si="11"/>
        <v>0</v>
      </c>
      <c r="K19" s="892"/>
      <c r="L19" s="892"/>
      <c r="M19" s="892"/>
      <c r="N19" s="892"/>
      <c r="O19" s="892"/>
      <c r="P19" s="893">
        <f t="shared" si="22"/>
        <v>0</v>
      </c>
      <c r="R19" s="290" t="s">
        <v>11478</v>
      </c>
      <c r="T19" s="291"/>
      <c r="V19" s="886"/>
      <c r="W19" s="284" t="str">
        <f t="shared" si="0"/>
        <v>Please complete all cells in row</v>
      </c>
      <c r="X19" s="886"/>
      <c r="Y19" s="285">
        <f t="shared" si="12"/>
        <v>1</v>
      </c>
      <c r="Z19" s="285">
        <f t="shared" si="13"/>
        <v>1</v>
      </c>
      <c r="AA19" s="285">
        <f t="shared" si="14"/>
        <v>1</v>
      </c>
      <c r="AB19" s="285">
        <f t="shared" si="15"/>
        <v>1</v>
      </c>
      <c r="AC19" s="285">
        <f t="shared" si="16"/>
        <v>1</v>
      </c>
      <c r="AE19" s="285">
        <f t="shared" si="17"/>
        <v>1</v>
      </c>
      <c r="AF19" s="285">
        <f t="shared" si="18"/>
        <v>1</v>
      </c>
      <c r="AG19" s="285">
        <f t="shared" si="19"/>
        <v>1</v>
      </c>
      <c r="AH19" s="285">
        <f t="shared" si="20"/>
        <v>1</v>
      </c>
      <c r="AI19" s="285">
        <f t="shared" si="21"/>
        <v>1</v>
      </c>
      <c r="AJ19" s="886"/>
    </row>
    <row r="20" spans="2:36" s="242" customFormat="1" ht="15.75" customHeight="1" thickBot="1">
      <c r="B20" s="463" t="s">
        <v>11479</v>
      </c>
      <c r="C20" s="355" t="s">
        <v>681</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11480</v>
      </c>
      <c r="T20" s="302"/>
      <c r="V20" s="886"/>
      <c r="W20" s="219"/>
      <c r="X20" s="886"/>
      <c r="AJ20" s="886"/>
    </row>
    <row r="21" spans="2:36" s="242" customFormat="1" ht="17.25"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1.5" thickTop="1" thickBot="1">
      <c r="B22" s="393" t="s">
        <v>11481</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11482</v>
      </c>
      <c r="C23" s="277" t="s">
        <v>681</v>
      </c>
      <c r="D23" s="277">
        <v>3</v>
      </c>
      <c r="E23" s="891"/>
      <c r="F23" s="891"/>
      <c r="G23" s="891"/>
      <c r="H23" s="891"/>
      <c r="I23" s="891"/>
      <c r="J23" s="675">
        <f>IFERROR(SUM(E23:I23), 0)</f>
        <v>0</v>
      </c>
      <c r="K23" s="891"/>
      <c r="L23" s="891"/>
      <c r="M23" s="891"/>
      <c r="N23" s="891"/>
      <c r="O23" s="891"/>
      <c r="P23" s="416">
        <f>IFERROR(SUM(K23:O23), 0)</f>
        <v>0</v>
      </c>
      <c r="R23" s="281" t="s">
        <v>11483</v>
      </c>
      <c r="T23" s="283"/>
      <c r="V23" s="886"/>
      <c r="W23" s="284" t="str">
        <f t="shared" ref="W23:W32" si="25">IF( SUM( Y23:AI23 ) = 0, 0, $Y$9 )</f>
        <v>Please complete all cells in row</v>
      </c>
      <c r="X23" s="886"/>
      <c r="Y23" s="285">
        <f t="shared" ref="Y23:Y32" si="26" xml:space="preserve"> IF( ISNUMBER( E23 ), 0, 1 )</f>
        <v>1</v>
      </c>
      <c r="Z23" s="285">
        <f t="shared" ref="Z23:Z32" si="27" xml:space="preserve"> IF( ISNUMBER( F23 ), 0, 1 )</f>
        <v>1</v>
      </c>
      <c r="AA23" s="285">
        <f t="shared" ref="AA23:AA32" si="28" xml:space="preserve"> IF( ISNUMBER( G23 ), 0, 1 )</f>
        <v>1</v>
      </c>
      <c r="AB23" s="285">
        <f t="shared" ref="AB23:AB32" si="29" xml:space="preserve"> IF( ISNUMBER( H23 ), 0, 1 )</f>
        <v>1</v>
      </c>
      <c r="AC23" s="285">
        <f t="shared" ref="AC23:AC32" si="30" xml:space="preserve"> IF( ISNUMBER( I23 ), 0, 1 )</f>
        <v>1</v>
      </c>
      <c r="AE23" s="285">
        <f t="shared" ref="AE23:AE32" si="31" xml:space="preserve"> IF( ISNUMBER( K23 ), 0, 1 )</f>
        <v>1</v>
      </c>
      <c r="AF23" s="285">
        <f t="shared" ref="AF23:AF32" si="32" xml:space="preserve"> IF( ISNUMBER( L23 ), 0, 1 )</f>
        <v>1</v>
      </c>
      <c r="AG23" s="285">
        <f t="shared" ref="AG23:AG32" si="33" xml:space="preserve"> IF( ISNUMBER( M23 ), 0, 1 )</f>
        <v>1</v>
      </c>
      <c r="AH23" s="285">
        <f t="shared" ref="AH23:AH32" si="34" xml:space="preserve"> IF( ISNUMBER( N23 ), 0, 1 )</f>
        <v>1</v>
      </c>
      <c r="AI23" s="285">
        <f t="shared" ref="AI23:AI32" si="35" xml:space="preserve"> IF( ISNUMBER( O23 ), 0, 1 )</f>
        <v>1</v>
      </c>
      <c r="AJ23" s="886"/>
    </row>
    <row r="24" spans="2:36" s="242" customFormat="1" ht="15.75" customHeight="1">
      <c r="B24" s="775" t="s">
        <v>11484</v>
      </c>
      <c r="C24" s="286" t="s">
        <v>681</v>
      </c>
      <c r="D24" s="286">
        <v>3</v>
      </c>
      <c r="E24" s="892"/>
      <c r="F24" s="892"/>
      <c r="G24" s="892"/>
      <c r="H24" s="892"/>
      <c r="I24" s="892"/>
      <c r="J24" s="677">
        <f t="shared" ref="J24:J32" si="36">IFERROR(SUM(E24:I24), 0)</f>
        <v>0</v>
      </c>
      <c r="K24" s="892"/>
      <c r="L24" s="892"/>
      <c r="M24" s="892"/>
      <c r="N24" s="892"/>
      <c r="O24" s="892"/>
      <c r="P24" s="893">
        <f t="shared" ref="P24:P32" si="37">IFERROR(SUM(K24:O24), 0)</f>
        <v>0</v>
      </c>
      <c r="R24" s="290" t="s">
        <v>11485</v>
      </c>
      <c r="T24" s="291"/>
      <c r="V24" s="886"/>
      <c r="W24" s="284" t="str">
        <f t="shared" si="25"/>
        <v>Please complete all cells in row</v>
      </c>
      <c r="X24" s="886"/>
      <c r="Y24" s="285">
        <f t="shared" si="26"/>
        <v>1</v>
      </c>
      <c r="Z24" s="285">
        <f t="shared" si="27"/>
        <v>1</v>
      </c>
      <c r="AA24" s="285">
        <f t="shared" si="28"/>
        <v>1</v>
      </c>
      <c r="AB24" s="285">
        <f t="shared" si="29"/>
        <v>1</v>
      </c>
      <c r="AC24" s="285">
        <f t="shared" si="30"/>
        <v>1</v>
      </c>
      <c r="AE24" s="285">
        <f t="shared" si="31"/>
        <v>1</v>
      </c>
      <c r="AF24" s="285">
        <f t="shared" si="32"/>
        <v>1</v>
      </c>
      <c r="AG24" s="285">
        <f t="shared" si="33"/>
        <v>1</v>
      </c>
      <c r="AH24" s="285">
        <f t="shared" si="34"/>
        <v>1</v>
      </c>
      <c r="AI24" s="285">
        <f t="shared" si="35"/>
        <v>1</v>
      </c>
      <c r="AJ24" s="886"/>
    </row>
    <row r="25" spans="2:36" s="242" customFormat="1" ht="15.75" customHeight="1">
      <c r="B25" s="775" t="s">
        <v>11486</v>
      </c>
      <c r="C25" s="286" t="s">
        <v>681</v>
      </c>
      <c r="D25" s="286">
        <v>3</v>
      </c>
      <c r="E25" s="892"/>
      <c r="F25" s="892"/>
      <c r="G25" s="892"/>
      <c r="H25" s="892"/>
      <c r="I25" s="892"/>
      <c r="J25" s="677">
        <f t="shared" si="36"/>
        <v>0</v>
      </c>
      <c r="K25" s="892"/>
      <c r="L25" s="892"/>
      <c r="M25" s="892"/>
      <c r="N25" s="892"/>
      <c r="O25" s="892"/>
      <c r="P25" s="893">
        <f t="shared" si="37"/>
        <v>0</v>
      </c>
      <c r="R25" s="290" t="s">
        <v>11487</v>
      </c>
      <c r="T25" s="291"/>
      <c r="V25" s="886"/>
      <c r="W25" s="284" t="str">
        <f t="shared" si="25"/>
        <v>Please complete all cells in row</v>
      </c>
      <c r="X25" s="886"/>
      <c r="Y25" s="285">
        <f t="shared" si="26"/>
        <v>1</v>
      </c>
      <c r="Z25" s="285">
        <f t="shared" si="27"/>
        <v>1</v>
      </c>
      <c r="AA25" s="285">
        <f t="shared" si="28"/>
        <v>1</v>
      </c>
      <c r="AB25" s="285">
        <f t="shared" si="29"/>
        <v>1</v>
      </c>
      <c r="AC25" s="285">
        <f t="shared" si="30"/>
        <v>1</v>
      </c>
      <c r="AE25" s="285">
        <f t="shared" si="31"/>
        <v>1</v>
      </c>
      <c r="AF25" s="285">
        <f t="shared" si="32"/>
        <v>1</v>
      </c>
      <c r="AG25" s="285">
        <f t="shared" si="33"/>
        <v>1</v>
      </c>
      <c r="AH25" s="285">
        <f t="shared" si="34"/>
        <v>1</v>
      </c>
      <c r="AI25" s="285">
        <f t="shared" si="35"/>
        <v>1</v>
      </c>
      <c r="AJ25" s="886"/>
    </row>
    <row r="26" spans="2:36" s="242" customFormat="1" ht="15.75" customHeight="1">
      <c r="B26" s="775" t="s">
        <v>11488</v>
      </c>
      <c r="C26" s="286" t="s">
        <v>681</v>
      </c>
      <c r="D26" s="286">
        <v>3</v>
      </c>
      <c r="E26" s="892"/>
      <c r="F26" s="892"/>
      <c r="G26" s="892"/>
      <c r="H26" s="892"/>
      <c r="I26" s="892"/>
      <c r="J26" s="677">
        <f t="shared" si="36"/>
        <v>0</v>
      </c>
      <c r="K26" s="892"/>
      <c r="L26" s="892"/>
      <c r="M26" s="892"/>
      <c r="N26" s="892"/>
      <c r="O26" s="892"/>
      <c r="P26" s="893">
        <f>IFERROR(SUM(K26:O26), 0)</f>
        <v>0</v>
      </c>
      <c r="R26" s="290" t="s">
        <v>11489</v>
      </c>
      <c r="T26" s="291"/>
      <c r="V26" s="886"/>
      <c r="W26" s="284" t="str">
        <f t="shared" si="25"/>
        <v>Please complete all cells in row</v>
      </c>
      <c r="X26" s="886"/>
      <c r="Y26" s="285">
        <f t="shared" si="26"/>
        <v>1</v>
      </c>
      <c r="Z26" s="285">
        <f t="shared" si="27"/>
        <v>1</v>
      </c>
      <c r="AA26" s="285">
        <f t="shared" si="28"/>
        <v>1</v>
      </c>
      <c r="AB26" s="285">
        <f t="shared" si="29"/>
        <v>1</v>
      </c>
      <c r="AC26" s="285">
        <f t="shared" si="30"/>
        <v>1</v>
      </c>
      <c r="AE26" s="285">
        <f t="shared" si="31"/>
        <v>1</v>
      </c>
      <c r="AF26" s="285">
        <f t="shared" si="32"/>
        <v>1</v>
      </c>
      <c r="AG26" s="285">
        <f t="shared" si="33"/>
        <v>1</v>
      </c>
      <c r="AH26" s="285">
        <f t="shared" si="34"/>
        <v>1</v>
      </c>
      <c r="AI26" s="285">
        <f t="shared" si="35"/>
        <v>1</v>
      </c>
      <c r="AJ26" s="886"/>
    </row>
    <row r="27" spans="2:36" s="242" customFormat="1" ht="15.75" customHeight="1">
      <c r="B27" s="775" t="s">
        <v>11490</v>
      </c>
      <c r="C27" s="286" t="s">
        <v>681</v>
      </c>
      <c r="D27" s="286">
        <v>3</v>
      </c>
      <c r="E27" s="892"/>
      <c r="F27" s="892"/>
      <c r="G27" s="892"/>
      <c r="H27" s="892"/>
      <c r="I27" s="892"/>
      <c r="J27" s="677">
        <f t="shared" si="36"/>
        <v>0</v>
      </c>
      <c r="K27" s="892"/>
      <c r="L27" s="892"/>
      <c r="M27" s="892"/>
      <c r="N27" s="892"/>
      <c r="O27" s="892"/>
      <c r="P27" s="893">
        <f t="shared" si="37"/>
        <v>0</v>
      </c>
      <c r="R27" s="290" t="s">
        <v>11491</v>
      </c>
      <c r="T27" s="291"/>
      <c r="V27" s="886"/>
      <c r="W27" s="284" t="str">
        <f t="shared" si="25"/>
        <v>Please complete all cells in row</v>
      </c>
      <c r="X27" s="886"/>
      <c r="Y27" s="285">
        <f t="shared" si="26"/>
        <v>1</v>
      </c>
      <c r="Z27" s="285">
        <f t="shared" si="27"/>
        <v>1</v>
      </c>
      <c r="AA27" s="285">
        <f t="shared" si="28"/>
        <v>1</v>
      </c>
      <c r="AB27" s="285">
        <f t="shared" si="29"/>
        <v>1</v>
      </c>
      <c r="AC27" s="285">
        <f t="shared" si="30"/>
        <v>1</v>
      </c>
      <c r="AE27" s="285">
        <f t="shared" si="31"/>
        <v>1</v>
      </c>
      <c r="AF27" s="285">
        <f t="shared" si="32"/>
        <v>1</v>
      </c>
      <c r="AG27" s="285">
        <f t="shared" si="33"/>
        <v>1</v>
      </c>
      <c r="AH27" s="285">
        <f t="shared" si="34"/>
        <v>1</v>
      </c>
      <c r="AI27" s="285">
        <f t="shared" si="35"/>
        <v>1</v>
      </c>
      <c r="AJ27" s="886"/>
    </row>
    <row r="28" spans="2:36" s="242" customFormat="1" ht="15.75" customHeight="1">
      <c r="B28" s="775" t="s">
        <v>11492</v>
      </c>
      <c r="C28" s="286" t="s">
        <v>681</v>
      </c>
      <c r="D28" s="286">
        <v>3</v>
      </c>
      <c r="E28" s="892"/>
      <c r="F28" s="892"/>
      <c r="G28" s="892"/>
      <c r="H28" s="892"/>
      <c r="I28" s="892"/>
      <c r="J28" s="677">
        <f t="shared" si="36"/>
        <v>0</v>
      </c>
      <c r="K28" s="892"/>
      <c r="L28" s="892"/>
      <c r="M28" s="892"/>
      <c r="N28" s="892"/>
      <c r="O28" s="892"/>
      <c r="P28" s="893">
        <f t="shared" si="37"/>
        <v>0</v>
      </c>
      <c r="R28" s="290" t="s">
        <v>11493</v>
      </c>
      <c r="T28" s="291"/>
      <c r="V28" s="886"/>
      <c r="W28" s="284" t="str">
        <f t="shared" si="25"/>
        <v>Please complete all cells in row</v>
      </c>
      <c r="X28" s="886"/>
      <c r="Y28" s="285">
        <f t="shared" si="26"/>
        <v>1</v>
      </c>
      <c r="Z28" s="285">
        <f t="shared" si="27"/>
        <v>1</v>
      </c>
      <c r="AA28" s="285">
        <f t="shared" si="28"/>
        <v>1</v>
      </c>
      <c r="AB28" s="285">
        <f t="shared" si="29"/>
        <v>1</v>
      </c>
      <c r="AC28" s="285">
        <f t="shared" si="30"/>
        <v>1</v>
      </c>
      <c r="AE28" s="285">
        <f t="shared" si="31"/>
        <v>1</v>
      </c>
      <c r="AF28" s="285">
        <f t="shared" si="32"/>
        <v>1</v>
      </c>
      <c r="AG28" s="285">
        <f t="shared" si="33"/>
        <v>1</v>
      </c>
      <c r="AH28" s="285">
        <f t="shared" si="34"/>
        <v>1</v>
      </c>
      <c r="AI28" s="285">
        <f t="shared" si="35"/>
        <v>1</v>
      </c>
      <c r="AJ28" s="886"/>
    </row>
    <row r="29" spans="2:36" s="242" customFormat="1" ht="15.75" customHeight="1">
      <c r="B29" s="775" t="s">
        <v>11494</v>
      </c>
      <c r="C29" s="286" t="s">
        <v>681</v>
      </c>
      <c r="D29" s="286">
        <v>3</v>
      </c>
      <c r="E29" s="892"/>
      <c r="F29" s="892"/>
      <c r="G29" s="892"/>
      <c r="H29" s="892"/>
      <c r="I29" s="892"/>
      <c r="J29" s="677">
        <f t="shared" si="36"/>
        <v>0</v>
      </c>
      <c r="K29" s="892"/>
      <c r="L29" s="892"/>
      <c r="M29" s="892"/>
      <c r="N29" s="892"/>
      <c r="O29" s="892"/>
      <c r="P29" s="893">
        <f t="shared" si="37"/>
        <v>0</v>
      </c>
      <c r="R29" s="290" t="s">
        <v>11495</v>
      </c>
      <c r="T29" s="291"/>
      <c r="V29" s="886"/>
      <c r="W29" s="284" t="str">
        <f t="shared" si="25"/>
        <v>Please complete all cells in row</v>
      </c>
      <c r="X29" s="886"/>
      <c r="Y29" s="285">
        <f t="shared" si="26"/>
        <v>1</v>
      </c>
      <c r="Z29" s="285">
        <f t="shared" si="27"/>
        <v>1</v>
      </c>
      <c r="AA29" s="285">
        <f t="shared" si="28"/>
        <v>1</v>
      </c>
      <c r="AB29" s="285">
        <f t="shared" si="29"/>
        <v>1</v>
      </c>
      <c r="AC29" s="285">
        <f t="shared" si="30"/>
        <v>1</v>
      </c>
      <c r="AE29" s="285">
        <f t="shared" si="31"/>
        <v>1</v>
      </c>
      <c r="AF29" s="285">
        <f t="shared" si="32"/>
        <v>1</v>
      </c>
      <c r="AG29" s="285">
        <f t="shared" si="33"/>
        <v>1</v>
      </c>
      <c r="AH29" s="285">
        <f t="shared" si="34"/>
        <v>1</v>
      </c>
      <c r="AI29" s="285">
        <f t="shared" si="35"/>
        <v>1</v>
      </c>
      <c r="AJ29" s="886"/>
    </row>
    <row r="30" spans="2:36" s="242" customFormat="1" ht="15.75" customHeight="1">
      <c r="B30" s="775" t="s">
        <v>11496</v>
      </c>
      <c r="C30" s="286" t="s">
        <v>681</v>
      </c>
      <c r="D30" s="286">
        <v>3</v>
      </c>
      <c r="E30" s="892"/>
      <c r="F30" s="892"/>
      <c r="G30" s="892"/>
      <c r="H30" s="892"/>
      <c r="I30" s="892"/>
      <c r="J30" s="677">
        <f t="shared" si="36"/>
        <v>0</v>
      </c>
      <c r="K30" s="892"/>
      <c r="L30" s="892"/>
      <c r="M30" s="892"/>
      <c r="N30" s="892"/>
      <c r="O30" s="892"/>
      <c r="P30" s="893">
        <f t="shared" si="37"/>
        <v>0</v>
      </c>
      <c r="R30" s="290" t="s">
        <v>11497</v>
      </c>
      <c r="T30" s="291"/>
      <c r="V30" s="886"/>
      <c r="W30" s="284" t="str">
        <f t="shared" si="25"/>
        <v>Please complete all cells in row</v>
      </c>
      <c r="X30" s="886"/>
      <c r="Y30" s="285">
        <f t="shared" si="26"/>
        <v>1</v>
      </c>
      <c r="Z30" s="285">
        <f t="shared" si="27"/>
        <v>1</v>
      </c>
      <c r="AA30" s="285">
        <f t="shared" si="28"/>
        <v>1</v>
      </c>
      <c r="AB30" s="285">
        <f t="shared" si="29"/>
        <v>1</v>
      </c>
      <c r="AC30" s="285">
        <f t="shared" si="30"/>
        <v>1</v>
      </c>
      <c r="AE30" s="285">
        <f t="shared" si="31"/>
        <v>1</v>
      </c>
      <c r="AF30" s="285">
        <f t="shared" si="32"/>
        <v>1</v>
      </c>
      <c r="AG30" s="285">
        <f t="shared" si="33"/>
        <v>1</v>
      </c>
      <c r="AH30" s="285">
        <f t="shared" si="34"/>
        <v>1</v>
      </c>
      <c r="AI30" s="285">
        <f t="shared" si="35"/>
        <v>1</v>
      </c>
      <c r="AJ30" s="886"/>
    </row>
    <row r="31" spans="2:36" s="242" customFormat="1" ht="15.75" customHeight="1">
      <c r="B31" s="775" t="s">
        <v>11498</v>
      </c>
      <c r="C31" s="286" t="s">
        <v>681</v>
      </c>
      <c r="D31" s="286">
        <v>3</v>
      </c>
      <c r="E31" s="892"/>
      <c r="F31" s="892"/>
      <c r="G31" s="892"/>
      <c r="H31" s="892"/>
      <c r="I31" s="892"/>
      <c r="J31" s="677">
        <f t="shared" si="36"/>
        <v>0</v>
      </c>
      <c r="K31" s="892"/>
      <c r="L31" s="892"/>
      <c r="M31" s="892"/>
      <c r="N31" s="892"/>
      <c r="O31" s="892"/>
      <c r="P31" s="893">
        <f t="shared" si="37"/>
        <v>0</v>
      </c>
      <c r="R31" s="290" t="s">
        <v>11499</v>
      </c>
      <c r="T31" s="291"/>
      <c r="V31" s="886"/>
      <c r="W31" s="284" t="str">
        <f t="shared" si="25"/>
        <v>Please complete all cells in row</v>
      </c>
      <c r="X31" s="886"/>
      <c r="Y31" s="285">
        <f t="shared" si="26"/>
        <v>1</v>
      </c>
      <c r="Z31" s="285">
        <f t="shared" si="27"/>
        <v>1</v>
      </c>
      <c r="AA31" s="285">
        <f t="shared" si="28"/>
        <v>1</v>
      </c>
      <c r="AB31" s="285">
        <f t="shared" si="29"/>
        <v>1</v>
      </c>
      <c r="AC31" s="285">
        <f t="shared" si="30"/>
        <v>1</v>
      </c>
      <c r="AE31" s="285">
        <f t="shared" si="31"/>
        <v>1</v>
      </c>
      <c r="AF31" s="285">
        <f t="shared" si="32"/>
        <v>1</v>
      </c>
      <c r="AG31" s="285">
        <f t="shared" si="33"/>
        <v>1</v>
      </c>
      <c r="AH31" s="285">
        <f t="shared" si="34"/>
        <v>1</v>
      </c>
      <c r="AI31" s="285">
        <f t="shared" si="35"/>
        <v>1</v>
      </c>
      <c r="AJ31" s="886"/>
    </row>
    <row r="32" spans="2:36" s="242" customFormat="1" ht="15.75" customHeight="1">
      <c r="B32" s="775" t="s">
        <v>11500</v>
      </c>
      <c r="C32" s="286" t="s">
        <v>681</v>
      </c>
      <c r="D32" s="286">
        <v>3</v>
      </c>
      <c r="E32" s="892"/>
      <c r="F32" s="892"/>
      <c r="G32" s="892"/>
      <c r="H32" s="892"/>
      <c r="I32" s="892"/>
      <c r="J32" s="677">
        <f t="shared" si="36"/>
        <v>0</v>
      </c>
      <c r="K32" s="892"/>
      <c r="L32" s="892"/>
      <c r="M32" s="892"/>
      <c r="N32" s="892"/>
      <c r="O32" s="892"/>
      <c r="P32" s="893">
        <f t="shared" si="37"/>
        <v>0</v>
      </c>
      <c r="R32" s="290" t="s">
        <v>11501</v>
      </c>
      <c r="T32" s="291"/>
      <c r="V32" s="886"/>
      <c r="W32" s="284" t="str">
        <f t="shared" si="25"/>
        <v>Please complete all cells in row</v>
      </c>
      <c r="X32" s="886"/>
      <c r="Y32" s="285">
        <f t="shared" si="26"/>
        <v>1</v>
      </c>
      <c r="Z32" s="285">
        <f t="shared" si="27"/>
        <v>1</v>
      </c>
      <c r="AA32" s="285">
        <f t="shared" si="28"/>
        <v>1</v>
      </c>
      <c r="AB32" s="285">
        <f t="shared" si="29"/>
        <v>1</v>
      </c>
      <c r="AC32" s="285">
        <f t="shared" si="30"/>
        <v>1</v>
      </c>
      <c r="AE32" s="285">
        <f t="shared" si="31"/>
        <v>1</v>
      </c>
      <c r="AF32" s="285">
        <f t="shared" si="32"/>
        <v>1</v>
      </c>
      <c r="AG32" s="285">
        <f t="shared" si="33"/>
        <v>1</v>
      </c>
      <c r="AH32" s="285">
        <f t="shared" si="34"/>
        <v>1</v>
      </c>
      <c r="AI32" s="285">
        <f t="shared" si="35"/>
        <v>1</v>
      </c>
      <c r="AJ32" s="886"/>
    </row>
    <row r="33" spans="1:36" s="242" customFormat="1" ht="15.75" customHeight="1" thickBot="1">
      <c r="B33" s="463" t="s">
        <v>11502</v>
      </c>
      <c r="C33" s="355" t="s">
        <v>681</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11503</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theme="0" tint="-0.499984740745262"/>
    <pageSetUpPr fitToPage="1"/>
  </sheetPr>
  <dimension ref="A1:BF44"/>
  <sheetViews>
    <sheetView showGridLines="0" topLeftCell="N13" zoomScaleNormal="100"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9"/>
      <c r="B1" s="902" t="s">
        <v>11504</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3.25">
      <c r="A2" s="219"/>
      <c r="B2" s="902" t="str">
        <f>SelectCompany!B4</f>
        <v>Northumbrian Water</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5">
      <c r="A3" s="219"/>
      <c r="B3" s="2832" t="s">
        <v>11505</v>
      </c>
      <c r="C3" s="2706"/>
      <c r="D3" s="2706"/>
      <c r="E3" s="2706"/>
      <c r="F3" s="2706"/>
      <c r="G3" s="2706"/>
      <c r="H3" s="2706"/>
      <c r="I3" s="2706"/>
      <c r="J3" s="2706"/>
      <c r="K3" s="2706"/>
      <c r="L3" s="2706"/>
      <c r="M3" s="2706"/>
      <c r="N3" s="2706"/>
      <c r="O3" s="2706"/>
      <c r="P3" s="2706"/>
      <c r="Q3" s="2706"/>
      <c r="R3" s="2706"/>
      <c r="S3" s="2706"/>
      <c r="T3" s="2706"/>
      <c r="U3" s="2706"/>
      <c r="V3" s="2706"/>
      <c r="W3" s="2706"/>
      <c r="X3" s="2706"/>
      <c r="Y3" s="2706"/>
      <c r="Z3" s="2706"/>
      <c r="AA3" s="219"/>
      <c r="AB3" s="238"/>
      <c r="AC3" s="2208" t="s">
        <v>7222</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7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5" thickTop="1">
      <c r="A5" s="242"/>
      <c r="B5" s="2822" t="s">
        <v>7224</v>
      </c>
      <c r="C5" s="2833" t="s">
        <v>7225</v>
      </c>
      <c r="D5" s="2833" t="s">
        <v>670</v>
      </c>
      <c r="E5" s="2813" t="s">
        <v>11456</v>
      </c>
      <c r="F5" s="2813"/>
      <c r="G5" s="2813"/>
      <c r="H5" s="2813"/>
      <c r="I5" s="2813"/>
      <c r="J5" s="2813"/>
      <c r="K5" s="2813"/>
      <c r="L5" s="2813"/>
      <c r="M5" s="2813"/>
      <c r="N5" s="2813" t="s">
        <v>11506</v>
      </c>
      <c r="O5" s="2813"/>
      <c r="P5" s="2813"/>
      <c r="Q5" s="2813"/>
      <c r="R5" s="2813"/>
      <c r="S5" s="2813"/>
      <c r="T5" s="2813"/>
      <c r="U5" s="2813"/>
      <c r="V5" s="2814"/>
      <c r="W5" s="242"/>
      <c r="X5" s="2790" t="s">
        <v>7229</v>
      </c>
      <c r="Y5" s="242"/>
      <c r="Z5" s="2790" t="s">
        <v>7230</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75">
      <c r="A6" s="242"/>
      <c r="B6" s="2823"/>
      <c r="C6" s="2834"/>
      <c r="D6" s="2834"/>
      <c r="E6" s="2835" t="s">
        <v>11507</v>
      </c>
      <c r="F6" s="2835"/>
      <c r="G6" s="2835"/>
      <c r="H6" s="2835"/>
      <c r="I6" s="2835"/>
      <c r="J6" s="2828" t="s">
        <v>8163</v>
      </c>
      <c r="K6" s="2828"/>
      <c r="L6" s="2828"/>
      <c r="M6" s="2828" t="s">
        <v>7445</v>
      </c>
      <c r="N6" s="2835" t="s">
        <v>11507</v>
      </c>
      <c r="O6" s="2835"/>
      <c r="P6" s="2835"/>
      <c r="Q6" s="2835"/>
      <c r="R6" s="2835"/>
      <c r="S6" s="2828" t="s">
        <v>8163</v>
      </c>
      <c r="T6" s="2828"/>
      <c r="U6" s="2828"/>
      <c r="V6" s="2830" t="s">
        <v>7445</v>
      </c>
      <c r="W6" s="242"/>
      <c r="X6" s="2791"/>
      <c r="Y6" s="242"/>
      <c r="Z6" s="2791"/>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5">
      <c r="A7" s="242"/>
      <c r="B7" s="2823"/>
      <c r="C7" s="2834"/>
      <c r="D7" s="2834"/>
      <c r="E7" s="2828" t="s">
        <v>11508</v>
      </c>
      <c r="F7" s="2828"/>
      <c r="G7" s="2828"/>
      <c r="H7" s="2828" t="s">
        <v>11207</v>
      </c>
      <c r="I7" s="2828" t="s">
        <v>11509</v>
      </c>
      <c r="J7" s="2828" t="s">
        <v>11209</v>
      </c>
      <c r="K7" s="2828" t="s">
        <v>11210</v>
      </c>
      <c r="L7" s="2828" t="s">
        <v>11211</v>
      </c>
      <c r="M7" s="2828"/>
      <c r="N7" s="2828" t="s">
        <v>11508</v>
      </c>
      <c r="O7" s="2828"/>
      <c r="P7" s="2828"/>
      <c r="Q7" s="2828" t="s">
        <v>11207</v>
      </c>
      <c r="R7" s="2828" t="s">
        <v>11509</v>
      </c>
      <c r="S7" s="2828" t="s">
        <v>11209</v>
      </c>
      <c r="T7" s="2828" t="s">
        <v>11210</v>
      </c>
      <c r="U7" s="2828" t="s">
        <v>11211</v>
      </c>
      <c r="V7" s="2830"/>
      <c r="W7" s="242"/>
      <c r="X7" s="2791"/>
      <c r="Y7" s="242"/>
      <c r="Z7" s="2791"/>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24"/>
      <c r="C8" s="2816"/>
      <c r="D8" s="2816"/>
      <c r="E8" s="887" t="s">
        <v>11204</v>
      </c>
      <c r="F8" s="887" t="s">
        <v>11205</v>
      </c>
      <c r="G8" s="887" t="s">
        <v>11206</v>
      </c>
      <c r="H8" s="2829"/>
      <c r="I8" s="2829"/>
      <c r="J8" s="2829"/>
      <c r="K8" s="2829"/>
      <c r="L8" s="2829"/>
      <c r="M8" s="2829"/>
      <c r="N8" s="887" t="s">
        <v>11204</v>
      </c>
      <c r="O8" s="887" t="s">
        <v>11205</v>
      </c>
      <c r="P8" s="887" t="s">
        <v>11206</v>
      </c>
      <c r="Q8" s="2829"/>
      <c r="R8" s="2829"/>
      <c r="S8" s="2829"/>
      <c r="T8" s="2829"/>
      <c r="U8" s="2829"/>
      <c r="V8" s="2831"/>
      <c r="W8" s="242"/>
      <c r="X8" s="2792"/>
      <c r="Y8" s="242"/>
      <c r="Z8" s="2792"/>
      <c r="AA8" s="242"/>
      <c r="AB8" s="886"/>
      <c r="AC8" s="242"/>
      <c r="AD8" s="886"/>
      <c r="AE8" s="2668" t="s">
        <v>7223</v>
      </c>
      <c r="AF8" s="2668"/>
      <c r="AG8" s="2668"/>
      <c r="AH8" s="2819"/>
      <c r="AI8" s="2819"/>
      <c r="AJ8" s="2819"/>
      <c r="AK8" s="2819"/>
      <c r="AL8" s="2819"/>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7.25"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7231</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7.25" thickTop="1" thickBot="1">
      <c r="A10" s="242"/>
      <c r="B10" s="393" t="s">
        <v>11458</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11510</v>
      </c>
      <c r="C11" s="277" t="s">
        <v>681</v>
      </c>
      <c r="D11" s="277">
        <v>3</v>
      </c>
      <c r="E11" s="694"/>
      <c r="F11" s="694"/>
      <c r="G11" s="694"/>
      <c r="H11" s="694"/>
      <c r="I11" s="694"/>
      <c r="J11" s="694"/>
      <c r="K11" s="694"/>
      <c r="L11" s="694"/>
      <c r="M11" s="1595">
        <f>IFERROR(SUM(E11:L11), 0)</f>
        <v>0</v>
      </c>
      <c r="N11" s="694"/>
      <c r="O11" s="694"/>
      <c r="P11" s="694"/>
      <c r="Q11" s="694"/>
      <c r="R11" s="694"/>
      <c r="S11" s="694"/>
      <c r="T11" s="694"/>
      <c r="U11" s="694"/>
      <c r="V11" s="1596">
        <f>IFERROR(SUM(N11:U11), 0)</f>
        <v>0</v>
      </c>
      <c r="W11" s="242"/>
      <c r="X11" s="281" t="s">
        <v>11511</v>
      </c>
      <c r="Y11" s="242"/>
      <c r="Z11" s="283"/>
      <c r="AA11" s="242"/>
      <c r="AB11" s="886"/>
      <c r="AC11" s="284" t="str">
        <f>IF( SUM( AE11:AU11 ) = 0, 0, $AE$9 )</f>
        <v>Please complete all cells in row</v>
      </c>
      <c r="AD11" s="886"/>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6"/>
      <c r="AW11" s="242"/>
      <c r="AX11" s="242"/>
      <c r="AY11" s="242"/>
      <c r="AZ11" s="242"/>
      <c r="BA11" s="242"/>
      <c r="BB11" s="242"/>
      <c r="BC11" s="242"/>
      <c r="BD11" s="242"/>
      <c r="BE11" s="242"/>
      <c r="BF11" s="242"/>
    </row>
    <row r="12" spans="1:58" s="9" customFormat="1" ht="15.75" customHeight="1">
      <c r="A12" s="242"/>
      <c r="B12" s="775" t="s">
        <v>11512</v>
      </c>
      <c r="C12" s="286" t="s">
        <v>681</v>
      </c>
      <c r="D12" s="286">
        <v>3</v>
      </c>
      <c r="E12" s="697"/>
      <c r="F12" s="697"/>
      <c r="G12" s="697"/>
      <c r="H12" s="697"/>
      <c r="I12" s="697"/>
      <c r="J12" s="697"/>
      <c r="K12" s="697"/>
      <c r="L12" s="697"/>
      <c r="M12" s="1597">
        <f>IFERROR(SUM(E12:L12), 0)</f>
        <v>0</v>
      </c>
      <c r="N12" s="697"/>
      <c r="O12" s="697"/>
      <c r="P12" s="697"/>
      <c r="Q12" s="697"/>
      <c r="R12" s="697"/>
      <c r="S12" s="697"/>
      <c r="T12" s="697"/>
      <c r="U12" s="697"/>
      <c r="V12" s="1598">
        <f>IFERROR(SUM(N12:U12), 0)</f>
        <v>0</v>
      </c>
      <c r="W12" s="242"/>
      <c r="X12" s="290" t="s">
        <v>11513</v>
      </c>
      <c r="Y12" s="242"/>
      <c r="Z12" s="291"/>
      <c r="AA12" s="242"/>
      <c r="AB12" s="886"/>
      <c r="AC12" s="284" t="str">
        <f t="shared" ref="AC12:AC20" si="16">IF( SUM( AE12:AU12 ) = 0, 0, $AE$9 )</f>
        <v>Please complete all cells in row</v>
      </c>
      <c r="AD12" s="886"/>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6"/>
      <c r="AW12" s="242"/>
      <c r="AX12" s="242"/>
      <c r="AY12" s="242"/>
      <c r="AZ12" s="242"/>
      <c r="BA12" s="242"/>
      <c r="BB12" s="242"/>
      <c r="BC12" s="242"/>
      <c r="BD12" s="242"/>
      <c r="BE12" s="242"/>
      <c r="BF12" s="242"/>
    </row>
    <row r="13" spans="1:58" s="9" customFormat="1" ht="15.75" customHeight="1">
      <c r="A13" s="242"/>
      <c r="B13" s="775" t="s">
        <v>11514</v>
      </c>
      <c r="C13" s="286" t="s">
        <v>681</v>
      </c>
      <c r="D13" s="286">
        <v>3</v>
      </c>
      <c r="E13" s="697"/>
      <c r="F13" s="697"/>
      <c r="G13" s="697"/>
      <c r="H13" s="697"/>
      <c r="I13" s="697"/>
      <c r="J13" s="697"/>
      <c r="K13" s="697"/>
      <c r="L13" s="697"/>
      <c r="M13" s="1597">
        <f t="shared" ref="M13:M20" si="33">IFERROR(SUM(E13:L13), 0)</f>
        <v>0</v>
      </c>
      <c r="N13" s="697"/>
      <c r="O13" s="697"/>
      <c r="P13" s="697"/>
      <c r="Q13" s="697"/>
      <c r="R13" s="697"/>
      <c r="S13" s="697"/>
      <c r="T13" s="697"/>
      <c r="U13" s="697"/>
      <c r="V13" s="1598">
        <f t="shared" ref="V13:V20" si="34">IFERROR(SUM(N13:U13), 0)</f>
        <v>0</v>
      </c>
      <c r="W13" s="242"/>
      <c r="X13" s="290" t="s">
        <v>11515</v>
      </c>
      <c r="Y13" s="242"/>
      <c r="Z13" s="291"/>
      <c r="AA13" s="242"/>
      <c r="AB13" s="886"/>
      <c r="AC13" s="284" t="str">
        <f t="shared" si="16"/>
        <v>Please complete all cells in row</v>
      </c>
      <c r="AD13" s="886"/>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6"/>
      <c r="AW13" s="242"/>
      <c r="AX13" s="242"/>
      <c r="AY13" s="242"/>
      <c r="AZ13" s="242"/>
      <c r="BA13" s="242"/>
      <c r="BB13" s="242"/>
      <c r="BC13" s="242"/>
      <c r="BD13" s="242"/>
      <c r="BE13" s="242"/>
      <c r="BF13" s="242"/>
    </row>
    <row r="14" spans="1:58" s="9" customFormat="1" ht="15.75" customHeight="1">
      <c r="A14" s="242"/>
      <c r="B14" s="775" t="s">
        <v>11516</v>
      </c>
      <c r="C14" s="286" t="s">
        <v>681</v>
      </c>
      <c r="D14" s="286">
        <v>3</v>
      </c>
      <c r="E14" s="697"/>
      <c r="F14" s="697"/>
      <c r="G14" s="697"/>
      <c r="H14" s="697"/>
      <c r="I14" s="697"/>
      <c r="J14" s="697"/>
      <c r="K14" s="697"/>
      <c r="L14" s="697"/>
      <c r="M14" s="1597">
        <f t="shared" si="33"/>
        <v>0</v>
      </c>
      <c r="N14" s="697"/>
      <c r="O14" s="697"/>
      <c r="P14" s="697"/>
      <c r="Q14" s="697"/>
      <c r="R14" s="697"/>
      <c r="S14" s="697"/>
      <c r="T14" s="697"/>
      <c r="U14" s="697"/>
      <c r="V14" s="1598">
        <f t="shared" si="34"/>
        <v>0</v>
      </c>
      <c r="W14" s="242"/>
      <c r="X14" s="290" t="s">
        <v>11517</v>
      </c>
      <c r="Y14" s="242"/>
      <c r="Z14" s="291"/>
      <c r="AA14" s="242"/>
      <c r="AB14" s="886"/>
      <c r="AC14" s="284" t="str">
        <f t="shared" si="16"/>
        <v>Please complete all cells in row</v>
      </c>
      <c r="AD14" s="886"/>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6"/>
      <c r="AW14" s="242"/>
      <c r="AX14" s="242"/>
      <c r="AY14" s="242"/>
      <c r="AZ14" s="242"/>
      <c r="BA14" s="242"/>
      <c r="BB14" s="242"/>
      <c r="BC14" s="242"/>
      <c r="BD14" s="242"/>
      <c r="BE14" s="242"/>
      <c r="BF14" s="242"/>
    </row>
    <row r="15" spans="1:58" s="9" customFormat="1" ht="15.75" customHeight="1">
      <c r="A15" s="242"/>
      <c r="B15" s="775" t="s">
        <v>11518</v>
      </c>
      <c r="C15" s="286" t="s">
        <v>681</v>
      </c>
      <c r="D15" s="286">
        <v>3</v>
      </c>
      <c r="E15" s="697"/>
      <c r="F15" s="697"/>
      <c r="G15" s="697"/>
      <c r="H15" s="697"/>
      <c r="I15" s="697"/>
      <c r="J15" s="697"/>
      <c r="K15" s="697"/>
      <c r="L15" s="697"/>
      <c r="M15" s="1597">
        <f t="shared" si="33"/>
        <v>0</v>
      </c>
      <c r="N15" s="697"/>
      <c r="O15" s="697"/>
      <c r="P15" s="697"/>
      <c r="Q15" s="697"/>
      <c r="R15" s="697"/>
      <c r="S15" s="697"/>
      <c r="T15" s="697"/>
      <c r="U15" s="697"/>
      <c r="V15" s="1598">
        <f t="shared" si="34"/>
        <v>0</v>
      </c>
      <c r="W15" s="242"/>
      <c r="X15" s="290" t="s">
        <v>11519</v>
      </c>
      <c r="Y15" s="242"/>
      <c r="Z15" s="291"/>
      <c r="AA15" s="242"/>
      <c r="AB15" s="886"/>
      <c r="AC15" s="284" t="str">
        <f t="shared" si="16"/>
        <v>Please complete all cells in row</v>
      </c>
      <c r="AD15" s="886"/>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6"/>
      <c r="AW15" s="242"/>
      <c r="AX15" s="242"/>
      <c r="AY15" s="242"/>
      <c r="AZ15" s="242"/>
      <c r="BA15" s="242"/>
      <c r="BB15" s="242"/>
      <c r="BC15" s="242"/>
      <c r="BD15" s="242"/>
      <c r="BE15" s="242"/>
      <c r="BF15" s="242"/>
    </row>
    <row r="16" spans="1:58" s="9" customFormat="1" ht="15.75" customHeight="1">
      <c r="A16" s="242"/>
      <c r="B16" s="775" t="s">
        <v>11520</v>
      </c>
      <c r="C16" s="286" t="s">
        <v>681</v>
      </c>
      <c r="D16" s="286">
        <v>3</v>
      </c>
      <c r="E16" s="697"/>
      <c r="F16" s="697"/>
      <c r="G16" s="697"/>
      <c r="H16" s="697"/>
      <c r="I16" s="697"/>
      <c r="J16" s="697"/>
      <c r="K16" s="697"/>
      <c r="L16" s="697"/>
      <c r="M16" s="1597">
        <f t="shared" si="33"/>
        <v>0</v>
      </c>
      <c r="N16" s="697"/>
      <c r="O16" s="697"/>
      <c r="P16" s="697"/>
      <c r="Q16" s="697"/>
      <c r="R16" s="697"/>
      <c r="S16" s="697"/>
      <c r="T16" s="697"/>
      <c r="U16" s="697"/>
      <c r="V16" s="1598">
        <f t="shared" si="34"/>
        <v>0</v>
      </c>
      <c r="W16" s="242"/>
      <c r="X16" s="290" t="s">
        <v>11521</v>
      </c>
      <c r="Y16" s="242"/>
      <c r="Z16" s="291"/>
      <c r="AA16" s="242"/>
      <c r="AB16" s="886"/>
      <c r="AC16" s="284" t="str">
        <f t="shared" si="16"/>
        <v>Please complete all cells in row</v>
      </c>
      <c r="AD16" s="886"/>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6"/>
      <c r="AW16" s="242"/>
      <c r="AX16" s="242"/>
      <c r="AY16" s="242"/>
      <c r="AZ16" s="242"/>
      <c r="BA16" s="242"/>
      <c r="BB16" s="242"/>
      <c r="BC16" s="242"/>
      <c r="BD16" s="242"/>
      <c r="BE16" s="242"/>
      <c r="BF16" s="242"/>
    </row>
    <row r="17" spans="1:58" s="9" customFormat="1" ht="15.75" customHeight="1">
      <c r="A17" s="242"/>
      <c r="B17" s="775" t="s">
        <v>11522</v>
      </c>
      <c r="C17" s="286" t="s">
        <v>681</v>
      </c>
      <c r="D17" s="286">
        <v>3</v>
      </c>
      <c r="E17" s="697"/>
      <c r="F17" s="697"/>
      <c r="G17" s="697"/>
      <c r="H17" s="697"/>
      <c r="I17" s="697"/>
      <c r="J17" s="697"/>
      <c r="K17" s="697"/>
      <c r="L17" s="697"/>
      <c r="M17" s="1597">
        <f t="shared" si="33"/>
        <v>0</v>
      </c>
      <c r="N17" s="697"/>
      <c r="O17" s="697"/>
      <c r="P17" s="697"/>
      <c r="Q17" s="697"/>
      <c r="R17" s="697"/>
      <c r="S17" s="697"/>
      <c r="T17" s="697"/>
      <c r="U17" s="697"/>
      <c r="V17" s="1598">
        <f t="shared" si="34"/>
        <v>0</v>
      </c>
      <c r="W17" s="242"/>
      <c r="X17" s="290" t="s">
        <v>11523</v>
      </c>
      <c r="Y17" s="242"/>
      <c r="Z17" s="291"/>
      <c r="AA17" s="242"/>
      <c r="AB17" s="886"/>
      <c r="AC17" s="284" t="str">
        <f t="shared" si="16"/>
        <v>Please complete all cells in row</v>
      </c>
      <c r="AD17" s="886"/>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6"/>
      <c r="AW17" s="242"/>
      <c r="AX17" s="242"/>
      <c r="AY17" s="242"/>
      <c r="AZ17" s="242"/>
      <c r="BA17" s="242"/>
      <c r="BB17" s="242"/>
      <c r="BC17" s="242"/>
      <c r="BD17" s="242"/>
      <c r="BE17" s="242"/>
      <c r="BF17" s="242"/>
    </row>
    <row r="18" spans="1:58" s="9" customFormat="1" ht="15.75" customHeight="1">
      <c r="A18" s="242"/>
      <c r="B18" s="775" t="s">
        <v>11524</v>
      </c>
      <c r="C18" s="286" t="s">
        <v>681</v>
      </c>
      <c r="D18" s="286">
        <v>3</v>
      </c>
      <c r="E18" s="697"/>
      <c r="F18" s="697"/>
      <c r="G18" s="697"/>
      <c r="H18" s="697"/>
      <c r="I18" s="697"/>
      <c r="J18" s="697"/>
      <c r="K18" s="697"/>
      <c r="L18" s="697"/>
      <c r="M18" s="1597">
        <f t="shared" si="33"/>
        <v>0</v>
      </c>
      <c r="N18" s="697"/>
      <c r="O18" s="697"/>
      <c r="P18" s="697"/>
      <c r="Q18" s="697"/>
      <c r="R18" s="697"/>
      <c r="S18" s="697"/>
      <c r="T18" s="697"/>
      <c r="U18" s="697"/>
      <c r="V18" s="1598">
        <f t="shared" si="34"/>
        <v>0</v>
      </c>
      <c r="W18" s="242"/>
      <c r="X18" s="290" t="s">
        <v>11525</v>
      </c>
      <c r="Y18" s="242"/>
      <c r="Z18" s="291"/>
      <c r="AA18" s="242"/>
      <c r="AB18" s="886"/>
      <c r="AC18" s="284" t="str">
        <f t="shared" si="16"/>
        <v>Please complete all cells in row</v>
      </c>
      <c r="AD18" s="886"/>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6"/>
      <c r="AW18" s="242"/>
      <c r="AX18" s="242"/>
      <c r="AY18" s="242"/>
      <c r="AZ18" s="242"/>
      <c r="BA18" s="242"/>
      <c r="BB18" s="242"/>
      <c r="BC18" s="242"/>
      <c r="BD18" s="242"/>
      <c r="BE18" s="242"/>
      <c r="BF18" s="242"/>
    </row>
    <row r="19" spans="1:58" s="9" customFormat="1" ht="15.75" customHeight="1">
      <c r="A19" s="242"/>
      <c r="B19" s="775" t="s">
        <v>11526</v>
      </c>
      <c r="C19" s="286" t="s">
        <v>681</v>
      </c>
      <c r="D19" s="286">
        <v>3</v>
      </c>
      <c r="E19" s="697"/>
      <c r="F19" s="697"/>
      <c r="G19" s="697"/>
      <c r="H19" s="697"/>
      <c r="I19" s="697"/>
      <c r="J19" s="697"/>
      <c r="K19" s="697"/>
      <c r="L19" s="697"/>
      <c r="M19" s="1597">
        <f t="shared" si="33"/>
        <v>0</v>
      </c>
      <c r="N19" s="697"/>
      <c r="O19" s="697"/>
      <c r="P19" s="697"/>
      <c r="Q19" s="697"/>
      <c r="R19" s="697"/>
      <c r="S19" s="697"/>
      <c r="T19" s="697"/>
      <c r="U19" s="697"/>
      <c r="V19" s="1598">
        <f t="shared" si="34"/>
        <v>0</v>
      </c>
      <c r="W19" s="242"/>
      <c r="X19" s="290" t="s">
        <v>11527</v>
      </c>
      <c r="Y19" s="242"/>
      <c r="Z19" s="291"/>
      <c r="AA19" s="242"/>
      <c r="AB19" s="886"/>
      <c r="AC19" s="284" t="str">
        <f t="shared" si="16"/>
        <v>Please complete all cells in row</v>
      </c>
      <c r="AD19" s="886"/>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6"/>
      <c r="AW19" s="242"/>
      <c r="AX19" s="242"/>
      <c r="AY19" s="242"/>
      <c r="AZ19" s="242"/>
      <c r="BA19" s="242"/>
      <c r="BB19" s="242"/>
      <c r="BC19" s="242"/>
      <c r="BD19" s="242"/>
      <c r="BE19" s="242"/>
      <c r="BF19" s="242"/>
    </row>
    <row r="20" spans="1:58" s="9" customFormat="1" ht="15.75" customHeight="1">
      <c r="A20" s="242"/>
      <c r="B20" s="775" t="s">
        <v>11528</v>
      </c>
      <c r="C20" s="286" t="s">
        <v>681</v>
      </c>
      <c r="D20" s="286">
        <v>3</v>
      </c>
      <c r="E20" s="697"/>
      <c r="F20" s="697"/>
      <c r="G20" s="697"/>
      <c r="H20" s="697"/>
      <c r="I20" s="697"/>
      <c r="J20" s="697"/>
      <c r="K20" s="697"/>
      <c r="L20" s="697"/>
      <c r="M20" s="1597">
        <f t="shared" si="33"/>
        <v>0</v>
      </c>
      <c r="N20" s="697"/>
      <c r="O20" s="697"/>
      <c r="P20" s="697"/>
      <c r="Q20" s="697"/>
      <c r="R20" s="697"/>
      <c r="S20" s="697"/>
      <c r="T20" s="697"/>
      <c r="U20" s="697"/>
      <c r="V20" s="1598">
        <f t="shared" si="34"/>
        <v>0</v>
      </c>
      <c r="W20" s="242"/>
      <c r="X20" s="290" t="s">
        <v>11529</v>
      </c>
      <c r="Y20" s="242"/>
      <c r="Z20" s="291"/>
      <c r="AA20" s="242"/>
      <c r="AB20" s="886"/>
      <c r="AC20" s="284" t="str">
        <f t="shared" si="16"/>
        <v>Please complete all cells in row</v>
      </c>
      <c r="AD20" s="886"/>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6"/>
      <c r="AW20" s="242"/>
      <c r="AX20" s="242"/>
      <c r="AY20" s="242"/>
      <c r="AZ20" s="242"/>
      <c r="BA20" s="242"/>
      <c r="BB20" s="242"/>
      <c r="BC20" s="242"/>
      <c r="BD20" s="242"/>
      <c r="BE20" s="242"/>
      <c r="BF20" s="242"/>
    </row>
    <row r="21" spans="1:58" s="9" customFormat="1" ht="30" customHeight="1" thickBot="1">
      <c r="A21" s="242"/>
      <c r="B21" s="463" t="s">
        <v>11479</v>
      </c>
      <c r="C21" s="355" t="s">
        <v>681</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11530</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7.25"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 customHeight="1" thickTop="1" thickBot="1">
      <c r="A23" s="242"/>
      <c r="B23" s="393" t="s">
        <v>11481</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11531</v>
      </c>
      <c r="C24" s="277" t="s">
        <v>681</v>
      </c>
      <c r="D24" s="277">
        <v>3</v>
      </c>
      <c r="E24" s="694"/>
      <c r="F24" s="694"/>
      <c r="G24" s="694"/>
      <c r="H24" s="694"/>
      <c r="I24" s="694"/>
      <c r="J24" s="694"/>
      <c r="K24" s="694"/>
      <c r="L24" s="694"/>
      <c r="M24" s="1595">
        <f>IFERROR(SUM(E24:L24), 0)</f>
        <v>0</v>
      </c>
      <c r="N24" s="694"/>
      <c r="O24" s="694"/>
      <c r="P24" s="694"/>
      <c r="Q24" s="694"/>
      <c r="R24" s="694"/>
      <c r="S24" s="694"/>
      <c r="T24" s="694"/>
      <c r="U24" s="694"/>
      <c r="V24" s="1596">
        <f>IFERROR(SUM(N24:U24), 0)</f>
        <v>0</v>
      </c>
      <c r="W24" s="242"/>
      <c r="X24" s="281" t="s">
        <v>11532</v>
      </c>
      <c r="Y24" s="242"/>
      <c r="Z24" s="283"/>
      <c r="AA24" s="242"/>
      <c r="AB24" s="886"/>
      <c r="AC24" s="284" t="str">
        <f t="shared" ref="AC24:AC33" si="37">IF( SUM( AE24:AU24 ) = 0, 0, $AE$9 )</f>
        <v>Please complete all cells in row</v>
      </c>
      <c r="AD24" s="886"/>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6"/>
      <c r="AW24" s="242"/>
      <c r="AX24" s="242"/>
      <c r="AY24" s="242"/>
      <c r="AZ24" s="242"/>
      <c r="BA24" s="242"/>
      <c r="BB24" s="242"/>
      <c r="BC24" s="242"/>
      <c r="BD24" s="242"/>
      <c r="BE24" s="242"/>
      <c r="BF24" s="242"/>
    </row>
    <row r="25" spans="1:58" s="9" customFormat="1" ht="15.75" customHeight="1">
      <c r="A25" s="242"/>
      <c r="B25" s="775" t="s">
        <v>11533</v>
      </c>
      <c r="C25" s="286" t="s">
        <v>681</v>
      </c>
      <c r="D25" s="286">
        <v>3</v>
      </c>
      <c r="E25" s="697"/>
      <c r="F25" s="697"/>
      <c r="G25" s="697"/>
      <c r="H25" s="697"/>
      <c r="I25" s="697"/>
      <c r="J25" s="697"/>
      <c r="K25" s="697"/>
      <c r="L25" s="697"/>
      <c r="M25" s="1597">
        <f>IFERROR(SUM(E25:L25), 0)</f>
        <v>0</v>
      </c>
      <c r="N25" s="697"/>
      <c r="O25" s="697"/>
      <c r="P25" s="697"/>
      <c r="Q25" s="697"/>
      <c r="R25" s="697"/>
      <c r="S25" s="697"/>
      <c r="T25" s="697"/>
      <c r="U25" s="697"/>
      <c r="V25" s="1598">
        <f>IFERROR(SUM(N25:U25), 0)</f>
        <v>0</v>
      </c>
      <c r="W25" s="242"/>
      <c r="X25" s="290" t="s">
        <v>11534</v>
      </c>
      <c r="Y25" s="242"/>
      <c r="Z25" s="291"/>
      <c r="AA25" s="242"/>
      <c r="AB25" s="886"/>
      <c r="AC25" s="284" t="str">
        <f t="shared" si="37"/>
        <v>Please complete all cells in row</v>
      </c>
      <c r="AD25" s="886"/>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6"/>
      <c r="AW25" s="242"/>
      <c r="AX25" s="242"/>
      <c r="AY25" s="242"/>
      <c r="AZ25" s="242"/>
      <c r="BA25" s="242"/>
      <c r="BB25" s="242"/>
      <c r="BC25" s="242"/>
      <c r="BD25" s="242"/>
      <c r="BE25" s="242"/>
      <c r="BF25" s="242"/>
    </row>
    <row r="26" spans="1:58" s="9" customFormat="1" ht="15.75" customHeight="1">
      <c r="A26" s="242"/>
      <c r="B26" s="775" t="s">
        <v>11535</v>
      </c>
      <c r="C26" s="286" t="s">
        <v>681</v>
      </c>
      <c r="D26" s="286">
        <v>3</v>
      </c>
      <c r="E26" s="697"/>
      <c r="F26" s="697"/>
      <c r="G26" s="697"/>
      <c r="H26" s="697"/>
      <c r="I26" s="697"/>
      <c r="J26" s="697"/>
      <c r="K26" s="697"/>
      <c r="L26" s="697"/>
      <c r="M26" s="1597">
        <f t="shared" ref="M26:M33" si="54">IFERROR(SUM(E26:L26), 0)</f>
        <v>0</v>
      </c>
      <c r="N26" s="697"/>
      <c r="O26" s="697"/>
      <c r="P26" s="697"/>
      <c r="Q26" s="697"/>
      <c r="R26" s="697"/>
      <c r="S26" s="697"/>
      <c r="T26" s="697"/>
      <c r="U26" s="697"/>
      <c r="V26" s="1598">
        <f t="shared" ref="V26:V33" si="55">IFERROR(SUM(N26:U26), 0)</f>
        <v>0</v>
      </c>
      <c r="W26" s="242"/>
      <c r="X26" s="290" t="s">
        <v>11536</v>
      </c>
      <c r="Y26" s="242"/>
      <c r="Z26" s="291"/>
      <c r="AA26" s="242"/>
      <c r="AB26" s="886"/>
      <c r="AC26" s="284" t="str">
        <f t="shared" si="37"/>
        <v>Please complete all cells in row</v>
      </c>
      <c r="AD26" s="886"/>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6"/>
      <c r="AW26" s="242"/>
      <c r="AX26" s="242"/>
      <c r="AY26" s="242"/>
      <c r="AZ26" s="242"/>
      <c r="BA26" s="242"/>
      <c r="BB26" s="242"/>
      <c r="BC26" s="242"/>
      <c r="BD26" s="242"/>
      <c r="BE26" s="242"/>
      <c r="BF26" s="242"/>
    </row>
    <row r="27" spans="1:58" s="9" customFormat="1" ht="15.75" customHeight="1">
      <c r="A27" s="242"/>
      <c r="B27" s="775" t="s">
        <v>11537</v>
      </c>
      <c r="C27" s="286" t="s">
        <v>681</v>
      </c>
      <c r="D27" s="286">
        <v>3</v>
      </c>
      <c r="E27" s="697"/>
      <c r="F27" s="697"/>
      <c r="G27" s="697"/>
      <c r="H27" s="697"/>
      <c r="I27" s="697"/>
      <c r="J27" s="697"/>
      <c r="K27" s="697"/>
      <c r="L27" s="697"/>
      <c r="M27" s="1597">
        <f t="shared" si="54"/>
        <v>0</v>
      </c>
      <c r="N27" s="697"/>
      <c r="O27" s="697"/>
      <c r="P27" s="697"/>
      <c r="Q27" s="697"/>
      <c r="R27" s="697"/>
      <c r="S27" s="697"/>
      <c r="T27" s="697"/>
      <c r="U27" s="697"/>
      <c r="V27" s="1598">
        <f t="shared" si="55"/>
        <v>0</v>
      </c>
      <c r="W27" s="242"/>
      <c r="X27" s="290" t="s">
        <v>11538</v>
      </c>
      <c r="Y27" s="242"/>
      <c r="Z27" s="291"/>
      <c r="AA27" s="242"/>
      <c r="AB27" s="886"/>
      <c r="AC27" s="284" t="str">
        <f t="shared" si="37"/>
        <v>Please complete all cells in row</v>
      </c>
      <c r="AD27" s="886"/>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6"/>
      <c r="AW27" s="242"/>
      <c r="AX27" s="242"/>
      <c r="AY27" s="242"/>
      <c r="AZ27" s="242"/>
      <c r="BA27" s="242"/>
      <c r="BB27" s="242"/>
      <c r="BC27" s="242"/>
      <c r="BD27" s="242"/>
      <c r="BE27" s="242"/>
      <c r="BF27" s="242"/>
    </row>
    <row r="28" spans="1:58" s="9" customFormat="1" ht="15.75" customHeight="1">
      <c r="A28" s="242"/>
      <c r="B28" s="775" t="s">
        <v>11539</v>
      </c>
      <c r="C28" s="286" t="s">
        <v>681</v>
      </c>
      <c r="D28" s="286">
        <v>3</v>
      </c>
      <c r="E28" s="697"/>
      <c r="F28" s="697"/>
      <c r="G28" s="697"/>
      <c r="H28" s="697"/>
      <c r="I28" s="697"/>
      <c r="J28" s="697"/>
      <c r="K28" s="697"/>
      <c r="L28" s="697"/>
      <c r="M28" s="1597">
        <f t="shared" si="54"/>
        <v>0</v>
      </c>
      <c r="N28" s="697"/>
      <c r="O28" s="697"/>
      <c r="P28" s="697"/>
      <c r="Q28" s="697"/>
      <c r="R28" s="697"/>
      <c r="S28" s="697"/>
      <c r="T28" s="697"/>
      <c r="U28" s="697"/>
      <c r="V28" s="1598">
        <f t="shared" si="55"/>
        <v>0</v>
      </c>
      <c r="W28" s="242"/>
      <c r="X28" s="290" t="s">
        <v>11540</v>
      </c>
      <c r="Y28" s="242"/>
      <c r="Z28" s="291"/>
      <c r="AA28" s="242"/>
      <c r="AB28" s="886"/>
      <c r="AC28" s="284" t="str">
        <f t="shared" si="37"/>
        <v>Please complete all cells in row</v>
      </c>
      <c r="AD28" s="886"/>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6"/>
      <c r="AW28" s="242"/>
      <c r="AX28" s="242"/>
      <c r="AY28" s="242"/>
      <c r="AZ28" s="242"/>
      <c r="BA28" s="242"/>
      <c r="BB28" s="242"/>
      <c r="BC28" s="242"/>
      <c r="BD28" s="242"/>
      <c r="BE28" s="242"/>
      <c r="BF28" s="242"/>
    </row>
    <row r="29" spans="1:58" s="9" customFormat="1" ht="15.75" customHeight="1">
      <c r="A29" s="242"/>
      <c r="B29" s="775" t="s">
        <v>11541</v>
      </c>
      <c r="C29" s="286" t="s">
        <v>681</v>
      </c>
      <c r="D29" s="286">
        <v>3</v>
      </c>
      <c r="E29" s="697"/>
      <c r="F29" s="697"/>
      <c r="G29" s="697"/>
      <c r="H29" s="697"/>
      <c r="I29" s="697"/>
      <c r="J29" s="697"/>
      <c r="K29" s="697"/>
      <c r="L29" s="697"/>
      <c r="M29" s="1597">
        <f t="shared" si="54"/>
        <v>0</v>
      </c>
      <c r="N29" s="697"/>
      <c r="O29" s="697"/>
      <c r="P29" s="697"/>
      <c r="Q29" s="697"/>
      <c r="R29" s="697"/>
      <c r="S29" s="697"/>
      <c r="T29" s="697"/>
      <c r="U29" s="697"/>
      <c r="V29" s="1598">
        <f t="shared" si="55"/>
        <v>0</v>
      </c>
      <c r="W29" s="242"/>
      <c r="X29" s="290" t="s">
        <v>11542</v>
      </c>
      <c r="Y29" s="242"/>
      <c r="Z29" s="291"/>
      <c r="AA29" s="242"/>
      <c r="AB29" s="886"/>
      <c r="AC29" s="284" t="str">
        <f t="shared" si="37"/>
        <v>Please complete all cells in row</v>
      </c>
      <c r="AD29" s="886"/>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6"/>
      <c r="AW29" s="242"/>
      <c r="AX29" s="242"/>
      <c r="AY29" s="242"/>
      <c r="AZ29" s="242"/>
      <c r="BA29" s="242"/>
      <c r="BB29" s="242"/>
      <c r="BC29" s="242"/>
      <c r="BD29" s="242"/>
      <c r="BE29" s="242"/>
      <c r="BF29" s="242"/>
    </row>
    <row r="30" spans="1:58" s="9" customFormat="1" ht="15.75" customHeight="1">
      <c r="A30" s="242"/>
      <c r="B30" s="775" t="s">
        <v>11543</v>
      </c>
      <c r="C30" s="286" t="s">
        <v>681</v>
      </c>
      <c r="D30" s="286">
        <v>3</v>
      </c>
      <c r="E30" s="697"/>
      <c r="F30" s="697"/>
      <c r="G30" s="697"/>
      <c r="H30" s="697"/>
      <c r="I30" s="697"/>
      <c r="J30" s="697"/>
      <c r="K30" s="697"/>
      <c r="L30" s="697"/>
      <c r="M30" s="1597">
        <f t="shared" si="54"/>
        <v>0</v>
      </c>
      <c r="N30" s="697"/>
      <c r="O30" s="697"/>
      <c r="P30" s="697"/>
      <c r="Q30" s="697"/>
      <c r="R30" s="697"/>
      <c r="S30" s="697"/>
      <c r="T30" s="697"/>
      <c r="U30" s="697"/>
      <c r="V30" s="1598">
        <f t="shared" si="55"/>
        <v>0</v>
      </c>
      <c r="W30" s="242"/>
      <c r="X30" s="290" t="s">
        <v>11544</v>
      </c>
      <c r="Y30" s="242"/>
      <c r="Z30" s="291"/>
      <c r="AA30" s="242"/>
      <c r="AB30" s="886"/>
      <c r="AC30" s="284" t="str">
        <f t="shared" si="37"/>
        <v>Please complete all cells in row</v>
      </c>
      <c r="AD30" s="886"/>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6"/>
      <c r="AW30" s="242"/>
      <c r="AX30" s="242"/>
      <c r="AY30" s="242"/>
      <c r="AZ30" s="242"/>
      <c r="BA30" s="242"/>
      <c r="BB30" s="242"/>
      <c r="BC30" s="242"/>
      <c r="BD30" s="242"/>
      <c r="BE30" s="242"/>
      <c r="BF30" s="242"/>
    </row>
    <row r="31" spans="1:58" s="9" customFormat="1" ht="15.75" customHeight="1">
      <c r="A31" s="242"/>
      <c r="B31" s="775" t="s">
        <v>11545</v>
      </c>
      <c r="C31" s="286" t="s">
        <v>681</v>
      </c>
      <c r="D31" s="286">
        <v>3</v>
      </c>
      <c r="E31" s="697"/>
      <c r="F31" s="697"/>
      <c r="G31" s="697"/>
      <c r="H31" s="697"/>
      <c r="I31" s="697"/>
      <c r="J31" s="697"/>
      <c r="K31" s="697"/>
      <c r="L31" s="697"/>
      <c r="M31" s="1597">
        <f t="shared" si="54"/>
        <v>0</v>
      </c>
      <c r="N31" s="697"/>
      <c r="O31" s="697"/>
      <c r="P31" s="697"/>
      <c r="Q31" s="697"/>
      <c r="R31" s="697"/>
      <c r="S31" s="697"/>
      <c r="T31" s="697"/>
      <c r="U31" s="697"/>
      <c r="V31" s="1598">
        <f t="shared" si="55"/>
        <v>0</v>
      </c>
      <c r="W31" s="242"/>
      <c r="X31" s="290" t="s">
        <v>11546</v>
      </c>
      <c r="Y31" s="242"/>
      <c r="Z31" s="291"/>
      <c r="AA31" s="242"/>
      <c r="AB31" s="886"/>
      <c r="AC31" s="284" t="str">
        <f t="shared" si="37"/>
        <v>Please complete all cells in row</v>
      </c>
      <c r="AD31" s="886"/>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6"/>
      <c r="AW31" s="242"/>
      <c r="AX31" s="242"/>
      <c r="AY31" s="242"/>
      <c r="AZ31" s="242"/>
      <c r="BA31" s="242"/>
      <c r="BB31" s="242"/>
      <c r="BC31" s="242"/>
      <c r="BD31" s="242"/>
      <c r="BE31" s="242"/>
      <c r="BF31" s="242"/>
    </row>
    <row r="32" spans="1:58" s="9" customFormat="1" ht="15.75" customHeight="1">
      <c r="A32" s="242"/>
      <c r="B32" s="775" t="s">
        <v>11547</v>
      </c>
      <c r="C32" s="286" t="s">
        <v>681</v>
      </c>
      <c r="D32" s="286">
        <v>3</v>
      </c>
      <c r="E32" s="697"/>
      <c r="F32" s="697"/>
      <c r="G32" s="697"/>
      <c r="H32" s="697"/>
      <c r="I32" s="697"/>
      <c r="J32" s="697"/>
      <c r="K32" s="697"/>
      <c r="L32" s="697"/>
      <c r="M32" s="1597">
        <f t="shared" si="54"/>
        <v>0</v>
      </c>
      <c r="N32" s="697"/>
      <c r="O32" s="697"/>
      <c r="P32" s="697"/>
      <c r="Q32" s="697"/>
      <c r="R32" s="697"/>
      <c r="S32" s="697"/>
      <c r="T32" s="697"/>
      <c r="U32" s="697"/>
      <c r="V32" s="1598">
        <f t="shared" si="55"/>
        <v>0</v>
      </c>
      <c r="W32" s="242"/>
      <c r="X32" s="290" t="s">
        <v>11548</v>
      </c>
      <c r="Y32" s="242"/>
      <c r="Z32" s="291"/>
      <c r="AA32" s="242"/>
      <c r="AB32" s="886"/>
      <c r="AC32" s="284" t="str">
        <f t="shared" si="37"/>
        <v>Please complete all cells in row</v>
      </c>
      <c r="AD32" s="886"/>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6"/>
      <c r="AW32" s="242"/>
      <c r="AX32" s="242"/>
      <c r="AY32" s="242"/>
      <c r="AZ32" s="242"/>
      <c r="BA32" s="242"/>
      <c r="BB32" s="242"/>
      <c r="BC32" s="242"/>
      <c r="BD32" s="242"/>
      <c r="BE32" s="242"/>
      <c r="BF32" s="242"/>
    </row>
    <row r="33" spans="1:58" s="9" customFormat="1" ht="15.75" customHeight="1">
      <c r="A33" s="242"/>
      <c r="B33" s="775" t="s">
        <v>11549</v>
      </c>
      <c r="C33" s="286" t="s">
        <v>681</v>
      </c>
      <c r="D33" s="286">
        <v>3</v>
      </c>
      <c r="E33" s="697"/>
      <c r="F33" s="697"/>
      <c r="G33" s="697"/>
      <c r="H33" s="697"/>
      <c r="I33" s="697"/>
      <c r="J33" s="697"/>
      <c r="K33" s="697"/>
      <c r="L33" s="697"/>
      <c r="M33" s="1597">
        <f t="shared" si="54"/>
        <v>0</v>
      </c>
      <c r="N33" s="697"/>
      <c r="O33" s="697"/>
      <c r="P33" s="697"/>
      <c r="Q33" s="697"/>
      <c r="R33" s="697"/>
      <c r="S33" s="697"/>
      <c r="T33" s="697"/>
      <c r="U33" s="697"/>
      <c r="V33" s="1598">
        <f t="shared" si="55"/>
        <v>0</v>
      </c>
      <c r="W33" s="242"/>
      <c r="X33" s="290" t="s">
        <v>11550</v>
      </c>
      <c r="Y33" s="242"/>
      <c r="Z33" s="291"/>
      <c r="AA33" s="242"/>
      <c r="AB33" s="886"/>
      <c r="AC33" s="284" t="str">
        <f t="shared" si="37"/>
        <v>Please complete all cells in row</v>
      </c>
      <c r="AD33" s="886"/>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6"/>
      <c r="AW33" s="242"/>
      <c r="AX33" s="242"/>
      <c r="AY33" s="242"/>
      <c r="AZ33" s="242"/>
      <c r="BA33" s="242"/>
      <c r="BB33" s="242"/>
      <c r="BC33" s="242"/>
      <c r="BD33" s="242"/>
      <c r="BE33" s="242"/>
      <c r="BF33" s="242"/>
    </row>
    <row r="34" spans="1:58" s="9" customFormat="1" ht="28.5" customHeight="1" thickBot="1">
      <c r="A34" s="242"/>
      <c r="B34" s="463" t="s">
        <v>11502</v>
      </c>
      <c r="C34" s="355" t="s">
        <v>681</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11551</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00B050"/>
    <pageSetUpPr fitToPage="1"/>
  </sheetPr>
  <dimension ref="A1:V45"/>
  <sheetViews>
    <sheetView showGridLines="0" topLeftCell="A10" zoomScale="50" zoomScaleNormal="50" zoomScaleSheetLayoutView="100" workbookViewId="0">
      <selection activeCell="E20" sqref="E20"/>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61"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49" customFormat="1" ht="23.25">
      <c r="B1" s="902" t="s">
        <v>11552</v>
      </c>
      <c r="C1" s="902"/>
      <c r="D1" s="902"/>
      <c r="E1" s="219"/>
      <c r="F1" s="219"/>
      <c r="H1" s="261"/>
      <c r="L1" s="906"/>
      <c r="N1" s="906"/>
      <c r="Q1" s="906"/>
      <c r="S1" s="902" t="s">
        <v>7220</v>
      </c>
      <c r="T1" s="219"/>
      <c r="U1" s="219"/>
      <c r="V1" s="261"/>
    </row>
    <row r="2" spans="1:22" s="649" customFormat="1" ht="23.25">
      <c r="B2" s="902" t="str">
        <f>SelectCompany!B4</f>
        <v>Northumbrian Water</v>
      </c>
      <c r="C2" s="219"/>
      <c r="D2" s="219"/>
      <c r="E2" s="219"/>
      <c r="F2" s="219"/>
      <c r="H2" s="261"/>
      <c r="L2" s="906"/>
      <c r="N2" s="906"/>
      <c r="Q2" s="906"/>
      <c r="S2" s="902"/>
      <c r="T2" s="219"/>
      <c r="U2" s="219"/>
      <c r="V2" s="261"/>
    </row>
    <row r="3" spans="1:22" s="651" customFormat="1" ht="19.5">
      <c r="B3" s="2836" t="s">
        <v>11553</v>
      </c>
      <c r="C3" s="2663"/>
      <c r="D3" s="2663"/>
      <c r="E3" s="2663"/>
      <c r="F3" s="2663"/>
      <c r="G3" s="2663"/>
      <c r="H3" s="2663"/>
      <c r="I3" s="2663"/>
      <c r="J3" s="2663"/>
      <c r="L3" s="907"/>
      <c r="M3" s="650" t="s">
        <v>7222</v>
      </c>
      <c r="N3" s="907"/>
      <c r="Q3" s="907"/>
      <c r="S3" s="2836" t="s">
        <v>11553</v>
      </c>
      <c r="T3" s="2663"/>
      <c r="U3" s="2663"/>
      <c r="V3" s="261"/>
    </row>
    <row r="4" spans="1:22" s="651" customFormat="1" ht="24" thickBot="1">
      <c r="B4" s="690"/>
      <c r="C4" s="690"/>
      <c r="D4" s="690"/>
      <c r="E4" s="690"/>
      <c r="F4" s="908"/>
      <c r="H4" s="261"/>
      <c r="L4" s="907"/>
      <c r="M4" s="284"/>
      <c r="N4" s="907"/>
      <c r="Q4" s="907"/>
      <c r="S4" s="690"/>
      <c r="T4" s="690"/>
      <c r="U4" s="908"/>
      <c r="V4" s="261"/>
    </row>
    <row r="5" spans="1:22" ht="46.5" thickTop="1" thickBot="1">
      <c r="A5" s="197"/>
      <c r="B5" s="909" t="s">
        <v>7224</v>
      </c>
      <c r="C5" s="120" t="s">
        <v>7225</v>
      </c>
      <c r="D5" s="120" t="s">
        <v>670</v>
      </c>
      <c r="E5" s="120" t="s">
        <v>7341</v>
      </c>
      <c r="F5" s="121" t="s">
        <v>11554</v>
      </c>
      <c r="G5" s="197"/>
      <c r="H5" s="910" t="s">
        <v>7229</v>
      </c>
      <c r="I5" s="197"/>
      <c r="J5" s="910" t="s">
        <v>7230</v>
      </c>
      <c r="K5" s="197"/>
      <c r="L5" s="363"/>
      <c r="M5" s="284"/>
      <c r="N5" s="363"/>
      <c r="Q5" s="363"/>
      <c r="S5" s="909" t="s">
        <v>7224</v>
      </c>
      <c r="T5" s="120" t="s">
        <v>7341</v>
      </c>
      <c r="U5" s="121" t="s">
        <v>11554</v>
      </c>
      <c r="V5" s="317"/>
    </row>
    <row r="6" spans="1:22" ht="15.75" customHeight="1" thickTop="1" thickBot="1">
      <c r="A6" s="197"/>
      <c r="B6" s="911"/>
      <c r="C6" s="911"/>
      <c r="D6" s="911"/>
      <c r="E6" s="912"/>
      <c r="F6" s="912"/>
      <c r="G6" s="197"/>
      <c r="H6" s="260"/>
      <c r="I6" s="197"/>
      <c r="J6" s="347"/>
      <c r="K6" s="197"/>
      <c r="L6" s="363"/>
      <c r="M6" s="284"/>
      <c r="N6" s="363"/>
      <c r="O6" s="2668" t="s">
        <v>7223</v>
      </c>
      <c r="P6" s="2668"/>
      <c r="Q6" s="913"/>
      <c r="R6" s="914"/>
      <c r="S6" s="911"/>
      <c r="T6" s="912"/>
      <c r="U6" s="912"/>
      <c r="V6" s="261"/>
    </row>
    <row r="7" spans="1:22" ht="15.75" customHeight="1" thickTop="1" thickBot="1">
      <c r="A7" s="197"/>
      <c r="B7" s="33" t="s">
        <v>11555</v>
      </c>
      <c r="C7" s="394"/>
      <c r="D7" s="394"/>
      <c r="E7" s="482"/>
      <c r="F7" s="146"/>
      <c r="G7" s="197"/>
      <c r="I7" s="197"/>
      <c r="J7" s="197"/>
      <c r="K7" s="197"/>
      <c r="L7" s="363"/>
      <c r="M7" s="284"/>
      <c r="N7" s="363"/>
      <c r="O7" s="269" t="s">
        <v>7231</v>
      </c>
      <c r="P7" s="242"/>
      <c r="Q7" s="886"/>
      <c r="R7" s="242"/>
      <c r="S7" s="33" t="s">
        <v>11555</v>
      </c>
      <c r="T7" s="482"/>
      <c r="U7" s="146"/>
      <c r="V7" s="261"/>
    </row>
    <row r="8" spans="1:22" s="197" customFormat="1" ht="15.75" customHeight="1" thickTop="1">
      <c r="B8" s="915" t="s">
        <v>11556</v>
      </c>
      <c r="C8" s="916" t="s">
        <v>681</v>
      </c>
      <c r="D8" s="916">
        <v>3</v>
      </c>
      <c r="E8" s="917">
        <f>IFERROR('1E'!I14, 0)</f>
        <v>3483.7750000000001</v>
      </c>
      <c r="F8" s="918"/>
      <c r="G8" s="261"/>
      <c r="H8" s="919" t="s">
        <v>11557</v>
      </c>
      <c r="J8" s="920"/>
      <c r="L8" s="828"/>
      <c r="M8" s="284"/>
      <c r="N8" s="828"/>
      <c r="O8" s="270"/>
      <c r="P8" s="270"/>
      <c r="Q8" s="828"/>
      <c r="S8" s="915" t="s">
        <v>11556</v>
      </c>
      <c r="T8" s="917" t="s">
        <v>7824</v>
      </c>
      <c r="U8" s="918"/>
      <c r="V8" s="921"/>
    </row>
    <row r="9" spans="1:22" s="197" customFormat="1" ht="15.75" customHeight="1">
      <c r="B9" s="922" t="s">
        <v>11558</v>
      </c>
      <c r="C9" s="923" t="s">
        <v>681</v>
      </c>
      <c r="D9" s="923">
        <v>3</v>
      </c>
      <c r="E9" s="1602">
        <f>IFERROR(SUM('4C'!J46:N46) - E8, 0)</f>
        <v>1613.6089999999999</v>
      </c>
      <c r="F9" s="925"/>
      <c r="G9" s="261"/>
      <c r="H9" s="926" t="s">
        <v>11559</v>
      </c>
      <c r="J9" s="927"/>
      <c r="L9" s="828"/>
      <c r="M9" s="284"/>
      <c r="N9" s="828"/>
      <c r="O9" s="270"/>
      <c r="P9" s="270"/>
      <c r="Q9" s="828"/>
      <c r="S9" s="922" t="s">
        <v>11558</v>
      </c>
      <c r="T9" s="924" t="s">
        <v>11560</v>
      </c>
      <c r="U9" s="925"/>
      <c r="V9" s="921"/>
    </row>
    <row r="10" spans="1:22" s="197" customFormat="1" ht="15.75" customHeight="1">
      <c r="B10" s="922" t="s">
        <v>11561</v>
      </c>
      <c r="C10" s="923" t="s">
        <v>3137</v>
      </c>
      <c r="D10" s="923">
        <v>2</v>
      </c>
      <c r="E10" s="928">
        <f>IFERROR(E8 / SUM('4C'!J46:N46), 0)</f>
        <v>0.68344370367231511</v>
      </c>
      <c r="F10" s="929"/>
      <c r="G10" s="261"/>
      <c r="H10" s="926" t="s">
        <v>11562</v>
      </c>
      <c r="J10" s="927"/>
      <c r="L10" s="828"/>
      <c r="M10" s="284"/>
      <c r="N10" s="828"/>
      <c r="O10" s="270"/>
      <c r="P10" s="270"/>
      <c r="Q10" s="828"/>
      <c r="S10" s="922" t="s">
        <v>11561</v>
      </c>
      <c r="T10" s="928" t="s">
        <v>7827</v>
      </c>
      <c r="U10" s="929"/>
      <c r="V10" s="921"/>
    </row>
    <row r="11" spans="1:22" s="197" customFormat="1" ht="15.75" customHeight="1">
      <c r="B11" s="922" t="s">
        <v>11563</v>
      </c>
      <c r="C11" s="923" t="s">
        <v>3137</v>
      </c>
      <c r="D11" s="923">
        <v>2</v>
      </c>
      <c r="E11" s="930">
        <v>-3.3799999999999997E-2</v>
      </c>
      <c r="F11" s="929"/>
      <c r="G11" s="261"/>
      <c r="H11" s="926" t="s">
        <v>11564</v>
      </c>
      <c r="J11" s="927"/>
      <c r="L11" s="828"/>
      <c r="M11" s="284">
        <f t="shared" ref="M11:M23" si="0">IF( SUM( O11:P11 ) = 0, 0, $O$7 )</f>
        <v>0</v>
      </c>
      <c r="N11" s="828"/>
      <c r="O11" s="285">
        <f t="shared" ref="O11:O23" si="1" xml:space="preserve"> IF( ISNUMBER(E11), 0, 1 )</f>
        <v>0</v>
      </c>
      <c r="P11" s="270"/>
      <c r="Q11" s="828"/>
      <c r="S11" s="922" t="s">
        <v>11563</v>
      </c>
      <c r="T11" s="930" t="s">
        <v>11565</v>
      </c>
      <c r="U11" s="929"/>
      <c r="V11" s="921"/>
    </row>
    <row r="12" spans="1:22" s="197" customFormat="1" ht="15.75" customHeight="1">
      <c r="B12" s="922" t="s">
        <v>11566</v>
      </c>
      <c r="C12" s="923" t="s">
        <v>3137</v>
      </c>
      <c r="D12" s="923">
        <v>2</v>
      </c>
      <c r="E12" s="931">
        <f>IFERROR('1F'!F36, 0)</f>
        <v>0.10210828825886037</v>
      </c>
      <c r="F12" s="932">
        <f>IFERROR('1F'!L36,0)</f>
        <v>6.2959776917386412E-2</v>
      </c>
      <c r="G12" s="261"/>
      <c r="H12" s="926" t="s">
        <v>11567</v>
      </c>
      <c r="J12" s="927"/>
      <c r="L12" s="828"/>
      <c r="M12" s="284"/>
      <c r="N12" s="828"/>
      <c r="O12" s="270"/>
      <c r="P12" s="270"/>
      <c r="Q12" s="828"/>
      <c r="S12" s="922" t="s">
        <v>11566</v>
      </c>
      <c r="T12" s="931" t="s">
        <v>11568</v>
      </c>
      <c r="U12" s="932" t="s">
        <v>11569</v>
      </c>
      <c r="V12" s="921"/>
    </row>
    <row r="13" spans="1:22" s="197" customFormat="1" ht="15.75" customHeight="1">
      <c r="B13" s="922" t="s">
        <v>11570</v>
      </c>
      <c r="C13" s="923" t="s">
        <v>3137</v>
      </c>
      <c r="D13" s="923">
        <v>2</v>
      </c>
      <c r="E13" s="928">
        <f>- IFERROR('1A'!J22 / E9, 0)</f>
        <v>6.8665953152219655E-2</v>
      </c>
      <c r="F13" s="929"/>
      <c r="G13" s="933"/>
      <c r="H13" s="926" t="s">
        <v>11571</v>
      </c>
      <c r="J13" s="927"/>
      <c r="L13" s="828"/>
      <c r="M13" s="284"/>
      <c r="N13" s="828"/>
      <c r="O13" s="270"/>
      <c r="P13" s="270"/>
      <c r="Q13" s="828"/>
      <c r="S13" s="922" t="s">
        <v>11570</v>
      </c>
      <c r="T13" s="928" t="s">
        <v>11572</v>
      </c>
      <c r="U13" s="929"/>
      <c r="V13" s="921"/>
    </row>
    <row r="14" spans="1:22" s="197" customFormat="1" ht="15.75" customHeight="1">
      <c r="B14" s="922" t="s">
        <v>11573</v>
      </c>
      <c r="C14" s="923" t="s">
        <v>3137</v>
      </c>
      <c r="D14" s="923">
        <v>2</v>
      </c>
      <c r="E14" s="928">
        <f xml:space="preserve"> IF(  '2I'!E36 = 0, 0, IFERROR(( '2I'!E36 - '2C'!E30-'2C'!E32) / ( '2C'!E30 +'2C'!E32 + '2I'!E30 ),0) )</f>
        <v>7.3296183744173309E-3</v>
      </c>
      <c r="F14" s="929"/>
      <c r="G14" s="261"/>
      <c r="H14" s="926" t="s">
        <v>11574</v>
      </c>
      <c r="J14" s="927"/>
      <c r="L14" s="828"/>
      <c r="M14" s="284"/>
      <c r="N14" s="828"/>
      <c r="O14" s="270"/>
      <c r="P14" s="270"/>
      <c r="Q14" s="828"/>
      <c r="S14" s="922" t="s">
        <v>11573</v>
      </c>
      <c r="T14" s="928" t="s">
        <v>11575</v>
      </c>
      <c r="U14" s="929"/>
      <c r="V14" s="921"/>
    </row>
    <row r="15" spans="1:22" s="197" customFormat="1" ht="15.75" customHeight="1">
      <c r="B15" s="922" t="s">
        <v>11576</v>
      </c>
      <c r="C15" s="923" t="s">
        <v>3137</v>
      </c>
      <c r="D15" s="923">
        <v>2</v>
      </c>
      <c r="E15" s="928">
        <f xml:space="preserve"> IF(  '2I'!F36 = 0, 0, IFERROR(( '2I'!F36 - '2C'!F30-'2C'!F32) / ( '2C'!F30 +'2C'!F32 + '2I'!F30 ),0) )</f>
        <v>0</v>
      </c>
      <c r="F15" s="929"/>
      <c r="G15" s="261"/>
      <c r="H15" s="926" t="s">
        <v>11577</v>
      </c>
      <c r="J15" s="927"/>
      <c r="L15" s="828"/>
      <c r="M15" s="284"/>
      <c r="N15" s="828"/>
      <c r="O15" s="270"/>
      <c r="P15" s="270"/>
      <c r="Q15" s="828"/>
      <c r="S15" s="922" t="s">
        <v>11576</v>
      </c>
      <c r="T15" s="928" t="s">
        <v>11578</v>
      </c>
      <c r="U15" s="929"/>
      <c r="V15" s="921"/>
    </row>
    <row r="16" spans="1:22" s="197" customFormat="1" ht="15.75" customHeight="1">
      <c r="B16" s="922" t="s">
        <v>11579</v>
      </c>
      <c r="C16" s="923" t="s">
        <v>9911</v>
      </c>
      <c r="D16" s="923" t="s">
        <v>11580</v>
      </c>
      <c r="E16" s="934" t="s">
        <v>11580</v>
      </c>
      <c r="F16" s="925"/>
      <c r="G16" s="261"/>
      <c r="H16" s="926" t="s">
        <v>11581</v>
      </c>
      <c r="J16" s="927"/>
      <c r="L16" s="828"/>
      <c r="M16" s="270"/>
      <c r="N16" s="828"/>
      <c r="O16" s="270"/>
      <c r="P16" s="270"/>
      <c r="Q16" s="828"/>
      <c r="S16" s="922" t="s">
        <v>11579</v>
      </c>
      <c r="T16" s="934" t="s">
        <v>11582</v>
      </c>
      <c r="U16" s="925"/>
      <c r="V16" s="921"/>
    </row>
    <row r="17" spans="2:22" s="200" customFormat="1" ht="15.75" customHeight="1">
      <c r="B17" s="922" t="s">
        <v>11583</v>
      </c>
      <c r="C17" s="923" t="s">
        <v>9911</v>
      </c>
      <c r="D17" s="923" t="s">
        <v>11580</v>
      </c>
      <c r="E17" s="934" t="s">
        <v>11584</v>
      </c>
      <c r="F17" s="925"/>
      <c r="G17" s="933"/>
      <c r="H17" s="926" t="s">
        <v>11585</v>
      </c>
      <c r="J17" s="927"/>
      <c r="L17" s="935"/>
      <c r="M17" s="270"/>
      <c r="N17" s="935"/>
      <c r="O17" s="270"/>
      <c r="P17" s="270"/>
      <c r="Q17" s="935"/>
      <c r="S17" s="922" t="s">
        <v>11583</v>
      </c>
      <c r="T17" s="934" t="s">
        <v>11586</v>
      </c>
      <c r="U17" s="925"/>
      <c r="V17" s="921"/>
    </row>
    <row r="18" spans="2:22" s="200" customFormat="1" ht="15.75" customHeight="1">
      <c r="B18" s="922" t="s">
        <v>11587</v>
      </c>
      <c r="C18" s="923" t="s">
        <v>9911</v>
      </c>
      <c r="D18" s="923" t="s">
        <v>11580</v>
      </c>
      <c r="E18" s="934" t="s">
        <v>11588</v>
      </c>
      <c r="F18" s="925"/>
      <c r="G18" s="933"/>
      <c r="H18" s="926" t="s">
        <v>11589</v>
      </c>
      <c r="J18" s="927"/>
      <c r="L18" s="935"/>
      <c r="M18" s="270"/>
      <c r="N18" s="935"/>
      <c r="O18" s="270"/>
      <c r="P18" s="270"/>
      <c r="Q18" s="935"/>
      <c r="S18" s="922" t="s">
        <v>11587</v>
      </c>
      <c r="T18" s="934" t="s">
        <v>11590</v>
      </c>
      <c r="U18" s="925"/>
      <c r="V18" s="921"/>
    </row>
    <row r="19" spans="2:22" s="197" customFormat="1" ht="15.75" customHeight="1">
      <c r="B19" s="922" t="s">
        <v>11591</v>
      </c>
      <c r="C19" s="923" t="s">
        <v>3137</v>
      </c>
      <c r="D19" s="923">
        <v>2</v>
      </c>
      <c r="E19" s="930">
        <v>4.1099999999999998E-2</v>
      </c>
      <c r="F19" s="925"/>
      <c r="G19" s="261"/>
      <c r="H19" s="926" t="s">
        <v>11592</v>
      </c>
      <c r="J19" s="927"/>
      <c r="L19" s="828"/>
      <c r="M19" s="284">
        <f t="shared" si="0"/>
        <v>0</v>
      </c>
      <c r="N19" s="828"/>
      <c r="O19" s="285">
        <f t="shared" si="1"/>
        <v>0</v>
      </c>
      <c r="P19" s="270"/>
      <c r="Q19" s="828"/>
      <c r="S19" s="922" t="s">
        <v>11591</v>
      </c>
      <c r="T19" s="930" t="s">
        <v>11593</v>
      </c>
      <c r="U19" s="925"/>
      <c r="V19" s="921"/>
    </row>
    <row r="20" spans="2:22" s="197" customFormat="1" ht="15.75" customHeight="1">
      <c r="B20" s="922" t="s">
        <v>11594</v>
      </c>
      <c r="C20" s="923" t="s">
        <v>11595</v>
      </c>
      <c r="D20" s="923">
        <v>2</v>
      </c>
      <c r="E20" s="924">
        <f xml:space="preserve"> IFERROR('1A'!J21 / -'1A'!J22, 0)</f>
        <v>-0.37628158844765291</v>
      </c>
      <c r="F20" s="925"/>
      <c r="G20" s="933"/>
      <c r="H20" s="926" t="s">
        <v>11596</v>
      </c>
      <c r="J20" s="927"/>
      <c r="L20" s="828"/>
      <c r="M20" s="284"/>
      <c r="N20" s="828"/>
      <c r="O20" s="270"/>
      <c r="P20" s="270"/>
      <c r="Q20" s="828"/>
      <c r="S20" s="922" t="s">
        <v>11594</v>
      </c>
      <c r="T20" s="924" t="s">
        <v>11597</v>
      </c>
      <c r="U20" s="925"/>
      <c r="V20" s="921"/>
    </row>
    <row r="21" spans="2:22" s="197" customFormat="1" ht="15.75" customHeight="1">
      <c r="B21" s="922" t="s">
        <v>11598</v>
      </c>
      <c r="C21" s="923" t="s">
        <v>681</v>
      </c>
      <c r="D21" s="923">
        <v>3</v>
      </c>
      <c r="E21" s="1602">
        <f>IFERROR('1D'!J20 - '1D'!J13, 0)</f>
        <v>207.40599999999998</v>
      </c>
      <c r="F21" s="925"/>
      <c r="G21" s="261"/>
      <c r="H21" s="926" t="s">
        <v>11599</v>
      </c>
      <c r="J21" s="927"/>
      <c r="L21" s="828"/>
      <c r="M21" s="284"/>
      <c r="N21" s="828"/>
      <c r="O21" s="270"/>
      <c r="P21" s="270"/>
      <c r="Q21" s="828"/>
      <c r="S21" s="922" t="s">
        <v>11598</v>
      </c>
      <c r="T21" s="924" t="s">
        <v>11600</v>
      </c>
      <c r="U21" s="925"/>
      <c r="V21" s="921"/>
    </row>
    <row r="22" spans="2:22" s="197" customFormat="1" ht="15.75" customHeight="1">
      <c r="B22" s="922" t="s">
        <v>11601</v>
      </c>
      <c r="C22" s="923" t="s">
        <v>11595</v>
      </c>
      <c r="D22" s="923">
        <v>2</v>
      </c>
      <c r="E22" s="936">
        <v>3.05</v>
      </c>
      <c r="F22" s="925"/>
      <c r="G22" s="261"/>
      <c r="H22" s="926" t="s">
        <v>11602</v>
      </c>
      <c r="J22" s="927"/>
      <c r="L22" s="828"/>
      <c r="M22" s="284">
        <f t="shared" si="0"/>
        <v>0</v>
      </c>
      <c r="N22" s="828"/>
      <c r="O22" s="285">
        <f t="shared" si="1"/>
        <v>0</v>
      </c>
      <c r="P22" s="270"/>
      <c r="Q22" s="828"/>
      <c r="S22" s="922" t="s">
        <v>11601</v>
      </c>
      <c r="T22" s="936" t="s">
        <v>11603</v>
      </c>
      <c r="U22" s="925"/>
      <c r="V22" s="921"/>
    </row>
    <row r="23" spans="2:22" s="197" customFormat="1" ht="15.75" customHeight="1">
      <c r="B23" s="922" t="s">
        <v>11604</v>
      </c>
      <c r="C23" s="923" t="s">
        <v>11595</v>
      </c>
      <c r="D23" s="923">
        <v>2</v>
      </c>
      <c r="E23" s="936">
        <v>0.56000000000000005</v>
      </c>
      <c r="F23" s="925"/>
      <c r="G23" s="261"/>
      <c r="H23" s="926" t="s">
        <v>11605</v>
      </c>
      <c r="J23" s="927"/>
      <c r="L23" s="828"/>
      <c r="M23" s="284">
        <f t="shared" si="0"/>
        <v>0</v>
      </c>
      <c r="N23" s="828"/>
      <c r="O23" s="285">
        <f t="shared" si="1"/>
        <v>0</v>
      </c>
      <c r="P23" s="270"/>
      <c r="Q23" s="828"/>
      <c r="S23" s="922" t="s">
        <v>11606</v>
      </c>
      <c r="T23" s="936" t="s">
        <v>11607</v>
      </c>
      <c r="U23" s="925"/>
      <c r="V23" s="921"/>
    </row>
    <row r="24" spans="2:22" s="197" customFormat="1" ht="15.75" customHeight="1">
      <c r="B24" s="922" t="s">
        <v>11608</v>
      </c>
      <c r="C24" s="923" t="s">
        <v>11595</v>
      </c>
      <c r="D24" s="923">
        <v>2</v>
      </c>
      <c r="E24" s="924">
        <f>IFERROR(E21 / E8, 0)</f>
        <v>5.9534843668147333E-2</v>
      </c>
      <c r="F24" s="925"/>
      <c r="G24" s="261"/>
      <c r="H24" s="926" t="s">
        <v>11609</v>
      </c>
      <c r="J24" s="927"/>
      <c r="L24" s="828"/>
      <c r="M24" s="284"/>
      <c r="N24" s="828"/>
      <c r="O24" s="270"/>
      <c r="P24" s="270"/>
      <c r="Q24" s="828"/>
      <c r="S24" s="922" t="s">
        <v>11610</v>
      </c>
      <c r="T24" s="924" t="s">
        <v>11611</v>
      </c>
      <c r="U24" s="925"/>
      <c r="V24" s="921"/>
    </row>
    <row r="25" spans="2:22" s="197" customFormat="1" ht="15.75" customHeight="1">
      <c r="B25" s="922" t="s">
        <v>11612</v>
      </c>
      <c r="C25" s="923" t="s">
        <v>3137</v>
      </c>
      <c r="D25" s="923">
        <v>2</v>
      </c>
      <c r="E25" s="928">
        <f>IFERROR('1A'!J25 / '1A'!J16, 0)</f>
        <v>-8.3801779750669075E-2</v>
      </c>
      <c r="F25" s="925"/>
      <c r="G25" s="261"/>
      <c r="H25" s="926" t="s">
        <v>11613</v>
      </c>
      <c r="J25" s="927"/>
      <c r="L25" s="828"/>
      <c r="M25" s="284"/>
      <c r="N25" s="828"/>
      <c r="O25" s="270"/>
      <c r="P25" s="270"/>
      <c r="Q25" s="828"/>
      <c r="S25" s="922" t="s">
        <v>11612</v>
      </c>
      <c r="T25" s="928" t="s">
        <v>11614</v>
      </c>
      <c r="U25" s="925"/>
      <c r="V25" s="921"/>
    </row>
    <row r="26" spans="2:22" s="197" customFormat="1" ht="15.75" customHeight="1">
      <c r="B26" s="922" t="s">
        <v>11615</v>
      </c>
      <c r="C26" s="923" t="s">
        <v>681</v>
      </c>
      <c r="D26" s="923">
        <v>3</v>
      </c>
      <c r="E26" s="1602">
        <f>IFERROR(E21 - ABS('1D'!J32), 0)</f>
        <v>96.60599999999998</v>
      </c>
      <c r="F26" s="925"/>
      <c r="G26" s="261"/>
      <c r="H26" s="926" t="s">
        <v>11616</v>
      </c>
      <c r="J26" s="927"/>
      <c r="L26" s="828"/>
      <c r="M26" s="284"/>
      <c r="N26" s="828"/>
      <c r="O26" s="270"/>
      <c r="P26" s="270"/>
      <c r="Q26" s="828"/>
      <c r="S26" s="922" t="s">
        <v>10149</v>
      </c>
      <c r="T26" s="924" t="s">
        <v>11617</v>
      </c>
      <c r="U26" s="925"/>
      <c r="V26" s="921"/>
    </row>
    <row r="27" spans="2:22" s="197" customFormat="1" ht="15.75" customHeight="1" thickBot="1">
      <c r="B27" s="937" t="s">
        <v>11618</v>
      </c>
      <c r="C27" s="938" t="s">
        <v>11595</v>
      </c>
      <c r="D27" s="938">
        <v>2</v>
      </c>
      <c r="E27" s="939">
        <f>IFERROR(E26 / E8, 0)</f>
        <v>2.7730263866064822E-2</v>
      </c>
      <c r="F27" s="940"/>
      <c r="G27" s="261"/>
      <c r="H27" s="941" t="s">
        <v>11619</v>
      </c>
      <c r="J27" s="942"/>
      <c r="L27" s="828"/>
      <c r="M27" s="284"/>
      <c r="N27" s="828"/>
      <c r="O27" s="270"/>
      <c r="P27" s="270"/>
      <c r="Q27" s="828"/>
      <c r="S27" s="937" t="s">
        <v>11618</v>
      </c>
      <c r="T27" s="939" t="s">
        <v>11620</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7502</v>
      </c>
      <c r="C29" s="394"/>
      <c r="D29" s="394"/>
      <c r="E29" s="482"/>
      <c r="F29" s="146"/>
      <c r="G29" s="261"/>
      <c r="H29" s="944"/>
      <c r="J29" s="943"/>
      <c r="L29" s="828"/>
      <c r="M29" s="284"/>
      <c r="N29" s="828"/>
      <c r="O29" s="270"/>
      <c r="P29" s="270"/>
      <c r="Q29" s="828"/>
      <c r="S29" s="33" t="s">
        <v>7502</v>
      </c>
      <c r="T29" s="482"/>
      <c r="U29" s="146"/>
      <c r="V29" s="944"/>
    </row>
    <row r="30" spans="2:22" s="197" customFormat="1" ht="15.75" customHeight="1" thickTop="1">
      <c r="B30" s="945" t="s">
        <v>11621</v>
      </c>
      <c r="C30" s="94" t="s">
        <v>3137</v>
      </c>
      <c r="D30" s="94">
        <v>2</v>
      </c>
      <c r="E30" s="946">
        <f>IFERROR(('1E'!E9 + '1E'!E10) / '1E'!I11, 0)</f>
        <v>0.61516977723726662</v>
      </c>
      <c r="F30" s="947"/>
      <c r="G30" s="261"/>
      <c r="H30" s="919" t="s">
        <v>11622</v>
      </c>
      <c r="J30" s="920"/>
      <c r="L30" s="828"/>
      <c r="M30" s="284"/>
      <c r="N30" s="828"/>
      <c r="O30" s="270"/>
      <c r="P30" s="270"/>
      <c r="Q30" s="828"/>
      <c r="S30" s="945" t="s">
        <v>11621</v>
      </c>
      <c r="T30" s="946" t="s">
        <v>11623</v>
      </c>
      <c r="U30" s="947"/>
      <c r="V30" s="921"/>
    </row>
    <row r="31" spans="2:22" s="197" customFormat="1" ht="15.75" customHeight="1">
      <c r="B31" s="948" t="s">
        <v>11624</v>
      </c>
      <c r="C31" s="97" t="s">
        <v>3137</v>
      </c>
      <c r="D31" s="97">
        <v>2</v>
      </c>
      <c r="E31" s="928">
        <f>IFERROR('1E'!F9 / '1E'!I11, 0)</f>
        <v>5.5992854688163467E-3</v>
      </c>
      <c r="F31" s="949"/>
      <c r="G31" s="261"/>
      <c r="H31" s="926" t="s">
        <v>11625</v>
      </c>
      <c r="J31" s="927"/>
      <c r="L31" s="828"/>
      <c r="M31" s="284"/>
      <c r="N31" s="828"/>
      <c r="O31" s="270"/>
      <c r="P31" s="270"/>
      <c r="Q31" s="828"/>
      <c r="S31" s="948" t="s">
        <v>11624</v>
      </c>
      <c r="T31" s="928" t="s">
        <v>11626</v>
      </c>
      <c r="U31" s="949"/>
      <c r="V31" s="921"/>
    </row>
    <row r="32" spans="2:22" s="197" customFormat="1" ht="15.75" customHeight="1">
      <c r="B32" s="948" t="s">
        <v>11627</v>
      </c>
      <c r="C32" s="97" t="s">
        <v>3137</v>
      </c>
      <c r="D32" s="97">
        <v>2</v>
      </c>
      <c r="E32" s="928">
        <f>IFERROR(('1E'!G9 + '1E'!H9) / '1E'!I11, 0)</f>
        <v>0.37923093729391694</v>
      </c>
      <c r="F32" s="949"/>
      <c r="G32" s="261"/>
      <c r="H32" s="926" t="s">
        <v>11628</v>
      </c>
      <c r="J32" s="927"/>
      <c r="L32" s="828"/>
      <c r="M32" s="284"/>
      <c r="N32" s="828"/>
      <c r="O32" s="270"/>
      <c r="P32" s="270"/>
      <c r="Q32" s="828"/>
      <c r="S32" s="948" t="s">
        <v>11627</v>
      </c>
      <c r="T32" s="928" t="s">
        <v>11629</v>
      </c>
      <c r="U32" s="949"/>
      <c r="V32" s="921"/>
    </row>
    <row r="33" spans="1:22" s="197" customFormat="1" ht="15.75" customHeight="1">
      <c r="B33" s="948" t="s">
        <v>11630</v>
      </c>
      <c r="C33" s="97" t="s">
        <v>3137</v>
      </c>
      <c r="D33" s="97">
        <v>2</v>
      </c>
      <c r="E33" s="930">
        <v>1.6899999999999998E-2</v>
      </c>
      <c r="F33" s="949"/>
      <c r="G33" s="261"/>
      <c r="H33" s="926" t="s">
        <v>11631</v>
      </c>
      <c r="J33" s="927"/>
      <c r="L33" s="828"/>
      <c r="M33" s="284">
        <f t="shared" ref="M33:M37" si="2">IF( SUM( O33:P33 ) = 0, 0, $O$7 )</f>
        <v>0</v>
      </c>
      <c r="N33" s="828"/>
      <c r="O33" s="285">
        <f t="shared" ref="O33:O37" si="3" xml:space="preserve"> IF( ISNUMBER(E33), 0, 1 )</f>
        <v>0</v>
      </c>
      <c r="P33" s="270"/>
      <c r="Q33" s="828"/>
      <c r="S33" s="948" t="s">
        <v>11630</v>
      </c>
      <c r="T33" s="930" t="s">
        <v>11632</v>
      </c>
      <c r="U33" s="949"/>
      <c r="V33" s="921"/>
    </row>
    <row r="34" spans="1:22" s="197" customFormat="1" ht="30">
      <c r="B34" s="948" t="s">
        <v>11633</v>
      </c>
      <c r="C34" s="97" t="s">
        <v>3137</v>
      </c>
      <c r="D34" s="97">
        <v>2</v>
      </c>
      <c r="E34" s="930">
        <v>7.4999999999999997E-3</v>
      </c>
      <c r="F34" s="949"/>
      <c r="G34" s="261"/>
      <c r="H34" s="926" t="s">
        <v>11634</v>
      </c>
      <c r="J34" s="927"/>
      <c r="L34" s="828"/>
      <c r="M34" s="284">
        <f t="shared" si="2"/>
        <v>0</v>
      </c>
      <c r="N34" s="828"/>
      <c r="O34" s="285">
        <f t="shared" si="3"/>
        <v>0</v>
      </c>
      <c r="P34" s="270"/>
      <c r="Q34" s="828"/>
      <c r="S34" s="948" t="s">
        <v>11633</v>
      </c>
      <c r="T34" s="930" t="s">
        <v>11635</v>
      </c>
      <c r="U34" s="949"/>
      <c r="V34" s="921"/>
    </row>
    <row r="35" spans="1:22" s="197" customFormat="1" ht="31.5" customHeight="1">
      <c r="B35" s="948" t="s">
        <v>11636</v>
      </c>
      <c r="C35" s="97" t="s">
        <v>3137</v>
      </c>
      <c r="D35" s="97">
        <v>2</v>
      </c>
      <c r="E35" s="930">
        <v>0.1643</v>
      </c>
      <c r="F35" s="949"/>
      <c r="G35" s="261"/>
      <c r="H35" s="926" t="s">
        <v>11637</v>
      </c>
      <c r="J35" s="927"/>
      <c r="L35" s="828"/>
      <c r="M35" s="284">
        <f t="shared" si="2"/>
        <v>0</v>
      </c>
      <c r="N35" s="828"/>
      <c r="O35" s="285">
        <f t="shared" si="3"/>
        <v>0</v>
      </c>
      <c r="P35" s="270"/>
      <c r="Q35" s="828"/>
      <c r="S35" s="948" t="s">
        <v>11638</v>
      </c>
      <c r="T35" s="930" t="s">
        <v>11639</v>
      </c>
      <c r="U35" s="949"/>
      <c r="V35" s="921"/>
    </row>
    <row r="36" spans="1:22" s="197" customFormat="1" ht="33" customHeight="1">
      <c r="B36" s="948" t="s">
        <v>11640</v>
      </c>
      <c r="C36" s="97" t="s">
        <v>3137</v>
      </c>
      <c r="D36" s="97">
        <v>2</v>
      </c>
      <c r="E36" s="930">
        <v>0.70750000000000002</v>
      </c>
      <c r="F36" s="949"/>
      <c r="G36" s="261"/>
      <c r="H36" s="926" t="s">
        <v>11641</v>
      </c>
      <c r="J36" s="927"/>
      <c r="L36" s="828"/>
      <c r="M36" s="284">
        <f t="shared" si="2"/>
        <v>0</v>
      </c>
      <c r="N36" s="828"/>
      <c r="O36" s="285">
        <f t="shared" si="3"/>
        <v>0</v>
      </c>
      <c r="P36" s="270"/>
      <c r="Q36" s="828"/>
      <c r="S36" s="948" t="s">
        <v>11640</v>
      </c>
      <c r="T36" s="930" t="s">
        <v>11642</v>
      </c>
      <c r="U36" s="949"/>
      <c r="V36" s="921"/>
    </row>
    <row r="37" spans="1:22" s="197" customFormat="1" ht="15.75" customHeight="1" thickBot="1">
      <c r="B37" s="950" t="s">
        <v>11643</v>
      </c>
      <c r="C37" s="101" t="s">
        <v>3137</v>
      </c>
      <c r="D37" s="101">
        <v>2</v>
      </c>
      <c r="E37" s="951">
        <v>0.1038</v>
      </c>
      <c r="F37" s="952"/>
      <c r="H37" s="941" t="s">
        <v>11644</v>
      </c>
      <c r="J37" s="942"/>
      <c r="L37" s="828"/>
      <c r="M37" s="284">
        <f t="shared" si="2"/>
        <v>0</v>
      </c>
      <c r="N37" s="828"/>
      <c r="O37" s="285">
        <f t="shared" si="3"/>
        <v>0</v>
      </c>
      <c r="P37" s="270"/>
      <c r="Q37" s="828"/>
      <c r="S37" s="950" t="s">
        <v>11643</v>
      </c>
      <c r="T37" s="951" t="s">
        <v>11645</v>
      </c>
      <c r="U37" s="952"/>
      <c r="V37" s="921"/>
    </row>
    <row r="38" spans="1:22" s="197" customFormat="1" ht="15.75" customHeight="1" thickTop="1">
      <c r="B38" s="953" t="s">
        <v>11646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str">
        <f>'11A'!$T$96</f>
        <v>BO_214895</v>
      </c>
      <c r="D1526" t="str">
        <f>_xlfn.CONCAT('11A'!$B$96, " - ", '11A'!$C$5, " - ", '11A'!$C$6, )</f>
        <v>Purchased goods and services - Operational emissions - Water</v>
      </c>
      <c r="E1526" t="str">
        <f>'11A'!C7</f>
        <v>tCO2e</v>
      </c>
      <c r="F1526" t="s">
        <v>682</v>
      </c>
      <c r="G1526">
        <f>'11A'!C8</f>
        <v>3</v>
      </c>
      <c r="O1526" t="str">
        <f>D1526</f>
        <v>Purchased goods and services - Operational emissions - Water</v>
      </c>
    </row>
    <row r="1527" spans="1:15">
      <c r="A1527" t="s">
        <v>660</v>
      </c>
      <c r="B1527" t="str">
        <f>'11A'!$U$96</f>
        <v>BO_842566</v>
      </c>
      <c r="D1527" t="str">
        <f>_xlfn.CONCAT('11A'!$B$96, " - ", '11A'!$C$5, " - ", '11A'!$D$6, )</f>
        <v>Purchased goods and services - Operational emissions - Wastewater</v>
      </c>
      <c r="E1527" t="str">
        <f>'11A'!D7</f>
        <v>tCO2e</v>
      </c>
      <c r="F1527" t="s">
        <v>682</v>
      </c>
      <c r="G1527">
        <f>'11A'!D8</f>
        <v>3</v>
      </c>
      <c r="O1527" t="str">
        <f>D1527</f>
        <v>Purchased goods and services - Operational emissions - Wastewater</v>
      </c>
    </row>
    <row r="1528" spans="1:15">
      <c r="A1528" t="s">
        <v>660</v>
      </c>
      <c r="B1528" t="str">
        <f>'11A'!$V$96</f>
        <v>BO_3248925</v>
      </c>
      <c r="D1528" t="str">
        <f>_xlfn.CONCAT('11A'!$B$96, " - ", '11A'!$C$5, " - ", '11A'!$E$6, )</f>
        <v>Purchased goods and services - Operational emissions - Total</v>
      </c>
      <c r="E1528" t="str">
        <f>'11A'!E7</f>
        <v>tCO2e</v>
      </c>
      <c r="F1528" t="s">
        <v>682</v>
      </c>
      <c r="G1528">
        <f>'11A'!E8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tabColor rgb="FF00B050"/>
    <pageSetUpPr fitToPage="1"/>
  </sheetPr>
  <dimension ref="A1:AS229"/>
  <sheetViews>
    <sheetView showGridLines="0" topLeftCell="A23" zoomScale="40" zoomScaleNormal="40" zoomScaleSheetLayoutView="100" workbookViewId="0">
      <selection activeCell="A27" sqref="A27"/>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9"/>
      <c r="B1" s="902" t="s">
        <v>11647</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7220</v>
      </c>
      <c r="AF1" s="902"/>
      <c r="AG1" s="219"/>
      <c r="AH1" s="219"/>
      <c r="AI1" s="954"/>
      <c r="AJ1" s="219"/>
      <c r="AK1" s="219"/>
      <c r="AL1" s="954"/>
      <c r="AM1" s="219"/>
      <c r="AN1" s="219"/>
      <c r="AO1" s="649"/>
      <c r="AP1" s="259"/>
      <c r="AQ1" s="259"/>
      <c r="AR1" s="259"/>
      <c r="AS1" s="259"/>
    </row>
    <row r="2" spans="1:45" s="12" customFormat="1" ht="23.25">
      <c r="A2" s="259"/>
      <c r="B2" s="902" t="str">
        <f>SelectCompany!B4</f>
        <v>Northumbrian Water</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5">
      <c r="A3" s="264"/>
      <c r="B3" s="2836" t="s">
        <v>11648</v>
      </c>
      <c r="C3" s="2663"/>
      <c r="D3" s="2663"/>
      <c r="E3" s="2663"/>
      <c r="F3" s="2663"/>
      <c r="G3" s="2663"/>
      <c r="H3" s="2663"/>
      <c r="I3" s="2663"/>
      <c r="J3" s="2663"/>
      <c r="K3" s="2663"/>
      <c r="L3" s="2836"/>
      <c r="M3" s="2663"/>
      <c r="N3" s="2663"/>
      <c r="O3" s="2663"/>
      <c r="P3" s="264"/>
      <c r="Q3" s="907"/>
      <c r="R3" s="2208" t="s">
        <v>7222</v>
      </c>
      <c r="S3" s="907"/>
      <c r="T3" s="264"/>
      <c r="U3" s="264"/>
      <c r="V3" s="264"/>
      <c r="W3" s="264"/>
      <c r="X3" s="264"/>
      <c r="Y3" s="264"/>
      <c r="Z3" s="264"/>
      <c r="AA3" s="264"/>
      <c r="AB3" s="651"/>
      <c r="AC3" s="907"/>
      <c r="AD3" s="651"/>
      <c r="AE3" s="2836" t="s">
        <v>11648</v>
      </c>
      <c r="AF3" s="2663"/>
      <c r="AG3" s="2663"/>
      <c r="AH3" s="2663"/>
      <c r="AI3" s="2663"/>
      <c r="AJ3" s="2663"/>
      <c r="AK3" s="2663"/>
      <c r="AL3" s="2663"/>
      <c r="AM3" s="2663"/>
      <c r="AN3" s="2663"/>
      <c r="AO3" s="261"/>
      <c r="AP3" s="264"/>
      <c r="AQ3" s="264"/>
      <c r="AR3" s="264"/>
      <c r="AS3" s="264"/>
    </row>
    <row r="4" spans="1:45" s="7" customFormat="1" ht="19.5"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00000000000001" customHeight="1" thickTop="1">
      <c r="A5" s="651"/>
      <c r="B5" s="2711" t="s">
        <v>7224</v>
      </c>
      <c r="C5" s="2673" t="s">
        <v>11649</v>
      </c>
      <c r="D5" s="2673"/>
      <c r="E5" s="2673"/>
      <c r="F5" s="2673"/>
      <c r="G5" s="2673"/>
      <c r="H5" s="2673"/>
      <c r="I5" s="2673"/>
      <c r="J5" s="2673"/>
      <c r="K5" s="2675"/>
      <c r="L5" s="651"/>
      <c r="M5" s="2838" t="s">
        <v>7229</v>
      </c>
      <c r="N5" s="651"/>
      <c r="O5" s="2838" t="s">
        <v>7230</v>
      </c>
      <c r="P5" s="651"/>
      <c r="Q5" s="907"/>
      <c r="R5" s="284"/>
      <c r="S5" s="907"/>
      <c r="T5" s="651"/>
      <c r="U5" s="651"/>
      <c r="V5" s="651"/>
      <c r="W5" s="651"/>
      <c r="X5" s="651"/>
      <c r="Y5" s="651"/>
      <c r="Z5" s="651"/>
      <c r="AA5" s="651"/>
      <c r="AB5" s="651"/>
      <c r="AC5" s="907"/>
      <c r="AD5" s="651"/>
      <c r="AE5" s="2711" t="s">
        <v>7224</v>
      </c>
      <c r="AF5" s="2673" t="s">
        <v>11649</v>
      </c>
      <c r="AG5" s="2673"/>
      <c r="AH5" s="2673"/>
      <c r="AI5" s="2673"/>
      <c r="AJ5" s="2673"/>
      <c r="AK5" s="2673"/>
      <c r="AL5" s="2673"/>
      <c r="AM5" s="2673"/>
      <c r="AN5" s="2675"/>
      <c r="AO5" s="261"/>
      <c r="AP5" s="651"/>
      <c r="AQ5" s="651"/>
      <c r="AR5" s="651"/>
      <c r="AS5" s="651"/>
    </row>
    <row r="6" spans="1:45" s="4" customFormat="1" ht="15.95" customHeight="1">
      <c r="A6" s="197"/>
      <c r="B6" s="2795"/>
      <c r="C6" s="2796" t="s">
        <v>11650</v>
      </c>
      <c r="D6" s="2796"/>
      <c r="E6" s="2796"/>
      <c r="F6" s="2796"/>
      <c r="G6" s="2796" t="s">
        <v>11651</v>
      </c>
      <c r="H6" s="2796"/>
      <c r="I6" s="2796" t="s">
        <v>11652</v>
      </c>
      <c r="J6" s="2796" t="s">
        <v>11653</v>
      </c>
      <c r="K6" s="2837"/>
      <c r="L6" s="197"/>
      <c r="M6" s="2839"/>
      <c r="N6" s="197"/>
      <c r="O6" s="2839"/>
      <c r="P6" s="197"/>
      <c r="Q6" s="828"/>
      <c r="R6" s="284"/>
      <c r="S6" s="828"/>
      <c r="T6" s="197"/>
      <c r="U6" s="197"/>
      <c r="V6" s="197"/>
      <c r="W6" s="197"/>
      <c r="X6" s="197"/>
      <c r="Y6" s="197"/>
      <c r="Z6" s="197"/>
      <c r="AA6" s="197"/>
      <c r="AB6" s="197"/>
      <c r="AC6" s="828"/>
      <c r="AD6" s="197"/>
      <c r="AE6" s="2795"/>
      <c r="AF6" s="2796" t="s">
        <v>11650</v>
      </c>
      <c r="AG6" s="2796"/>
      <c r="AH6" s="2796"/>
      <c r="AI6" s="2796"/>
      <c r="AJ6" s="2796" t="s">
        <v>11651</v>
      </c>
      <c r="AK6" s="2796"/>
      <c r="AL6" s="2796" t="s">
        <v>11652</v>
      </c>
      <c r="AM6" s="2796" t="s">
        <v>11653</v>
      </c>
      <c r="AN6" s="2837"/>
      <c r="AO6" s="317"/>
      <c r="AP6" s="197"/>
      <c r="AQ6" s="197"/>
      <c r="AR6" s="197"/>
      <c r="AS6" s="197"/>
    </row>
    <row r="7" spans="1:45" s="4" customFormat="1" ht="30">
      <c r="A7" s="197"/>
      <c r="B7" s="2795"/>
      <c r="C7" s="427" t="s">
        <v>11654</v>
      </c>
      <c r="D7" s="427" t="s">
        <v>11655</v>
      </c>
      <c r="E7" s="427" t="s">
        <v>11656</v>
      </c>
      <c r="F7" s="427" t="s">
        <v>11657</v>
      </c>
      <c r="G7" s="427" t="s">
        <v>11658</v>
      </c>
      <c r="H7" s="427" t="s">
        <v>11659</v>
      </c>
      <c r="I7" s="2796"/>
      <c r="J7" s="427" t="s">
        <v>11660</v>
      </c>
      <c r="K7" s="428" t="s">
        <v>11661</v>
      </c>
      <c r="L7" s="197"/>
      <c r="M7" s="2839"/>
      <c r="N7" s="197"/>
      <c r="O7" s="2839"/>
      <c r="P7" s="197"/>
      <c r="Q7" s="828"/>
      <c r="R7" s="284"/>
      <c r="S7" s="828"/>
      <c r="T7" s="197"/>
      <c r="U7" s="197"/>
      <c r="V7" s="197"/>
      <c r="W7" s="197"/>
      <c r="X7" s="197"/>
      <c r="Y7" s="197"/>
      <c r="Z7" s="197"/>
      <c r="AA7" s="197"/>
      <c r="AB7" s="197"/>
      <c r="AC7" s="828"/>
      <c r="AD7" s="197"/>
      <c r="AE7" s="2795"/>
      <c r="AF7" s="427" t="s">
        <v>11654</v>
      </c>
      <c r="AG7" s="427" t="s">
        <v>11655</v>
      </c>
      <c r="AH7" s="427" t="s">
        <v>11656</v>
      </c>
      <c r="AI7" s="427" t="s">
        <v>11657</v>
      </c>
      <c r="AJ7" s="427" t="s">
        <v>11658</v>
      </c>
      <c r="AK7" s="427" t="s">
        <v>11659</v>
      </c>
      <c r="AL7" s="2796"/>
      <c r="AM7" s="427" t="s">
        <v>11660</v>
      </c>
      <c r="AN7" s="428" t="s">
        <v>11661</v>
      </c>
      <c r="AO7" s="317"/>
      <c r="AP7" s="197"/>
      <c r="AQ7" s="197"/>
      <c r="AR7" s="197"/>
      <c r="AS7" s="197"/>
    </row>
    <row r="8" spans="1:45" s="4" customFormat="1">
      <c r="A8" s="197"/>
      <c r="B8" s="429" t="s">
        <v>7225</v>
      </c>
      <c r="C8" s="427" t="s">
        <v>681</v>
      </c>
      <c r="D8" s="427" t="s">
        <v>681</v>
      </c>
      <c r="E8" s="427" t="s">
        <v>681</v>
      </c>
      <c r="F8" s="427" t="s">
        <v>681</v>
      </c>
      <c r="G8" s="427" t="s">
        <v>681</v>
      </c>
      <c r="H8" s="427" t="s">
        <v>681</v>
      </c>
      <c r="I8" s="427" t="s">
        <v>681</v>
      </c>
      <c r="J8" s="427" t="s">
        <v>3137</v>
      </c>
      <c r="K8" s="428" t="s">
        <v>3137</v>
      </c>
      <c r="L8" s="197"/>
      <c r="M8" s="2839"/>
      <c r="N8" s="197"/>
      <c r="O8" s="2839"/>
      <c r="P8" s="197"/>
      <c r="Q8" s="828"/>
      <c r="R8" s="284"/>
      <c r="S8" s="828"/>
      <c r="T8" s="197"/>
      <c r="U8" s="197"/>
      <c r="V8" s="197"/>
      <c r="W8" s="197"/>
      <c r="X8" s="197"/>
      <c r="Y8" s="197"/>
      <c r="Z8" s="197"/>
      <c r="AA8" s="197"/>
      <c r="AB8" s="197"/>
      <c r="AC8" s="828"/>
      <c r="AD8" s="197"/>
      <c r="AE8" s="429" t="s">
        <v>7225</v>
      </c>
      <c r="AF8" s="427" t="s">
        <v>681</v>
      </c>
      <c r="AG8" s="427" t="s">
        <v>681</v>
      </c>
      <c r="AH8" s="427" t="s">
        <v>681</v>
      </c>
      <c r="AI8" s="427" t="s">
        <v>681</v>
      </c>
      <c r="AJ8" s="427" t="s">
        <v>681</v>
      </c>
      <c r="AK8" s="427" t="s">
        <v>681</v>
      </c>
      <c r="AL8" s="427" t="s">
        <v>681</v>
      </c>
      <c r="AM8" s="427" t="s">
        <v>3137</v>
      </c>
      <c r="AN8" s="428" t="s">
        <v>3137</v>
      </c>
      <c r="AO8" s="317"/>
      <c r="AP8" s="197"/>
      <c r="AQ8" s="197"/>
      <c r="AR8" s="197"/>
      <c r="AS8" s="197"/>
    </row>
    <row r="9" spans="1:45" s="4" customFormat="1" ht="16.5" thickBot="1">
      <c r="A9" s="197"/>
      <c r="B9" s="430" t="s">
        <v>670</v>
      </c>
      <c r="C9" s="271">
        <v>3</v>
      </c>
      <c r="D9" s="271">
        <v>3</v>
      </c>
      <c r="E9" s="271">
        <v>3</v>
      </c>
      <c r="F9" s="271">
        <v>3</v>
      </c>
      <c r="G9" s="271">
        <v>3</v>
      </c>
      <c r="H9" s="271">
        <v>3</v>
      </c>
      <c r="I9" s="271">
        <v>3</v>
      </c>
      <c r="J9" s="271">
        <v>3</v>
      </c>
      <c r="K9" s="672">
        <v>3</v>
      </c>
      <c r="L9" s="197"/>
      <c r="M9" s="2840"/>
      <c r="N9" s="197"/>
      <c r="O9" s="2840"/>
      <c r="P9" s="197"/>
      <c r="Q9" s="828"/>
      <c r="R9" s="284"/>
      <c r="S9" s="828"/>
      <c r="T9" s="2668" t="s">
        <v>7223</v>
      </c>
      <c r="U9" s="2668"/>
      <c r="V9" s="2819"/>
      <c r="W9" s="2819"/>
      <c r="X9" s="2819"/>
      <c r="Y9" s="2819"/>
      <c r="Z9" s="2819"/>
      <c r="AA9" s="2819"/>
      <c r="AB9" s="247"/>
      <c r="AC9" s="828"/>
      <c r="AD9" s="197"/>
      <c r="AE9" s="430" t="s">
        <v>670</v>
      </c>
      <c r="AF9" s="271">
        <v>3</v>
      </c>
      <c r="AG9" s="271">
        <v>3</v>
      </c>
      <c r="AH9" s="271">
        <v>3</v>
      </c>
      <c r="AI9" s="271">
        <v>3</v>
      </c>
      <c r="AJ9" s="271">
        <v>3</v>
      </c>
      <c r="AK9" s="271">
        <v>3</v>
      </c>
      <c r="AL9" s="271">
        <v>3</v>
      </c>
      <c r="AM9" s="271">
        <v>3</v>
      </c>
      <c r="AN9" s="672">
        <v>3</v>
      </c>
      <c r="AO9" s="317"/>
      <c r="AP9" s="197"/>
      <c r="AQ9" s="197"/>
      <c r="AR9" s="197"/>
      <c r="AS9" s="197"/>
    </row>
    <row r="10" spans="1:45" s="4" customFormat="1" ht="17.25" thickTop="1" thickBot="1">
      <c r="A10" s="197"/>
      <c r="B10" s="956"/>
      <c r="C10" s="956"/>
      <c r="D10" s="957"/>
      <c r="E10" s="957"/>
      <c r="F10" s="957"/>
      <c r="G10" s="957"/>
      <c r="H10" s="957"/>
      <c r="I10" s="957"/>
      <c r="J10" s="957"/>
      <c r="K10" s="957"/>
      <c r="L10" s="197"/>
      <c r="M10" s="197"/>
      <c r="N10" s="197"/>
      <c r="O10" s="197"/>
      <c r="P10" s="197"/>
      <c r="Q10" s="828"/>
      <c r="R10" s="284"/>
      <c r="S10" s="828"/>
      <c r="T10" s="269" t="s">
        <v>7231</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11662</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11662</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11663</v>
      </c>
      <c r="C12" s="2091">
        <v>0</v>
      </c>
      <c r="D12" s="694">
        <v>0</v>
      </c>
      <c r="E12" s="694">
        <v>150</v>
      </c>
      <c r="F12" s="694">
        <v>0</v>
      </c>
      <c r="G12" s="1595">
        <f>IFERROR(SUM(C12:F12),0)</f>
        <v>150</v>
      </c>
      <c r="H12" s="2091">
        <v>-8.7430000000000003</v>
      </c>
      <c r="I12" s="694">
        <v>0</v>
      </c>
      <c r="J12" s="1609">
        <v>2.3599999999999999E-2</v>
      </c>
      <c r="K12" s="1610">
        <v>4.8788E-3</v>
      </c>
      <c r="L12" s="197"/>
      <c r="M12" s="281" t="s">
        <v>11664</v>
      </c>
      <c r="N12" s="197"/>
      <c r="O12" s="283"/>
      <c r="P12" s="197"/>
      <c r="Q12" s="828"/>
      <c r="R12" s="284">
        <f t="shared" ref="R12:R18" si="0">IF( SUM( T12:AA12 ) = 0, 0, $T$10 )</f>
        <v>0</v>
      </c>
      <c r="S12" s="828"/>
      <c r="T12" s="285">
        <f xml:space="preserve"> IF( ISNUMBER(C12), 0, 1 )</f>
        <v>0</v>
      </c>
      <c r="U12" s="285">
        <f t="shared" ref="U12:U18" si="1" xml:space="preserve"> IF( ISNUMBER(D12), 0, 1 )</f>
        <v>0</v>
      </c>
      <c r="V12" s="285">
        <f t="shared" ref="V12:V18" si="2" xml:space="preserve"> IF( ISNUMBER(E12), 0, 1 )</f>
        <v>0</v>
      </c>
      <c r="W12" s="285">
        <f t="shared" ref="W12:W18" si="3" xml:space="preserve"> IF( ISNUMBER(F12), 0, 1 )</f>
        <v>0</v>
      </c>
      <c r="X12" s="197"/>
      <c r="Y12" s="285">
        <f t="shared" ref="Y12:Y18" si="4" xml:space="preserve"> IF( ISNUMBER(H12), 0, 1 )</f>
        <v>0</v>
      </c>
      <c r="Z12" s="285">
        <f t="shared" ref="Z12:Z18" si="5" xml:space="preserve"> IF( ISNUMBER(I12), 0, 1 )</f>
        <v>0</v>
      </c>
      <c r="AA12" s="285">
        <f t="shared" ref="AA12:AA18" si="6" xml:space="preserve"> IF( ISNUMBER(J12), 0, 1 )</f>
        <v>0</v>
      </c>
      <c r="AB12" s="285">
        <f t="shared" ref="AB12:AB18" si="7" xml:space="preserve"> IF( ISNUMBER(K12), 0, 1 )</f>
        <v>0</v>
      </c>
      <c r="AC12" s="828"/>
      <c r="AD12" s="197"/>
      <c r="AE12" s="396" t="s">
        <v>11663</v>
      </c>
      <c r="AF12" s="958" t="s">
        <v>11665</v>
      </c>
      <c r="AG12" s="904" t="s">
        <v>11666</v>
      </c>
      <c r="AH12" s="904" t="s">
        <v>11667</v>
      </c>
      <c r="AI12" s="904" t="s">
        <v>11668</v>
      </c>
      <c r="AJ12" s="959" t="s">
        <v>11669</v>
      </c>
      <c r="AK12" s="958" t="s">
        <v>11670</v>
      </c>
      <c r="AL12" s="904" t="s">
        <v>11671</v>
      </c>
      <c r="AM12" s="904" t="s">
        <v>11672</v>
      </c>
      <c r="AN12" s="960" t="s">
        <v>11673</v>
      </c>
      <c r="AO12" s="961"/>
      <c r="AP12" s="197"/>
      <c r="AQ12" s="197"/>
      <c r="AR12" s="197"/>
      <c r="AS12" s="197"/>
    </row>
    <row r="13" spans="1:45" s="4" customFormat="1" ht="15.75" customHeight="1">
      <c r="A13" s="197"/>
      <c r="B13" s="403" t="s">
        <v>11674</v>
      </c>
      <c r="C13" s="2092">
        <v>0</v>
      </c>
      <c r="D13" s="697">
        <v>0</v>
      </c>
      <c r="E13" s="697">
        <v>0</v>
      </c>
      <c r="F13" s="697">
        <v>0</v>
      </c>
      <c r="G13" s="1597">
        <f t="shared" ref="G13:G18" si="8">IFERROR(SUM(C13:F13),0)</f>
        <v>0</v>
      </c>
      <c r="H13" s="2092">
        <v>0</v>
      </c>
      <c r="I13" s="697">
        <v>0</v>
      </c>
      <c r="J13" s="1611">
        <v>0</v>
      </c>
      <c r="K13" s="1612">
        <v>0</v>
      </c>
      <c r="L13" s="197"/>
      <c r="M13" s="290" t="s">
        <v>11675</v>
      </c>
      <c r="N13" s="197"/>
      <c r="O13" s="291"/>
      <c r="P13" s="197"/>
      <c r="Q13" s="828"/>
      <c r="R13" s="284">
        <f t="shared" si="0"/>
        <v>0</v>
      </c>
      <c r="S13" s="828"/>
      <c r="T13" s="285">
        <f t="shared" ref="T13:T18" si="9" xml:space="preserve"> IF( ISNUMBER(C13), 0, 1 )</f>
        <v>0</v>
      </c>
      <c r="U13" s="285">
        <f t="shared" si="1"/>
        <v>0</v>
      </c>
      <c r="V13" s="285">
        <f t="shared" si="2"/>
        <v>0</v>
      </c>
      <c r="W13" s="285">
        <f t="shared" si="3"/>
        <v>0</v>
      </c>
      <c r="X13" s="197"/>
      <c r="Y13" s="285">
        <f t="shared" si="4"/>
        <v>0</v>
      </c>
      <c r="Z13" s="285">
        <f t="shared" si="5"/>
        <v>0</v>
      </c>
      <c r="AA13" s="285">
        <f t="shared" si="6"/>
        <v>0</v>
      </c>
      <c r="AB13" s="285">
        <f t="shared" si="7"/>
        <v>0</v>
      </c>
      <c r="AC13" s="828"/>
      <c r="AD13" s="197"/>
      <c r="AE13" s="403" t="s">
        <v>11674</v>
      </c>
      <c r="AF13" s="962" t="s">
        <v>11676</v>
      </c>
      <c r="AG13" s="905" t="s">
        <v>11677</v>
      </c>
      <c r="AH13" s="905" t="s">
        <v>11678</v>
      </c>
      <c r="AI13" s="905" t="s">
        <v>11679</v>
      </c>
      <c r="AJ13" s="963" t="s">
        <v>11680</v>
      </c>
      <c r="AK13" s="962" t="s">
        <v>11681</v>
      </c>
      <c r="AL13" s="905" t="s">
        <v>11682</v>
      </c>
      <c r="AM13" s="905" t="s">
        <v>11683</v>
      </c>
      <c r="AN13" s="964" t="s">
        <v>11684</v>
      </c>
      <c r="AO13" s="961"/>
      <c r="AP13" s="197"/>
      <c r="AQ13" s="197"/>
      <c r="AR13" s="197"/>
      <c r="AS13" s="197"/>
    </row>
    <row r="14" spans="1:45" s="4" customFormat="1" ht="15.75" customHeight="1">
      <c r="A14" s="197"/>
      <c r="B14" s="403" t="s">
        <v>11685</v>
      </c>
      <c r="C14" s="2092">
        <v>0</v>
      </c>
      <c r="D14" s="697">
        <v>0</v>
      </c>
      <c r="E14" s="697">
        <v>0</v>
      </c>
      <c r="F14" s="697">
        <v>0</v>
      </c>
      <c r="G14" s="1597">
        <f t="shared" si="8"/>
        <v>0</v>
      </c>
      <c r="H14" s="2092">
        <v>0</v>
      </c>
      <c r="I14" s="697">
        <v>0</v>
      </c>
      <c r="J14" s="1611">
        <v>0</v>
      </c>
      <c r="K14" s="1612">
        <v>0</v>
      </c>
      <c r="L14" s="197"/>
      <c r="M14" s="290" t="s">
        <v>11686</v>
      </c>
      <c r="N14" s="197"/>
      <c r="O14" s="291"/>
      <c r="P14" s="197"/>
      <c r="Q14" s="828"/>
      <c r="R14" s="284">
        <f t="shared" si="0"/>
        <v>0</v>
      </c>
      <c r="S14" s="828"/>
      <c r="T14" s="285">
        <f t="shared" si="9"/>
        <v>0</v>
      </c>
      <c r="U14" s="285">
        <f t="shared" si="1"/>
        <v>0</v>
      </c>
      <c r="V14" s="285">
        <f t="shared" si="2"/>
        <v>0</v>
      </c>
      <c r="W14" s="285">
        <f t="shared" si="3"/>
        <v>0</v>
      </c>
      <c r="X14" s="197"/>
      <c r="Y14" s="285">
        <f t="shared" si="4"/>
        <v>0</v>
      </c>
      <c r="Z14" s="285">
        <f t="shared" si="5"/>
        <v>0</v>
      </c>
      <c r="AA14" s="285">
        <f t="shared" si="6"/>
        <v>0</v>
      </c>
      <c r="AB14" s="285">
        <f t="shared" si="7"/>
        <v>0</v>
      </c>
      <c r="AC14" s="828"/>
      <c r="AD14" s="197"/>
      <c r="AE14" s="403" t="s">
        <v>11685</v>
      </c>
      <c r="AF14" s="962" t="s">
        <v>11687</v>
      </c>
      <c r="AG14" s="905" t="s">
        <v>11688</v>
      </c>
      <c r="AH14" s="905" t="s">
        <v>11689</v>
      </c>
      <c r="AI14" s="905" t="s">
        <v>11690</v>
      </c>
      <c r="AJ14" s="963" t="s">
        <v>11691</v>
      </c>
      <c r="AK14" s="962" t="s">
        <v>11692</v>
      </c>
      <c r="AL14" s="905" t="s">
        <v>11693</v>
      </c>
      <c r="AM14" s="905" t="s">
        <v>11694</v>
      </c>
      <c r="AN14" s="964" t="s">
        <v>11695</v>
      </c>
      <c r="AO14" s="961"/>
      <c r="AP14" s="197"/>
      <c r="AQ14" s="197"/>
      <c r="AR14" s="197"/>
      <c r="AS14" s="197"/>
    </row>
    <row r="15" spans="1:45" s="4" customFormat="1" ht="15.75" customHeight="1">
      <c r="A15" s="197"/>
      <c r="B15" s="403" t="s">
        <v>11696</v>
      </c>
      <c r="C15" s="2092">
        <v>0</v>
      </c>
      <c r="D15" s="697">
        <v>0</v>
      </c>
      <c r="E15" s="697">
        <v>0</v>
      </c>
      <c r="F15" s="697">
        <v>0</v>
      </c>
      <c r="G15" s="1597">
        <f t="shared" si="8"/>
        <v>0</v>
      </c>
      <c r="H15" s="2092">
        <v>0</v>
      </c>
      <c r="I15" s="697">
        <v>0</v>
      </c>
      <c r="J15" s="1611">
        <v>0</v>
      </c>
      <c r="K15" s="1612">
        <v>0</v>
      </c>
      <c r="L15" s="197"/>
      <c r="M15" s="290" t="s">
        <v>11697</v>
      </c>
      <c r="N15" s="197"/>
      <c r="O15" s="291"/>
      <c r="P15" s="197"/>
      <c r="Q15" s="828"/>
      <c r="R15" s="284">
        <f t="shared" si="0"/>
        <v>0</v>
      </c>
      <c r="S15" s="828"/>
      <c r="T15" s="285">
        <f t="shared" si="9"/>
        <v>0</v>
      </c>
      <c r="U15" s="285">
        <f t="shared" si="1"/>
        <v>0</v>
      </c>
      <c r="V15" s="285">
        <f t="shared" si="2"/>
        <v>0</v>
      </c>
      <c r="W15" s="285">
        <f t="shared" si="3"/>
        <v>0</v>
      </c>
      <c r="X15" s="197"/>
      <c r="Y15" s="285">
        <f t="shared" si="4"/>
        <v>0</v>
      </c>
      <c r="Z15" s="285">
        <f t="shared" si="5"/>
        <v>0</v>
      </c>
      <c r="AA15" s="285">
        <f t="shared" si="6"/>
        <v>0</v>
      </c>
      <c r="AB15" s="285">
        <f t="shared" si="7"/>
        <v>0</v>
      </c>
      <c r="AC15" s="828"/>
      <c r="AD15" s="197"/>
      <c r="AE15" s="403" t="s">
        <v>11696</v>
      </c>
      <c r="AF15" s="962" t="s">
        <v>11698</v>
      </c>
      <c r="AG15" s="905" t="s">
        <v>11699</v>
      </c>
      <c r="AH15" s="905" t="s">
        <v>11700</v>
      </c>
      <c r="AI15" s="905" t="s">
        <v>11701</v>
      </c>
      <c r="AJ15" s="963" t="s">
        <v>11702</v>
      </c>
      <c r="AK15" s="962" t="s">
        <v>11703</v>
      </c>
      <c r="AL15" s="905" t="s">
        <v>11704</v>
      </c>
      <c r="AM15" s="905" t="s">
        <v>11705</v>
      </c>
      <c r="AN15" s="964" t="s">
        <v>11706</v>
      </c>
      <c r="AO15" s="961"/>
      <c r="AP15" s="197"/>
      <c r="AQ15" s="197"/>
      <c r="AR15" s="197"/>
      <c r="AS15" s="197"/>
    </row>
    <row r="16" spans="1:45" s="4" customFormat="1" ht="15.75" customHeight="1">
      <c r="A16" s="197"/>
      <c r="B16" s="403" t="s">
        <v>11707</v>
      </c>
      <c r="C16" s="2092">
        <v>0</v>
      </c>
      <c r="D16" s="697">
        <v>0</v>
      </c>
      <c r="E16" s="697">
        <v>150</v>
      </c>
      <c r="F16" s="697">
        <v>100</v>
      </c>
      <c r="G16" s="1597">
        <f t="shared" si="8"/>
        <v>250</v>
      </c>
      <c r="H16" s="2092">
        <v>96.347000000000008</v>
      </c>
      <c r="I16" s="697">
        <v>87.170999999999992</v>
      </c>
      <c r="J16" s="1611">
        <v>0.12815500772797528</v>
      </c>
      <c r="K16" s="1612">
        <v>2.1683999999999998E-2</v>
      </c>
      <c r="L16" s="197"/>
      <c r="M16" s="290" t="s">
        <v>11708</v>
      </c>
      <c r="N16" s="197"/>
      <c r="O16" s="291"/>
      <c r="P16" s="197"/>
      <c r="Q16" s="828"/>
      <c r="R16" s="284">
        <f t="shared" si="0"/>
        <v>0</v>
      </c>
      <c r="S16" s="828"/>
      <c r="T16" s="285">
        <f t="shared" si="9"/>
        <v>0</v>
      </c>
      <c r="U16" s="285">
        <f t="shared" si="1"/>
        <v>0</v>
      </c>
      <c r="V16" s="285">
        <f t="shared" si="2"/>
        <v>0</v>
      </c>
      <c r="W16" s="285">
        <f t="shared" si="3"/>
        <v>0</v>
      </c>
      <c r="X16" s="197"/>
      <c r="Y16" s="285">
        <f t="shared" si="4"/>
        <v>0</v>
      </c>
      <c r="Z16" s="285">
        <f t="shared" si="5"/>
        <v>0</v>
      </c>
      <c r="AA16" s="285">
        <f t="shared" si="6"/>
        <v>0</v>
      </c>
      <c r="AB16" s="285">
        <f t="shared" si="7"/>
        <v>0</v>
      </c>
      <c r="AC16" s="828"/>
      <c r="AD16" s="197"/>
      <c r="AE16" s="403" t="s">
        <v>11707</v>
      </c>
      <c r="AF16" s="962" t="s">
        <v>11709</v>
      </c>
      <c r="AG16" s="905" t="s">
        <v>11710</v>
      </c>
      <c r="AH16" s="905" t="s">
        <v>11711</v>
      </c>
      <c r="AI16" s="905" t="s">
        <v>11712</v>
      </c>
      <c r="AJ16" s="963" t="s">
        <v>11713</v>
      </c>
      <c r="AK16" s="962" t="s">
        <v>11714</v>
      </c>
      <c r="AL16" s="905" t="s">
        <v>11715</v>
      </c>
      <c r="AM16" s="905" t="s">
        <v>11716</v>
      </c>
      <c r="AN16" s="964" t="s">
        <v>11717</v>
      </c>
      <c r="AO16" s="961"/>
      <c r="AP16" s="197"/>
      <c r="AQ16" s="197"/>
      <c r="AR16" s="197"/>
      <c r="AS16" s="197"/>
    </row>
    <row r="17" spans="1:45" s="4" customFormat="1" ht="15.75" customHeight="1">
      <c r="A17" s="197"/>
      <c r="B17" s="403" t="s">
        <v>11718</v>
      </c>
      <c r="C17" s="2092">
        <v>0</v>
      </c>
      <c r="D17" s="697">
        <v>0</v>
      </c>
      <c r="E17" s="697">
        <v>0</v>
      </c>
      <c r="F17" s="697">
        <v>0</v>
      </c>
      <c r="G17" s="1597">
        <f t="shared" si="8"/>
        <v>0</v>
      </c>
      <c r="H17" s="2092">
        <v>0</v>
      </c>
      <c r="I17" s="697">
        <v>0</v>
      </c>
      <c r="J17" s="1611">
        <v>0</v>
      </c>
      <c r="K17" s="1612">
        <v>0</v>
      </c>
      <c r="L17" s="197"/>
      <c r="M17" s="290" t="s">
        <v>11719</v>
      </c>
      <c r="N17" s="197"/>
      <c r="O17" s="291"/>
      <c r="P17" s="197"/>
      <c r="Q17" s="828"/>
      <c r="R17" s="284">
        <f t="shared" si="0"/>
        <v>0</v>
      </c>
      <c r="S17" s="828"/>
      <c r="T17" s="285">
        <f t="shared" si="9"/>
        <v>0</v>
      </c>
      <c r="U17" s="285">
        <f t="shared" si="1"/>
        <v>0</v>
      </c>
      <c r="V17" s="285">
        <f t="shared" si="2"/>
        <v>0</v>
      </c>
      <c r="W17" s="285">
        <f t="shared" si="3"/>
        <v>0</v>
      </c>
      <c r="X17" s="197"/>
      <c r="Y17" s="285">
        <f t="shared" si="4"/>
        <v>0</v>
      </c>
      <c r="Z17" s="285">
        <f t="shared" si="5"/>
        <v>0</v>
      </c>
      <c r="AA17" s="285">
        <f t="shared" si="6"/>
        <v>0</v>
      </c>
      <c r="AB17" s="285">
        <f t="shared" si="7"/>
        <v>0</v>
      </c>
      <c r="AC17" s="828"/>
      <c r="AD17" s="197"/>
      <c r="AE17" s="403" t="s">
        <v>11718</v>
      </c>
      <c r="AF17" s="962" t="s">
        <v>11720</v>
      </c>
      <c r="AG17" s="905" t="s">
        <v>11721</v>
      </c>
      <c r="AH17" s="905" t="s">
        <v>11722</v>
      </c>
      <c r="AI17" s="905" t="s">
        <v>11723</v>
      </c>
      <c r="AJ17" s="963" t="s">
        <v>11724</v>
      </c>
      <c r="AK17" s="962" t="s">
        <v>11725</v>
      </c>
      <c r="AL17" s="905" t="s">
        <v>11726</v>
      </c>
      <c r="AM17" s="905" t="s">
        <v>11727</v>
      </c>
      <c r="AN17" s="964" t="s">
        <v>11728</v>
      </c>
      <c r="AO17" s="961"/>
      <c r="AP17" s="197"/>
      <c r="AQ17" s="197"/>
      <c r="AR17" s="197"/>
      <c r="AS17" s="197"/>
    </row>
    <row r="18" spans="1:45" s="4" customFormat="1" ht="15.75" customHeight="1">
      <c r="A18" s="197"/>
      <c r="B18" s="403" t="s">
        <v>11729</v>
      </c>
      <c r="C18" s="2092">
        <v>0</v>
      </c>
      <c r="D18" s="697">
        <v>0</v>
      </c>
      <c r="E18" s="697">
        <v>0</v>
      </c>
      <c r="F18" s="697">
        <v>0</v>
      </c>
      <c r="G18" s="1597">
        <f t="shared" si="8"/>
        <v>0</v>
      </c>
      <c r="H18" s="2092">
        <v>0</v>
      </c>
      <c r="I18" s="697">
        <v>0</v>
      </c>
      <c r="J18" s="1611">
        <v>0</v>
      </c>
      <c r="K18" s="1612">
        <v>0</v>
      </c>
      <c r="L18" s="197"/>
      <c r="M18" s="290" t="s">
        <v>11730</v>
      </c>
      <c r="N18" s="197"/>
      <c r="O18" s="291"/>
      <c r="P18" s="197"/>
      <c r="Q18" s="828"/>
      <c r="R18" s="284">
        <f t="shared" si="0"/>
        <v>0</v>
      </c>
      <c r="S18" s="828"/>
      <c r="T18" s="285">
        <f t="shared" si="9"/>
        <v>0</v>
      </c>
      <c r="U18" s="285">
        <f t="shared" si="1"/>
        <v>0</v>
      </c>
      <c r="V18" s="285">
        <f t="shared" si="2"/>
        <v>0</v>
      </c>
      <c r="W18" s="285">
        <f t="shared" si="3"/>
        <v>0</v>
      </c>
      <c r="X18" s="197"/>
      <c r="Y18" s="285">
        <f t="shared" si="4"/>
        <v>0</v>
      </c>
      <c r="Z18" s="285">
        <f t="shared" si="5"/>
        <v>0</v>
      </c>
      <c r="AA18" s="285">
        <f t="shared" si="6"/>
        <v>0</v>
      </c>
      <c r="AB18" s="285">
        <f t="shared" si="7"/>
        <v>0</v>
      </c>
      <c r="AC18" s="828"/>
      <c r="AD18" s="197"/>
      <c r="AE18" s="403" t="s">
        <v>11729</v>
      </c>
      <c r="AF18" s="962" t="s">
        <v>11731</v>
      </c>
      <c r="AG18" s="905" t="s">
        <v>11732</v>
      </c>
      <c r="AH18" s="905" t="s">
        <v>11733</v>
      </c>
      <c r="AI18" s="905" t="s">
        <v>11734</v>
      </c>
      <c r="AJ18" s="963" t="s">
        <v>11735</v>
      </c>
      <c r="AK18" s="962" t="s">
        <v>11736</v>
      </c>
      <c r="AL18" s="905" t="s">
        <v>11737</v>
      </c>
      <c r="AM18" s="905" t="s">
        <v>11738</v>
      </c>
      <c r="AN18" s="964" t="s">
        <v>11739</v>
      </c>
      <c r="AO18" s="961"/>
      <c r="AP18" s="197"/>
      <c r="AQ18" s="197"/>
      <c r="AR18" s="197"/>
      <c r="AS18" s="197"/>
    </row>
    <row r="19" spans="1:45" s="4" customFormat="1" ht="15.75" customHeight="1" thickBot="1">
      <c r="A19" s="197"/>
      <c r="B19" s="406" t="s">
        <v>7445</v>
      </c>
      <c r="C19" s="2037">
        <f>IFERROR(SUM(C12:C18), 0)</f>
        <v>0</v>
      </c>
      <c r="D19" s="1589">
        <f t="shared" ref="D19:F19" si="10">IFERROR(SUM(D12:D18), 0)</f>
        <v>0</v>
      </c>
      <c r="E19" s="1589">
        <f t="shared" si="10"/>
        <v>300</v>
      </c>
      <c r="F19" s="1589">
        <f t="shared" si="10"/>
        <v>100</v>
      </c>
      <c r="G19" s="1589">
        <f>IFERROR(SUM(C19:F19),0)</f>
        <v>400</v>
      </c>
      <c r="H19" s="1589">
        <f>IFERROR(SUM(H12:H18), 0)</f>
        <v>87.604000000000013</v>
      </c>
      <c r="I19" s="1589">
        <f>IFERROR(SUM(I12:I18), 0)</f>
        <v>87.170999999999992</v>
      </c>
      <c r="J19" s="1613"/>
      <c r="K19" s="1614"/>
      <c r="L19" s="197"/>
      <c r="M19" s="576" t="s">
        <v>11740</v>
      </c>
      <c r="N19" s="197"/>
      <c r="O19" s="302"/>
      <c r="P19" s="197"/>
      <c r="Q19" s="828"/>
      <c r="R19" s="284"/>
      <c r="S19" s="828"/>
      <c r="T19" s="197"/>
      <c r="U19" s="197"/>
      <c r="V19" s="197"/>
      <c r="W19" s="197"/>
      <c r="X19" s="197"/>
      <c r="Y19" s="197"/>
      <c r="Z19" s="197"/>
      <c r="AA19" s="197"/>
      <c r="AB19" s="197"/>
      <c r="AC19" s="828"/>
      <c r="AD19" s="197"/>
      <c r="AE19" s="406" t="s">
        <v>7445</v>
      </c>
      <c r="AF19" s="965" t="s">
        <v>11741</v>
      </c>
      <c r="AG19" s="679" t="s">
        <v>11742</v>
      </c>
      <c r="AH19" s="679" t="s">
        <v>11743</v>
      </c>
      <c r="AI19" s="679" t="s">
        <v>11744</v>
      </c>
      <c r="AJ19" s="679" t="s">
        <v>11745</v>
      </c>
      <c r="AK19" s="679" t="s">
        <v>11746</v>
      </c>
      <c r="AL19" s="679" t="s">
        <v>11747</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11748</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11748</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11749</v>
      </c>
      <c r="C22" s="2091">
        <v>0</v>
      </c>
      <c r="D22" s="694">
        <v>0</v>
      </c>
      <c r="E22" s="694">
        <v>0</v>
      </c>
      <c r="F22" s="694">
        <v>0</v>
      </c>
      <c r="G22" s="1595">
        <f t="shared" ref="G22:G26" si="11">IFERROR(SUM(C22:F22),0)</f>
        <v>0</v>
      </c>
      <c r="H22" s="694">
        <v>0</v>
      </c>
      <c r="I22" s="694">
        <v>0</v>
      </c>
      <c r="J22" s="1616"/>
      <c r="K22" s="1617"/>
      <c r="L22" s="197"/>
      <c r="M22" s="281" t="s">
        <v>11750</v>
      </c>
      <c r="N22" s="197"/>
      <c r="O22" s="283"/>
      <c r="P22" s="197"/>
      <c r="Q22" s="828"/>
      <c r="R22" s="284">
        <f t="shared" ref="R22:R25" si="12">IF( SUM( T22:AA22 ) = 0, 0, $T$10 )</f>
        <v>0</v>
      </c>
      <c r="S22" s="828"/>
      <c r="T22" s="285">
        <f t="shared" ref="T22:T25" si="13" xml:space="preserve"> IF( ISNUMBER(C22), 0, 1 )</f>
        <v>0</v>
      </c>
      <c r="U22" s="285">
        <f t="shared" ref="U22:U25" si="14" xml:space="preserve"> IF( ISNUMBER(D22), 0, 1 )</f>
        <v>0</v>
      </c>
      <c r="V22" s="285">
        <f t="shared" ref="V22:V25" si="15" xml:space="preserve"> IF( ISNUMBER(E22), 0, 1 )</f>
        <v>0</v>
      </c>
      <c r="W22" s="285">
        <f t="shared" ref="W22:W25" si="16" xml:space="preserve"> IF( ISNUMBER(F22), 0, 1 )</f>
        <v>0</v>
      </c>
      <c r="X22" s="197"/>
      <c r="Y22" s="285">
        <f t="shared" ref="Y22:Y25" si="17" xml:space="preserve"> IF( ISNUMBER(H22), 0, 1 )</f>
        <v>0</v>
      </c>
      <c r="Z22" s="285">
        <f t="shared" ref="Z22:Z25" si="18" xml:space="preserve"> IF( ISNUMBER(I22), 0, 1 )</f>
        <v>0</v>
      </c>
      <c r="AA22" s="197"/>
      <c r="AB22" s="197"/>
      <c r="AC22" s="828"/>
      <c r="AD22" s="197"/>
      <c r="AE22" s="396" t="s">
        <v>11749</v>
      </c>
      <c r="AF22" s="958" t="s">
        <v>11751</v>
      </c>
      <c r="AG22" s="904" t="s">
        <v>11752</v>
      </c>
      <c r="AH22" s="904" t="s">
        <v>11753</v>
      </c>
      <c r="AI22" s="904" t="s">
        <v>11754</v>
      </c>
      <c r="AJ22" s="959" t="s">
        <v>11755</v>
      </c>
      <c r="AK22" s="904" t="s">
        <v>11756</v>
      </c>
      <c r="AL22" s="904" t="s">
        <v>11757</v>
      </c>
      <c r="AM22" s="973"/>
      <c r="AN22" s="974"/>
      <c r="AO22" s="961"/>
      <c r="AP22" s="197"/>
      <c r="AQ22" s="197"/>
      <c r="AR22" s="197"/>
      <c r="AS22" s="197"/>
    </row>
    <row r="23" spans="1:45" s="4" customFormat="1" ht="15.75" customHeight="1">
      <c r="A23" s="197"/>
      <c r="B23" s="403" t="s">
        <v>11758</v>
      </c>
      <c r="C23" s="2092">
        <v>0</v>
      </c>
      <c r="D23" s="697">
        <v>0</v>
      </c>
      <c r="E23" s="697">
        <v>0</v>
      </c>
      <c r="F23" s="697">
        <v>0</v>
      </c>
      <c r="G23" s="1597">
        <f t="shared" si="11"/>
        <v>0</v>
      </c>
      <c r="H23" s="697">
        <v>0</v>
      </c>
      <c r="I23" s="697">
        <v>0</v>
      </c>
      <c r="J23" s="1618"/>
      <c r="K23" s="1619"/>
      <c r="L23" s="197"/>
      <c r="M23" s="290" t="s">
        <v>11759</v>
      </c>
      <c r="N23" s="197"/>
      <c r="O23" s="291"/>
      <c r="P23" s="197"/>
      <c r="Q23" s="828"/>
      <c r="R23" s="284">
        <f t="shared" si="12"/>
        <v>0</v>
      </c>
      <c r="S23" s="828"/>
      <c r="T23" s="285">
        <f t="shared" si="13"/>
        <v>0</v>
      </c>
      <c r="U23" s="285">
        <f t="shared" si="14"/>
        <v>0</v>
      </c>
      <c r="V23" s="285">
        <f t="shared" si="15"/>
        <v>0</v>
      </c>
      <c r="W23" s="285">
        <f t="shared" si="16"/>
        <v>0</v>
      </c>
      <c r="X23" s="197"/>
      <c r="Y23" s="285">
        <f t="shared" si="17"/>
        <v>0</v>
      </c>
      <c r="Z23" s="285">
        <f t="shared" si="18"/>
        <v>0</v>
      </c>
      <c r="AA23" s="197"/>
      <c r="AB23" s="197"/>
      <c r="AC23" s="828"/>
      <c r="AD23" s="197"/>
      <c r="AE23" s="403" t="s">
        <v>11758</v>
      </c>
      <c r="AF23" s="962" t="s">
        <v>11760</v>
      </c>
      <c r="AG23" s="905" t="s">
        <v>11761</v>
      </c>
      <c r="AH23" s="905" t="s">
        <v>11762</v>
      </c>
      <c r="AI23" s="905" t="s">
        <v>11763</v>
      </c>
      <c r="AJ23" s="963" t="s">
        <v>11764</v>
      </c>
      <c r="AK23" s="905" t="s">
        <v>11765</v>
      </c>
      <c r="AL23" s="905" t="s">
        <v>11766</v>
      </c>
      <c r="AM23" s="975"/>
      <c r="AN23" s="976"/>
      <c r="AO23" s="961"/>
      <c r="AP23" s="197"/>
      <c r="AQ23" s="197"/>
      <c r="AR23" s="197"/>
      <c r="AS23" s="197"/>
    </row>
    <row r="24" spans="1:45" s="4" customFormat="1" ht="15.75" customHeight="1">
      <c r="A24" s="197"/>
      <c r="B24" s="403" t="s">
        <v>11767</v>
      </c>
      <c r="C24" s="2092">
        <v>0</v>
      </c>
      <c r="D24" s="697">
        <v>0</v>
      </c>
      <c r="E24" s="697">
        <v>0</v>
      </c>
      <c r="F24" s="697">
        <v>0</v>
      </c>
      <c r="G24" s="1597">
        <f t="shared" si="11"/>
        <v>0</v>
      </c>
      <c r="H24" s="697">
        <v>0</v>
      </c>
      <c r="I24" s="697">
        <v>0</v>
      </c>
      <c r="J24" s="1618"/>
      <c r="K24" s="1619"/>
      <c r="L24" s="197"/>
      <c r="M24" s="290" t="s">
        <v>11768</v>
      </c>
      <c r="N24" s="197"/>
      <c r="O24" s="291"/>
      <c r="P24" s="197"/>
      <c r="Q24" s="828"/>
      <c r="R24" s="284">
        <f t="shared" si="12"/>
        <v>0</v>
      </c>
      <c r="S24" s="828"/>
      <c r="T24" s="285">
        <f t="shared" si="13"/>
        <v>0</v>
      </c>
      <c r="U24" s="285">
        <f t="shared" si="14"/>
        <v>0</v>
      </c>
      <c r="V24" s="285">
        <f t="shared" si="15"/>
        <v>0</v>
      </c>
      <c r="W24" s="285">
        <f t="shared" si="16"/>
        <v>0</v>
      </c>
      <c r="X24" s="197"/>
      <c r="Y24" s="285">
        <f t="shared" si="17"/>
        <v>0</v>
      </c>
      <c r="Z24" s="285">
        <f t="shared" si="18"/>
        <v>0</v>
      </c>
      <c r="AA24" s="197"/>
      <c r="AB24" s="197"/>
      <c r="AC24" s="828"/>
      <c r="AD24" s="197"/>
      <c r="AE24" s="403" t="s">
        <v>11767</v>
      </c>
      <c r="AF24" s="962" t="s">
        <v>11769</v>
      </c>
      <c r="AG24" s="905" t="s">
        <v>11770</v>
      </c>
      <c r="AH24" s="905" t="s">
        <v>11771</v>
      </c>
      <c r="AI24" s="905" t="s">
        <v>11772</v>
      </c>
      <c r="AJ24" s="963" t="s">
        <v>11773</v>
      </c>
      <c r="AK24" s="905" t="s">
        <v>11774</v>
      </c>
      <c r="AL24" s="905" t="s">
        <v>11775</v>
      </c>
      <c r="AM24" s="975"/>
      <c r="AN24" s="976"/>
      <c r="AO24" s="961"/>
      <c r="AP24" s="197"/>
      <c r="AQ24" s="197"/>
      <c r="AR24" s="197"/>
      <c r="AS24" s="197"/>
    </row>
    <row r="25" spans="1:45" s="4" customFormat="1" ht="15.75" customHeight="1">
      <c r="A25" s="197"/>
      <c r="B25" s="403" t="s">
        <v>11776</v>
      </c>
      <c r="C25" s="2092">
        <v>0</v>
      </c>
      <c r="D25" s="697">
        <v>0</v>
      </c>
      <c r="E25" s="697">
        <v>0</v>
      </c>
      <c r="F25" s="697">
        <v>0</v>
      </c>
      <c r="G25" s="1597">
        <f t="shared" si="11"/>
        <v>0</v>
      </c>
      <c r="H25" s="697">
        <v>0</v>
      </c>
      <c r="I25" s="697">
        <v>0</v>
      </c>
      <c r="J25" s="1618"/>
      <c r="K25" s="1619"/>
      <c r="L25" s="197"/>
      <c r="M25" s="290" t="s">
        <v>11777</v>
      </c>
      <c r="N25" s="197"/>
      <c r="O25" s="291"/>
      <c r="P25" s="197"/>
      <c r="Q25" s="828"/>
      <c r="R25" s="284">
        <f t="shared" si="12"/>
        <v>0</v>
      </c>
      <c r="S25" s="828"/>
      <c r="T25" s="285">
        <f t="shared" si="13"/>
        <v>0</v>
      </c>
      <c r="U25" s="285">
        <f t="shared" si="14"/>
        <v>0</v>
      </c>
      <c r="V25" s="285">
        <f t="shared" si="15"/>
        <v>0</v>
      </c>
      <c r="W25" s="285">
        <f t="shared" si="16"/>
        <v>0</v>
      </c>
      <c r="X25" s="197"/>
      <c r="Y25" s="285">
        <f t="shared" si="17"/>
        <v>0</v>
      </c>
      <c r="Z25" s="285">
        <f t="shared" si="18"/>
        <v>0</v>
      </c>
      <c r="AA25" s="197"/>
      <c r="AB25" s="197"/>
      <c r="AC25" s="828"/>
      <c r="AD25" s="197"/>
      <c r="AE25" s="403" t="s">
        <v>11776</v>
      </c>
      <c r="AF25" s="962" t="s">
        <v>11778</v>
      </c>
      <c r="AG25" s="905" t="s">
        <v>11779</v>
      </c>
      <c r="AH25" s="905" t="s">
        <v>11780</v>
      </c>
      <c r="AI25" s="905" t="s">
        <v>11781</v>
      </c>
      <c r="AJ25" s="963" t="s">
        <v>11782</v>
      </c>
      <c r="AK25" s="905" t="s">
        <v>11783</v>
      </c>
      <c r="AL25" s="905" t="s">
        <v>11784</v>
      </c>
      <c r="AM25" s="975"/>
      <c r="AN25" s="976"/>
      <c r="AO25" s="961"/>
      <c r="AP25" s="197"/>
      <c r="AQ25" s="197"/>
      <c r="AR25" s="197"/>
      <c r="AS25" s="197"/>
    </row>
    <row r="26" spans="1:45" s="4" customFormat="1" ht="15.75" customHeight="1" thickBot="1">
      <c r="A26" s="197"/>
      <c r="B26" s="406" t="s">
        <v>7445</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11785</v>
      </c>
      <c r="N26" s="197"/>
      <c r="O26" s="302"/>
      <c r="P26" s="197"/>
      <c r="Q26" s="828"/>
      <c r="R26" s="284"/>
      <c r="S26" s="828"/>
      <c r="T26" s="197"/>
      <c r="U26" s="197"/>
      <c r="V26" s="197"/>
      <c r="W26" s="197"/>
      <c r="X26" s="197"/>
      <c r="Y26" s="197"/>
      <c r="Z26" s="197"/>
      <c r="AA26" s="197"/>
      <c r="AB26" s="197"/>
      <c r="AC26" s="828"/>
      <c r="AD26" s="197"/>
      <c r="AE26" s="406" t="s">
        <v>7445</v>
      </c>
      <c r="AF26" s="965" t="s">
        <v>11786</v>
      </c>
      <c r="AG26" s="679" t="s">
        <v>11787</v>
      </c>
      <c r="AH26" s="679" t="s">
        <v>11788</v>
      </c>
      <c r="AI26" s="679" t="s">
        <v>11789</v>
      </c>
      <c r="AJ26" s="679" t="s">
        <v>11790</v>
      </c>
      <c r="AK26" s="679" t="s">
        <v>11791</v>
      </c>
      <c r="AL26" s="679" t="s">
        <v>11792</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11793</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11793</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11794</v>
      </c>
      <c r="C29" s="2091">
        <v>0</v>
      </c>
      <c r="D29" s="694">
        <v>0</v>
      </c>
      <c r="E29" s="694">
        <v>0</v>
      </c>
      <c r="F29" s="694">
        <v>0</v>
      </c>
      <c r="G29" s="1595">
        <f t="shared" ref="G29:G33" si="19">IFERROR(SUM(C29:F29),0)</f>
        <v>0</v>
      </c>
      <c r="H29" s="694">
        <v>0</v>
      </c>
      <c r="I29" s="694">
        <v>0</v>
      </c>
      <c r="J29" s="1616"/>
      <c r="K29" s="1617"/>
      <c r="L29" s="197"/>
      <c r="M29" s="281" t="s">
        <v>11795</v>
      </c>
      <c r="N29" s="197"/>
      <c r="O29" s="283"/>
      <c r="P29" s="197"/>
      <c r="Q29" s="828"/>
      <c r="R29" s="284">
        <f t="shared" ref="R29:R32" si="20">IF( SUM( T29:AA29 ) = 0, 0, $T$10 )</f>
        <v>0</v>
      </c>
      <c r="S29" s="828"/>
      <c r="T29" s="285">
        <f t="shared" ref="T29:T32" si="21" xml:space="preserve"> IF( ISNUMBER(C29), 0, 1 )</f>
        <v>0</v>
      </c>
      <c r="U29" s="285">
        <f t="shared" ref="U29:U32" si="22" xml:space="preserve"> IF( ISNUMBER(D29), 0, 1 )</f>
        <v>0</v>
      </c>
      <c r="V29" s="285">
        <f t="shared" ref="V29:V32" si="23" xml:space="preserve"> IF( ISNUMBER(E29), 0, 1 )</f>
        <v>0</v>
      </c>
      <c r="W29" s="285">
        <f t="shared" ref="W29:W32" si="24" xml:space="preserve"> IF( ISNUMBER(F29), 0, 1 )</f>
        <v>0</v>
      </c>
      <c r="X29" s="197"/>
      <c r="Y29" s="285">
        <f t="shared" ref="Y29:Y32" si="25" xml:space="preserve"> IF( ISNUMBER(H29), 0, 1 )</f>
        <v>0</v>
      </c>
      <c r="Z29" s="285">
        <f t="shared" ref="Z29:Z32" si="26" xml:space="preserve"> IF( ISNUMBER(I29), 0, 1 )</f>
        <v>0</v>
      </c>
      <c r="AA29" s="197"/>
      <c r="AB29" s="197"/>
      <c r="AC29" s="828"/>
      <c r="AD29" s="197"/>
      <c r="AE29" s="396" t="s">
        <v>11794</v>
      </c>
      <c r="AF29" s="958" t="s">
        <v>11796</v>
      </c>
      <c r="AG29" s="904" t="s">
        <v>11797</v>
      </c>
      <c r="AH29" s="904" t="s">
        <v>11798</v>
      </c>
      <c r="AI29" s="904" t="s">
        <v>11799</v>
      </c>
      <c r="AJ29" s="959" t="s">
        <v>11800</v>
      </c>
      <c r="AK29" s="904" t="s">
        <v>11801</v>
      </c>
      <c r="AL29" s="904" t="s">
        <v>11802</v>
      </c>
      <c r="AM29" s="973"/>
      <c r="AN29" s="974"/>
      <c r="AO29" s="961"/>
      <c r="AP29" s="197"/>
      <c r="AQ29" s="197"/>
      <c r="AR29" s="197"/>
      <c r="AS29" s="197"/>
    </row>
    <row r="30" spans="1:45" s="4" customFormat="1" ht="15.75" customHeight="1">
      <c r="A30" s="197"/>
      <c r="B30" s="403" t="s">
        <v>11803</v>
      </c>
      <c r="C30" s="2092">
        <v>0</v>
      </c>
      <c r="D30" s="697">
        <v>0</v>
      </c>
      <c r="E30" s="697">
        <v>0</v>
      </c>
      <c r="F30" s="697">
        <v>0</v>
      </c>
      <c r="G30" s="1597">
        <f t="shared" si="19"/>
        <v>0</v>
      </c>
      <c r="H30" s="697">
        <v>0</v>
      </c>
      <c r="I30" s="697">
        <v>0</v>
      </c>
      <c r="J30" s="1618"/>
      <c r="K30" s="1619"/>
      <c r="L30" s="197"/>
      <c r="M30" s="290" t="s">
        <v>11804</v>
      </c>
      <c r="N30" s="197"/>
      <c r="O30" s="291"/>
      <c r="P30" s="197"/>
      <c r="Q30" s="828"/>
      <c r="R30" s="284">
        <f t="shared" si="20"/>
        <v>0</v>
      </c>
      <c r="S30" s="828"/>
      <c r="T30" s="285">
        <f t="shared" si="21"/>
        <v>0</v>
      </c>
      <c r="U30" s="285">
        <f t="shared" si="22"/>
        <v>0</v>
      </c>
      <c r="V30" s="285">
        <f t="shared" si="23"/>
        <v>0</v>
      </c>
      <c r="W30" s="285">
        <f t="shared" si="24"/>
        <v>0</v>
      </c>
      <c r="X30" s="197"/>
      <c r="Y30" s="285">
        <f t="shared" si="25"/>
        <v>0</v>
      </c>
      <c r="Z30" s="285">
        <f t="shared" si="26"/>
        <v>0</v>
      </c>
      <c r="AA30" s="197"/>
      <c r="AB30" s="197"/>
      <c r="AC30" s="828"/>
      <c r="AD30" s="197"/>
      <c r="AE30" s="403" t="s">
        <v>11803</v>
      </c>
      <c r="AF30" s="962" t="s">
        <v>11805</v>
      </c>
      <c r="AG30" s="905" t="s">
        <v>11806</v>
      </c>
      <c r="AH30" s="905" t="s">
        <v>11807</v>
      </c>
      <c r="AI30" s="905" t="s">
        <v>11808</v>
      </c>
      <c r="AJ30" s="963" t="s">
        <v>11809</v>
      </c>
      <c r="AK30" s="905" t="s">
        <v>11810</v>
      </c>
      <c r="AL30" s="905" t="s">
        <v>11811</v>
      </c>
      <c r="AM30" s="975"/>
      <c r="AN30" s="976"/>
      <c r="AO30" s="961"/>
      <c r="AP30" s="197"/>
      <c r="AQ30" s="197"/>
      <c r="AR30" s="197"/>
      <c r="AS30" s="197"/>
    </row>
    <row r="31" spans="1:45" s="4" customFormat="1" ht="15.75" customHeight="1">
      <c r="A31" s="197"/>
      <c r="B31" s="403" t="s">
        <v>11812</v>
      </c>
      <c r="C31" s="2092">
        <v>0</v>
      </c>
      <c r="D31" s="697">
        <v>0</v>
      </c>
      <c r="E31" s="697">
        <v>0</v>
      </c>
      <c r="F31" s="697">
        <v>0</v>
      </c>
      <c r="G31" s="1597">
        <f t="shared" si="19"/>
        <v>0</v>
      </c>
      <c r="H31" s="697">
        <v>0</v>
      </c>
      <c r="I31" s="697">
        <v>0</v>
      </c>
      <c r="J31" s="1618"/>
      <c r="K31" s="1619"/>
      <c r="L31" s="197"/>
      <c r="M31" s="290" t="s">
        <v>11813</v>
      </c>
      <c r="N31" s="197"/>
      <c r="O31" s="291"/>
      <c r="P31" s="197"/>
      <c r="Q31" s="828"/>
      <c r="R31" s="284">
        <f t="shared" si="20"/>
        <v>0</v>
      </c>
      <c r="S31" s="828"/>
      <c r="T31" s="285">
        <f t="shared" si="21"/>
        <v>0</v>
      </c>
      <c r="U31" s="285">
        <f t="shared" si="22"/>
        <v>0</v>
      </c>
      <c r="V31" s="285">
        <f t="shared" si="23"/>
        <v>0</v>
      </c>
      <c r="W31" s="285">
        <f t="shared" si="24"/>
        <v>0</v>
      </c>
      <c r="X31" s="197"/>
      <c r="Y31" s="285">
        <f t="shared" si="25"/>
        <v>0</v>
      </c>
      <c r="Z31" s="285">
        <f t="shared" si="26"/>
        <v>0</v>
      </c>
      <c r="AA31" s="197"/>
      <c r="AB31" s="197"/>
      <c r="AC31" s="828"/>
      <c r="AD31" s="197"/>
      <c r="AE31" s="403" t="s">
        <v>11812</v>
      </c>
      <c r="AF31" s="962" t="s">
        <v>11814</v>
      </c>
      <c r="AG31" s="905" t="s">
        <v>11815</v>
      </c>
      <c r="AH31" s="905" t="s">
        <v>11816</v>
      </c>
      <c r="AI31" s="905" t="s">
        <v>11817</v>
      </c>
      <c r="AJ31" s="963" t="s">
        <v>11818</v>
      </c>
      <c r="AK31" s="905" t="s">
        <v>11819</v>
      </c>
      <c r="AL31" s="905" t="s">
        <v>11820</v>
      </c>
      <c r="AM31" s="975"/>
      <c r="AN31" s="976"/>
      <c r="AO31" s="961"/>
      <c r="AP31" s="197"/>
      <c r="AQ31" s="197"/>
      <c r="AR31" s="197"/>
      <c r="AS31" s="197"/>
    </row>
    <row r="32" spans="1:45" s="4" customFormat="1" ht="15.75" customHeight="1">
      <c r="A32" s="197"/>
      <c r="B32" s="403" t="s">
        <v>11821</v>
      </c>
      <c r="C32" s="2092">
        <v>0</v>
      </c>
      <c r="D32" s="697">
        <v>0</v>
      </c>
      <c r="E32" s="697">
        <v>0</v>
      </c>
      <c r="F32" s="697">
        <v>0</v>
      </c>
      <c r="G32" s="1597">
        <f t="shared" si="19"/>
        <v>0</v>
      </c>
      <c r="H32" s="697">
        <v>0</v>
      </c>
      <c r="I32" s="697">
        <v>0</v>
      </c>
      <c r="J32" s="1618"/>
      <c r="K32" s="1619"/>
      <c r="L32" s="197"/>
      <c r="M32" s="290" t="s">
        <v>11822</v>
      </c>
      <c r="N32" s="197"/>
      <c r="O32" s="291"/>
      <c r="P32" s="197"/>
      <c r="Q32" s="828"/>
      <c r="R32" s="284">
        <f t="shared" si="20"/>
        <v>0</v>
      </c>
      <c r="S32" s="828"/>
      <c r="T32" s="285">
        <f t="shared" si="21"/>
        <v>0</v>
      </c>
      <c r="U32" s="285">
        <f t="shared" si="22"/>
        <v>0</v>
      </c>
      <c r="V32" s="285">
        <f t="shared" si="23"/>
        <v>0</v>
      </c>
      <c r="W32" s="285">
        <f t="shared" si="24"/>
        <v>0</v>
      </c>
      <c r="X32" s="197"/>
      <c r="Y32" s="285">
        <f t="shared" si="25"/>
        <v>0</v>
      </c>
      <c r="Z32" s="285">
        <f t="shared" si="26"/>
        <v>0</v>
      </c>
      <c r="AA32" s="197"/>
      <c r="AB32" s="197"/>
      <c r="AC32" s="828"/>
      <c r="AD32" s="197"/>
      <c r="AE32" s="403" t="s">
        <v>11821</v>
      </c>
      <c r="AF32" s="962" t="s">
        <v>11823</v>
      </c>
      <c r="AG32" s="905" t="s">
        <v>11824</v>
      </c>
      <c r="AH32" s="905" t="s">
        <v>11825</v>
      </c>
      <c r="AI32" s="905" t="s">
        <v>11826</v>
      </c>
      <c r="AJ32" s="963" t="s">
        <v>11827</v>
      </c>
      <c r="AK32" s="905" t="s">
        <v>11828</v>
      </c>
      <c r="AL32" s="905" t="s">
        <v>11829</v>
      </c>
      <c r="AM32" s="975"/>
      <c r="AN32" s="976"/>
      <c r="AO32" s="961"/>
      <c r="AP32" s="197"/>
      <c r="AQ32" s="197"/>
      <c r="AR32" s="197"/>
      <c r="AS32" s="197"/>
    </row>
    <row r="33" spans="1:45" s="4" customFormat="1" ht="15.75" customHeight="1" thickBot="1">
      <c r="A33" s="197"/>
      <c r="B33" s="406" t="s">
        <v>7445</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11830</v>
      </c>
      <c r="N33" s="197"/>
      <c r="O33" s="302"/>
      <c r="P33" s="197"/>
      <c r="Q33" s="828"/>
      <c r="R33" s="284"/>
      <c r="S33" s="828"/>
      <c r="T33" s="197"/>
      <c r="U33" s="197"/>
      <c r="V33" s="197"/>
      <c r="W33" s="197"/>
      <c r="X33" s="197"/>
      <c r="Y33" s="197"/>
      <c r="Z33" s="197"/>
      <c r="AA33" s="197"/>
      <c r="AB33" s="197"/>
      <c r="AC33" s="828"/>
      <c r="AD33" s="197"/>
      <c r="AE33" s="406" t="s">
        <v>7445</v>
      </c>
      <c r="AF33" s="965" t="s">
        <v>11831</v>
      </c>
      <c r="AG33" s="679" t="s">
        <v>11832</v>
      </c>
      <c r="AH33" s="679" t="s">
        <v>11833</v>
      </c>
      <c r="AI33" s="679" t="s">
        <v>11834</v>
      </c>
      <c r="AJ33" s="679" t="s">
        <v>11835</v>
      </c>
      <c r="AK33" s="679" t="s">
        <v>11836</v>
      </c>
      <c r="AL33" s="679" t="s">
        <v>11837</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11838</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11838</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11839</v>
      </c>
      <c r="C36" s="2091">
        <v>0</v>
      </c>
      <c r="D36" s="694">
        <v>3.1480000000000001</v>
      </c>
      <c r="E36" s="694">
        <v>0.93</v>
      </c>
      <c r="F36" s="694">
        <v>0</v>
      </c>
      <c r="G36" s="1595">
        <f t="shared" ref="G36:G43" si="27">IFERROR(SUM(C36:F36),0)</f>
        <v>4.0780000000000003</v>
      </c>
      <c r="H36" s="694">
        <v>-0.30399999999999999</v>
      </c>
      <c r="I36" s="694">
        <v>0</v>
      </c>
      <c r="J36" s="1616"/>
      <c r="K36" s="1617"/>
      <c r="L36" s="197"/>
      <c r="M36" s="281" t="s">
        <v>11840</v>
      </c>
      <c r="N36" s="197"/>
      <c r="O36" s="283"/>
      <c r="P36" s="197"/>
      <c r="Q36" s="828"/>
      <c r="R36" s="284">
        <f t="shared" ref="R36:R42" si="28">IF( SUM( T36:AA36 ) = 0, 0, $T$10 )</f>
        <v>0</v>
      </c>
      <c r="S36" s="828"/>
      <c r="T36" s="285">
        <f t="shared" ref="T36:T42" si="29" xml:space="preserve"> IF( ISNUMBER(C36), 0, 1 )</f>
        <v>0</v>
      </c>
      <c r="U36" s="285">
        <f t="shared" ref="U36:U42" si="30" xml:space="preserve"> IF( ISNUMBER(D36), 0, 1 )</f>
        <v>0</v>
      </c>
      <c r="V36" s="285">
        <f t="shared" ref="V36:V42" si="31" xml:space="preserve"> IF( ISNUMBER(E36), 0, 1 )</f>
        <v>0</v>
      </c>
      <c r="W36" s="285">
        <f t="shared" ref="W36:W42" si="32" xml:space="preserve"> IF( ISNUMBER(F36), 0, 1 )</f>
        <v>0</v>
      </c>
      <c r="X36" s="197"/>
      <c r="Y36" s="285">
        <f t="shared" ref="Y36:Y42" si="33" xml:space="preserve"> IF( ISNUMBER(H36), 0, 1 )</f>
        <v>0</v>
      </c>
      <c r="Z36" s="285">
        <f t="shared" ref="Z36:Z42" si="34" xml:space="preserve"> IF( ISNUMBER(I36), 0, 1 )</f>
        <v>0</v>
      </c>
      <c r="AA36" s="197"/>
      <c r="AB36" s="197"/>
      <c r="AC36" s="828"/>
      <c r="AD36" s="197"/>
      <c r="AE36" s="396" t="s">
        <v>11839</v>
      </c>
      <c r="AF36" s="958" t="s">
        <v>11841</v>
      </c>
      <c r="AG36" s="904" t="s">
        <v>11842</v>
      </c>
      <c r="AH36" s="904" t="s">
        <v>11843</v>
      </c>
      <c r="AI36" s="904" t="s">
        <v>11844</v>
      </c>
      <c r="AJ36" s="959" t="s">
        <v>11845</v>
      </c>
      <c r="AK36" s="904" t="s">
        <v>11846</v>
      </c>
      <c r="AL36" s="904" t="s">
        <v>11847</v>
      </c>
      <c r="AM36" s="973"/>
      <c r="AN36" s="974"/>
      <c r="AO36" s="961"/>
      <c r="AP36" s="197"/>
      <c r="AQ36" s="197"/>
      <c r="AR36" s="197"/>
      <c r="AS36" s="197"/>
    </row>
    <row r="37" spans="1:45" s="4" customFormat="1" ht="15.75" customHeight="1">
      <c r="A37" s="197"/>
      <c r="B37" s="403" t="s">
        <v>11848</v>
      </c>
      <c r="C37" s="2092">
        <v>0</v>
      </c>
      <c r="D37" s="697">
        <v>0</v>
      </c>
      <c r="E37" s="697">
        <v>0</v>
      </c>
      <c r="F37" s="697">
        <v>0</v>
      </c>
      <c r="G37" s="1597">
        <f t="shared" si="27"/>
        <v>0</v>
      </c>
      <c r="H37" s="697">
        <v>0</v>
      </c>
      <c r="I37" s="697">
        <v>0</v>
      </c>
      <c r="J37" s="1618"/>
      <c r="K37" s="1619"/>
      <c r="L37" s="197"/>
      <c r="M37" s="290" t="s">
        <v>11849</v>
      </c>
      <c r="N37" s="197"/>
      <c r="O37" s="291"/>
      <c r="P37" s="197"/>
      <c r="Q37" s="828"/>
      <c r="R37" s="284">
        <f t="shared" si="28"/>
        <v>0</v>
      </c>
      <c r="S37" s="828"/>
      <c r="T37" s="285">
        <f t="shared" si="29"/>
        <v>0</v>
      </c>
      <c r="U37" s="285">
        <f t="shared" si="30"/>
        <v>0</v>
      </c>
      <c r="V37" s="285">
        <f t="shared" si="31"/>
        <v>0</v>
      </c>
      <c r="W37" s="285">
        <f t="shared" si="32"/>
        <v>0</v>
      </c>
      <c r="X37" s="197"/>
      <c r="Y37" s="285">
        <f t="shared" si="33"/>
        <v>0</v>
      </c>
      <c r="Z37" s="285">
        <f t="shared" si="34"/>
        <v>0</v>
      </c>
      <c r="AA37" s="197"/>
      <c r="AB37" s="197"/>
      <c r="AC37" s="828"/>
      <c r="AD37" s="197"/>
      <c r="AE37" s="403" t="s">
        <v>11848</v>
      </c>
      <c r="AF37" s="962" t="s">
        <v>11850</v>
      </c>
      <c r="AG37" s="905" t="s">
        <v>11851</v>
      </c>
      <c r="AH37" s="905" t="s">
        <v>11852</v>
      </c>
      <c r="AI37" s="905" t="s">
        <v>11853</v>
      </c>
      <c r="AJ37" s="963" t="s">
        <v>11854</v>
      </c>
      <c r="AK37" s="905" t="s">
        <v>11855</v>
      </c>
      <c r="AL37" s="905" t="s">
        <v>11856</v>
      </c>
      <c r="AM37" s="975"/>
      <c r="AN37" s="976"/>
      <c r="AO37" s="961"/>
      <c r="AP37" s="197"/>
      <c r="AQ37" s="197"/>
      <c r="AR37" s="197"/>
      <c r="AS37" s="197"/>
    </row>
    <row r="38" spans="1:45" s="4" customFormat="1" ht="15.75" customHeight="1">
      <c r="A38" s="197"/>
      <c r="B38" s="403" t="s">
        <v>11857</v>
      </c>
      <c r="C38" s="2092">
        <v>0</v>
      </c>
      <c r="D38" s="697">
        <v>0</v>
      </c>
      <c r="E38" s="697">
        <v>0</v>
      </c>
      <c r="F38" s="697">
        <v>0</v>
      </c>
      <c r="G38" s="1597">
        <f t="shared" si="27"/>
        <v>0</v>
      </c>
      <c r="H38" s="697">
        <v>0</v>
      </c>
      <c r="I38" s="697">
        <v>0</v>
      </c>
      <c r="J38" s="1618"/>
      <c r="K38" s="1619"/>
      <c r="L38" s="197"/>
      <c r="M38" s="290" t="s">
        <v>11858</v>
      </c>
      <c r="N38" s="197"/>
      <c r="O38" s="291"/>
      <c r="P38" s="197"/>
      <c r="Q38" s="828"/>
      <c r="R38" s="284">
        <f t="shared" si="28"/>
        <v>0</v>
      </c>
      <c r="S38" s="828"/>
      <c r="T38" s="285">
        <f t="shared" si="29"/>
        <v>0</v>
      </c>
      <c r="U38" s="285">
        <f t="shared" si="30"/>
        <v>0</v>
      </c>
      <c r="V38" s="285">
        <f t="shared" si="31"/>
        <v>0</v>
      </c>
      <c r="W38" s="285">
        <f t="shared" si="32"/>
        <v>0</v>
      </c>
      <c r="X38" s="197"/>
      <c r="Y38" s="285">
        <f t="shared" si="33"/>
        <v>0</v>
      </c>
      <c r="Z38" s="285">
        <f t="shared" si="34"/>
        <v>0</v>
      </c>
      <c r="AA38" s="197"/>
      <c r="AB38" s="197"/>
      <c r="AC38" s="828"/>
      <c r="AD38" s="197"/>
      <c r="AE38" s="403" t="s">
        <v>11857</v>
      </c>
      <c r="AF38" s="962" t="s">
        <v>11859</v>
      </c>
      <c r="AG38" s="905" t="s">
        <v>11860</v>
      </c>
      <c r="AH38" s="905" t="s">
        <v>11861</v>
      </c>
      <c r="AI38" s="905" t="s">
        <v>11862</v>
      </c>
      <c r="AJ38" s="963" t="s">
        <v>11863</v>
      </c>
      <c r="AK38" s="905" t="s">
        <v>11864</v>
      </c>
      <c r="AL38" s="905" t="s">
        <v>11865</v>
      </c>
      <c r="AM38" s="975"/>
      <c r="AN38" s="976"/>
      <c r="AO38" s="961"/>
      <c r="AP38" s="197"/>
      <c r="AQ38" s="197"/>
      <c r="AR38" s="197"/>
      <c r="AS38" s="197"/>
    </row>
    <row r="39" spans="1:45" s="4" customFormat="1" ht="15.75" customHeight="1">
      <c r="A39" s="197"/>
      <c r="B39" s="403" t="s">
        <v>11866</v>
      </c>
      <c r="C39" s="2092">
        <v>0</v>
      </c>
      <c r="D39" s="697">
        <v>0</v>
      </c>
      <c r="E39" s="697">
        <v>0</v>
      </c>
      <c r="F39" s="697">
        <v>0</v>
      </c>
      <c r="G39" s="1597">
        <f t="shared" si="27"/>
        <v>0</v>
      </c>
      <c r="H39" s="697">
        <v>0</v>
      </c>
      <c r="I39" s="697">
        <v>0</v>
      </c>
      <c r="J39" s="1618"/>
      <c r="K39" s="1619"/>
      <c r="L39" s="197"/>
      <c r="M39" s="290" t="s">
        <v>11867</v>
      </c>
      <c r="N39" s="200"/>
      <c r="O39" s="291"/>
      <c r="P39" s="200"/>
      <c r="Q39" s="935"/>
      <c r="R39" s="284">
        <f t="shared" si="28"/>
        <v>0</v>
      </c>
      <c r="S39" s="828"/>
      <c r="T39" s="285">
        <f t="shared" si="29"/>
        <v>0</v>
      </c>
      <c r="U39" s="285">
        <f t="shared" si="30"/>
        <v>0</v>
      </c>
      <c r="V39" s="285">
        <f t="shared" si="31"/>
        <v>0</v>
      </c>
      <c r="W39" s="285">
        <f t="shared" si="32"/>
        <v>0</v>
      </c>
      <c r="X39" s="197"/>
      <c r="Y39" s="285">
        <f t="shared" si="33"/>
        <v>0</v>
      </c>
      <c r="Z39" s="285">
        <f t="shared" si="34"/>
        <v>0</v>
      </c>
      <c r="AA39" s="197"/>
      <c r="AB39" s="197"/>
      <c r="AC39" s="828"/>
      <c r="AD39" s="197"/>
      <c r="AE39" s="403" t="s">
        <v>11866</v>
      </c>
      <c r="AF39" s="962" t="s">
        <v>11868</v>
      </c>
      <c r="AG39" s="905" t="s">
        <v>11869</v>
      </c>
      <c r="AH39" s="905" t="s">
        <v>11870</v>
      </c>
      <c r="AI39" s="905" t="s">
        <v>11871</v>
      </c>
      <c r="AJ39" s="963" t="s">
        <v>11872</v>
      </c>
      <c r="AK39" s="905" t="s">
        <v>11873</v>
      </c>
      <c r="AL39" s="905" t="s">
        <v>11874</v>
      </c>
      <c r="AM39" s="975"/>
      <c r="AN39" s="976"/>
      <c r="AO39" s="961"/>
      <c r="AP39" s="197"/>
      <c r="AQ39" s="197"/>
      <c r="AR39" s="197"/>
      <c r="AS39" s="197"/>
    </row>
    <row r="40" spans="1:45" s="4" customFormat="1" ht="15.75" customHeight="1">
      <c r="A40" s="197"/>
      <c r="B40" s="403" t="s">
        <v>11875</v>
      </c>
      <c r="C40" s="2092">
        <v>0</v>
      </c>
      <c r="D40" s="697">
        <v>0</v>
      </c>
      <c r="E40" s="697">
        <v>0</v>
      </c>
      <c r="F40" s="697">
        <v>0</v>
      </c>
      <c r="G40" s="1597">
        <f t="shared" si="27"/>
        <v>0</v>
      </c>
      <c r="H40" s="697">
        <v>0</v>
      </c>
      <c r="I40" s="697">
        <v>0</v>
      </c>
      <c r="J40" s="1618"/>
      <c r="K40" s="1619"/>
      <c r="L40" s="197"/>
      <c r="M40" s="290" t="s">
        <v>11876</v>
      </c>
      <c r="N40" s="200"/>
      <c r="O40" s="291"/>
      <c r="P40" s="200"/>
      <c r="Q40" s="935"/>
      <c r="R40" s="284">
        <f t="shared" si="28"/>
        <v>0</v>
      </c>
      <c r="S40" s="828"/>
      <c r="T40" s="285">
        <f t="shared" si="29"/>
        <v>0</v>
      </c>
      <c r="U40" s="285">
        <f t="shared" si="30"/>
        <v>0</v>
      </c>
      <c r="V40" s="285">
        <f t="shared" si="31"/>
        <v>0</v>
      </c>
      <c r="W40" s="285">
        <f t="shared" si="32"/>
        <v>0</v>
      </c>
      <c r="X40" s="197"/>
      <c r="Y40" s="285">
        <f t="shared" si="33"/>
        <v>0</v>
      </c>
      <c r="Z40" s="285">
        <f t="shared" si="34"/>
        <v>0</v>
      </c>
      <c r="AA40" s="197"/>
      <c r="AB40" s="197"/>
      <c r="AC40" s="828"/>
      <c r="AD40" s="197"/>
      <c r="AE40" s="403" t="s">
        <v>11875</v>
      </c>
      <c r="AF40" s="962" t="s">
        <v>11877</v>
      </c>
      <c r="AG40" s="905" t="s">
        <v>11878</v>
      </c>
      <c r="AH40" s="905" t="s">
        <v>11879</v>
      </c>
      <c r="AI40" s="905" t="s">
        <v>11880</v>
      </c>
      <c r="AJ40" s="963" t="s">
        <v>11881</v>
      </c>
      <c r="AK40" s="905" t="s">
        <v>11882</v>
      </c>
      <c r="AL40" s="905" t="s">
        <v>11883</v>
      </c>
      <c r="AM40" s="975"/>
      <c r="AN40" s="976"/>
      <c r="AO40" s="961"/>
      <c r="AP40" s="197"/>
      <c r="AQ40" s="197"/>
      <c r="AR40" s="197"/>
      <c r="AS40" s="197"/>
    </row>
    <row r="41" spans="1:45" s="4" customFormat="1" ht="15.75" customHeight="1">
      <c r="A41" s="197"/>
      <c r="B41" s="403" t="s">
        <v>11884</v>
      </c>
      <c r="C41" s="2092">
        <v>0</v>
      </c>
      <c r="D41" s="697">
        <v>0</v>
      </c>
      <c r="E41" s="697">
        <v>0</v>
      </c>
      <c r="F41" s="697">
        <v>0</v>
      </c>
      <c r="G41" s="1597">
        <f t="shared" si="27"/>
        <v>0</v>
      </c>
      <c r="H41" s="697">
        <v>0</v>
      </c>
      <c r="I41" s="697">
        <v>0</v>
      </c>
      <c r="J41" s="1618"/>
      <c r="K41" s="1619"/>
      <c r="L41" s="197"/>
      <c r="M41" s="290" t="s">
        <v>11885</v>
      </c>
      <c r="N41" s="200"/>
      <c r="O41" s="291"/>
      <c r="P41" s="200"/>
      <c r="Q41" s="935"/>
      <c r="R41" s="284">
        <f t="shared" si="28"/>
        <v>0</v>
      </c>
      <c r="S41" s="828"/>
      <c r="T41" s="285">
        <f t="shared" si="29"/>
        <v>0</v>
      </c>
      <c r="U41" s="285">
        <f t="shared" si="30"/>
        <v>0</v>
      </c>
      <c r="V41" s="285">
        <f t="shared" si="31"/>
        <v>0</v>
      </c>
      <c r="W41" s="285">
        <f t="shared" si="32"/>
        <v>0</v>
      </c>
      <c r="X41" s="197"/>
      <c r="Y41" s="285">
        <f t="shared" si="33"/>
        <v>0</v>
      </c>
      <c r="Z41" s="285">
        <f t="shared" si="34"/>
        <v>0</v>
      </c>
      <c r="AA41" s="197"/>
      <c r="AB41" s="197"/>
      <c r="AC41" s="828"/>
      <c r="AD41" s="197"/>
      <c r="AE41" s="403" t="s">
        <v>11884</v>
      </c>
      <c r="AF41" s="962" t="s">
        <v>11886</v>
      </c>
      <c r="AG41" s="905" t="s">
        <v>11887</v>
      </c>
      <c r="AH41" s="905" t="s">
        <v>11888</v>
      </c>
      <c r="AI41" s="905" t="s">
        <v>11889</v>
      </c>
      <c r="AJ41" s="963" t="s">
        <v>11890</v>
      </c>
      <c r="AK41" s="905" t="s">
        <v>11891</v>
      </c>
      <c r="AL41" s="905" t="s">
        <v>11892</v>
      </c>
      <c r="AM41" s="975"/>
      <c r="AN41" s="976"/>
      <c r="AO41" s="961"/>
      <c r="AP41" s="197"/>
      <c r="AQ41" s="197"/>
      <c r="AR41" s="197"/>
      <c r="AS41" s="197"/>
    </row>
    <row r="42" spans="1:45" s="4" customFormat="1" ht="15.75" customHeight="1">
      <c r="A42" s="197"/>
      <c r="B42" s="403" t="s">
        <v>11893</v>
      </c>
      <c r="C42" s="2092">
        <v>0</v>
      </c>
      <c r="D42" s="697">
        <v>0</v>
      </c>
      <c r="E42" s="697">
        <v>0</v>
      </c>
      <c r="F42" s="697">
        <v>0</v>
      </c>
      <c r="G42" s="1597">
        <f t="shared" si="27"/>
        <v>0</v>
      </c>
      <c r="H42" s="697">
        <v>0</v>
      </c>
      <c r="I42" s="697">
        <v>0</v>
      </c>
      <c r="J42" s="1618"/>
      <c r="K42" s="1619"/>
      <c r="L42" s="197"/>
      <c r="M42" s="290" t="s">
        <v>11894</v>
      </c>
      <c r="N42" s="197"/>
      <c r="O42" s="291"/>
      <c r="P42" s="197"/>
      <c r="Q42" s="828"/>
      <c r="R42" s="284">
        <f t="shared" si="28"/>
        <v>0</v>
      </c>
      <c r="S42" s="828"/>
      <c r="T42" s="285">
        <f t="shared" si="29"/>
        <v>0</v>
      </c>
      <c r="U42" s="285">
        <f t="shared" si="30"/>
        <v>0</v>
      </c>
      <c r="V42" s="285">
        <f t="shared" si="31"/>
        <v>0</v>
      </c>
      <c r="W42" s="285">
        <f t="shared" si="32"/>
        <v>0</v>
      </c>
      <c r="X42" s="197"/>
      <c r="Y42" s="285">
        <f t="shared" si="33"/>
        <v>0</v>
      </c>
      <c r="Z42" s="285">
        <f t="shared" si="34"/>
        <v>0</v>
      </c>
      <c r="AA42" s="197"/>
      <c r="AB42" s="197"/>
      <c r="AC42" s="828"/>
      <c r="AD42" s="197"/>
      <c r="AE42" s="403" t="s">
        <v>11893</v>
      </c>
      <c r="AF42" s="962" t="s">
        <v>11895</v>
      </c>
      <c r="AG42" s="905" t="s">
        <v>11896</v>
      </c>
      <c r="AH42" s="905" t="s">
        <v>11897</v>
      </c>
      <c r="AI42" s="905" t="s">
        <v>11898</v>
      </c>
      <c r="AJ42" s="963" t="s">
        <v>11899</v>
      </c>
      <c r="AK42" s="905" t="s">
        <v>11900</v>
      </c>
      <c r="AL42" s="905" t="s">
        <v>11901</v>
      </c>
      <c r="AM42" s="975"/>
      <c r="AN42" s="976"/>
      <c r="AO42" s="961"/>
      <c r="AP42" s="197"/>
      <c r="AQ42" s="197"/>
      <c r="AR42" s="197"/>
      <c r="AS42" s="197"/>
    </row>
    <row r="43" spans="1:45" s="4" customFormat="1" ht="15.75" customHeight="1" thickBot="1">
      <c r="A43" s="197"/>
      <c r="B43" s="406" t="s">
        <v>7445</v>
      </c>
      <c r="C43" s="2037">
        <f>IFERROR(SUM(C36:C42), 0)</f>
        <v>0</v>
      </c>
      <c r="D43" s="1589">
        <f>IFERROR(SUM(D36:D42), 0)</f>
        <v>3.1480000000000001</v>
      </c>
      <c r="E43" s="1589">
        <f>IFERROR(SUM(E36:E42), 0)</f>
        <v>0.93</v>
      </c>
      <c r="F43" s="1589">
        <f>IFERROR(SUM(F36:F42), 0)</f>
        <v>0</v>
      </c>
      <c r="G43" s="1589">
        <f t="shared" si="27"/>
        <v>4.0780000000000003</v>
      </c>
      <c r="H43" s="1589">
        <f>IFERROR(SUM(H36:H42), 0)</f>
        <v>-0.30399999999999999</v>
      </c>
      <c r="I43" s="1589">
        <f>IFERROR(SUM(I36:I42), 0)</f>
        <v>0</v>
      </c>
      <c r="J43" s="1613"/>
      <c r="K43" s="1614"/>
      <c r="L43" s="197"/>
      <c r="M43" s="356" t="s">
        <v>11902</v>
      </c>
      <c r="N43" s="197"/>
      <c r="O43" s="302"/>
      <c r="P43" s="197"/>
      <c r="Q43" s="828"/>
      <c r="R43" s="284"/>
      <c r="S43" s="828"/>
      <c r="T43" s="197"/>
      <c r="U43" s="197"/>
      <c r="V43" s="197"/>
      <c r="W43" s="197"/>
      <c r="X43" s="197"/>
      <c r="Y43" s="197"/>
      <c r="Z43" s="197"/>
      <c r="AA43" s="197"/>
      <c r="AB43" s="197"/>
      <c r="AC43" s="828"/>
      <c r="AD43" s="197"/>
      <c r="AE43" s="406" t="s">
        <v>7445</v>
      </c>
      <c r="AF43" s="965" t="s">
        <v>11903</v>
      </c>
      <c r="AG43" s="679" t="s">
        <v>11904</v>
      </c>
      <c r="AH43" s="679" t="s">
        <v>11905</v>
      </c>
      <c r="AI43" s="679" t="s">
        <v>11906</v>
      </c>
      <c r="AJ43" s="679" t="s">
        <v>11907</v>
      </c>
      <c r="AK43" s="679" t="s">
        <v>11908</v>
      </c>
      <c r="AL43" s="679" t="s">
        <v>11909</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11910</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11910</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11910</v>
      </c>
      <c r="C46" s="701">
        <v>0.28399999999999997</v>
      </c>
      <c r="D46" s="701">
        <v>0</v>
      </c>
      <c r="E46" s="701">
        <v>0</v>
      </c>
      <c r="F46" s="701">
        <v>0</v>
      </c>
      <c r="G46" s="1586">
        <f>IFERROR(SUM(C46:F46),0)</f>
        <v>0.28399999999999997</v>
      </c>
      <c r="H46" s="701">
        <v>-0.23</v>
      </c>
      <c r="I46" s="701">
        <v>0</v>
      </c>
      <c r="J46" s="1620"/>
      <c r="K46" s="1621"/>
      <c r="L46" s="197"/>
      <c r="M46" s="374" t="s">
        <v>11911</v>
      </c>
      <c r="N46" s="389"/>
      <c r="O46" s="982"/>
      <c r="P46" s="389"/>
      <c r="Q46" s="825"/>
      <c r="R46" s="284">
        <f t="shared" ref="R46" si="35">IF( SUM( T46:AA46 ) = 0, 0, $T$10 )</f>
        <v>0</v>
      </c>
      <c r="S46" s="825"/>
      <c r="T46" s="285">
        <f t="shared" ref="T46" si="36" xml:space="preserve"> IF( ISNUMBER(C46), 0, 1 )</f>
        <v>0</v>
      </c>
      <c r="U46" s="285">
        <f t="shared" ref="U46" si="37" xml:space="preserve"> IF( ISNUMBER(D46), 0, 1 )</f>
        <v>0</v>
      </c>
      <c r="V46" s="285">
        <f t="shared" ref="V46" si="38" xml:space="preserve"> IF( ISNUMBER(E46), 0, 1 )</f>
        <v>0</v>
      </c>
      <c r="W46" s="285">
        <f t="shared" ref="W46" si="39" xml:space="preserve"> IF( ISNUMBER(F46), 0, 1 )</f>
        <v>0</v>
      </c>
      <c r="X46" s="197"/>
      <c r="Y46" s="285">
        <f t="shared" ref="Y46" si="40" xml:space="preserve"> IF( ISNUMBER(H46), 0, 1 )</f>
        <v>0</v>
      </c>
      <c r="Z46" s="285">
        <f t="shared" ref="Z46" si="41" xml:space="preserve"> IF( ISNUMBER(I46), 0, 1 )</f>
        <v>0</v>
      </c>
      <c r="AA46" s="197"/>
      <c r="AB46" s="197"/>
      <c r="AC46" s="825"/>
      <c r="AD46" s="389"/>
      <c r="AE46" s="420" t="s">
        <v>11910</v>
      </c>
      <c r="AF46" s="978" t="s">
        <v>11912</v>
      </c>
      <c r="AG46" s="978" t="s">
        <v>11913</v>
      </c>
      <c r="AH46" s="978" t="s">
        <v>11914</v>
      </c>
      <c r="AI46" s="978" t="s">
        <v>11915</v>
      </c>
      <c r="AJ46" s="979" t="s">
        <v>11916</v>
      </c>
      <c r="AK46" s="978" t="s">
        <v>11917</v>
      </c>
      <c r="AL46" s="978" t="s">
        <v>11918</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11919</v>
      </c>
      <c r="C48" s="2038">
        <f t="shared" ref="C48:I48" si="42">IFERROR(SUM(C19,C26,C33,C43,C46), 0)</f>
        <v>0.28399999999999997</v>
      </c>
      <c r="D48" s="1586">
        <f t="shared" si="42"/>
        <v>3.1480000000000001</v>
      </c>
      <c r="E48" s="1586">
        <f t="shared" si="42"/>
        <v>300.93</v>
      </c>
      <c r="F48" s="1586">
        <f t="shared" si="42"/>
        <v>100</v>
      </c>
      <c r="G48" s="1586">
        <f>IFERROR(SUM(C48:F48),0)</f>
        <v>404.36200000000002</v>
      </c>
      <c r="H48" s="1586">
        <f t="shared" si="42"/>
        <v>87.070000000000007</v>
      </c>
      <c r="I48" s="1586">
        <f t="shared" si="42"/>
        <v>87.170999999999992</v>
      </c>
      <c r="J48" s="1622"/>
      <c r="K48" s="1623"/>
      <c r="L48" s="389"/>
      <c r="M48" s="374" t="s">
        <v>11920</v>
      </c>
      <c r="N48" s="389"/>
      <c r="O48" s="982"/>
      <c r="P48" s="389"/>
      <c r="Q48" s="825"/>
      <c r="R48" s="284"/>
      <c r="S48" s="825"/>
      <c r="T48" s="197"/>
      <c r="U48" s="197"/>
      <c r="V48" s="197"/>
      <c r="W48" s="197"/>
      <c r="X48" s="197"/>
      <c r="Y48" s="197"/>
      <c r="Z48" s="197"/>
      <c r="AA48" s="197"/>
      <c r="AB48" s="197"/>
      <c r="AC48" s="825"/>
      <c r="AD48" s="389"/>
      <c r="AE48" s="420" t="s">
        <v>11919</v>
      </c>
      <c r="AF48" s="985" t="s">
        <v>11921</v>
      </c>
      <c r="AG48" s="372" t="s">
        <v>11922</v>
      </c>
      <c r="AH48" s="372" t="s">
        <v>11923</v>
      </c>
      <c r="AI48" s="372" t="s">
        <v>11924</v>
      </c>
      <c r="AJ48" s="372" t="s">
        <v>11925</v>
      </c>
      <c r="AK48" s="372" t="s">
        <v>11926</v>
      </c>
      <c r="AL48" s="372" t="s">
        <v>11927</v>
      </c>
      <c r="AM48" s="986"/>
      <c r="AN48" s="987"/>
      <c r="AO48" s="961"/>
      <c r="AP48" s="389"/>
      <c r="AQ48" s="389"/>
      <c r="AR48" s="389"/>
      <c r="AS48" s="389"/>
    </row>
    <row r="49" spans="1:45" s="4" customFormat="1" ht="17.25"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5.95" customHeight="1" thickTop="1">
      <c r="A50" s="197"/>
      <c r="B50" s="2711" t="s">
        <v>7224</v>
      </c>
      <c r="C50" s="2673" t="s">
        <v>11928</v>
      </c>
      <c r="D50" s="2673"/>
      <c r="E50" s="2673"/>
      <c r="F50" s="2673"/>
      <c r="G50" s="2673"/>
      <c r="H50" s="2673"/>
      <c r="I50" s="2673"/>
      <c r="J50" s="2673"/>
      <c r="K50" s="2675"/>
      <c r="L50" s="651"/>
      <c r="M50" s="197"/>
      <c r="N50" s="197"/>
      <c r="O50" s="197"/>
      <c r="P50" s="651"/>
      <c r="Q50" s="907"/>
      <c r="R50" s="284"/>
      <c r="S50" s="907"/>
      <c r="T50" s="651"/>
      <c r="U50" s="651"/>
      <c r="V50" s="651"/>
      <c r="W50" s="651"/>
      <c r="X50" s="651"/>
      <c r="Y50" s="651"/>
      <c r="Z50" s="651"/>
      <c r="AA50" s="651"/>
      <c r="AB50" s="651"/>
      <c r="AC50" s="907"/>
      <c r="AD50" s="651"/>
      <c r="AE50" s="2711" t="s">
        <v>7224</v>
      </c>
      <c r="AF50" s="2673" t="s">
        <v>11928</v>
      </c>
      <c r="AG50" s="2673"/>
      <c r="AH50" s="2673"/>
      <c r="AI50" s="2673"/>
      <c r="AJ50" s="2673"/>
      <c r="AK50" s="2673"/>
      <c r="AL50" s="2673"/>
      <c r="AM50" s="2673"/>
      <c r="AN50" s="2675"/>
      <c r="AO50" s="317"/>
      <c r="AP50" s="197"/>
      <c r="AQ50" s="197"/>
      <c r="AR50" s="197"/>
      <c r="AS50" s="197"/>
    </row>
    <row r="51" spans="1:45" s="4" customFormat="1">
      <c r="A51" s="197"/>
      <c r="B51" s="2795"/>
      <c r="C51" s="2796" t="s">
        <v>11650</v>
      </c>
      <c r="D51" s="2796"/>
      <c r="E51" s="2796"/>
      <c r="F51" s="2796"/>
      <c r="G51" s="2796" t="s">
        <v>11651</v>
      </c>
      <c r="H51" s="2796"/>
      <c r="I51" s="2796" t="s">
        <v>11652</v>
      </c>
      <c r="J51" s="2796" t="s">
        <v>11653</v>
      </c>
      <c r="K51" s="2837"/>
      <c r="L51" s="197"/>
      <c r="M51" s="197"/>
      <c r="N51" s="197"/>
      <c r="O51" s="197"/>
      <c r="P51" s="197"/>
      <c r="Q51" s="828"/>
      <c r="R51" s="284"/>
      <c r="S51" s="828"/>
      <c r="T51" s="197"/>
      <c r="U51" s="197"/>
      <c r="V51" s="197"/>
      <c r="W51" s="197"/>
      <c r="X51" s="197"/>
      <c r="Y51" s="197"/>
      <c r="Z51" s="197"/>
      <c r="AA51" s="197"/>
      <c r="AB51" s="197"/>
      <c r="AC51" s="828"/>
      <c r="AD51" s="197"/>
      <c r="AE51" s="2795"/>
      <c r="AF51" s="2796" t="s">
        <v>11650</v>
      </c>
      <c r="AG51" s="2796"/>
      <c r="AH51" s="2796"/>
      <c r="AI51" s="2796"/>
      <c r="AJ51" s="2796" t="s">
        <v>11651</v>
      </c>
      <c r="AK51" s="2796"/>
      <c r="AL51" s="2796" t="s">
        <v>11652</v>
      </c>
      <c r="AM51" s="2796" t="s">
        <v>11653</v>
      </c>
      <c r="AN51" s="2837"/>
      <c r="AO51" s="317"/>
      <c r="AP51" s="197"/>
      <c r="AQ51" s="197"/>
      <c r="AR51" s="197"/>
      <c r="AS51" s="197"/>
    </row>
    <row r="52" spans="1:45" s="4" customFormat="1" ht="30">
      <c r="A52" s="197"/>
      <c r="B52" s="2795"/>
      <c r="C52" s="427" t="s">
        <v>11654</v>
      </c>
      <c r="D52" s="427" t="s">
        <v>11655</v>
      </c>
      <c r="E52" s="427" t="s">
        <v>11656</v>
      </c>
      <c r="F52" s="427" t="s">
        <v>11657</v>
      </c>
      <c r="G52" s="427" t="s">
        <v>11658</v>
      </c>
      <c r="H52" s="427" t="s">
        <v>11659</v>
      </c>
      <c r="I52" s="2796"/>
      <c r="J52" s="427" t="s">
        <v>11660</v>
      </c>
      <c r="K52" s="428" t="s">
        <v>11661</v>
      </c>
      <c r="L52" s="197"/>
      <c r="M52" s="197"/>
      <c r="N52" s="197"/>
      <c r="O52" s="197"/>
      <c r="P52" s="197"/>
      <c r="Q52" s="828"/>
      <c r="R52" s="284"/>
      <c r="S52" s="828"/>
      <c r="T52" s="197"/>
      <c r="U52" s="197"/>
      <c r="V52" s="197"/>
      <c r="W52" s="197"/>
      <c r="X52" s="197"/>
      <c r="Y52" s="197"/>
      <c r="Z52" s="197"/>
      <c r="AA52" s="197"/>
      <c r="AB52" s="197"/>
      <c r="AC52" s="828"/>
      <c r="AD52" s="197"/>
      <c r="AE52" s="2795"/>
      <c r="AF52" s="427" t="s">
        <v>11654</v>
      </c>
      <c r="AG52" s="427" t="s">
        <v>11655</v>
      </c>
      <c r="AH52" s="427" t="s">
        <v>11656</v>
      </c>
      <c r="AI52" s="427" t="s">
        <v>11657</v>
      </c>
      <c r="AJ52" s="427" t="s">
        <v>11658</v>
      </c>
      <c r="AK52" s="427" t="s">
        <v>11659</v>
      </c>
      <c r="AL52" s="2796"/>
      <c r="AM52" s="427" t="s">
        <v>11660</v>
      </c>
      <c r="AN52" s="428" t="s">
        <v>11661</v>
      </c>
      <c r="AO52" s="317"/>
      <c r="AP52" s="197"/>
      <c r="AQ52" s="197"/>
      <c r="AR52" s="197"/>
      <c r="AS52" s="197"/>
    </row>
    <row r="53" spans="1:45" s="4" customFormat="1" ht="15.95" customHeight="1">
      <c r="A53" s="197"/>
      <c r="B53" s="429" t="s">
        <v>7225</v>
      </c>
      <c r="C53" s="427" t="s">
        <v>681</v>
      </c>
      <c r="D53" s="427" t="s">
        <v>681</v>
      </c>
      <c r="E53" s="427" t="s">
        <v>681</v>
      </c>
      <c r="F53" s="427" t="s">
        <v>681</v>
      </c>
      <c r="G53" s="427" t="s">
        <v>681</v>
      </c>
      <c r="H53" s="427" t="s">
        <v>681</v>
      </c>
      <c r="I53" s="427" t="s">
        <v>681</v>
      </c>
      <c r="J53" s="427" t="s">
        <v>3137</v>
      </c>
      <c r="K53" s="428" t="s">
        <v>3137</v>
      </c>
      <c r="L53" s="197"/>
      <c r="M53" s="197"/>
      <c r="N53" s="197"/>
      <c r="O53" s="197"/>
      <c r="P53" s="197"/>
      <c r="Q53" s="828"/>
      <c r="R53" s="284"/>
      <c r="S53" s="828"/>
      <c r="T53" s="197"/>
      <c r="U53" s="197"/>
      <c r="V53" s="197"/>
      <c r="W53" s="197"/>
      <c r="X53" s="197"/>
      <c r="Y53" s="197"/>
      <c r="Z53" s="197"/>
      <c r="AA53" s="197"/>
      <c r="AB53" s="197"/>
      <c r="AC53" s="828"/>
      <c r="AD53" s="197"/>
      <c r="AE53" s="429" t="s">
        <v>7225</v>
      </c>
      <c r="AF53" s="427" t="s">
        <v>681</v>
      </c>
      <c r="AG53" s="427" t="s">
        <v>681</v>
      </c>
      <c r="AH53" s="427" t="s">
        <v>681</v>
      </c>
      <c r="AI53" s="427" t="s">
        <v>681</v>
      </c>
      <c r="AJ53" s="427" t="s">
        <v>681</v>
      </c>
      <c r="AK53" s="427" t="s">
        <v>681</v>
      </c>
      <c r="AL53" s="427" t="s">
        <v>681</v>
      </c>
      <c r="AM53" s="427" t="s">
        <v>3137</v>
      </c>
      <c r="AN53" s="428" t="s">
        <v>3137</v>
      </c>
      <c r="AO53" s="317"/>
      <c r="AP53" s="197"/>
      <c r="AQ53" s="197"/>
      <c r="AR53" s="197"/>
      <c r="AS53" s="197"/>
    </row>
    <row r="54" spans="1:45" s="4" customFormat="1" ht="16.5" thickBot="1">
      <c r="A54" s="197"/>
      <c r="B54" s="430" t="s">
        <v>670</v>
      </c>
      <c r="C54" s="271">
        <v>3</v>
      </c>
      <c r="D54" s="271">
        <v>3</v>
      </c>
      <c r="E54" s="271">
        <v>3</v>
      </c>
      <c r="F54" s="271">
        <v>3</v>
      </c>
      <c r="G54" s="271">
        <v>3</v>
      </c>
      <c r="H54" s="271">
        <v>3</v>
      </c>
      <c r="I54" s="271">
        <v>3</v>
      </c>
      <c r="J54" s="271">
        <v>3</v>
      </c>
      <c r="K54" s="672">
        <v>3</v>
      </c>
      <c r="L54" s="197"/>
      <c r="M54" s="197"/>
      <c r="N54" s="197"/>
      <c r="O54" s="197"/>
      <c r="P54" s="197"/>
      <c r="Q54" s="828"/>
      <c r="R54" s="284"/>
      <c r="S54" s="828"/>
      <c r="T54" s="2668" t="s">
        <v>7223</v>
      </c>
      <c r="U54" s="2668"/>
      <c r="V54" s="2819"/>
      <c r="W54" s="2819"/>
      <c r="X54" s="2819"/>
      <c r="Y54" s="2819"/>
      <c r="Z54" s="2819"/>
      <c r="AA54" s="2819"/>
      <c r="AB54" s="247"/>
      <c r="AC54" s="828"/>
      <c r="AD54" s="197"/>
      <c r="AE54" s="430" t="s">
        <v>670</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7.25"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11662</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11662</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11663</v>
      </c>
      <c r="C57" s="2091">
        <v>0</v>
      </c>
      <c r="D57" s="694">
        <v>0</v>
      </c>
      <c r="E57" s="694">
        <v>0</v>
      </c>
      <c r="F57" s="694">
        <v>0</v>
      </c>
      <c r="G57" s="1595">
        <f t="shared" ref="G57:G64" si="43">IFERROR(SUM(C57:F57),0)</f>
        <v>0</v>
      </c>
      <c r="H57" s="2091">
        <v>0</v>
      </c>
      <c r="I57" s="694">
        <v>0</v>
      </c>
      <c r="J57" s="1609">
        <v>0</v>
      </c>
      <c r="K57" s="1610">
        <v>0</v>
      </c>
      <c r="L57" s="197"/>
      <c r="M57" s="281" t="s">
        <v>11929</v>
      </c>
      <c r="N57" s="197"/>
      <c r="O57" s="283"/>
      <c r="P57" s="197"/>
      <c r="Q57" s="828"/>
      <c r="R57" s="284">
        <f t="shared" ref="R57:R63" si="44">IF( SUM( T57:AA57 ) = 0, 0, $T$10 )</f>
        <v>0</v>
      </c>
      <c r="S57" s="828"/>
      <c r="T57" s="285">
        <f t="shared" ref="T57:W63" si="45" xml:space="preserve"> IF( ISNUMBER(C57), 0, 1 )</f>
        <v>0</v>
      </c>
      <c r="U57" s="285">
        <f t="shared" si="45"/>
        <v>0</v>
      </c>
      <c r="V57" s="285">
        <f t="shared" si="45"/>
        <v>0</v>
      </c>
      <c r="W57" s="285">
        <f t="shared" si="45"/>
        <v>0</v>
      </c>
      <c r="X57" s="197"/>
      <c r="Y57" s="285">
        <f t="shared" ref="Y57:AB63" si="46" xml:space="preserve"> IF( ISNUMBER(H57), 0, 1 )</f>
        <v>0</v>
      </c>
      <c r="Z57" s="285">
        <f t="shared" si="46"/>
        <v>0</v>
      </c>
      <c r="AA57" s="285">
        <f t="shared" si="46"/>
        <v>0</v>
      </c>
      <c r="AB57" s="285">
        <f t="shared" si="46"/>
        <v>0</v>
      </c>
      <c r="AC57" s="828"/>
      <c r="AD57" s="197"/>
      <c r="AE57" s="396" t="s">
        <v>11663</v>
      </c>
      <c r="AF57" s="958" t="s">
        <v>1716</v>
      </c>
      <c r="AG57" s="904" t="s">
        <v>1744</v>
      </c>
      <c r="AH57" s="904" t="s">
        <v>1772</v>
      </c>
      <c r="AI57" s="904" t="s">
        <v>1800</v>
      </c>
      <c r="AJ57" s="959" t="s">
        <v>1828</v>
      </c>
      <c r="AK57" s="958" t="s">
        <v>1856</v>
      </c>
      <c r="AL57" s="904" t="s">
        <v>1884</v>
      </c>
      <c r="AM57" s="904" t="s">
        <v>1912</v>
      </c>
      <c r="AN57" s="960" t="s">
        <v>1919</v>
      </c>
      <c r="AO57" s="961"/>
      <c r="AP57" s="197"/>
      <c r="AQ57" s="197"/>
      <c r="AR57" s="197"/>
      <c r="AS57" s="197"/>
    </row>
    <row r="58" spans="1:45" s="4" customFormat="1" ht="15.75" customHeight="1">
      <c r="A58" s="197"/>
      <c r="B58" s="403" t="s">
        <v>11674</v>
      </c>
      <c r="C58" s="2092">
        <v>0</v>
      </c>
      <c r="D58" s="697">
        <v>0</v>
      </c>
      <c r="E58" s="697">
        <v>0</v>
      </c>
      <c r="F58" s="697">
        <v>0</v>
      </c>
      <c r="G58" s="1597">
        <f t="shared" si="43"/>
        <v>0</v>
      </c>
      <c r="H58" s="2092">
        <v>0</v>
      </c>
      <c r="I58" s="697">
        <v>0</v>
      </c>
      <c r="J58" s="1611">
        <v>0</v>
      </c>
      <c r="K58" s="1612">
        <v>0</v>
      </c>
      <c r="L58" s="197"/>
      <c r="M58" s="290" t="s">
        <v>11930</v>
      </c>
      <c r="N58" s="197"/>
      <c r="O58" s="291"/>
      <c r="P58" s="197"/>
      <c r="Q58" s="828"/>
      <c r="R58" s="284">
        <f t="shared" si="44"/>
        <v>0</v>
      </c>
      <c r="S58" s="828"/>
      <c r="T58" s="285">
        <f t="shared" si="45"/>
        <v>0</v>
      </c>
      <c r="U58" s="285">
        <f t="shared" si="45"/>
        <v>0</v>
      </c>
      <c r="V58" s="285">
        <f t="shared" si="45"/>
        <v>0</v>
      </c>
      <c r="W58" s="285">
        <f t="shared" si="45"/>
        <v>0</v>
      </c>
      <c r="X58" s="197"/>
      <c r="Y58" s="285">
        <f t="shared" si="46"/>
        <v>0</v>
      </c>
      <c r="Z58" s="285">
        <f t="shared" si="46"/>
        <v>0</v>
      </c>
      <c r="AA58" s="285">
        <f t="shared" si="46"/>
        <v>0</v>
      </c>
      <c r="AB58" s="285">
        <f t="shared" si="46"/>
        <v>0</v>
      </c>
      <c r="AC58" s="828"/>
      <c r="AD58" s="197"/>
      <c r="AE58" s="403" t="s">
        <v>11674</v>
      </c>
      <c r="AF58" s="962" t="s">
        <v>1717</v>
      </c>
      <c r="AG58" s="905" t="s">
        <v>1745</v>
      </c>
      <c r="AH58" s="905" t="s">
        <v>1773</v>
      </c>
      <c r="AI58" s="905" t="s">
        <v>1801</v>
      </c>
      <c r="AJ58" s="963" t="s">
        <v>1829</v>
      </c>
      <c r="AK58" s="962" t="s">
        <v>1857</v>
      </c>
      <c r="AL58" s="905" t="s">
        <v>1885</v>
      </c>
      <c r="AM58" s="905" t="s">
        <v>1913</v>
      </c>
      <c r="AN58" s="964" t="s">
        <v>1920</v>
      </c>
      <c r="AO58" s="961"/>
      <c r="AP58" s="197"/>
      <c r="AQ58" s="197"/>
      <c r="AR58" s="197"/>
      <c r="AS58" s="197"/>
    </row>
    <row r="59" spans="1:45" s="4" customFormat="1" ht="15.75" customHeight="1">
      <c r="A59" s="197"/>
      <c r="B59" s="403" t="s">
        <v>11685</v>
      </c>
      <c r="C59" s="2092">
        <v>0</v>
      </c>
      <c r="D59" s="697">
        <v>0</v>
      </c>
      <c r="E59" s="697">
        <v>0</v>
      </c>
      <c r="F59" s="697">
        <v>0</v>
      </c>
      <c r="G59" s="1597">
        <f t="shared" si="43"/>
        <v>0</v>
      </c>
      <c r="H59" s="2092">
        <v>0</v>
      </c>
      <c r="I59" s="697">
        <v>0</v>
      </c>
      <c r="J59" s="1611">
        <v>0</v>
      </c>
      <c r="K59" s="1612">
        <v>0</v>
      </c>
      <c r="L59" s="197"/>
      <c r="M59" s="290" t="s">
        <v>11931</v>
      </c>
      <c r="N59" s="197"/>
      <c r="O59" s="291"/>
      <c r="P59" s="197"/>
      <c r="Q59" s="828"/>
      <c r="R59" s="284">
        <f t="shared" si="44"/>
        <v>0</v>
      </c>
      <c r="S59" s="828"/>
      <c r="T59" s="285">
        <f t="shared" si="45"/>
        <v>0</v>
      </c>
      <c r="U59" s="285">
        <f t="shared" si="45"/>
        <v>0</v>
      </c>
      <c r="V59" s="285">
        <f t="shared" si="45"/>
        <v>0</v>
      </c>
      <c r="W59" s="285">
        <f t="shared" si="45"/>
        <v>0</v>
      </c>
      <c r="X59" s="197"/>
      <c r="Y59" s="285">
        <f t="shared" si="46"/>
        <v>0</v>
      </c>
      <c r="Z59" s="285">
        <f t="shared" si="46"/>
        <v>0</v>
      </c>
      <c r="AA59" s="285">
        <f t="shared" si="46"/>
        <v>0</v>
      </c>
      <c r="AB59" s="285">
        <f t="shared" si="46"/>
        <v>0</v>
      </c>
      <c r="AC59" s="828"/>
      <c r="AD59" s="197"/>
      <c r="AE59" s="403" t="s">
        <v>11685</v>
      </c>
      <c r="AF59" s="962" t="s">
        <v>1718</v>
      </c>
      <c r="AG59" s="905" t="s">
        <v>1746</v>
      </c>
      <c r="AH59" s="905" t="s">
        <v>1774</v>
      </c>
      <c r="AI59" s="905" t="s">
        <v>1802</v>
      </c>
      <c r="AJ59" s="963" t="s">
        <v>1830</v>
      </c>
      <c r="AK59" s="962" t="s">
        <v>1858</v>
      </c>
      <c r="AL59" s="905" t="s">
        <v>1886</v>
      </c>
      <c r="AM59" s="905" t="s">
        <v>1914</v>
      </c>
      <c r="AN59" s="964" t="s">
        <v>1921</v>
      </c>
      <c r="AO59" s="961"/>
      <c r="AP59" s="197"/>
      <c r="AQ59" s="197"/>
      <c r="AR59" s="197"/>
      <c r="AS59" s="197"/>
    </row>
    <row r="60" spans="1:45" s="4" customFormat="1" ht="15.75" customHeight="1">
      <c r="A60" s="197"/>
      <c r="B60" s="403" t="s">
        <v>11696</v>
      </c>
      <c r="C60" s="2092">
        <v>0</v>
      </c>
      <c r="D60" s="697">
        <v>0</v>
      </c>
      <c r="E60" s="697">
        <v>0</v>
      </c>
      <c r="F60" s="697">
        <v>0</v>
      </c>
      <c r="G60" s="1597">
        <f t="shared" si="43"/>
        <v>0</v>
      </c>
      <c r="H60" s="2092">
        <v>0</v>
      </c>
      <c r="I60" s="697">
        <v>0</v>
      </c>
      <c r="J60" s="1611">
        <v>0</v>
      </c>
      <c r="K60" s="1612">
        <v>0</v>
      </c>
      <c r="L60" s="197"/>
      <c r="M60" s="290" t="s">
        <v>11932</v>
      </c>
      <c r="N60" s="197"/>
      <c r="O60" s="291"/>
      <c r="P60" s="197"/>
      <c r="Q60" s="828"/>
      <c r="R60" s="284">
        <f t="shared" si="44"/>
        <v>0</v>
      </c>
      <c r="S60" s="828"/>
      <c r="T60" s="285">
        <f t="shared" si="45"/>
        <v>0</v>
      </c>
      <c r="U60" s="285">
        <f t="shared" si="45"/>
        <v>0</v>
      </c>
      <c r="V60" s="285">
        <f t="shared" si="45"/>
        <v>0</v>
      </c>
      <c r="W60" s="285">
        <f t="shared" si="45"/>
        <v>0</v>
      </c>
      <c r="X60" s="197"/>
      <c r="Y60" s="285">
        <f t="shared" si="46"/>
        <v>0</v>
      </c>
      <c r="Z60" s="285">
        <f t="shared" si="46"/>
        <v>0</v>
      </c>
      <c r="AA60" s="285">
        <f t="shared" si="46"/>
        <v>0</v>
      </c>
      <c r="AB60" s="285">
        <f t="shared" si="46"/>
        <v>0</v>
      </c>
      <c r="AC60" s="828"/>
      <c r="AD60" s="197"/>
      <c r="AE60" s="403" t="s">
        <v>11696</v>
      </c>
      <c r="AF60" s="962" t="s">
        <v>1719</v>
      </c>
      <c r="AG60" s="905" t="s">
        <v>1747</v>
      </c>
      <c r="AH60" s="905" t="s">
        <v>1775</v>
      </c>
      <c r="AI60" s="905" t="s">
        <v>1803</v>
      </c>
      <c r="AJ60" s="963" t="s">
        <v>1831</v>
      </c>
      <c r="AK60" s="962" t="s">
        <v>1859</v>
      </c>
      <c r="AL60" s="905" t="s">
        <v>1887</v>
      </c>
      <c r="AM60" s="905" t="s">
        <v>1915</v>
      </c>
      <c r="AN60" s="964" t="s">
        <v>1922</v>
      </c>
      <c r="AO60" s="961"/>
      <c r="AP60" s="197"/>
      <c r="AQ60" s="197"/>
      <c r="AR60" s="197"/>
      <c r="AS60" s="197"/>
    </row>
    <row r="61" spans="1:45" s="4" customFormat="1" ht="15.75" customHeight="1">
      <c r="A61" s="197"/>
      <c r="B61" s="403" t="s">
        <v>11707</v>
      </c>
      <c r="C61" s="2092">
        <v>0</v>
      </c>
      <c r="D61" s="697">
        <v>0</v>
      </c>
      <c r="E61" s="697">
        <v>0</v>
      </c>
      <c r="F61" s="697">
        <v>0</v>
      </c>
      <c r="G61" s="1597">
        <f t="shared" si="43"/>
        <v>0</v>
      </c>
      <c r="H61" s="2092">
        <v>0</v>
      </c>
      <c r="I61" s="697">
        <v>0</v>
      </c>
      <c r="J61" s="1611">
        <v>0</v>
      </c>
      <c r="K61" s="1612">
        <v>0</v>
      </c>
      <c r="L61" s="197"/>
      <c r="M61" s="290" t="s">
        <v>11933</v>
      </c>
      <c r="N61" s="197"/>
      <c r="O61" s="291"/>
      <c r="P61" s="197"/>
      <c r="Q61" s="828"/>
      <c r="R61" s="284">
        <f t="shared" si="44"/>
        <v>0</v>
      </c>
      <c r="S61" s="828"/>
      <c r="T61" s="285">
        <f t="shared" si="45"/>
        <v>0</v>
      </c>
      <c r="U61" s="285">
        <f t="shared" si="45"/>
        <v>0</v>
      </c>
      <c r="V61" s="285">
        <f t="shared" si="45"/>
        <v>0</v>
      </c>
      <c r="W61" s="285">
        <f t="shared" si="45"/>
        <v>0</v>
      </c>
      <c r="X61" s="197"/>
      <c r="Y61" s="285">
        <f t="shared" si="46"/>
        <v>0</v>
      </c>
      <c r="Z61" s="285">
        <f t="shared" si="46"/>
        <v>0</v>
      </c>
      <c r="AA61" s="285">
        <f t="shared" si="46"/>
        <v>0</v>
      </c>
      <c r="AB61" s="285">
        <f t="shared" si="46"/>
        <v>0</v>
      </c>
      <c r="AC61" s="828"/>
      <c r="AD61" s="197"/>
      <c r="AE61" s="403" t="s">
        <v>11707</v>
      </c>
      <c r="AF61" s="962" t="s">
        <v>1720</v>
      </c>
      <c r="AG61" s="905" t="s">
        <v>1748</v>
      </c>
      <c r="AH61" s="905" t="s">
        <v>1776</v>
      </c>
      <c r="AI61" s="905" t="s">
        <v>1804</v>
      </c>
      <c r="AJ61" s="963" t="s">
        <v>1832</v>
      </c>
      <c r="AK61" s="962" t="s">
        <v>1860</v>
      </c>
      <c r="AL61" s="905" t="s">
        <v>1888</v>
      </c>
      <c r="AM61" s="905" t="s">
        <v>1916</v>
      </c>
      <c r="AN61" s="964" t="s">
        <v>1923</v>
      </c>
      <c r="AO61" s="961"/>
      <c r="AP61" s="197"/>
      <c r="AQ61" s="197"/>
      <c r="AR61" s="197"/>
      <c r="AS61" s="197"/>
    </row>
    <row r="62" spans="1:45" s="4" customFormat="1" ht="15.75" customHeight="1">
      <c r="A62" s="197"/>
      <c r="B62" s="403" t="s">
        <v>11718</v>
      </c>
      <c r="C62" s="2092">
        <v>0</v>
      </c>
      <c r="D62" s="697">
        <v>0</v>
      </c>
      <c r="E62" s="697">
        <v>0</v>
      </c>
      <c r="F62" s="697">
        <v>0</v>
      </c>
      <c r="G62" s="1597">
        <f t="shared" si="43"/>
        <v>0</v>
      </c>
      <c r="H62" s="2092">
        <v>0</v>
      </c>
      <c r="I62" s="697">
        <v>0</v>
      </c>
      <c r="J62" s="1611">
        <v>0</v>
      </c>
      <c r="K62" s="1612">
        <v>0</v>
      </c>
      <c r="L62" s="197"/>
      <c r="M62" s="290" t="s">
        <v>11934</v>
      </c>
      <c r="N62" s="197"/>
      <c r="O62" s="291"/>
      <c r="P62" s="197"/>
      <c r="Q62" s="828"/>
      <c r="R62" s="284">
        <f t="shared" si="44"/>
        <v>0</v>
      </c>
      <c r="S62" s="828"/>
      <c r="T62" s="285">
        <f t="shared" si="45"/>
        <v>0</v>
      </c>
      <c r="U62" s="285">
        <f t="shared" si="45"/>
        <v>0</v>
      </c>
      <c r="V62" s="285">
        <f t="shared" si="45"/>
        <v>0</v>
      </c>
      <c r="W62" s="285">
        <f t="shared" si="45"/>
        <v>0</v>
      </c>
      <c r="X62" s="197"/>
      <c r="Y62" s="285">
        <f t="shared" si="46"/>
        <v>0</v>
      </c>
      <c r="Z62" s="285">
        <f t="shared" si="46"/>
        <v>0</v>
      </c>
      <c r="AA62" s="285">
        <f t="shared" si="46"/>
        <v>0</v>
      </c>
      <c r="AB62" s="285">
        <f t="shared" si="46"/>
        <v>0</v>
      </c>
      <c r="AC62" s="828"/>
      <c r="AD62" s="197"/>
      <c r="AE62" s="403" t="s">
        <v>11718</v>
      </c>
      <c r="AF62" s="962" t="s">
        <v>1721</v>
      </c>
      <c r="AG62" s="905" t="s">
        <v>1749</v>
      </c>
      <c r="AH62" s="905" t="s">
        <v>1777</v>
      </c>
      <c r="AI62" s="905" t="s">
        <v>1805</v>
      </c>
      <c r="AJ62" s="963" t="s">
        <v>1833</v>
      </c>
      <c r="AK62" s="962" t="s">
        <v>1861</v>
      </c>
      <c r="AL62" s="905" t="s">
        <v>1889</v>
      </c>
      <c r="AM62" s="905" t="s">
        <v>1917</v>
      </c>
      <c r="AN62" s="964" t="s">
        <v>1924</v>
      </c>
      <c r="AO62" s="961"/>
      <c r="AP62" s="197"/>
      <c r="AQ62" s="197"/>
      <c r="AR62" s="197"/>
      <c r="AS62" s="197"/>
    </row>
    <row r="63" spans="1:45" s="4" customFormat="1" ht="15.75" customHeight="1">
      <c r="A63" s="197"/>
      <c r="B63" s="403" t="s">
        <v>11729</v>
      </c>
      <c r="C63" s="2092">
        <v>0</v>
      </c>
      <c r="D63" s="697">
        <v>0</v>
      </c>
      <c r="E63" s="697">
        <v>0</v>
      </c>
      <c r="F63" s="697">
        <v>0</v>
      </c>
      <c r="G63" s="1597">
        <f t="shared" si="43"/>
        <v>0</v>
      </c>
      <c r="H63" s="2092">
        <v>0</v>
      </c>
      <c r="I63" s="697">
        <v>0</v>
      </c>
      <c r="J63" s="1611">
        <v>0</v>
      </c>
      <c r="K63" s="1612">
        <v>0</v>
      </c>
      <c r="L63" s="197"/>
      <c r="M63" s="290" t="s">
        <v>11935</v>
      </c>
      <c r="N63" s="197"/>
      <c r="O63" s="291"/>
      <c r="P63" s="197"/>
      <c r="Q63" s="828"/>
      <c r="R63" s="284">
        <f t="shared" si="44"/>
        <v>0</v>
      </c>
      <c r="S63" s="828"/>
      <c r="T63" s="285">
        <f t="shared" si="45"/>
        <v>0</v>
      </c>
      <c r="U63" s="285">
        <f t="shared" si="45"/>
        <v>0</v>
      </c>
      <c r="V63" s="285">
        <f t="shared" si="45"/>
        <v>0</v>
      </c>
      <c r="W63" s="285">
        <f t="shared" si="45"/>
        <v>0</v>
      </c>
      <c r="X63" s="197"/>
      <c r="Y63" s="285">
        <f t="shared" si="46"/>
        <v>0</v>
      </c>
      <c r="Z63" s="285">
        <f t="shared" si="46"/>
        <v>0</v>
      </c>
      <c r="AA63" s="285">
        <f t="shared" si="46"/>
        <v>0</v>
      </c>
      <c r="AB63" s="285">
        <f t="shared" si="46"/>
        <v>0</v>
      </c>
      <c r="AC63" s="828"/>
      <c r="AD63" s="197"/>
      <c r="AE63" s="403" t="s">
        <v>11729</v>
      </c>
      <c r="AF63" s="962" t="s">
        <v>1722</v>
      </c>
      <c r="AG63" s="905" t="s">
        <v>1750</v>
      </c>
      <c r="AH63" s="905" t="s">
        <v>1778</v>
      </c>
      <c r="AI63" s="905" t="s">
        <v>1806</v>
      </c>
      <c r="AJ63" s="963" t="s">
        <v>1834</v>
      </c>
      <c r="AK63" s="962" t="s">
        <v>1862</v>
      </c>
      <c r="AL63" s="905" t="s">
        <v>1890</v>
      </c>
      <c r="AM63" s="905" t="s">
        <v>1918</v>
      </c>
      <c r="AN63" s="964" t="s">
        <v>1925</v>
      </c>
      <c r="AO63" s="961"/>
      <c r="AP63" s="197"/>
      <c r="AQ63" s="197"/>
      <c r="AR63" s="197"/>
      <c r="AS63" s="197"/>
    </row>
    <row r="64" spans="1:45" s="4" customFormat="1" ht="15.75" customHeight="1" thickBot="1">
      <c r="A64" s="197"/>
      <c r="B64" s="406" t="s">
        <v>7445</v>
      </c>
      <c r="C64" s="2037">
        <f>IFERROR(SUM(C57:C63), 0)</f>
        <v>0</v>
      </c>
      <c r="D64" s="1589">
        <f>IFERROR(SUM(D57:D63), 0)</f>
        <v>0</v>
      </c>
      <c r="E64" s="1589">
        <f>IFERROR(SUM(E57:E63), 0)</f>
        <v>0</v>
      </c>
      <c r="F64" s="1589">
        <f>IFERROR(SUM(F57:F63), 0)</f>
        <v>0</v>
      </c>
      <c r="G64" s="1589">
        <f t="shared" si="43"/>
        <v>0</v>
      </c>
      <c r="H64" s="1589">
        <f>IFERROR(SUM(H57:H63), 0)</f>
        <v>0</v>
      </c>
      <c r="I64" s="1589">
        <f>IFERROR(SUM(I57:I63), 0)</f>
        <v>0</v>
      </c>
      <c r="J64" s="1613"/>
      <c r="K64" s="1614"/>
      <c r="L64" s="197"/>
      <c r="M64" s="576" t="s">
        <v>11936</v>
      </c>
      <c r="N64" s="197"/>
      <c r="O64" s="302"/>
      <c r="P64" s="197"/>
      <c r="Q64" s="828"/>
      <c r="R64" s="284"/>
      <c r="S64" s="828"/>
      <c r="T64" s="197"/>
      <c r="U64" s="197"/>
      <c r="V64" s="197"/>
      <c r="W64" s="197"/>
      <c r="X64" s="197"/>
      <c r="Y64" s="197"/>
      <c r="Z64" s="197"/>
      <c r="AA64" s="197"/>
      <c r="AB64" s="197"/>
      <c r="AC64" s="828"/>
      <c r="AD64" s="197"/>
      <c r="AE64" s="406" t="s">
        <v>7445</v>
      </c>
      <c r="AF64" s="965" t="s">
        <v>1723</v>
      </c>
      <c r="AG64" s="679" t="s">
        <v>1751</v>
      </c>
      <c r="AH64" s="679" t="s">
        <v>1779</v>
      </c>
      <c r="AI64" s="679" t="s">
        <v>1807</v>
      </c>
      <c r="AJ64" s="679" t="s">
        <v>1835</v>
      </c>
      <c r="AK64" s="679" t="s">
        <v>1863</v>
      </c>
      <c r="AL64" s="679" t="s">
        <v>1891</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9921</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11748</v>
      </c>
      <c r="C66" s="729"/>
      <c r="D66" s="1603"/>
      <c r="E66" s="1603"/>
      <c r="F66" s="1603"/>
      <c r="G66" s="1603"/>
      <c r="H66" s="1603"/>
      <c r="I66" s="1603"/>
      <c r="J66" s="1615"/>
      <c r="K66" s="1615"/>
      <c r="L66" s="197"/>
      <c r="M66" s="242" t="s">
        <v>9921</v>
      </c>
      <c r="N66" s="197"/>
      <c r="O66" s="197"/>
      <c r="P66" s="197"/>
      <c r="Q66" s="828"/>
      <c r="R66" s="284"/>
      <c r="S66" s="828"/>
      <c r="T66" s="197"/>
      <c r="U66" s="197"/>
      <c r="V66" s="197"/>
      <c r="W66" s="197"/>
      <c r="X66" s="197"/>
      <c r="Y66" s="197"/>
      <c r="Z66" s="197"/>
      <c r="AA66" s="197"/>
      <c r="AB66" s="197"/>
      <c r="AC66" s="828"/>
      <c r="AD66" s="197"/>
      <c r="AE66" s="393" t="s">
        <v>11748</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11749</v>
      </c>
      <c r="C67" s="2091">
        <v>0</v>
      </c>
      <c r="D67" s="694">
        <v>0</v>
      </c>
      <c r="E67" s="694">
        <v>0</v>
      </c>
      <c r="F67" s="694">
        <v>0</v>
      </c>
      <c r="G67" s="1595">
        <f>IFERROR(SUM(C67:F67),0)</f>
        <v>0</v>
      </c>
      <c r="H67" s="694">
        <v>0</v>
      </c>
      <c r="I67" s="694">
        <v>0</v>
      </c>
      <c r="J67" s="1616"/>
      <c r="K67" s="1617"/>
      <c r="L67" s="197"/>
      <c r="M67" s="281" t="s">
        <v>11937</v>
      </c>
      <c r="N67" s="197"/>
      <c r="O67" s="283"/>
      <c r="P67" s="197"/>
      <c r="Q67" s="828"/>
      <c r="R67" s="284">
        <f>IF( SUM( T67:AA67 ) = 0, 0, $T$10 )</f>
        <v>0</v>
      </c>
      <c r="S67" s="828"/>
      <c r="T67" s="285">
        <f t="shared" ref="T67:W70" si="47" xml:space="preserve"> IF( ISNUMBER(C67), 0, 1 )</f>
        <v>0</v>
      </c>
      <c r="U67" s="285">
        <f t="shared" si="47"/>
        <v>0</v>
      </c>
      <c r="V67" s="285">
        <f t="shared" si="47"/>
        <v>0</v>
      </c>
      <c r="W67" s="285">
        <f t="shared" si="47"/>
        <v>0</v>
      </c>
      <c r="X67" s="197"/>
      <c r="Y67" s="285">
        <f t="shared" ref="Y67:Z70" si="48" xml:space="preserve"> IF( ISNUMBER(H67), 0, 1 )</f>
        <v>0</v>
      </c>
      <c r="Z67" s="285">
        <f t="shared" si="48"/>
        <v>0</v>
      </c>
      <c r="AA67" s="197"/>
      <c r="AB67" s="197"/>
      <c r="AC67" s="828"/>
      <c r="AD67" s="197"/>
      <c r="AE67" s="396" t="s">
        <v>11749</v>
      </c>
      <c r="AF67" s="958" t="s">
        <v>1724</v>
      </c>
      <c r="AG67" s="904" t="s">
        <v>1752</v>
      </c>
      <c r="AH67" s="904" t="s">
        <v>1780</v>
      </c>
      <c r="AI67" s="904" t="s">
        <v>1808</v>
      </c>
      <c r="AJ67" s="959" t="s">
        <v>1836</v>
      </c>
      <c r="AK67" s="904" t="s">
        <v>1864</v>
      </c>
      <c r="AL67" s="904" t="s">
        <v>1892</v>
      </c>
      <c r="AM67" s="973"/>
      <c r="AN67" s="974"/>
      <c r="AO67" s="961"/>
      <c r="AP67" s="197"/>
      <c r="AQ67" s="197"/>
      <c r="AR67" s="197"/>
      <c r="AS67" s="197"/>
    </row>
    <row r="68" spans="1:45" s="4" customFormat="1" ht="15.75" customHeight="1">
      <c r="A68" s="197"/>
      <c r="B68" s="403" t="s">
        <v>11758</v>
      </c>
      <c r="C68" s="2092">
        <v>0</v>
      </c>
      <c r="D68" s="697">
        <v>0</v>
      </c>
      <c r="E68" s="697">
        <v>0</v>
      </c>
      <c r="F68" s="697">
        <v>0</v>
      </c>
      <c r="G68" s="1597">
        <f>IFERROR(SUM(C68:F68),0)</f>
        <v>0</v>
      </c>
      <c r="H68" s="697">
        <v>0</v>
      </c>
      <c r="I68" s="697">
        <v>0</v>
      </c>
      <c r="J68" s="1618"/>
      <c r="K68" s="1619"/>
      <c r="L68" s="197"/>
      <c r="M68" s="290" t="s">
        <v>11938</v>
      </c>
      <c r="N68" s="197"/>
      <c r="O68" s="291"/>
      <c r="P68" s="197"/>
      <c r="Q68" s="828"/>
      <c r="R68" s="284">
        <f>IF( SUM( T68:AA68 ) = 0, 0, $T$10 )</f>
        <v>0</v>
      </c>
      <c r="S68" s="828"/>
      <c r="T68" s="285">
        <f t="shared" si="47"/>
        <v>0</v>
      </c>
      <c r="U68" s="285">
        <f t="shared" si="47"/>
        <v>0</v>
      </c>
      <c r="V68" s="285">
        <f t="shared" si="47"/>
        <v>0</v>
      </c>
      <c r="W68" s="285">
        <f t="shared" si="47"/>
        <v>0</v>
      </c>
      <c r="X68" s="197"/>
      <c r="Y68" s="285">
        <f t="shared" si="48"/>
        <v>0</v>
      </c>
      <c r="Z68" s="285">
        <f t="shared" si="48"/>
        <v>0</v>
      </c>
      <c r="AA68" s="197"/>
      <c r="AB68" s="197"/>
      <c r="AC68" s="828"/>
      <c r="AD68" s="197"/>
      <c r="AE68" s="403" t="s">
        <v>11758</v>
      </c>
      <c r="AF68" s="962" t="s">
        <v>1725</v>
      </c>
      <c r="AG68" s="905" t="s">
        <v>1753</v>
      </c>
      <c r="AH68" s="905" t="s">
        <v>1781</v>
      </c>
      <c r="AI68" s="905" t="s">
        <v>1809</v>
      </c>
      <c r="AJ68" s="963" t="s">
        <v>1837</v>
      </c>
      <c r="AK68" s="905" t="s">
        <v>1865</v>
      </c>
      <c r="AL68" s="905" t="s">
        <v>1893</v>
      </c>
      <c r="AM68" s="975"/>
      <c r="AN68" s="976"/>
      <c r="AO68" s="961"/>
      <c r="AP68" s="197"/>
      <c r="AQ68" s="197"/>
      <c r="AR68" s="197"/>
      <c r="AS68" s="197"/>
    </row>
    <row r="69" spans="1:45" s="4" customFormat="1" ht="15.75" customHeight="1">
      <c r="A69" s="197"/>
      <c r="B69" s="403" t="s">
        <v>11767</v>
      </c>
      <c r="C69" s="2092">
        <v>0</v>
      </c>
      <c r="D69" s="697">
        <v>0</v>
      </c>
      <c r="E69" s="697">
        <v>0</v>
      </c>
      <c r="F69" s="697">
        <v>0</v>
      </c>
      <c r="G69" s="1597">
        <f>IFERROR(SUM(C69:F69),0)</f>
        <v>0</v>
      </c>
      <c r="H69" s="697">
        <v>0</v>
      </c>
      <c r="I69" s="697">
        <v>0</v>
      </c>
      <c r="J69" s="1618"/>
      <c r="K69" s="1619"/>
      <c r="L69" s="197"/>
      <c r="M69" s="290" t="s">
        <v>11939</v>
      </c>
      <c r="N69" s="197"/>
      <c r="O69" s="291"/>
      <c r="P69" s="197"/>
      <c r="Q69" s="828"/>
      <c r="R69" s="284">
        <f>IF( SUM( T69:AA69 ) = 0, 0, $T$10 )</f>
        <v>0</v>
      </c>
      <c r="S69" s="828"/>
      <c r="T69" s="285">
        <f t="shared" si="47"/>
        <v>0</v>
      </c>
      <c r="U69" s="285">
        <f t="shared" si="47"/>
        <v>0</v>
      </c>
      <c r="V69" s="285">
        <f t="shared" si="47"/>
        <v>0</v>
      </c>
      <c r="W69" s="285">
        <f t="shared" si="47"/>
        <v>0</v>
      </c>
      <c r="X69" s="197"/>
      <c r="Y69" s="285">
        <f t="shared" si="48"/>
        <v>0</v>
      </c>
      <c r="Z69" s="285">
        <f t="shared" si="48"/>
        <v>0</v>
      </c>
      <c r="AA69" s="197"/>
      <c r="AB69" s="197"/>
      <c r="AC69" s="828"/>
      <c r="AD69" s="197"/>
      <c r="AE69" s="403" t="s">
        <v>11767</v>
      </c>
      <c r="AF69" s="962" t="s">
        <v>1726</v>
      </c>
      <c r="AG69" s="905" t="s">
        <v>1754</v>
      </c>
      <c r="AH69" s="905" t="s">
        <v>1782</v>
      </c>
      <c r="AI69" s="905" t="s">
        <v>1810</v>
      </c>
      <c r="AJ69" s="963" t="s">
        <v>1838</v>
      </c>
      <c r="AK69" s="905" t="s">
        <v>1866</v>
      </c>
      <c r="AL69" s="905" t="s">
        <v>1894</v>
      </c>
      <c r="AM69" s="975"/>
      <c r="AN69" s="976"/>
      <c r="AO69" s="961"/>
      <c r="AP69" s="197"/>
      <c r="AQ69" s="197"/>
      <c r="AR69" s="197"/>
      <c r="AS69" s="197"/>
    </row>
    <row r="70" spans="1:45" s="4" customFormat="1" ht="15.75" customHeight="1">
      <c r="A70" s="197"/>
      <c r="B70" s="403" t="s">
        <v>11776</v>
      </c>
      <c r="C70" s="2092">
        <v>0</v>
      </c>
      <c r="D70" s="697">
        <v>0</v>
      </c>
      <c r="E70" s="697">
        <v>0</v>
      </c>
      <c r="F70" s="697">
        <v>0</v>
      </c>
      <c r="G70" s="1597">
        <f>IFERROR(SUM(C70:F70),0)</f>
        <v>0</v>
      </c>
      <c r="H70" s="697">
        <v>0</v>
      </c>
      <c r="I70" s="697">
        <v>0</v>
      </c>
      <c r="J70" s="1618"/>
      <c r="K70" s="1619"/>
      <c r="L70" s="197"/>
      <c r="M70" s="290" t="s">
        <v>11940</v>
      </c>
      <c r="N70" s="197"/>
      <c r="O70" s="291"/>
      <c r="P70" s="197"/>
      <c r="Q70" s="828"/>
      <c r="R70" s="284">
        <f>IF( SUM( T70:AA70 ) = 0, 0, $T$10 )</f>
        <v>0</v>
      </c>
      <c r="S70" s="828"/>
      <c r="T70" s="285">
        <f t="shared" si="47"/>
        <v>0</v>
      </c>
      <c r="U70" s="285">
        <f t="shared" si="47"/>
        <v>0</v>
      </c>
      <c r="V70" s="285">
        <f t="shared" si="47"/>
        <v>0</v>
      </c>
      <c r="W70" s="285">
        <f t="shared" si="47"/>
        <v>0</v>
      </c>
      <c r="X70" s="197"/>
      <c r="Y70" s="285">
        <f t="shared" si="48"/>
        <v>0</v>
      </c>
      <c r="Z70" s="285">
        <f t="shared" si="48"/>
        <v>0</v>
      </c>
      <c r="AA70" s="197"/>
      <c r="AB70" s="197"/>
      <c r="AC70" s="828"/>
      <c r="AD70" s="197"/>
      <c r="AE70" s="403" t="s">
        <v>11776</v>
      </c>
      <c r="AF70" s="962" t="s">
        <v>1727</v>
      </c>
      <c r="AG70" s="905" t="s">
        <v>1755</v>
      </c>
      <c r="AH70" s="905" t="s">
        <v>1783</v>
      </c>
      <c r="AI70" s="905" t="s">
        <v>1811</v>
      </c>
      <c r="AJ70" s="963" t="s">
        <v>1839</v>
      </c>
      <c r="AK70" s="905" t="s">
        <v>1867</v>
      </c>
      <c r="AL70" s="905" t="s">
        <v>1895</v>
      </c>
      <c r="AM70" s="975"/>
      <c r="AN70" s="976"/>
      <c r="AO70" s="961"/>
      <c r="AP70" s="197"/>
      <c r="AQ70" s="197"/>
      <c r="AR70" s="197"/>
      <c r="AS70" s="197"/>
    </row>
    <row r="71" spans="1:45" s="4" customFormat="1" ht="15.75" customHeight="1" thickBot="1">
      <c r="A71" s="197"/>
      <c r="B71" s="406" t="s">
        <v>7445</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11941</v>
      </c>
      <c r="N71" s="197"/>
      <c r="O71" s="302"/>
      <c r="P71" s="197"/>
      <c r="Q71" s="828"/>
      <c r="R71" s="284"/>
      <c r="S71" s="828"/>
      <c r="T71" s="197"/>
      <c r="U71" s="197"/>
      <c r="V71" s="197"/>
      <c r="W71" s="197"/>
      <c r="X71" s="197"/>
      <c r="Y71" s="197"/>
      <c r="Z71" s="197"/>
      <c r="AA71" s="197"/>
      <c r="AB71" s="197"/>
      <c r="AC71" s="828"/>
      <c r="AD71" s="197"/>
      <c r="AE71" s="406" t="s">
        <v>7445</v>
      </c>
      <c r="AF71" s="965" t="s">
        <v>1728</v>
      </c>
      <c r="AG71" s="679" t="s">
        <v>1756</v>
      </c>
      <c r="AH71" s="679" t="s">
        <v>1784</v>
      </c>
      <c r="AI71" s="679" t="s">
        <v>1812</v>
      </c>
      <c r="AJ71" s="679" t="s">
        <v>1840</v>
      </c>
      <c r="AK71" s="679" t="s">
        <v>1868</v>
      </c>
      <c r="AL71" s="679" t="s">
        <v>1896</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9921</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11793</v>
      </c>
      <c r="C73" s="729"/>
      <c r="D73" s="1603"/>
      <c r="E73" s="1603"/>
      <c r="F73" s="1603"/>
      <c r="G73" s="1603"/>
      <c r="H73" s="1603"/>
      <c r="I73" s="1603"/>
      <c r="J73" s="1615"/>
      <c r="K73" s="1615"/>
      <c r="L73" s="197"/>
      <c r="M73" s="242" t="s">
        <v>9921</v>
      </c>
      <c r="N73" s="197"/>
      <c r="O73" s="197"/>
      <c r="P73" s="197"/>
      <c r="Q73" s="828"/>
      <c r="R73" s="284"/>
      <c r="S73" s="828"/>
      <c r="T73" s="197"/>
      <c r="U73" s="197"/>
      <c r="V73" s="197"/>
      <c r="W73" s="197"/>
      <c r="X73" s="197"/>
      <c r="Y73" s="197"/>
      <c r="Z73" s="197"/>
      <c r="AA73" s="197"/>
      <c r="AB73" s="197"/>
      <c r="AC73" s="828"/>
      <c r="AD73" s="197"/>
      <c r="AE73" s="393" t="s">
        <v>11793</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11794</v>
      </c>
      <c r="C74" s="2091">
        <v>0</v>
      </c>
      <c r="D74" s="694">
        <v>0</v>
      </c>
      <c r="E74" s="694">
        <v>0</v>
      </c>
      <c r="F74" s="694">
        <v>0</v>
      </c>
      <c r="G74" s="1595">
        <f>IFERROR(SUM(C74:F74),0)</f>
        <v>0</v>
      </c>
      <c r="H74" s="694">
        <v>0</v>
      </c>
      <c r="I74" s="694">
        <v>0</v>
      </c>
      <c r="J74" s="1616"/>
      <c r="K74" s="1617"/>
      <c r="L74" s="197"/>
      <c r="M74" s="281" t="s">
        <v>11942</v>
      </c>
      <c r="N74" s="197"/>
      <c r="O74" s="283"/>
      <c r="P74" s="197"/>
      <c r="Q74" s="828"/>
      <c r="R74" s="284">
        <f>IF( SUM( T74:AA74 ) = 0, 0, $T$10 )</f>
        <v>0</v>
      </c>
      <c r="S74" s="828"/>
      <c r="T74" s="285">
        <f t="shared" ref="T74:W77" si="49" xml:space="preserve"> IF( ISNUMBER(C74), 0, 1 )</f>
        <v>0</v>
      </c>
      <c r="U74" s="285">
        <f t="shared" si="49"/>
        <v>0</v>
      </c>
      <c r="V74" s="285">
        <f t="shared" si="49"/>
        <v>0</v>
      </c>
      <c r="W74" s="285">
        <f t="shared" si="49"/>
        <v>0</v>
      </c>
      <c r="X74" s="197"/>
      <c r="Y74" s="285">
        <f t="shared" ref="Y74:Z77" si="50" xml:space="preserve"> IF( ISNUMBER(H74), 0, 1 )</f>
        <v>0</v>
      </c>
      <c r="Z74" s="285">
        <f t="shared" si="50"/>
        <v>0</v>
      </c>
      <c r="AA74" s="197"/>
      <c r="AB74" s="197"/>
      <c r="AC74" s="828"/>
      <c r="AD74" s="197"/>
      <c r="AE74" s="396" t="s">
        <v>11794</v>
      </c>
      <c r="AF74" s="958" t="s">
        <v>1729</v>
      </c>
      <c r="AG74" s="904" t="s">
        <v>1757</v>
      </c>
      <c r="AH74" s="904" t="s">
        <v>1785</v>
      </c>
      <c r="AI74" s="904" t="s">
        <v>1813</v>
      </c>
      <c r="AJ74" s="959" t="s">
        <v>1841</v>
      </c>
      <c r="AK74" s="904" t="s">
        <v>1869</v>
      </c>
      <c r="AL74" s="904" t="s">
        <v>1897</v>
      </c>
      <c r="AM74" s="973"/>
      <c r="AN74" s="974"/>
      <c r="AO74" s="961"/>
      <c r="AP74" s="197"/>
      <c r="AQ74" s="197"/>
      <c r="AR74" s="197"/>
      <c r="AS74" s="197"/>
    </row>
    <row r="75" spans="1:45" s="4" customFormat="1" ht="15.75" customHeight="1">
      <c r="A75" s="197"/>
      <c r="B75" s="403" t="s">
        <v>11803</v>
      </c>
      <c r="C75" s="2092">
        <v>0</v>
      </c>
      <c r="D75" s="697">
        <v>0</v>
      </c>
      <c r="E75" s="697">
        <v>0</v>
      </c>
      <c r="F75" s="697">
        <v>0</v>
      </c>
      <c r="G75" s="1597">
        <f>IFERROR(SUM(C75:F75),0)</f>
        <v>0</v>
      </c>
      <c r="H75" s="697">
        <v>0</v>
      </c>
      <c r="I75" s="697">
        <v>0</v>
      </c>
      <c r="J75" s="1618"/>
      <c r="K75" s="1619"/>
      <c r="L75" s="197"/>
      <c r="M75" s="290" t="s">
        <v>11943</v>
      </c>
      <c r="N75" s="197"/>
      <c r="O75" s="291"/>
      <c r="P75" s="197"/>
      <c r="Q75" s="828"/>
      <c r="R75" s="284">
        <f>IF( SUM( T75:AA75 ) = 0, 0, $T$10 )</f>
        <v>0</v>
      </c>
      <c r="S75" s="828"/>
      <c r="T75" s="285">
        <f t="shared" si="49"/>
        <v>0</v>
      </c>
      <c r="U75" s="285">
        <f t="shared" si="49"/>
        <v>0</v>
      </c>
      <c r="V75" s="285">
        <f t="shared" si="49"/>
        <v>0</v>
      </c>
      <c r="W75" s="285">
        <f t="shared" si="49"/>
        <v>0</v>
      </c>
      <c r="X75" s="197"/>
      <c r="Y75" s="285">
        <f t="shared" si="50"/>
        <v>0</v>
      </c>
      <c r="Z75" s="285">
        <f t="shared" si="50"/>
        <v>0</v>
      </c>
      <c r="AA75" s="197"/>
      <c r="AB75" s="197"/>
      <c r="AC75" s="828"/>
      <c r="AD75" s="197"/>
      <c r="AE75" s="403" t="s">
        <v>11803</v>
      </c>
      <c r="AF75" s="962" t="s">
        <v>1730</v>
      </c>
      <c r="AG75" s="905" t="s">
        <v>1758</v>
      </c>
      <c r="AH75" s="905" t="s">
        <v>1786</v>
      </c>
      <c r="AI75" s="905" t="s">
        <v>1814</v>
      </c>
      <c r="AJ75" s="963" t="s">
        <v>1842</v>
      </c>
      <c r="AK75" s="905" t="s">
        <v>1870</v>
      </c>
      <c r="AL75" s="905" t="s">
        <v>1898</v>
      </c>
      <c r="AM75" s="975"/>
      <c r="AN75" s="976"/>
      <c r="AO75" s="961"/>
      <c r="AP75" s="197"/>
      <c r="AQ75" s="197"/>
      <c r="AR75" s="197"/>
      <c r="AS75" s="197"/>
    </row>
    <row r="76" spans="1:45" s="4" customFormat="1" ht="15.75" customHeight="1">
      <c r="A76" s="197"/>
      <c r="B76" s="403" t="s">
        <v>11812</v>
      </c>
      <c r="C76" s="2092">
        <v>0</v>
      </c>
      <c r="D76" s="697">
        <v>0</v>
      </c>
      <c r="E76" s="697">
        <v>0</v>
      </c>
      <c r="F76" s="697">
        <v>0</v>
      </c>
      <c r="G76" s="1597">
        <f>IFERROR(SUM(C76:F76),0)</f>
        <v>0</v>
      </c>
      <c r="H76" s="697">
        <v>0</v>
      </c>
      <c r="I76" s="697">
        <v>0</v>
      </c>
      <c r="J76" s="1618"/>
      <c r="K76" s="1619"/>
      <c r="L76" s="197"/>
      <c r="M76" s="290" t="s">
        <v>11944</v>
      </c>
      <c r="N76" s="197"/>
      <c r="O76" s="291"/>
      <c r="P76" s="197"/>
      <c r="Q76" s="828"/>
      <c r="R76" s="284">
        <f>IF( SUM( T76:AA76 ) = 0, 0, $T$10 )</f>
        <v>0</v>
      </c>
      <c r="S76" s="828"/>
      <c r="T76" s="285">
        <f t="shared" si="49"/>
        <v>0</v>
      </c>
      <c r="U76" s="285">
        <f t="shared" si="49"/>
        <v>0</v>
      </c>
      <c r="V76" s="285">
        <f t="shared" si="49"/>
        <v>0</v>
      </c>
      <c r="W76" s="285">
        <f t="shared" si="49"/>
        <v>0</v>
      </c>
      <c r="X76" s="197"/>
      <c r="Y76" s="285">
        <f t="shared" si="50"/>
        <v>0</v>
      </c>
      <c r="Z76" s="285">
        <f t="shared" si="50"/>
        <v>0</v>
      </c>
      <c r="AA76" s="197"/>
      <c r="AB76" s="197"/>
      <c r="AC76" s="828"/>
      <c r="AD76" s="197"/>
      <c r="AE76" s="403" t="s">
        <v>11812</v>
      </c>
      <c r="AF76" s="962" t="s">
        <v>1731</v>
      </c>
      <c r="AG76" s="905" t="s">
        <v>1759</v>
      </c>
      <c r="AH76" s="905" t="s">
        <v>1787</v>
      </c>
      <c r="AI76" s="905" t="s">
        <v>1815</v>
      </c>
      <c r="AJ76" s="963" t="s">
        <v>1843</v>
      </c>
      <c r="AK76" s="905" t="s">
        <v>1871</v>
      </c>
      <c r="AL76" s="905" t="s">
        <v>1899</v>
      </c>
      <c r="AM76" s="975"/>
      <c r="AN76" s="976"/>
      <c r="AO76" s="961"/>
      <c r="AP76" s="197"/>
      <c r="AQ76" s="197"/>
      <c r="AR76" s="197"/>
      <c r="AS76" s="197"/>
    </row>
    <row r="77" spans="1:45" s="4" customFormat="1" ht="15.75" customHeight="1">
      <c r="A77" s="197"/>
      <c r="B77" s="403" t="s">
        <v>11821</v>
      </c>
      <c r="C77" s="2092">
        <v>0</v>
      </c>
      <c r="D77" s="697">
        <v>0</v>
      </c>
      <c r="E77" s="697">
        <v>0</v>
      </c>
      <c r="F77" s="697">
        <v>0</v>
      </c>
      <c r="G77" s="1597">
        <f>IFERROR(SUM(C77:F77),0)</f>
        <v>0</v>
      </c>
      <c r="H77" s="697">
        <v>0</v>
      </c>
      <c r="I77" s="697">
        <v>0</v>
      </c>
      <c r="J77" s="1618"/>
      <c r="K77" s="1619"/>
      <c r="L77" s="197"/>
      <c r="M77" s="290" t="s">
        <v>11945</v>
      </c>
      <c r="N77" s="197"/>
      <c r="O77" s="291"/>
      <c r="P77" s="197"/>
      <c r="Q77" s="828"/>
      <c r="R77" s="284">
        <f>IF( SUM( T77:AA77 ) = 0, 0, $T$10 )</f>
        <v>0</v>
      </c>
      <c r="S77" s="828"/>
      <c r="T77" s="285">
        <f t="shared" si="49"/>
        <v>0</v>
      </c>
      <c r="U77" s="285">
        <f t="shared" si="49"/>
        <v>0</v>
      </c>
      <c r="V77" s="285">
        <f t="shared" si="49"/>
        <v>0</v>
      </c>
      <c r="W77" s="285">
        <f t="shared" si="49"/>
        <v>0</v>
      </c>
      <c r="X77" s="197"/>
      <c r="Y77" s="285">
        <f t="shared" si="50"/>
        <v>0</v>
      </c>
      <c r="Z77" s="285">
        <f t="shared" si="50"/>
        <v>0</v>
      </c>
      <c r="AA77" s="197"/>
      <c r="AB77" s="197"/>
      <c r="AC77" s="828"/>
      <c r="AD77" s="197"/>
      <c r="AE77" s="403" t="s">
        <v>11821</v>
      </c>
      <c r="AF77" s="962" t="s">
        <v>1732</v>
      </c>
      <c r="AG77" s="905" t="s">
        <v>1760</v>
      </c>
      <c r="AH77" s="905" t="s">
        <v>1788</v>
      </c>
      <c r="AI77" s="905" t="s">
        <v>1816</v>
      </c>
      <c r="AJ77" s="963" t="s">
        <v>1844</v>
      </c>
      <c r="AK77" s="905" t="s">
        <v>1872</v>
      </c>
      <c r="AL77" s="905" t="s">
        <v>1900</v>
      </c>
      <c r="AM77" s="975"/>
      <c r="AN77" s="976"/>
      <c r="AO77" s="961"/>
      <c r="AP77" s="197"/>
      <c r="AQ77" s="197"/>
      <c r="AR77" s="197"/>
      <c r="AS77" s="197"/>
    </row>
    <row r="78" spans="1:45" s="4" customFormat="1" ht="15.75" customHeight="1" thickBot="1">
      <c r="A78" s="197"/>
      <c r="B78" s="406" t="s">
        <v>7445</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11946</v>
      </c>
      <c r="N78" s="197"/>
      <c r="O78" s="302"/>
      <c r="P78" s="197"/>
      <c r="Q78" s="828"/>
      <c r="R78" s="284"/>
      <c r="S78" s="828"/>
      <c r="T78" s="197"/>
      <c r="U78" s="197"/>
      <c r="V78" s="197"/>
      <c r="W78" s="197"/>
      <c r="X78" s="197"/>
      <c r="Y78" s="197"/>
      <c r="Z78" s="197"/>
      <c r="AA78" s="197"/>
      <c r="AB78" s="197"/>
      <c r="AC78" s="828"/>
      <c r="AD78" s="197"/>
      <c r="AE78" s="406" t="s">
        <v>7445</v>
      </c>
      <c r="AF78" s="965" t="s">
        <v>1733</v>
      </c>
      <c r="AG78" s="679" t="s">
        <v>1761</v>
      </c>
      <c r="AH78" s="679" t="s">
        <v>1789</v>
      </c>
      <c r="AI78" s="679" t="s">
        <v>1817</v>
      </c>
      <c r="AJ78" s="679" t="s">
        <v>1845</v>
      </c>
      <c r="AK78" s="679" t="s">
        <v>1873</v>
      </c>
      <c r="AL78" s="679" t="s">
        <v>1901</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9921</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11838</v>
      </c>
      <c r="C80" s="729"/>
      <c r="D80" s="1603"/>
      <c r="E80" s="1603"/>
      <c r="F80" s="1603"/>
      <c r="G80" s="1603"/>
      <c r="H80" s="1603"/>
      <c r="I80" s="1603"/>
      <c r="J80" s="1615"/>
      <c r="K80" s="1615"/>
      <c r="L80" s="197"/>
      <c r="M80" s="242" t="s">
        <v>9921</v>
      </c>
      <c r="N80" s="197"/>
      <c r="O80" s="197"/>
      <c r="P80" s="197"/>
      <c r="Q80" s="828"/>
      <c r="R80" s="284"/>
      <c r="S80" s="828"/>
      <c r="T80" s="197"/>
      <c r="U80" s="197"/>
      <c r="V80" s="197"/>
      <c r="W80" s="197"/>
      <c r="X80" s="197"/>
      <c r="Y80" s="197"/>
      <c r="Z80" s="197"/>
      <c r="AA80" s="197"/>
      <c r="AB80" s="197"/>
      <c r="AC80" s="828"/>
      <c r="AD80" s="197"/>
      <c r="AE80" s="393" t="s">
        <v>11838</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11839</v>
      </c>
      <c r="C81" s="2091">
        <v>0</v>
      </c>
      <c r="D81" s="694">
        <v>0</v>
      </c>
      <c r="E81" s="694">
        <v>0</v>
      </c>
      <c r="F81" s="694">
        <v>0</v>
      </c>
      <c r="G81" s="1595">
        <f t="shared" ref="G81:G88" si="51">IFERROR(SUM(C81:F81),0)</f>
        <v>0</v>
      </c>
      <c r="H81" s="694">
        <v>0</v>
      </c>
      <c r="I81" s="694">
        <v>0</v>
      </c>
      <c r="J81" s="1616"/>
      <c r="K81" s="1617"/>
      <c r="L81" s="197"/>
      <c r="M81" s="281" t="s">
        <v>11947</v>
      </c>
      <c r="N81" s="197"/>
      <c r="O81" s="283"/>
      <c r="P81" s="197"/>
      <c r="Q81" s="828"/>
      <c r="R81" s="284">
        <f t="shared" ref="R81:R87" si="52">IF( SUM( T81:AA81 ) = 0, 0, $T$10 )</f>
        <v>0</v>
      </c>
      <c r="S81" s="828"/>
      <c r="T81" s="285">
        <f t="shared" ref="T81:W87" si="53" xml:space="preserve"> IF( ISNUMBER(C81), 0, 1 )</f>
        <v>0</v>
      </c>
      <c r="U81" s="285">
        <f t="shared" si="53"/>
        <v>0</v>
      </c>
      <c r="V81" s="285">
        <f t="shared" si="53"/>
        <v>0</v>
      </c>
      <c r="W81" s="285">
        <f t="shared" si="53"/>
        <v>0</v>
      </c>
      <c r="X81" s="197"/>
      <c r="Y81" s="285">
        <f t="shared" ref="Y81:Z87" si="54" xml:space="preserve"> IF( ISNUMBER(H81), 0, 1 )</f>
        <v>0</v>
      </c>
      <c r="Z81" s="285">
        <f t="shared" si="54"/>
        <v>0</v>
      </c>
      <c r="AA81" s="197"/>
      <c r="AB81" s="197"/>
      <c r="AC81" s="828"/>
      <c r="AD81" s="197"/>
      <c r="AE81" s="396" t="s">
        <v>11839</v>
      </c>
      <c r="AF81" s="958" t="s">
        <v>1734</v>
      </c>
      <c r="AG81" s="904" t="s">
        <v>1762</v>
      </c>
      <c r="AH81" s="904" t="s">
        <v>1790</v>
      </c>
      <c r="AI81" s="904" t="s">
        <v>1818</v>
      </c>
      <c r="AJ81" s="959" t="s">
        <v>1846</v>
      </c>
      <c r="AK81" s="904" t="s">
        <v>1874</v>
      </c>
      <c r="AL81" s="904" t="s">
        <v>1902</v>
      </c>
      <c r="AM81" s="973"/>
      <c r="AN81" s="974"/>
      <c r="AO81" s="961"/>
      <c r="AP81" s="197"/>
      <c r="AQ81" s="197"/>
      <c r="AR81" s="197"/>
      <c r="AS81" s="197"/>
    </row>
    <row r="82" spans="1:45" s="4" customFormat="1" ht="15.75" customHeight="1">
      <c r="A82" s="197"/>
      <c r="B82" s="403" t="s">
        <v>11848</v>
      </c>
      <c r="C82" s="2092">
        <v>0</v>
      </c>
      <c r="D82" s="697">
        <v>0</v>
      </c>
      <c r="E82" s="697">
        <v>0</v>
      </c>
      <c r="F82" s="697">
        <v>0</v>
      </c>
      <c r="G82" s="1597">
        <f t="shared" si="51"/>
        <v>0</v>
      </c>
      <c r="H82" s="697">
        <v>0</v>
      </c>
      <c r="I82" s="697">
        <v>0</v>
      </c>
      <c r="J82" s="1618"/>
      <c r="K82" s="1619"/>
      <c r="L82" s="197"/>
      <c r="M82" s="290" t="s">
        <v>11948</v>
      </c>
      <c r="N82" s="197"/>
      <c r="O82" s="291"/>
      <c r="P82" s="197"/>
      <c r="Q82" s="828"/>
      <c r="R82" s="284">
        <f t="shared" si="52"/>
        <v>0</v>
      </c>
      <c r="S82" s="828"/>
      <c r="T82" s="285">
        <f t="shared" si="53"/>
        <v>0</v>
      </c>
      <c r="U82" s="285">
        <f t="shared" si="53"/>
        <v>0</v>
      </c>
      <c r="V82" s="285">
        <f t="shared" si="53"/>
        <v>0</v>
      </c>
      <c r="W82" s="285">
        <f t="shared" si="53"/>
        <v>0</v>
      </c>
      <c r="X82" s="197"/>
      <c r="Y82" s="285">
        <f t="shared" si="54"/>
        <v>0</v>
      </c>
      <c r="Z82" s="285">
        <f t="shared" si="54"/>
        <v>0</v>
      </c>
      <c r="AA82" s="197"/>
      <c r="AB82" s="197"/>
      <c r="AC82" s="828"/>
      <c r="AD82" s="197"/>
      <c r="AE82" s="403" t="s">
        <v>11848</v>
      </c>
      <c r="AF82" s="962" t="s">
        <v>1735</v>
      </c>
      <c r="AG82" s="905" t="s">
        <v>1763</v>
      </c>
      <c r="AH82" s="905" t="s">
        <v>1791</v>
      </c>
      <c r="AI82" s="905" t="s">
        <v>1819</v>
      </c>
      <c r="AJ82" s="963" t="s">
        <v>1847</v>
      </c>
      <c r="AK82" s="905" t="s">
        <v>1875</v>
      </c>
      <c r="AL82" s="905" t="s">
        <v>1903</v>
      </c>
      <c r="AM82" s="975"/>
      <c r="AN82" s="976"/>
      <c r="AO82" s="961"/>
      <c r="AP82" s="197"/>
      <c r="AQ82" s="197"/>
      <c r="AR82" s="197"/>
      <c r="AS82" s="197"/>
    </row>
    <row r="83" spans="1:45" s="4" customFormat="1" ht="15.75" customHeight="1">
      <c r="A83" s="197"/>
      <c r="B83" s="403" t="s">
        <v>11857</v>
      </c>
      <c r="C83" s="2092">
        <v>0</v>
      </c>
      <c r="D83" s="697">
        <v>0</v>
      </c>
      <c r="E83" s="697">
        <v>0</v>
      </c>
      <c r="F83" s="697">
        <v>0</v>
      </c>
      <c r="G83" s="1597">
        <f t="shared" si="51"/>
        <v>0</v>
      </c>
      <c r="H83" s="697">
        <v>0</v>
      </c>
      <c r="I83" s="697">
        <v>0</v>
      </c>
      <c r="J83" s="1618"/>
      <c r="K83" s="1619"/>
      <c r="L83" s="197"/>
      <c r="M83" s="290" t="s">
        <v>11949</v>
      </c>
      <c r="N83" s="197"/>
      <c r="O83" s="291"/>
      <c r="P83" s="197"/>
      <c r="Q83" s="828"/>
      <c r="R83" s="284">
        <f t="shared" si="52"/>
        <v>0</v>
      </c>
      <c r="S83" s="828"/>
      <c r="T83" s="285">
        <f t="shared" si="53"/>
        <v>0</v>
      </c>
      <c r="U83" s="285">
        <f t="shared" si="53"/>
        <v>0</v>
      </c>
      <c r="V83" s="285">
        <f t="shared" si="53"/>
        <v>0</v>
      </c>
      <c r="W83" s="285">
        <f t="shared" si="53"/>
        <v>0</v>
      </c>
      <c r="X83" s="197"/>
      <c r="Y83" s="285">
        <f t="shared" si="54"/>
        <v>0</v>
      </c>
      <c r="Z83" s="285">
        <f t="shared" si="54"/>
        <v>0</v>
      </c>
      <c r="AA83" s="197"/>
      <c r="AB83" s="197"/>
      <c r="AC83" s="828"/>
      <c r="AD83" s="197"/>
      <c r="AE83" s="403" t="s">
        <v>11857</v>
      </c>
      <c r="AF83" s="962" t="s">
        <v>1736</v>
      </c>
      <c r="AG83" s="905" t="s">
        <v>1764</v>
      </c>
      <c r="AH83" s="905" t="s">
        <v>1792</v>
      </c>
      <c r="AI83" s="905" t="s">
        <v>1820</v>
      </c>
      <c r="AJ83" s="963" t="s">
        <v>1848</v>
      </c>
      <c r="AK83" s="905" t="s">
        <v>1876</v>
      </c>
      <c r="AL83" s="905" t="s">
        <v>1904</v>
      </c>
      <c r="AM83" s="975"/>
      <c r="AN83" s="976"/>
      <c r="AO83" s="961"/>
      <c r="AP83" s="197"/>
      <c r="AQ83" s="197"/>
      <c r="AR83" s="197"/>
      <c r="AS83" s="197"/>
    </row>
    <row r="84" spans="1:45" s="4" customFormat="1" ht="15.75" customHeight="1">
      <c r="A84" s="197"/>
      <c r="B84" s="403" t="s">
        <v>11866</v>
      </c>
      <c r="C84" s="2092">
        <v>0</v>
      </c>
      <c r="D84" s="697">
        <v>0</v>
      </c>
      <c r="E84" s="697">
        <v>0</v>
      </c>
      <c r="F84" s="697">
        <v>0</v>
      </c>
      <c r="G84" s="1597">
        <f t="shared" si="51"/>
        <v>0</v>
      </c>
      <c r="H84" s="697">
        <v>0</v>
      </c>
      <c r="I84" s="697">
        <v>0</v>
      </c>
      <c r="J84" s="1618"/>
      <c r="K84" s="1619"/>
      <c r="L84" s="197"/>
      <c r="M84" s="290" t="s">
        <v>11950</v>
      </c>
      <c r="N84" s="197"/>
      <c r="O84" s="291"/>
      <c r="P84" s="200"/>
      <c r="Q84" s="935"/>
      <c r="R84" s="284">
        <f t="shared" si="52"/>
        <v>0</v>
      </c>
      <c r="S84" s="828"/>
      <c r="T84" s="285">
        <f t="shared" si="53"/>
        <v>0</v>
      </c>
      <c r="U84" s="285">
        <f t="shared" si="53"/>
        <v>0</v>
      </c>
      <c r="V84" s="285">
        <f t="shared" si="53"/>
        <v>0</v>
      </c>
      <c r="W84" s="285">
        <f t="shared" si="53"/>
        <v>0</v>
      </c>
      <c r="X84" s="197"/>
      <c r="Y84" s="285">
        <f t="shared" si="54"/>
        <v>0</v>
      </c>
      <c r="Z84" s="285">
        <f t="shared" si="54"/>
        <v>0</v>
      </c>
      <c r="AA84" s="197"/>
      <c r="AB84" s="197"/>
      <c r="AC84" s="828"/>
      <c r="AD84" s="197"/>
      <c r="AE84" s="403" t="s">
        <v>11866</v>
      </c>
      <c r="AF84" s="962" t="s">
        <v>1737</v>
      </c>
      <c r="AG84" s="905" t="s">
        <v>1765</v>
      </c>
      <c r="AH84" s="905" t="s">
        <v>1793</v>
      </c>
      <c r="AI84" s="905" t="s">
        <v>1821</v>
      </c>
      <c r="AJ84" s="963" t="s">
        <v>1849</v>
      </c>
      <c r="AK84" s="905" t="s">
        <v>1877</v>
      </c>
      <c r="AL84" s="905" t="s">
        <v>1905</v>
      </c>
      <c r="AM84" s="975"/>
      <c r="AN84" s="976"/>
      <c r="AO84" s="961"/>
      <c r="AP84" s="197"/>
      <c r="AQ84" s="197"/>
      <c r="AR84" s="197"/>
      <c r="AS84" s="197"/>
    </row>
    <row r="85" spans="1:45" s="4" customFormat="1" ht="15.75" customHeight="1">
      <c r="A85" s="197"/>
      <c r="B85" s="403" t="s">
        <v>11875</v>
      </c>
      <c r="C85" s="2092">
        <v>0</v>
      </c>
      <c r="D85" s="697">
        <v>0</v>
      </c>
      <c r="E85" s="697">
        <v>0</v>
      </c>
      <c r="F85" s="697">
        <v>0</v>
      </c>
      <c r="G85" s="1597">
        <f t="shared" si="51"/>
        <v>0</v>
      </c>
      <c r="H85" s="697">
        <v>0</v>
      </c>
      <c r="I85" s="697">
        <v>0</v>
      </c>
      <c r="J85" s="1618"/>
      <c r="K85" s="1619"/>
      <c r="L85" s="197"/>
      <c r="M85" s="290" t="s">
        <v>11951</v>
      </c>
      <c r="N85" s="197"/>
      <c r="O85" s="291"/>
      <c r="P85" s="200"/>
      <c r="Q85" s="935"/>
      <c r="R85" s="284">
        <f t="shared" si="52"/>
        <v>0</v>
      </c>
      <c r="S85" s="828"/>
      <c r="T85" s="285">
        <f t="shared" si="53"/>
        <v>0</v>
      </c>
      <c r="U85" s="285">
        <f t="shared" si="53"/>
        <v>0</v>
      </c>
      <c r="V85" s="285">
        <f t="shared" si="53"/>
        <v>0</v>
      </c>
      <c r="W85" s="285">
        <f t="shared" si="53"/>
        <v>0</v>
      </c>
      <c r="X85" s="197"/>
      <c r="Y85" s="285">
        <f t="shared" si="54"/>
        <v>0</v>
      </c>
      <c r="Z85" s="285">
        <f t="shared" si="54"/>
        <v>0</v>
      </c>
      <c r="AA85" s="197"/>
      <c r="AB85" s="197"/>
      <c r="AC85" s="828"/>
      <c r="AD85" s="197"/>
      <c r="AE85" s="403" t="s">
        <v>11875</v>
      </c>
      <c r="AF85" s="962" t="s">
        <v>1738</v>
      </c>
      <c r="AG85" s="905" t="s">
        <v>1766</v>
      </c>
      <c r="AH85" s="905" t="s">
        <v>1794</v>
      </c>
      <c r="AI85" s="905" t="s">
        <v>1822</v>
      </c>
      <c r="AJ85" s="963" t="s">
        <v>1850</v>
      </c>
      <c r="AK85" s="905" t="s">
        <v>1878</v>
      </c>
      <c r="AL85" s="905" t="s">
        <v>1906</v>
      </c>
      <c r="AM85" s="975"/>
      <c r="AN85" s="976"/>
      <c r="AO85" s="961"/>
      <c r="AP85" s="197"/>
      <c r="AQ85" s="197"/>
      <c r="AR85" s="197"/>
      <c r="AS85" s="197"/>
    </row>
    <row r="86" spans="1:45" s="4" customFormat="1" ht="15.75" customHeight="1">
      <c r="A86" s="197"/>
      <c r="B86" s="403" t="s">
        <v>11884</v>
      </c>
      <c r="C86" s="2092">
        <v>0</v>
      </c>
      <c r="D86" s="697">
        <v>0</v>
      </c>
      <c r="E86" s="697">
        <v>0</v>
      </c>
      <c r="F86" s="697">
        <v>0</v>
      </c>
      <c r="G86" s="1597">
        <f t="shared" si="51"/>
        <v>0</v>
      </c>
      <c r="H86" s="697">
        <v>0</v>
      </c>
      <c r="I86" s="697">
        <v>0</v>
      </c>
      <c r="J86" s="1618"/>
      <c r="K86" s="1619"/>
      <c r="L86" s="197"/>
      <c r="M86" s="290" t="s">
        <v>11952</v>
      </c>
      <c r="N86" s="197"/>
      <c r="O86" s="291"/>
      <c r="P86" s="200"/>
      <c r="Q86" s="935"/>
      <c r="R86" s="284">
        <f t="shared" si="52"/>
        <v>0</v>
      </c>
      <c r="S86" s="828"/>
      <c r="T86" s="285">
        <f t="shared" si="53"/>
        <v>0</v>
      </c>
      <c r="U86" s="285">
        <f t="shared" si="53"/>
        <v>0</v>
      </c>
      <c r="V86" s="285">
        <f t="shared" si="53"/>
        <v>0</v>
      </c>
      <c r="W86" s="285">
        <f t="shared" si="53"/>
        <v>0</v>
      </c>
      <c r="X86" s="197"/>
      <c r="Y86" s="285">
        <f t="shared" si="54"/>
        <v>0</v>
      </c>
      <c r="Z86" s="285">
        <f t="shared" si="54"/>
        <v>0</v>
      </c>
      <c r="AA86" s="197"/>
      <c r="AB86" s="197"/>
      <c r="AC86" s="828"/>
      <c r="AD86" s="197"/>
      <c r="AE86" s="403" t="s">
        <v>11884</v>
      </c>
      <c r="AF86" s="962" t="s">
        <v>1739</v>
      </c>
      <c r="AG86" s="905" t="s">
        <v>1767</v>
      </c>
      <c r="AH86" s="905" t="s">
        <v>1795</v>
      </c>
      <c r="AI86" s="905" t="s">
        <v>1823</v>
      </c>
      <c r="AJ86" s="963" t="s">
        <v>1851</v>
      </c>
      <c r="AK86" s="905" t="s">
        <v>1879</v>
      </c>
      <c r="AL86" s="905" t="s">
        <v>1907</v>
      </c>
      <c r="AM86" s="975"/>
      <c r="AN86" s="976"/>
      <c r="AO86" s="961"/>
      <c r="AP86" s="197"/>
      <c r="AQ86" s="197"/>
      <c r="AR86" s="197"/>
      <c r="AS86" s="197"/>
    </row>
    <row r="87" spans="1:45" s="4" customFormat="1" ht="15.75" customHeight="1">
      <c r="A87" s="197"/>
      <c r="B87" s="403" t="s">
        <v>11893</v>
      </c>
      <c r="C87" s="2092">
        <v>0</v>
      </c>
      <c r="D87" s="697">
        <v>0</v>
      </c>
      <c r="E87" s="697">
        <v>0</v>
      </c>
      <c r="F87" s="697">
        <v>0</v>
      </c>
      <c r="G87" s="1597">
        <f t="shared" si="51"/>
        <v>0</v>
      </c>
      <c r="H87" s="697">
        <v>0</v>
      </c>
      <c r="I87" s="697">
        <v>0</v>
      </c>
      <c r="J87" s="1618"/>
      <c r="K87" s="1619"/>
      <c r="L87" s="197"/>
      <c r="M87" s="290" t="s">
        <v>11953</v>
      </c>
      <c r="N87" s="197"/>
      <c r="O87" s="291"/>
      <c r="P87" s="197"/>
      <c r="Q87" s="828"/>
      <c r="R87" s="284">
        <f t="shared" si="52"/>
        <v>0</v>
      </c>
      <c r="S87" s="828"/>
      <c r="T87" s="285">
        <f t="shared" si="53"/>
        <v>0</v>
      </c>
      <c r="U87" s="285">
        <f t="shared" si="53"/>
        <v>0</v>
      </c>
      <c r="V87" s="285">
        <f t="shared" si="53"/>
        <v>0</v>
      </c>
      <c r="W87" s="285">
        <f t="shared" si="53"/>
        <v>0</v>
      </c>
      <c r="X87" s="197"/>
      <c r="Y87" s="285">
        <f t="shared" si="54"/>
        <v>0</v>
      </c>
      <c r="Z87" s="285">
        <f t="shared" si="54"/>
        <v>0</v>
      </c>
      <c r="AA87" s="197"/>
      <c r="AB87" s="197"/>
      <c r="AC87" s="828"/>
      <c r="AD87" s="197"/>
      <c r="AE87" s="403" t="s">
        <v>11893</v>
      </c>
      <c r="AF87" s="962" t="s">
        <v>1740</v>
      </c>
      <c r="AG87" s="905" t="s">
        <v>1768</v>
      </c>
      <c r="AH87" s="905" t="s">
        <v>1796</v>
      </c>
      <c r="AI87" s="905" t="s">
        <v>1824</v>
      </c>
      <c r="AJ87" s="963" t="s">
        <v>1852</v>
      </c>
      <c r="AK87" s="905" t="s">
        <v>1880</v>
      </c>
      <c r="AL87" s="905" t="s">
        <v>1908</v>
      </c>
      <c r="AM87" s="975"/>
      <c r="AN87" s="976"/>
      <c r="AO87" s="961"/>
      <c r="AP87" s="197"/>
      <c r="AQ87" s="197"/>
      <c r="AR87" s="197"/>
      <c r="AS87" s="197"/>
    </row>
    <row r="88" spans="1:45" s="4" customFormat="1" ht="15.75" customHeight="1" thickBot="1">
      <c r="A88" s="197"/>
      <c r="B88" s="406" t="s">
        <v>7445</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11954</v>
      </c>
      <c r="N88" s="197"/>
      <c r="O88" s="302"/>
      <c r="P88" s="197"/>
      <c r="Q88" s="828"/>
      <c r="R88" s="284"/>
      <c r="S88" s="828"/>
      <c r="T88" s="197"/>
      <c r="U88" s="197"/>
      <c r="V88" s="197"/>
      <c r="W88" s="197"/>
      <c r="X88" s="197"/>
      <c r="Y88" s="197"/>
      <c r="Z88" s="197"/>
      <c r="AA88" s="197"/>
      <c r="AB88" s="197"/>
      <c r="AC88" s="828"/>
      <c r="AD88" s="197"/>
      <c r="AE88" s="406" t="s">
        <v>7445</v>
      </c>
      <c r="AF88" s="965" t="s">
        <v>1741</v>
      </c>
      <c r="AG88" s="679" t="s">
        <v>1769</v>
      </c>
      <c r="AH88" s="679" t="s">
        <v>1797</v>
      </c>
      <c r="AI88" s="679" t="s">
        <v>1825</v>
      </c>
      <c r="AJ88" s="679" t="s">
        <v>1853</v>
      </c>
      <c r="AK88" s="679" t="s">
        <v>1881</v>
      </c>
      <c r="AL88" s="679" t="s">
        <v>1909</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9921</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11910</v>
      </c>
      <c r="C90" s="729"/>
      <c r="D90" s="1603"/>
      <c r="E90" s="1603"/>
      <c r="F90" s="1603"/>
      <c r="G90" s="1603"/>
      <c r="H90" s="1603"/>
      <c r="I90" s="1603"/>
      <c r="J90" s="1615"/>
      <c r="K90" s="1615"/>
      <c r="L90" s="197"/>
      <c r="M90" s="260" t="s">
        <v>9921</v>
      </c>
      <c r="N90" s="197"/>
      <c r="O90" s="197"/>
      <c r="P90" s="197"/>
      <c r="Q90" s="828"/>
      <c r="R90" s="284"/>
      <c r="S90" s="828"/>
      <c r="T90" s="197"/>
      <c r="U90" s="197"/>
      <c r="V90" s="197"/>
      <c r="W90" s="197"/>
      <c r="X90" s="197"/>
      <c r="Y90" s="197"/>
      <c r="Z90" s="197"/>
      <c r="AA90" s="197"/>
      <c r="AB90" s="197"/>
      <c r="AC90" s="828"/>
      <c r="AD90" s="197"/>
      <c r="AE90" s="393" t="s">
        <v>11910</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11910</v>
      </c>
      <c r="C91" s="701">
        <v>0</v>
      </c>
      <c r="D91" s="701">
        <v>0</v>
      </c>
      <c r="E91" s="701">
        <v>0</v>
      </c>
      <c r="F91" s="701">
        <v>0</v>
      </c>
      <c r="G91" s="1586">
        <f>IFERROR(SUM(C91:F91),0)</f>
        <v>0</v>
      </c>
      <c r="H91" s="701">
        <v>0</v>
      </c>
      <c r="I91" s="701">
        <v>0</v>
      </c>
      <c r="J91" s="1620"/>
      <c r="K91" s="1621"/>
      <c r="L91" s="197"/>
      <c r="M91" s="374" t="s">
        <v>11955</v>
      </c>
      <c r="N91" s="197"/>
      <c r="O91" s="982"/>
      <c r="P91" s="389"/>
      <c r="Q91" s="825"/>
      <c r="R91" s="284">
        <f>IF( SUM( T91:AA91 ) = 0, 0, $T$10 )</f>
        <v>0</v>
      </c>
      <c r="S91" s="825"/>
      <c r="T91" s="285">
        <f xml:space="preserve"> IF( ISNUMBER(C91), 0, 1 )</f>
        <v>0</v>
      </c>
      <c r="U91" s="285">
        <f xml:space="preserve"> IF( ISNUMBER(D91), 0, 1 )</f>
        <v>0</v>
      </c>
      <c r="V91" s="285">
        <f xml:space="preserve"> IF( ISNUMBER(E91), 0, 1 )</f>
        <v>0</v>
      </c>
      <c r="W91" s="285">
        <f xml:space="preserve"> IF( ISNUMBER(F91), 0, 1 )</f>
        <v>0</v>
      </c>
      <c r="X91" s="197"/>
      <c r="Y91" s="285">
        <f xml:space="preserve"> IF( ISNUMBER(H91), 0, 1 )</f>
        <v>0</v>
      </c>
      <c r="Z91" s="285">
        <f xml:space="preserve"> IF( ISNUMBER(I91), 0, 1 )</f>
        <v>0</v>
      </c>
      <c r="AA91" s="197"/>
      <c r="AB91" s="197"/>
      <c r="AC91" s="825"/>
      <c r="AD91" s="389"/>
      <c r="AE91" s="420" t="s">
        <v>11910</v>
      </c>
      <c r="AF91" s="978" t="s">
        <v>1742</v>
      </c>
      <c r="AG91" s="978" t="s">
        <v>1770</v>
      </c>
      <c r="AH91" s="978" t="s">
        <v>1798</v>
      </c>
      <c r="AI91" s="978" t="s">
        <v>1826</v>
      </c>
      <c r="AJ91" s="979" t="s">
        <v>1854</v>
      </c>
      <c r="AK91" s="978" t="s">
        <v>1882</v>
      </c>
      <c r="AL91" s="978" t="s">
        <v>1910</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9921</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11919</v>
      </c>
      <c r="C93" s="2038">
        <f>IFERROR(SUM(C64,C71,C78,C88,C91), 0)</f>
        <v>0</v>
      </c>
      <c r="D93" s="1586">
        <f>IFERROR(SUM(D64,D71,D78,D88,D91), 0)</f>
        <v>0</v>
      </c>
      <c r="E93" s="1586">
        <f>IFERROR(SUM(E64,E71,E78,E88,E91), 0)</f>
        <v>0</v>
      </c>
      <c r="F93" s="1586">
        <f>IFERROR(SUM(F64,F71,F78,F88,F91), 0)</f>
        <v>0</v>
      </c>
      <c r="G93" s="1586">
        <f>IFERROR(SUM(C93:F93),0)</f>
        <v>0</v>
      </c>
      <c r="H93" s="1586">
        <f>IFERROR(SUM(H64,H71,H78,H88,H91), 0)</f>
        <v>0</v>
      </c>
      <c r="I93" s="1586">
        <f>IFERROR(SUM(I64,I71,I78,I88,I91), 0)</f>
        <v>0</v>
      </c>
      <c r="J93" s="1622"/>
      <c r="K93" s="1623"/>
      <c r="L93" s="389"/>
      <c r="M93" s="374" t="s">
        <v>11956</v>
      </c>
      <c r="N93" s="197"/>
      <c r="O93" s="982"/>
      <c r="P93" s="389"/>
      <c r="Q93" s="825"/>
      <c r="R93" s="284"/>
      <c r="S93" s="825"/>
      <c r="T93" s="197"/>
      <c r="U93" s="197"/>
      <c r="V93" s="197"/>
      <c r="W93" s="197"/>
      <c r="X93" s="197"/>
      <c r="Y93" s="197"/>
      <c r="Z93" s="197"/>
      <c r="AA93" s="197"/>
      <c r="AB93" s="197"/>
      <c r="AC93" s="825"/>
      <c r="AD93" s="389"/>
      <c r="AE93" s="420" t="s">
        <v>11919</v>
      </c>
      <c r="AF93" s="985" t="s">
        <v>1743</v>
      </c>
      <c r="AG93" s="372" t="s">
        <v>1771</v>
      </c>
      <c r="AH93" s="372" t="s">
        <v>1799</v>
      </c>
      <c r="AI93" s="372" t="s">
        <v>1827</v>
      </c>
      <c r="AJ93" s="372" t="s">
        <v>1855</v>
      </c>
      <c r="AK93" s="372" t="s">
        <v>1883</v>
      </c>
      <c r="AL93" s="372" t="s">
        <v>1911</v>
      </c>
      <c r="AM93" s="986"/>
      <c r="AN93" s="987"/>
      <c r="AO93" s="961"/>
      <c r="AP93" s="389"/>
      <c r="AQ93" s="389"/>
      <c r="AR93" s="389"/>
      <c r="AS93" s="389"/>
    </row>
    <row r="94" spans="1:45" s="4" customFormat="1" ht="17.25"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5.95" customHeight="1" thickTop="1">
      <c r="A95" s="197"/>
      <c r="B95" s="2711" t="s">
        <v>7224</v>
      </c>
      <c r="C95" s="2673" t="s">
        <v>11957</v>
      </c>
      <c r="D95" s="2673"/>
      <c r="E95" s="2673"/>
      <c r="F95" s="2673"/>
      <c r="G95" s="2673"/>
      <c r="H95" s="2673"/>
      <c r="I95" s="2673"/>
      <c r="J95" s="2673"/>
      <c r="K95" s="2675"/>
      <c r="L95" s="651"/>
      <c r="M95" s="197"/>
      <c r="N95" s="197"/>
      <c r="O95" s="197"/>
      <c r="P95" s="651"/>
      <c r="Q95" s="907"/>
      <c r="R95" s="284"/>
      <c r="S95" s="907"/>
      <c r="T95" s="651"/>
      <c r="U95" s="651"/>
      <c r="V95" s="651"/>
      <c r="W95" s="651"/>
      <c r="X95" s="651"/>
      <c r="Y95" s="651"/>
      <c r="Z95" s="651"/>
      <c r="AA95" s="651"/>
      <c r="AB95" s="651"/>
      <c r="AC95" s="907"/>
      <c r="AD95" s="651"/>
      <c r="AE95" s="2711" t="s">
        <v>7224</v>
      </c>
      <c r="AF95" s="2673" t="s">
        <v>11957</v>
      </c>
      <c r="AG95" s="2673"/>
      <c r="AH95" s="2673"/>
      <c r="AI95" s="2673"/>
      <c r="AJ95" s="2673"/>
      <c r="AK95" s="2673"/>
      <c r="AL95" s="2673"/>
      <c r="AM95" s="2673"/>
      <c r="AN95" s="2675"/>
      <c r="AO95" s="317"/>
      <c r="AP95" s="197"/>
      <c r="AQ95" s="197"/>
      <c r="AR95" s="197"/>
      <c r="AS95" s="197"/>
    </row>
    <row r="96" spans="1:45" s="4" customFormat="1">
      <c r="A96" s="197"/>
      <c r="B96" s="2795"/>
      <c r="C96" s="2796" t="s">
        <v>11650</v>
      </c>
      <c r="D96" s="2796"/>
      <c r="E96" s="2796"/>
      <c r="F96" s="2796"/>
      <c r="G96" s="2796" t="s">
        <v>11651</v>
      </c>
      <c r="H96" s="2796"/>
      <c r="I96" s="2796" t="s">
        <v>11652</v>
      </c>
      <c r="J96" s="2796" t="s">
        <v>11653</v>
      </c>
      <c r="K96" s="2837"/>
      <c r="L96" s="197"/>
      <c r="M96" s="197"/>
      <c r="N96" s="197"/>
      <c r="O96" s="197"/>
      <c r="P96" s="197"/>
      <c r="Q96" s="828"/>
      <c r="R96" s="284"/>
      <c r="S96" s="828"/>
      <c r="T96" s="197"/>
      <c r="U96" s="197"/>
      <c r="V96" s="197"/>
      <c r="W96" s="197"/>
      <c r="X96" s="197"/>
      <c r="Y96" s="197"/>
      <c r="Z96" s="197"/>
      <c r="AA96" s="197"/>
      <c r="AB96" s="197"/>
      <c r="AC96" s="828"/>
      <c r="AD96" s="197"/>
      <c r="AE96" s="2795"/>
      <c r="AF96" s="2796" t="s">
        <v>11650</v>
      </c>
      <c r="AG96" s="2796"/>
      <c r="AH96" s="2796"/>
      <c r="AI96" s="2796"/>
      <c r="AJ96" s="2796" t="s">
        <v>11651</v>
      </c>
      <c r="AK96" s="2796"/>
      <c r="AL96" s="2796" t="s">
        <v>11652</v>
      </c>
      <c r="AM96" s="2796" t="s">
        <v>11653</v>
      </c>
      <c r="AN96" s="2837"/>
      <c r="AO96" s="317"/>
      <c r="AP96" s="197"/>
      <c r="AQ96" s="197"/>
      <c r="AR96" s="197"/>
      <c r="AS96" s="197"/>
    </row>
    <row r="97" spans="1:45" s="4" customFormat="1" ht="30">
      <c r="A97" s="197"/>
      <c r="B97" s="2795"/>
      <c r="C97" s="427" t="s">
        <v>11654</v>
      </c>
      <c r="D97" s="427" t="s">
        <v>11655</v>
      </c>
      <c r="E97" s="427" t="s">
        <v>11656</v>
      </c>
      <c r="F97" s="427" t="s">
        <v>11657</v>
      </c>
      <c r="G97" s="427" t="s">
        <v>11658</v>
      </c>
      <c r="H97" s="427" t="s">
        <v>11659</v>
      </c>
      <c r="I97" s="2796"/>
      <c r="J97" s="427" t="s">
        <v>11660</v>
      </c>
      <c r="K97" s="428" t="s">
        <v>11661</v>
      </c>
      <c r="L97" s="197"/>
      <c r="M97" s="197"/>
      <c r="N97" s="197"/>
      <c r="O97" s="197"/>
      <c r="P97" s="197"/>
      <c r="Q97" s="828"/>
      <c r="R97" s="284"/>
      <c r="S97" s="828"/>
      <c r="T97" s="197"/>
      <c r="U97" s="197"/>
      <c r="V97" s="197"/>
      <c r="W97" s="197"/>
      <c r="X97" s="197"/>
      <c r="Y97" s="197"/>
      <c r="Z97" s="197"/>
      <c r="AA97" s="197"/>
      <c r="AB97" s="197"/>
      <c r="AC97" s="828"/>
      <c r="AD97" s="197"/>
      <c r="AE97" s="2795"/>
      <c r="AF97" s="427" t="s">
        <v>11654</v>
      </c>
      <c r="AG97" s="427" t="s">
        <v>11655</v>
      </c>
      <c r="AH97" s="427" t="s">
        <v>11656</v>
      </c>
      <c r="AI97" s="427" t="s">
        <v>11657</v>
      </c>
      <c r="AJ97" s="427" t="s">
        <v>11658</v>
      </c>
      <c r="AK97" s="427" t="s">
        <v>11659</v>
      </c>
      <c r="AL97" s="2796"/>
      <c r="AM97" s="427" t="s">
        <v>11660</v>
      </c>
      <c r="AN97" s="428" t="s">
        <v>11661</v>
      </c>
      <c r="AO97" s="317"/>
      <c r="AP97" s="197"/>
      <c r="AQ97" s="197"/>
      <c r="AR97" s="197"/>
      <c r="AS97" s="197"/>
    </row>
    <row r="98" spans="1:45" s="4" customFormat="1" ht="15.95" customHeight="1">
      <c r="A98" s="197"/>
      <c r="B98" s="429" t="s">
        <v>7225</v>
      </c>
      <c r="C98" s="427" t="s">
        <v>681</v>
      </c>
      <c r="D98" s="427" t="s">
        <v>681</v>
      </c>
      <c r="E98" s="427" t="s">
        <v>681</v>
      </c>
      <c r="F98" s="427" t="s">
        <v>681</v>
      </c>
      <c r="G98" s="427" t="s">
        <v>681</v>
      </c>
      <c r="H98" s="427" t="s">
        <v>681</v>
      </c>
      <c r="I98" s="427" t="s">
        <v>681</v>
      </c>
      <c r="J98" s="427" t="s">
        <v>3137</v>
      </c>
      <c r="K98" s="428" t="s">
        <v>3137</v>
      </c>
      <c r="L98" s="197"/>
      <c r="M98" s="197"/>
      <c r="N98" s="197"/>
      <c r="O98" s="197"/>
      <c r="P98" s="197"/>
      <c r="Q98" s="828"/>
      <c r="R98" s="284"/>
      <c r="S98" s="828"/>
      <c r="T98" s="197"/>
      <c r="U98" s="197"/>
      <c r="V98" s="197"/>
      <c r="W98" s="197"/>
      <c r="X98" s="197"/>
      <c r="Y98" s="197"/>
      <c r="Z98" s="197"/>
      <c r="AA98" s="197"/>
      <c r="AB98" s="197"/>
      <c r="AC98" s="828"/>
      <c r="AD98" s="197"/>
      <c r="AE98" s="429" t="s">
        <v>7225</v>
      </c>
      <c r="AF98" s="427" t="s">
        <v>681</v>
      </c>
      <c r="AG98" s="427" t="s">
        <v>681</v>
      </c>
      <c r="AH98" s="427" t="s">
        <v>681</v>
      </c>
      <c r="AI98" s="427" t="s">
        <v>681</v>
      </c>
      <c r="AJ98" s="427" t="s">
        <v>681</v>
      </c>
      <c r="AK98" s="427" t="s">
        <v>681</v>
      </c>
      <c r="AL98" s="427" t="s">
        <v>681</v>
      </c>
      <c r="AM98" s="427" t="s">
        <v>3137</v>
      </c>
      <c r="AN98" s="428" t="s">
        <v>3137</v>
      </c>
      <c r="AO98" s="317"/>
      <c r="AP98" s="197"/>
      <c r="AQ98" s="197"/>
      <c r="AR98" s="197"/>
      <c r="AS98" s="197"/>
    </row>
    <row r="99" spans="1:45" s="4" customFormat="1" ht="16.5" thickBot="1">
      <c r="A99" s="197"/>
      <c r="B99" s="430" t="s">
        <v>670</v>
      </c>
      <c r="C99" s="271">
        <v>3</v>
      </c>
      <c r="D99" s="271">
        <v>3</v>
      </c>
      <c r="E99" s="271">
        <v>3</v>
      </c>
      <c r="F99" s="271">
        <v>3</v>
      </c>
      <c r="G99" s="271">
        <v>3</v>
      </c>
      <c r="H99" s="271">
        <v>3</v>
      </c>
      <c r="I99" s="271">
        <v>3</v>
      </c>
      <c r="J99" s="271">
        <v>3</v>
      </c>
      <c r="K99" s="672">
        <v>3</v>
      </c>
      <c r="L99" s="197"/>
      <c r="M99" s="197"/>
      <c r="N99" s="197"/>
      <c r="O99" s="197"/>
      <c r="P99" s="197"/>
      <c r="Q99" s="828"/>
      <c r="R99" s="284"/>
      <c r="S99" s="828"/>
      <c r="T99" s="2668" t="s">
        <v>7223</v>
      </c>
      <c r="U99" s="2668"/>
      <c r="V99" s="2819"/>
      <c r="W99" s="2819"/>
      <c r="X99" s="2819"/>
      <c r="Y99" s="2819"/>
      <c r="Z99" s="2819"/>
      <c r="AA99" s="2819"/>
      <c r="AB99" s="247"/>
      <c r="AC99" s="828"/>
      <c r="AD99" s="197"/>
      <c r="AE99" s="430" t="s">
        <v>670</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7.25"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7231</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11662</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11662</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11663</v>
      </c>
      <c r="C102" s="2091">
        <v>0</v>
      </c>
      <c r="D102" s="694">
        <v>0</v>
      </c>
      <c r="E102" s="694">
        <v>0</v>
      </c>
      <c r="F102" s="694">
        <v>0</v>
      </c>
      <c r="G102" s="1595">
        <f t="shared" ref="G102:G109" si="55">IFERROR(SUM(C102:F102),0)</f>
        <v>0</v>
      </c>
      <c r="H102" s="2091">
        <v>0</v>
      </c>
      <c r="I102" s="694">
        <v>0</v>
      </c>
      <c r="J102" s="1609">
        <v>0</v>
      </c>
      <c r="K102" s="1610">
        <v>0</v>
      </c>
      <c r="L102" s="197"/>
      <c r="M102" s="281" t="s">
        <v>11958</v>
      </c>
      <c r="N102" s="197"/>
      <c r="O102" s="283"/>
      <c r="P102" s="197"/>
      <c r="Q102" s="828"/>
      <c r="R102" s="284">
        <f t="shared" ref="R102:R108" si="56">IF( SUM( T102:AA102 ) = 0, 0, $T$10 )</f>
        <v>0</v>
      </c>
      <c r="S102" s="828"/>
      <c r="T102" s="285">
        <f t="shared" ref="T102:W108" si="57" xml:space="preserve"> IF( ISNUMBER(C102), 0, 1 )</f>
        <v>0</v>
      </c>
      <c r="U102" s="285">
        <f t="shared" si="57"/>
        <v>0</v>
      </c>
      <c r="V102" s="285">
        <f t="shared" si="57"/>
        <v>0</v>
      </c>
      <c r="W102" s="285">
        <f t="shared" si="57"/>
        <v>0</v>
      </c>
      <c r="X102" s="197"/>
      <c r="Y102" s="285">
        <f t="shared" ref="Y102:AB108" si="58" xml:space="preserve"> IF( ISNUMBER(H102), 0, 1 )</f>
        <v>0</v>
      </c>
      <c r="Z102" s="285">
        <f t="shared" si="58"/>
        <v>0</v>
      </c>
      <c r="AA102" s="285">
        <f t="shared" si="58"/>
        <v>0</v>
      </c>
      <c r="AB102" s="285">
        <f t="shared" si="58"/>
        <v>0</v>
      </c>
      <c r="AC102" s="828"/>
      <c r="AD102" s="197"/>
      <c r="AE102" s="396" t="s">
        <v>11663</v>
      </c>
      <c r="AF102" s="958" t="s">
        <v>1926</v>
      </c>
      <c r="AG102" s="904" t="s">
        <v>1954</v>
      </c>
      <c r="AH102" s="904" t="s">
        <v>1982</v>
      </c>
      <c r="AI102" s="904" t="s">
        <v>2010</v>
      </c>
      <c r="AJ102" s="959" t="s">
        <v>2038</v>
      </c>
      <c r="AK102" s="958" t="s">
        <v>2066</v>
      </c>
      <c r="AL102" s="904" t="s">
        <v>2094</v>
      </c>
      <c r="AM102" s="904" t="s">
        <v>2122</v>
      </c>
      <c r="AN102" s="960" t="s">
        <v>2129</v>
      </c>
      <c r="AO102" s="961"/>
      <c r="AP102" s="197"/>
      <c r="AQ102" s="197"/>
      <c r="AR102" s="197"/>
      <c r="AS102" s="197"/>
    </row>
    <row r="103" spans="1:45" s="4" customFormat="1" ht="15.75" customHeight="1">
      <c r="A103" s="197"/>
      <c r="B103" s="403" t="s">
        <v>11674</v>
      </c>
      <c r="C103" s="2092">
        <v>0</v>
      </c>
      <c r="D103" s="697">
        <v>0</v>
      </c>
      <c r="E103" s="697">
        <v>0</v>
      </c>
      <c r="F103" s="697">
        <v>0</v>
      </c>
      <c r="G103" s="1597">
        <f t="shared" si="55"/>
        <v>0</v>
      </c>
      <c r="H103" s="2092">
        <v>0</v>
      </c>
      <c r="I103" s="697">
        <v>0</v>
      </c>
      <c r="J103" s="1611">
        <v>0</v>
      </c>
      <c r="K103" s="1612">
        <v>0</v>
      </c>
      <c r="L103" s="197"/>
      <c r="M103" s="290" t="s">
        <v>11959</v>
      </c>
      <c r="N103" s="197"/>
      <c r="O103" s="291"/>
      <c r="P103" s="197"/>
      <c r="Q103" s="828"/>
      <c r="R103" s="284">
        <f t="shared" si="56"/>
        <v>0</v>
      </c>
      <c r="S103" s="828"/>
      <c r="T103" s="285">
        <f t="shared" si="57"/>
        <v>0</v>
      </c>
      <c r="U103" s="285">
        <f t="shared" si="57"/>
        <v>0</v>
      </c>
      <c r="V103" s="285">
        <f t="shared" si="57"/>
        <v>0</v>
      </c>
      <c r="W103" s="285">
        <f t="shared" si="57"/>
        <v>0</v>
      </c>
      <c r="X103" s="197"/>
      <c r="Y103" s="285">
        <f t="shared" si="58"/>
        <v>0</v>
      </c>
      <c r="Z103" s="285">
        <f t="shared" si="58"/>
        <v>0</v>
      </c>
      <c r="AA103" s="285">
        <f t="shared" si="58"/>
        <v>0</v>
      </c>
      <c r="AB103" s="285">
        <f t="shared" si="58"/>
        <v>0</v>
      </c>
      <c r="AC103" s="828"/>
      <c r="AD103" s="197"/>
      <c r="AE103" s="403" t="s">
        <v>11674</v>
      </c>
      <c r="AF103" s="962" t="s">
        <v>1927</v>
      </c>
      <c r="AG103" s="905" t="s">
        <v>1955</v>
      </c>
      <c r="AH103" s="905" t="s">
        <v>1983</v>
      </c>
      <c r="AI103" s="905" t="s">
        <v>2011</v>
      </c>
      <c r="AJ103" s="963" t="s">
        <v>2039</v>
      </c>
      <c r="AK103" s="962" t="s">
        <v>2067</v>
      </c>
      <c r="AL103" s="905" t="s">
        <v>2095</v>
      </c>
      <c r="AM103" s="905" t="s">
        <v>2123</v>
      </c>
      <c r="AN103" s="964" t="s">
        <v>2130</v>
      </c>
      <c r="AO103" s="961"/>
      <c r="AP103" s="197"/>
      <c r="AQ103" s="197"/>
      <c r="AR103" s="197"/>
      <c r="AS103" s="197"/>
    </row>
    <row r="104" spans="1:45" s="4" customFormat="1" ht="15.75" customHeight="1">
      <c r="A104" s="197"/>
      <c r="B104" s="403" t="s">
        <v>11685</v>
      </c>
      <c r="C104" s="2092">
        <v>0</v>
      </c>
      <c r="D104" s="697">
        <v>0</v>
      </c>
      <c r="E104" s="697">
        <v>0</v>
      </c>
      <c r="F104" s="697">
        <v>0</v>
      </c>
      <c r="G104" s="1597">
        <f t="shared" si="55"/>
        <v>0</v>
      </c>
      <c r="H104" s="2092">
        <v>0</v>
      </c>
      <c r="I104" s="697">
        <v>0</v>
      </c>
      <c r="J104" s="1611">
        <v>0</v>
      </c>
      <c r="K104" s="1612">
        <v>0</v>
      </c>
      <c r="L104" s="197"/>
      <c r="M104" s="290" t="s">
        <v>11960</v>
      </c>
      <c r="N104" s="197"/>
      <c r="O104" s="291"/>
      <c r="P104" s="197"/>
      <c r="Q104" s="828"/>
      <c r="R104" s="284">
        <f t="shared" si="56"/>
        <v>0</v>
      </c>
      <c r="S104" s="828"/>
      <c r="T104" s="285">
        <f t="shared" si="57"/>
        <v>0</v>
      </c>
      <c r="U104" s="285">
        <f t="shared" si="57"/>
        <v>0</v>
      </c>
      <c r="V104" s="285">
        <f t="shared" si="57"/>
        <v>0</v>
      </c>
      <c r="W104" s="285">
        <f t="shared" si="57"/>
        <v>0</v>
      </c>
      <c r="X104" s="197"/>
      <c r="Y104" s="285">
        <f t="shared" si="58"/>
        <v>0</v>
      </c>
      <c r="Z104" s="285">
        <f t="shared" si="58"/>
        <v>0</v>
      </c>
      <c r="AA104" s="285">
        <f t="shared" si="58"/>
        <v>0</v>
      </c>
      <c r="AB104" s="285">
        <f t="shared" si="58"/>
        <v>0</v>
      </c>
      <c r="AC104" s="828"/>
      <c r="AD104" s="197"/>
      <c r="AE104" s="403" t="s">
        <v>11685</v>
      </c>
      <c r="AF104" s="962" t="s">
        <v>1928</v>
      </c>
      <c r="AG104" s="905" t="s">
        <v>1956</v>
      </c>
      <c r="AH104" s="905" t="s">
        <v>1984</v>
      </c>
      <c r="AI104" s="905" t="s">
        <v>2012</v>
      </c>
      <c r="AJ104" s="963" t="s">
        <v>2040</v>
      </c>
      <c r="AK104" s="962" t="s">
        <v>2068</v>
      </c>
      <c r="AL104" s="905" t="s">
        <v>2096</v>
      </c>
      <c r="AM104" s="905" t="s">
        <v>2124</v>
      </c>
      <c r="AN104" s="964" t="s">
        <v>2131</v>
      </c>
      <c r="AO104" s="961"/>
      <c r="AP104" s="197"/>
      <c r="AQ104" s="197"/>
      <c r="AR104" s="197"/>
      <c r="AS104" s="197"/>
    </row>
    <row r="105" spans="1:45" s="4" customFormat="1" ht="15.75" customHeight="1">
      <c r="A105" s="197"/>
      <c r="B105" s="403" t="s">
        <v>11696</v>
      </c>
      <c r="C105" s="2092">
        <v>0</v>
      </c>
      <c r="D105" s="697">
        <v>0</v>
      </c>
      <c r="E105" s="697">
        <v>0</v>
      </c>
      <c r="F105" s="697">
        <v>0</v>
      </c>
      <c r="G105" s="1597">
        <f t="shared" si="55"/>
        <v>0</v>
      </c>
      <c r="H105" s="2092">
        <v>0</v>
      </c>
      <c r="I105" s="697">
        <v>0</v>
      </c>
      <c r="J105" s="1611">
        <v>0</v>
      </c>
      <c r="K105" s="1612">
        <v>0</v>
      </c>
      <c r="L105" s="197"/>
      <c r="M105" s="290" t="s">
        <v>11961</v>
      </c>
      <c r="N105" s="197"/>
      <c r="O105" s="291"/>
      <c r="P105" s="197"/>
      <c r="Q105" s="828"/>
      <c r="R105" s="284">
        <f t="shared" si="56"/>
        <v>0</v>
      </c>
      <c r="S105" s="828"/>
      <c r="T105" s="285">
        <f t="shared" si="57"/>
        <v>0</v>
      </c>
      <c r="U105" s="285">
        <f t="shared" si="57"/>
        <v>0</v>
      </c>
      <c r="V105" s="285">
        <f t="shared" si="57"/>
        <v>0</v>
      </c>
      <c r="W105" s="285">
        <f t="shared" si="57"/>
        <v>0</v>
      </c>
      <c r="X105" s="197"/>
      <c r="Y105" s="285">
        <f t="shared" si="58"/>
        <v>0</v>
      </c>
      <c r="Z105" s="285">
        <f t="shared" si="58"/>
        <v>0</v>
      </c>
      <c r="AA105" s="285">
        <f t="shared" si="58"/>
        <v>0</v>
      </c>
      <c r="AB105" s="285">
        <f t="shared" si="58"/>
        <v>0</v>
      </c>
      <c r="AC105" s="828"/>
      <c r="AD105" s="197"/>
      <c r="AE105" s="403" t="s">
        <v>11696</v>
      </c>
      <c r="AF105" s="962" t="s">
        <v>1929</v>
      </c>
      <c r="AG105" s="905" t="s">
        <v>1957</v>
      </c>
      <c r="AH105" s="905" t="s">
        <v>1985</v>
      </c>
      <c r="AI105" s="905" t="s">
        <v>2013</v>
      </c>
      <c r="AJ105" s="963" t="s">
        <v>2041</v>
      </c>
      <c r="AK105" s="962" t="s">
        <v>2069</v>
      </c>
      <c r="AL105" s="905" t="s">
        <v>2097</v>
      </c>
      <c r="AM105" s="905" t="s">
        <v>2125</v>
      </c>
      <c r="AN105" s="964" t="s">
        <v>2132</v>
      </c>
      <c r="AO105" s="961"/>
      <c r="AP105" s="197"/>
      <c r="AQ105" s="197"/>
      <c r="AR105" s="197"/>
      <c r="AS105" s="197"/>
    </row>
    <row r="106" spans="1:45" s="4" customFormat="1" ht="15.75" customHeight="1">
      <c r="A106" s="197"/>
      <c r="B106" s="403" t="s">
        <v>11707</v>
      </c>
      <c r="C106" s="2092">
        <v>0</v>
      </c>
      <c r="D106" s="697">
        <v>0</v>
      </c>
      <c r="E106" s="697">
        <v>0</v>
      </c>
      <c r="F106" s="697">
        <v>0</v>
      </c>
      <c r="G106" s="1597">
        <f t="shared" si="55"/>
        <v>0</v>
      </c>
      <c r="H106" s="2092">
        <v>0</v>
      </c>
      <c r="I106" s="697">
        <v>0</v>
      </c>
      <c r="J106" s="1611">
        <v>0</v>
      </c>
      <c r="K106" s="1612">
        <v>0</v>
      </c>
      <c r="L106" s="197"/>
      <c r="M106" s="290" t="s">
        <v>11962</v>
      </c>
      <c r="N106" s="197"/>
      <c r="O106" s="291"/>
      <c r="P106" s="197"/>
      <c r="Q106" s="828"/>
      <c r="R106" s="284">
        <f t="shared" si="56"/>
        <v>0</v>
      </c>
      <c r="S106" s="828"/>
      <c r="T106" s="285">
        <f t="shared" si="57"/>
        <v>0</v>
      </c>
      <c r="U106" s="285">
        <f t="shared" si="57"/>
        <v>0</v>
      </c>
      <c r="V106" s="285">
        <f t="shared" si="57"/>
        <v>0</v>
      </c>
      <c r="W106" s="285">
        <f t="shared" si="57"/>
        <v>0</v>
      </c>
      <c r="X106" s="197"/>
      <c r="Y106" s="285">
        <f t="shared" si="58"/>
        <v>0</v>
      </c>
      <c r="Z106" s="285">
        <f t="shared" si="58"/>
        <v>0</v>
      </c>
      <c r="AA106" s="285">
        <f t="shared" si="58"/>
        <v>0</v>
      </c>
      <c r="AB106" s="285">
        <f t="shared" si="58"/>
        <v>0</v>
      </c>
      <c r="AC106" s="828"/>
      <c r="AD106" s="197"/>
      <c r="AE106" s="403" t="s">
        <v>11707</v>
      </c>
      <c r="AF106" s="962" t="s">
        <v>1930</v>
      </c>
      <c r="AG106" s="905" t="s">
        <v>1958</v>
      </c>
      <c r="AH106" s="905" t="s">
        <v>1986</v>
      </c>
      <c r="AI106" s="905" t="s">
        <v>2014</v>
      </c>
      <c r="AJ106" s="963" t="s">
        <v>2042</v>
      </c>
      <c r="AK106" s="962" t="s">
        <v>2070</v>
      </c>
      <c r="AL106" s="905" t="s">
        <v>2098</v>
      </c>
      <c r="AM106" s="905" t="s">
        <v>2126</v>
      </c>
      <c r="AN106" s="964" t="s">
        <v>2133</v>
      </c>
      <c r="AO106" s="961"/>
      <c r="AP106" s="197"/>
      <c r="AQ106" s="197"/>
      <c r="AR106" s="197"/>
      <c r="AS106" s="197"/>
    </row>
    <row r="107" spans="1:45" s="4" customFormat="1" ht="15.75" customHeight="1">
      <c r="A107" s="197"/>
      <c r="B107" s="403" t="s">
        <v>11718</v>
      </c>
      <c r="C107" s="2092">
        <v>0</v>
      </c>
      <c r="D107" s="697">
        <v>0</v>
      </c>
      <c r="E107" s="697">
        <v>0</v>
      </c>
      <c r="F107" s="697">
        <v>0</v>
      </c>
      <c r="G107" s="1597">
        <f t="shared" si="55"/>
        <v>0</v>
      </c>
      <c r="H107" s="2092">
        <v>0</v>
      </c>
      <c r="I107" s="697">
        <v>0</v>
      </c>
      <c r="J107" s="1611">
        <v>0</v>
      </c>
      <c r="K107" s="1612">
        <v>0</v>
      </c>
      <c r="L107" s="197"/>
      <c r="M107" s="290" t="s">
        <v>11963</v>
      </c>
      <c r="N107" s="197"/>
      <c r="O107" s="291"/>
      <c r="P107" s="197"/>
      <c r="Q107" s="828"/>
      <c r="R107" s="284">
        <f t="shared" si="56"/>
        <v>0</v>
      </c>
      <c r="S107" s="828"/>
      <c r="T107" s="285">
        <f t="shared" si="57"/>
        <v>0</v>
      </c>
      <c r="U107" s="285">
        <f t="shared" si="57"/>
        <v>0</v>
      </c>
      <c r="V107" s="285">
        <f t="shared" si="57"/>
        <v>0</v>
      </c>
      <c r="W107" s="285">
        <f t="shared" si="57"/>
        <v>0</v>
      </c>
      <c r="X107" s="197"/>
      <c r="Y107" s="285">
        <f t="shared" si="58"/>
        <v>0</v>
      </c>
      <c r="Z107" s="285">
        <f t="shared" si="58"/>
        <v>0</v>
      </c>
      <c r="AA107" s="285">
        <f t="shared" si="58"/>
        <v>0</v>
      </c>
      <c r="AB107" s="285">
        <f t="shared" si="58"/>
        <v>0</v>
      </c>
      <c r="AC107" s="828"/>
      <c r="AD107" s="197"/>
      <c r="AE107" s="403" t="s">
        <v>11718</v>
      </c>
      <c r="AF107" s="962" t="s">
        <v>1931</v>
      </c>
      <c r="AG107" s="905" t="s">
        <v>1959</v>
      </c>
      <c r="AH107" s="905" t="s">
        <v>1987</v>
      </c>
      <c r="AI107" s="905" t="s">
        <v>2015</v>
      </c>
      <c r="AJ107" s="963" t="s">
        <v>2043</v>
      </c>
      <c r="AK107" s="962" t="s">
        <v>2071</v>
      </c>
      <c r="AL107" s="905" t="s">
        <v>2099</v>
      </c>
      <c r="AM107" s="905" t="s">
        <v>2127</v>
      </c>
      <c r="AN107" s="964" t="s">
        <v>2134</v>
      </c>
      <c r="AO107" s="961"/>
      <c r="AP107" s="197"/>
      <c r="AQ107" s="197"/>
      <c r="AR107" s="197"/>
      <c r="AS107" s="197"/>
    </row>
    <row r="108" spans="1:45" s="4" customFormat="1" ht="15.75" customHeight="1">
      <c r="A108" s="197"/>
      <c r="B108" s="403" t="s">
        <v>11729</v>
      </c>
      <c r="C108" s="2092">
        <v>0</v>
      </c>
      <c r="D108" s="697">
        <v>0</v>
      </c>
      <c r="E108" s="697">
        <v>0</v>
      </c>
      <c r="F108" s="697">
        <v>0</v>
      </c>
      <c r="G108" s="1597">
        <f t="shared" si="55"/>
        <v>0</v>
      </c>
      <c r="H108" s="2092">
        <v>0</v>
      </c>
      <c r="I108" s="697">
        <v>0</v>
      </c>
      <c r="J108" s="1611">
        <v>0</v>
      </c>
      <c r="K108" s="1612">
        <v>0</v>
      </c>
      <c r="L108" s="197"/>
      <c r="M108" s="290" t="s">
        <v>11964</v>
      </c>
      <c r="N108" s="197"/>
      <c r="O108" s="291"/>
      <c r="P108" s="197"/>
      <c r="Q108" s="828"/>
      <c r="R108" s="284">
        <f t="shared" si="56"/>
        <v>0</v>
      </c>
      <c r="S108" s="828"/>
      <c r="T108" s="285">
        <f t="shared" si="57"/>
        <v>0</v>
      </c>
      <c r="U108" s="285">
        <f t="shared" si="57"/>
        <v>0</v>
      </c>
      <c r="V108" s="285">
        <f t="shared" si="57"/>
        <v>0</v>
      </c>
      <c r="W108" s="285">
        <f t="shared" si="57"/>
        <v>0</v>
      </c>
      <c r="X108" s="197"/>
      <c r="Y108" s="285">
        <f t="shared" si="58"/>
        <v>0</v>
      </c>
      <c r="Z108" s="285">
        <f t="shared" si="58"/>
        <v>0</v>
      </c>
      <c r="AA108" s="285">
        <f t="shared" si="58"/>
        <v>0</v>
      </c>
      <c r="AB108" s="285">
        <f t="shared" si="58"/>
        <v>0</v>
      </c>
      <c r="AC108" s="828"/>
      <c r="AD108" s="197"/>
      <c r="AE108" s="403" t="s">
        <v>11729</v>
      </c>
      <c r="AF108" s="962" t="s">
        <v>1932</v>
      </c>
      <c r="AG108" s="905" t="s">
        <v>1960</v>
      </c>
      <c r="AH108" s="905" t="s">
        <v>1988</v>
      </c>
      <c r="AI108" s="905" t="s">
        <v>2016</v>
      </c>
      <c r="AJ108" s="963" t="s">
        <v>2044</v>
      </c>
      <c r="AK108" s="962" t="s">
        <v>2072</v>
      </c>
      <c r="AL108" s="905" t="s">
        <v>2100</v>
      </c>
      <c r="AM108" s="905" t="s">
        <v>2128</v>
      </c>
      <c r="AN108" s="964" t="s">
        <v>2135</v>
      </c>
      <c r="AO108" s="961"/>
      <c r="AP108" s="197"/>
      <c r="AQ108" s="197"/>
      <c r="AR108" s="197"/>
      <c r="AS108" s="197"/>
    </row>
    <row r="109" spans="1:45" s="4" customFormat="1" ht="15.75" customHeight="1" thickBot="1">
      <c r="A109" s="197"/>
      <c r="B109" s="406" t="s">
        <v>7445</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11965</v>
      </c>
      <c r="N109" s="197"/>
      <c r="O109" s="302"/>
      <c r="P109" s="197"/>
      <c r="Q109" s="828"/>
      <c r="R109" s="284"/>
      <c r="S109" s="828"/>
      <c r="T109" s="197"/>
      <c r="U109" s="197"/>
      <c r="V109" s="197"/>
      <c r="W109" s="197"/>
      <c r="X109" s="197"/>
      <c r="Y109" s="197"/>
      <c r="Z109" s="197"/>
      <c r="AA109" s="197"/>
      <c r="AB109" s="197"/>
      <c r="AC109" s="828"/>
      <c r="AD109" s="197"/>
      <c r="AE109" s="406" t="s">
        <v>7445</v>
      </c>
      <c r="AF109" s="965" t="s">
        <v>1933</v>
      </c>
      <c r="AG109" s="679" t="s">
        <v>1961</v>
      </c>
      <c r="AH109" s="679" t="s">
        <v>1989</v>
      </c>
      <c r="AI109" s="679" t="s">
        <v>2017</v>
      </c>
      <c r="AJ109" s="679" t="s">
        <v>2045</v>
      </c>
      <c r="AK109" s="679" t="s">
        <v>2073</v>
      </c>
      <c r="AL109" s="679" t="s">
        <v>2101</v>
      </c>
      <c r="AM109" s="966" t="s">
        <v>11966</v>
      </c>
      <c r="AN109" s="967" t="s">
        <v>11966</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9921</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11748</v>
      </c>
      <c r="C111" s="729"/>
      <c r="D111" s="1603"/>
      <c r="E111" s="1603"/>
      <c r="F111" s="1603"/>
      <c r="G111" s="1603"/>
      <c r="H111" s="1603"/>
      <c r="I111" s="1603"/>
      <c r="J111" s="1615"/>
      <c r="K111" s="1615"/>
      <c r="L111" s="197"/>
      <c r="M111" s="242" t="s">
        <v>9921</v>
      </c>
      <c r="N111" s="197"/>
      <c r="O111" s="197"/>
      <c r="P111" s="197"/>
      <c r="Q111" s="828"/>
      <c r="R111" s="284"/>
      <c r="S111" s="828"/>
      <c r="T111" s="197"/>
      <c r="U111" s="197"/>
      <c r="V111" s="197"/>
      <c r="W111" s="197"/>
      <c r="X111" s="197"/>
      <c r="Y111" s="197"/>
      <c r="Z111" s="197"/>
      <c r="AA111" s="197"/>
      <c r="AB111" s="197"/>
      <c r="AC111" s="828"/>
      <c r="AD111" s="197"/>
      <c r="AE111" s="393" t="s">
        <v>11748</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11749</v>
      </c>
      <c r="C112" s="2091">
        <v>0</v>
      </c>
      <c r="D112" s="694">
        <v>0</v>
      </c>
      <c r="E112" s="694">
        <v>0</v>
      </c>
      <c r="F112" s="694">
        <v>0</v>
      </c>
      <c r="G112" s="1595">
        <f>IFERROR(SUM(C112:F112),0)</f>
        <v>0</v>
      </c>
      <c r="H112" s="694">
        <v>0</v>
      </c>
      <c r="I112" s="694">
        <v>0</v>
      </c>
      <c r="J112" s="1616"/>
      <c r="K112" s="1617"/>
      <c r="L112" s="197"/>
      <c r="M112" s="281" t="s">
        <v>11967</v>
      </c>
      <c r="N112" s="197"/>
      <c r="O112" s="283"/>
      <c r="P112" s="197"/>
      <c r="Q112" s="828"/>
      <c r="R112" s="284">
        <f>IF( SUM( T112:AA112 ) = 0, 0, $T$10 )</f>
        <v>0</v>
      </c>
      <c r="S112" s="828"/>
      <c r="T112" s="285">
        <f t="shared" ref="T112:W115" si="59" xml:space="preserve"> IF( ISNUMBER(C112), 0, 1 )</f>
        <v>0</v>
      </c>
      <c r="U112" s="285">
        <f t="shared" si="59"/>
        <v>0</v>
      </c>
      <c r="V112" s="285">
        <f t="shared" si="59"/>
        <v>0</v>
      </c>
      <c r="W112" s="285">
        <f t="shared" si="59"/>
        <v>0</v>
      </c>
      <c r="X112" s="197"/>
      <c r="Y112" s="285">
        <f t="shared" ref="Y112:Z115" si="60" xml:space="preserve"> IF( ISNUMBER(H112), 0, 1 )</f>
        <v>0</v>
      </c>
      <c r="Z112" s="285">
        <f t="shared" si="60"/>
        <v>0</v>
      </c>
      <c r="AA112" s="197"/>
      <c r="AB112" s="197"/>
      <c r="AC112" s="828"/>
      <c r="AD112" s="197"/>
      <c r="AE112" s="396" t="s">
        <v>11749</v>
      </c>
      <c r="AF112" s="958" t="s">
        <v>1934</v>
      </c>
      <c r="AG112" s="904" t="s">
        <v>1962</v>
      </c>
      <c r="AH112" s="904" t="s">
        <v>1990</v>
      </c>
      <c r="AI112" s="904" t="s">
        <v>2018</v>
      </c>
      <c r="AJ112" s="959" t="s">
        <v>2046</v>
      </c>
      <c r="AK112" s="904" t="s">
        <v>2074</v>
      </c>
      <c r="AL112" s="904" t="s">
        <v>2102</v>
      </c>
      <c r="AM112" s="973"/>
      <c r="AN112" s="974"/>
      <c r="AO112" s="961"/>
      <c r="AP112" s="197"/>
      <c r="AQ112" s="197"/>
      <c r="AR112" s="197"/>
      <c r="AS112" s="197"/>
    </row>
    <row r="113" spans="1:45" s="4" customFormat="1" ht="15.75" customHeight="1">
      <c r="A113" s="197"/>
      <c r="B113" s="403" t="s">
        <v>11758</v>
      </c>
      <c r="C113" s="2092">
        <v>0</v>
      </c>
      <c r="D113" s="697">
        <v>0</v>
      </c>
      <c r="E113" s="697">
        <v>0</v>
      </c>
      <c r="F113" s="697">
        <v>0</v>
      </c>
      <c r="G113" s="1597">
        <f>IFERROR(SUM(C113:F113),0)</f>
        <v>0</v>
      </c>
      <c r="H113" s="697">
        <v>0</v>
      </c>
      <c r="I113" s="697">
        <v>0</v>
      </c>
      <c r="J113" s="1618"/>
      <c r="K113" s="1619"/>
      <c r="L113" s="197"/>
      <c r="M113" s="290" t="s">
        <v>11968</v>
      </c>
      <c r="N113" s="197"/>
      <c r="O113" s="291"/>
      <c r="P113" s="197"/>
      <c r="Q113" s="828"/>
      <c r="R113" s="284">
        <f>IF( SUM( T113:AA113 ) = 0, 0, $T$10 )</f>
        <v>0</v>
      </c>
      <c r="S113" s="828"/>
      <c r="T113" s="285">
        <f t="shared" si="59"/>
        <v>0</v>
      </c>
      <c r="U113" s="285">
        <f t="shared" si="59"/>
        <v>0</v>
      </c>
      <c r="V113" s="285">
        <f t="shared" si="59"/>
        <v>0</v>
      </c>
      <c r="W113" s="285">
        <f t="shared" si="59"/>
        <v>0</v>
      </c>
      <c r="X113" s="197"/>
      <c r="Y113" s="285">
        <f t="shared" si="60"/>
        <v>0</v>
      </c>
      <c r="Z113" s="285">
        <f t="shared" si="60"/>
        <v>0</v>
      </c>
      <c r="AA113" s="197"/>
      <c r="AB113" s="197"/>
      <c r="AC113" s="828"/>
      <c r="AD113" s="197"/>
      <c r="AE113" s="403" t="s">
        <v>11758</v>
      </c>
      <c r="AF113" s="962" t="s">
        <v>1935</v>
      </c>
      <c r="AG113" s="905" t="s">
        <v>1963</v>
      </c>
      <c r="AH113" s="905" t="s">
        <v>1991</v>
      </c>
      <c r="AI113" s="905" t="s">
        <v>2019</v>
      </c>
      <c r="AJ113" s="963" t="s">
        <v>2047</v>
      </c>
      <c r="AK113" s="905" t="s">
        <v>2075</v>
      </c>
      <c r="AL113" s="905" t="s">
        <v>2103</v>
      </c>
      <c r="AM113" s="975"/>
      <c r="AN113" s="976"/>
      <c r="AO113" s="961"/>
      <c r="AP113" s="197"/>
      <c r="AQ113" s="197"/>
      <c r="AR113" s="197"/>
      <c r="AS113" s="197"/>
    </row>
    <row r="114" spans="1:45" s="4" customFormat="1" ht="15.75" customHeight="1">
      <c r="A114" s="197"/>
      <c r="B114" s="403" t="s">
        <v>11767</v>
      </c>
      <c r="C114" s="2092">
        <v>0</v>
      </c>
      <c r="D114" s="697">
        <v>0</v>
      </c>
      <c r="E114" s="697">
        <v>0</v>
      </c>
      <c r="F114" s="697">
        <v>0</v>
      </c>
      <c r="G114" s="1597">
        <f>IFERROR(SUM(C114:F114),0)</f>
        <v>0</v>
      </c>
      <c r="H114" s="697">
        <v>0</v>
      </c>
      <c r="I114" s="697">
        <v>0</v>
      </c>
      <c r="J114" s="1618"/>
      <c r="K114" s="1619"/>
      <c r="L114" s="197"/>
      <c r="M114" s="290" t="s">
        <v>11969</v>
      </c>
      <c r="N114" s="197"/>
      <c r="O114" s="291"/>
      <c r="P114" s="197"/>
      <c r="Q114" s="828"/>
      <c r="R114" s="284">
        <f>IF( SUM( T114:AA114 ) = 0, 0, $T$10 )</f>
        <v>0</v>
      </c>
      <c r="S114" s="828"/>
      <c r="T114" s="285">
        <f t="shared" si="59"/>
        <v>0</v>
      </c>
      <c r="U114" s="285">
        <f t="shared" si="59"/>
        <v>0</v>
      </c>
      <c r="V114" s="285">
        <f t="shared" si="59"/>
        <v>0</v>
      </c>
      <c r="W114" s="285">
        <f t="shared" si="59"/>
        <v>0</v>
      </c>
      <c r="X114" s="197"/>
      <c r="Y114" s="285">
        <f t="shared" si="60"/>
        <v>0</v>
      </c>
      <c r="Z114" s="285">
        <f t="shared" si="60"/>
        <v>0</v>
      </c>
      <c r="AA114" s="197"/>
      <c r="AB114" s="197"/>
      <c r="AC114" s="828"/>
      <c r="AD114" s="197"/>
      <c r="AE114" s="403" t="s">
        <v>11767</v>
      </c>
      <c r="AF114" s="962" t="s">
        <v>1936</v>
      </c>
      <c r="AG114" s="905" t="s">
        <v>1964</v>
      </c>
      <c r="AH114" s="905" t="s">
        <v>1992</v>
      </c>
      <c r="AI114" s="905" t="s">
        <v>2020</v>
      </c>
      <c r="AJ114" s="963" t="s">
        <v>2048</v>
      </c>
      <c r="AK114" s="905" t="s">
        <v>2076</v>
      </c>
      <c r="AL114" s="905" t="s">
        <v>2104</v>
      </c>
      <c r="AM114" s="975"/>
      <c r="AN114" s="976"/>
      <c r="AO114" s="961"/>
      <c r="AP114" s="197"/>
      <c r="AQ114" s="197"/>
      <c r="AR114" s="197"/>
      <c r="AS114" s="197"/>
    </row>
    <row r="115" spans="1:45" s="4" customFormat="1" ht="15.75" customHeight="1">
      <c r="A115" s="197"/>
      <c r="B115" s="403" t="s">
        <v>11776</v>
      </c>
      <c r="C115" s="2092">
        <v>0</v>
      </c>
      <c r="D115" s="697">
        <v>0</v>
      </c>
      <c r="E115" s="697">
        <v>0</v>
      </c>
      <c r="F115" s="697">
        <v>0</v>
      </c>
      <c r="G115" s="1597">
        <f>IFERROR(SUM(C115:F115),0)</f>
        <v>0</v>
      </c>
      <c r="H115" s="697">
        <v>0</v>
      </c>
      <c r="I115" s="697">
        <v>0</v>
      </c>
      <c r="J115" s="1618"/>
      <c r="K115" s="1619"/>
      <c r="L115" s="197"/>
      <c r="M115" s="290" t="s">
        <v>11970</v>
      </c>
      <c r="N115" s="197"/>
      <c r="O115" s="291"/>
      <c r="P115" s="197"/>
      <c r="Q115" s="828"/>
      <c r="R115" s="284">
        <f>IF( SUM( T115:AA115 ) = 0, 0, $T$10 )</f>
        <v>0</v>
      </c>
      <c r="S115" s="828"/>
      <c r="T115" s="285">
        <f t="shared" si="59"/>
        <v>0</v>
      </c>
      <c r="U115" s="285">
        <f t="shared" si="59"/>
        <v>0</v>
      </c>
      <c r="V115" s="285">
        <f t="shared" si="59"/>
        <v>0</v>
      </c>
      <c r="W115" s="285">
        <f t="shared" si="59"/>
        <v>0</v>
      </c>
      <c r="X115" s="197"/>
      <c r="Y115" s="285">
        <f t="shared" si="60"/>
        <v>0</v>
      </c>
      <c r="Z115" s="285">
        <f t="shared" si="60"/>
        <v>0</v>
      </c>
      <c r="AA115" s="197"/>
      <c r="AB115" s="197"/>
      <c r="AC115" s="828"/>
      <c r="AD115" s="197"/>
      <c r="AE115" s="403" t="s">
        <v>11776</v>
      </c>
      <c r="AF115" s="962" t="s">
        <v>1937</v>
      </c>
      <c r="AG115" s="905" t="s">
        <v>1965</v>
      </c>
      <c r="AH115" s="905" t="s">
        <v>1993</v>
      </c>
      <c r="AI115" s="905" t="s">
        <v>2021</v>
      </c>
      <c r="AJ115" s="963" t="s">
        <v>2049</v>
      </c>
      <c r="AK115" s="905" t="s">
        <v>2077</v>
      </c>
      <c r="AL115" s="905" t="s">
        <v>2105</v>
      </c>
      <c r="AM115" s="975"/>
      <c r="AN115" s="976"/>
      <c r="AO115" s="961"/>
      <c r="AP115" s="197"/>
      <c r="AQ115" s="197"/>
      <c r="AR115" s="197"/>
      <c r="AS115" s="197"/>
    </row>
    <row r="116" spans="1:45" s="4" customFormat="1" ht="15.75" customHeight="1" thickBot="1">
      <c r="A116" s="197"/>
      <c r="B116" s="406" t="s">
        <v>7445</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11971</v>
      </c>
      <c r="N116" s="197"/>
      <c r="O116" s="302"/>
      <c r="P116" s="197"/>
      <c r="Q116" s="828"/>
      <c r="R116" s="284"/>
      <c r="S116" s="828"/>
      <c r="T116" s="197"/>
      <c r="U116" s="197"/>
      <c r="V116" s="197"/>
      <c r="W116" s="197"/>
      <c r="X116" s="197"/>
      <c r="Y116" s="197"/>
      <c r="Z116" s="197"/>
      <c r="AA116" s="197"/>
      <c r="AB116" s="197"/>
      <c r="AC116" s="828"/>
      <c r="AD116" s="197"/>
      <c r="AE116" s="406" t="s">
        <v>7445</v>
      </c>
      <c r="AF116" s="965" t="s">
        <v>1938</v>
      </c>
      <c r="AG116" s="679" t="s">
        <v>1966</v>
      </c>
      <c r="AH116" s="679" t="s">
        <v>1994</v>
      </c>
      <c r="AI116" s="679" t="s">
        <v>2022</v>
      </c>
      <c r="AJ116" s="679" t="s">
        <v>2050</v>
      </c>
      <c r="AK116" s="679" t="s">
        <v>2078</v>
      </c>
      <c r="AL116" s="679" t="s">
        <v>2106</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9921</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11793</v>
      </c>
      <c r="C118" s="729"/>
      <c r="D118" s="1603"/>
      <c r="E118" s="1603"/>
      <c r="F118" s="1603"/>
      <c r="G118" s="1603"/>
      <c r="H118" s="1603"/>
      <c r="I118" s="1603"/>
      <c r="J118" s="1615"/>
      <c r="K118" s="1615"/>
      <c r="L118" s="197"/>
      <c r="M118" s="242" t="s">
        <v>9921</v>
      </c>
      <c r="N118" s="197"/>
      <c r="O118" s="197"/>
      <c r="P118" s="197"/>
      <c r="Q118" s="828"/>
      <c r="R118" s="284"/>
      <c r="S118" s="828"/>
      <c r="T118" s="197"/>
      <c r="U118" s="197"/>
      <c r="V118" s="197"/>
      <c r="W118" s="197"/>
      <c r="X118" s="197"/>
      <c r="Y118" s="197"/>
      <c r="Z118" s="197"/>
      <c r="AA118" s="197"/>
      <c r="AB118" s="197"/>
      <c r="AC118" s="828"/>
      <c r="AD118" s="197"/>
      <c r="AE118" s="393" t="s">
        <v>11793</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11794</v>
      </c>
      <c r="C119" s="2091">
        <v>0</v>
      </c>
      <c r="D119" s="694">
        <v>0</v>
      </c>
      <c r="E119" s="694">
        <v>0</v>
      </c>
      <c r="F119" s="694">
        <v>0</v>
      </c>
      <c r="G119" s="1595">
        <f>IFERROR(SUM(C119:F119),0)</f>
        <v>0</v>
      </c>
      <c r="H119" s="694">
        <v>0</v>
      </c>
      <c r="I119" s="694">
        <v>0</v>
      </c>
      <c r="J119" s="1616"/>
      <c r="K119" s="1617"/>
      <c r="L119" s="197"/>
      <c r="M119" s="281" t="s">
        <v>11972</v>
      </c>
      <c r="N119" s="197"/>
      <c r="O119" s="283"/>
      <c r="P119" s="197"/>
      <c r="Q119" s="828"/>
      <c r="R119" s="284">
        <f>IF( SUM( T119:AA119 ) = 0, 0, $T$10 )</f>
        <v>0</v>
      </c>
      <c r="S119" s="828"/>
      <c r="T119" s="285">
        <f t="shared" ref="T119:W122" si="61" xml:space="preserve"> IF( ISNUMBER(C119), 0, 1 )</f>
        <v>0</v>
      </c>
      <c r="U119" s="285">
        <f t="shared" si="61"/>
        <v>0</v>
      </c>
      <c r="V119" s="285">
        <f t="shared" si="61"/>
        <v>0</v>
      </c>
      <c r="W119" s="285">
        <f t="shared" si="61"/>
        <v>0</v>
      </c>
      <c r="X119" s="197"/>
      <c r="Y119" s="285">
        <f t="shared" ref="Y119:Z122" si="62" xml:space="preserve"> IF( ISNUMBER(H119), 0, 1 )</f>
        <v>0</v>
      </c>
      <c r="Z119" s="285">
        <f t="shared" si="62"/>
        <v>0</v>
      </c>
      <c r="AA119" s="197"/>
      <c r="AB119" s="197"/>
      <c r="AC119" s="828"/>
      <c r="AD119" s="197"/>
      <c r="AE119" s="396" t="s">
        <v>11794</v>
      </c>
      <c r="AF119" s="958" t="s">
        <v>1939</v>
      </c>
      <c r="AG119" s="904" t="s">
        <v>1967</v>
      </c>
      <c r="AH119" s="904" t="s">
        <v>1995</v>
      </c>
      <c r="AI119" s="904" t="s">
        <v>2023</v>
      </c>
      <c r="AJ119" s="959" t="s">
        <v>2051</v>
      </c>
      <c r="AK119" s="904" t="s">
        <v>2079</v>
      </c>
      <c r="AL119" s="904" t="s">
        <v>2107</v>
      </c>
      <c r="AM119" s="973"/>
      <c r="AN119" s="974"/>
      <c r="AO119" s="961"/>
      <c r="AP119" s="197"/>
      <c r="AQ119" s="197"/>
      <c r="AR119" s="197"/>
      <c r="AS119" s="197"/>
    </row>
    <row r="120" spans="1:45" s="4" customFormat="1" ht="15.75" customHeight="1">
      <c r="A120" s="197"/>
      <c r="B120" s="403" t="s">
        <v>11803</v>
      </c>
      <c r="C120" s="2092">
        <v>0</v>
      </c>
      <c r="D120" s="697">
        <v>0</v>
      </c>
      <c r="E120" s="697">
        <v>0</v>
      </c>
      <c r="F120" s="697">
        <v>0</v>
      </c>
      <c r="G120" s="1597">
        <f>IFERROR(SUM(C120:F120),0)</f>
        <v>0</v>
      </c>
      <c r="H120" s="697">
        <v>0</v>
      </c>
      <c r="I120" s="697">
        <v>0</v>
      </c>
      <c r="J120" s="1618"/>
      <c r="K120" s="1619"/>
      <c r="L120" s="197"/>
      <c r="M120" s="290" t="s">
        <v>11973</v>
      </c>
      <c r="N120" s="197"/>
      <c r="O120" s="291"/>
      <c r="P120" s="197"/>
      <c r="Q120" s="828"/>
      <c r="R120" s="284">
        <f>IF( SUM( T120:AA120 ) = 0, 0, $T$10 )</f>
        <v>0</v>
      </c>
      <c r="S120" s="828"/>
      <c r="T120" s="285">
        <f t="shared" si="61"/>
        <v>0</v>
      </c>
      <c r="U120" s="285">
        <f t="shared" si="61"/>
        <v>0</v>
      </c>
      <c r="V120" s="285">
        <f t="shared" si="61"/>
        <v>0</v>
      </c>
      <c r="W120" s="285">
        <f t="shared" si="61"/>
        <v>0</v>
      </c>
      <c r="X120" s="197"/>
      <c r="Y120" s="285">
        <f t="shared" si="62"/>
        <v>0</v>
      </c>
      <c r="Z120" s="285">
        <f t="shared" si="62"/>
        <v>0</v>
      </c>
      <c r="AA120" s="197"/>
      <c r="AB120" s="197"/>
      <c r="AC120" s="828"/>
      <c r="AD120" s="197"/>
      <c r="AE120" s="403" t="s">
        <v>11803</v>
      </c>
      <c r="AF120" s="962" t="s">
        <v>1940</v>
      </c>
      <c r="AG120" s="905" t="s">
        <v>1968</v>
      </c>
      <c r="AH120" s="905" t="s">
        <v>1996</v>
      </c>
      <c r="AI120" s="905" t="s">
        <v>2024</v>
      </c>
      <c r="AJ120" s="963" t="s">
        <v>2052</v>
      </c>
      <c r="AK120" s="905" t="s">
        <v>2080</v>
      </c>
      <c r="AL120" s="905" t="s">
        <v>2108</v>
      </c>
      <c r="AM120" s="975"/>
      <c r="AN120" s="976"/>
      <c r="AO120" s="961"/>
      <c r="AP120" s="197"/>
      <c r="AQ120" s="197"/>
      <c r="AR120" s="197"/>
      <c r="AS120" s="197"/>
    </row>
    <row r="121" spans="1:45" s="4" customFormat="1" ht="15.75" customHeight="1">
      <c r="A121" s="197"/>
      <c r="B121" s="403" t="s">
        <v>11812</v>
      </c>
      <c r="C121" s="2092">
        <v>0</v>
      </c>
      <c r="D121" s="697">
        <v>0</v>
      </c>
      <c r="E121" s="697">
        <v>0</v>
      </c>
      <c r="F121" s="697">
        <v>0</v>
      </c>
      <c r="G121" s="1597">
        <f>IFERROR(SUM(C121:F121),0)</f>
        <v>0</v>
      </c>
      <c r="H121" s="697">
        <v>0</v>
      </c>
      <c r="I121" s="697">
        <v>0</v>
      </c>
      <c r="J121" s="1618"/>
      <c r="K121" s="1619"/>
      <c r="L121" s="197"/>
      <c r="M121" s="290" t="s">
        <v>11974</v>
      </c>
      <c r="N121" s="197"/>
      <c r="O121" s="291"/>
      <c r="P121" s="197"/>
      <c r="Q121" s="828"/>
      <c r="R121" s="284">
        <f>IF( SUM( T121:AA121 ) = 0, 0, $T$10 )</f>
        <v>0</v>
      </c>
      <c r="S121" s="828"/>
      <c r="T121" s="285">
        <f t="shared" si="61"/>
        <v>0</v>
      </c>
      <c r="U121" s="285">
        <f t="shared" si="61"/>
        <v>0</v>
      </c>
      <c r="V121" s="285">
        <f t="shared" si="61"/>
        <v>0</v>
      </c>
      <c r="W121" s="285">
        <f t="shared" si="61"/>
        <v>0</v>
      </c>
      <c r="X121" s="197"/>
      <c r="Y121" s="285">
        <f t="shared" si="62"/>
        <v>0</v>
      </c>
      <c r="Z121" s="285">
        <f t="shared" si="62"/>
        <v>0</v>
      </c>
      <c r="AA121" s="197"/>
      <c r="AB121" s="197"/>
      <c r="AC121" s="828"/>
      <c r="AD121" s="197"/>
      <c r="AE121" s="403" t="s">
        <v>11812</v>
      </c>
      <c r="AF121" s="962" t="s">
        <v>1941</v>
      </c>
      <c r="AG121" s="905" t="s">
        <v>1969</v>
      </c>
      <c r="AH121" s="905" t="s">
        <v>1997</v>
      </c>
      <c r="AI121" s="905" t="s">
        <v>2025</v>
      </c>
      <c r="AJ121" s="963" t="s">
        <v>2053</v>
      </c>
      <c r="AK121" s="905" t="s">
        <v>2081</v>
      </c>
      <c r="AL121" s="905" t="s">
        <v>2109</v>
      </c>
      <c r="AM121" s="975"/>
      <c r="AN121" s="976"/>
      <c r="AO121" s="961"/>
      <c r="AP121" s="197"/>
      <c r="AQ121" s="197"/>
      <c r="AR121" s="197"/>
      <c r="AS121" s="197"/>
    </row>
    <row r="122" spans="1:45" s="4" customFormat="1" ht="15.75" customHeight="1">
      <c r="A122" s="197"/>
      <c r="B122" s="403" t="s">
        <v>11821</v>
      </c>
      <c r="C122" s="2092">
        <v>0</v>
      </c>
      <c r="D122" s="697">
        <v>0</v>
      </c>
      <c r="E122" s="697">
        <v>0</v>
      </c>
      <c r="F122" s="697">
        <v>0</v>
      </c>
      <c r="G122" s="1597">
        <f>IFERROR(SUM(C122:F122),0)</f>
        <v>0</v>
      </c>
      <c r="H122" s="697">
        <v>0</v>
      </c>
      <c r="I122" s="697">
        <v>0</v>
      </c>
      <c r="J122" s="1618"/>
      <c r="K122" s="1619"/>
      <c r="L122" s="197"/>
      <c r="M122" s="290" t="s">
        <v>11975</v>
      </c>
      <c r="N122" s="197"/>
      <c r="O122" s="291"/>
      <c r="P122" s="197"/>
      <c r="Q122" s="828"/>
      <c r="R122" s="284">
        <f>IF( SUM( T122:AA122 ) = 0, 0, $T$10 )</f>
        <v>0</v>
      </c>
      <c r="S122" s="828"/>
      <c r="T122" s="285">
        <f t="shared" si="61"/>
        <v>0</v>
      </c>
      <c r="U122" s="285">
        <f t="shared" si="61"/>
        <v>0</v>
      </c>
      <c r="V122" s="285">
        <f t="shared" si="61"/>
        <v>0</v>
      </c>
      <c r="W122" s="285">
        <f t="shared" si="61"/>
        <v>0</v>
      </c>
      <c r="X122" s="197"/>
      <c r="Y122" s="285">
        <f t="shared" si="62"/>
        <v>0</v>
      </c>
      <c r="Z122" s="285">
        <f t="shared" si="62"/>
        <v>0</v>
      </c>
      <c r="AA122" s="197"/>
      <c r="AB122" s="197"/>
      <c r="AC122" s="828"/>
      <c r="AD122" s="197"/>
      <c r="AE122" s="403" t="s">
        <v>11821</v>
      </c>
      <c r="AF122" s="962" t="s">
        <v>1942</v>
      </c>
      <c r="AG122" s="905" t="s">
        <v>1970</v>
      </c>
      <c r="AH122" s="905" t="s">
        <v>1998</v>
      </c>
      <c r="AI122" s="905" t="s">
        <v>2026</v>
      </c>
      <c r="AJ122" s="963" t="s">
        <v>2054</v>
      </c>
      <c r="AK122" s="905" t="s">
        <v>2082</v>
      </c>
      <c r="AL122" s="905" t="s">
        <v>2110</v>
      </c>
      <c r="AM122" s="975"/>
      <c r="AN122" s="976"/>
      <c r="AO122" s="961"/>
      <c r="AP122" s="197"/>
      <c r="AQ122" s="197"/>
      <c r="AR122" s="197"/>
      <c r="AS122" s="197"/>
    </row>
    <row r="123" spans="1:45" s="4" customFormat="1" ht="15.75" customHeight="1" thickBot="1">
      <c r="A123" s="197"/>
      <c r="B123" s="406" t="s">
        <v>7445</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11976</v>
      </c>
      <c r="N123" s="197"/>
      <c r="O123" s="302"/>
      <c r="P123" s="197"/>
      <c r="Q123" s="828"/>
      <c r="R123" s="284"/>
      <c r="S123" s="828"/>
      <c r="T123" s="197"/>
      <c r="U123" s="197"/>
      <c r="V123" s="197"/>
      <c r="W123" s="197"/>
      <c r="X123" s="197"/>
      <c r="Y123" s="197"/>
      <c r="Z123" s="197"/>
      <c r="AA123" s="197"/>
      <c r="AB123" s="197"/>
      <c r="AC123" s="828"/>
      <c r="AD123" s="197"/>
      <c r="AE123" s="406" t="s">
        <v>7445</v>
      </c>
      <c r="AF123" s="965" t="s">
        <v>1943</v>
      </c>
      <c r="AG123" s="679" t="s">
        <v>1971</v>
      </c>
      <c r="AH123" s="679" t="s">
        <v>1999</v>
      </c>
      <c r="AI123" s="679" t="s">
        <v>2027</v>
      </c>
      <c r="AJ123" s="679" t="s">
        <v>2055</v>
      </c>
      <c r="AK123" s="679" t="s">
        <v>2083</v>
      </c>
      <c r="AL123" s="679" t="s">
        <v>2111</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9921</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11838</v>
      </c>
      <c r="C125" s="729"/>
      <c r="D125" s="1603"/>
      <c r="E125" s="1603"/>
      <c r="F125" s="1603"/>
      <c r="G125" s="1603"/>
      <c r="H125" s="1603"/>
      <c r="I125" s="1603"/>
      <c r="J125" s="1615"/>
      <c r="K125" s="1615"/>
      <c r="L125" s="197"/>
      <c r="M125" s="242" t="s">
        <v>9921</v>
      </c>
      <c r="N125" s="197"/>
      <c r="O125" s="197"/>
      <c r="P125" s="197"/>
      <c r="Q125" s="828"/>
      <c r="R125" s="284"/>
      <c r="S125" s="828"/>
      <c r="T125" s="197"/>
      <c r="U125" s="197"/>
      <c r="V125" s="197"/>
      <c r="W125" s="197"/>
      <c r="X125" s="197"/>
      <c r="Y125" s="197"/>
      <c r="Z125" s="197"/>
      <c r="AA125" s="197"/>
      <c r="AB125" s="197"/>
      <c r="AC125" s="828"/>
      <c r="AD125" s="197"/>
      <c r="AE125" s="393" t="s">
        <v>11838</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11839</v>
      </c>
      <c r="C126" s="2091">
        <v>0</v>
      </c>
      <c r="D126" s="694">
        <v>0</v>
      </c>
      <c r="E126" s="694">
        <v>0</v>
      </c>
      <c r="F126" s="694">
        <v>0</v>
      </c>
      <c r="G126" s="1595">
        <f t="shared" ref="G126:G133" si="63">IFERROR(SUM(C126:F126),0)</f>
        <v>0</v>
      </c>
      <c r="H126" s="694">
        <v>0</v>
      </c>
      <c r="I126" s="694">
        <v>0</v>
      </c>
      <c r="J126" s="1616"/>
      <c r="K126" s="1617"/>
      <c r="L126" s="197"/>
      <c r="M126" s="281" t="s">
        <v>11977</v>
      </c>
      <c r="N126" s="197"/>
      <c r="O126" s="283"/>
      <c r="P126" s="197"/>
      <c r="Q126" s="828"/>
      <c r="R126" s="284">
        <f t="shared" ref="R126:R132" si="64">IF( SUM( T126:AA126 ) = 0, 0, $T$10 )</f>
        <v>0</v>
      </c>
      <c r="S126" s="828"/>
      <c r="T126" s="285">
        <f t="shared" ref="T126:W132" si="65" xml:space="preserve"> IF( ISNUMBER(C126), 0, 1 )</f>
        <v>0</v>
      </c>
      <c r="U126" s="285">
        <f t="shared" si="65"/>
        <v>0</v>
      </c>
      <c r="V126" s="285">
        <f t="shared" si="65"/>
        <v>0</v>
      </c>
      <c r="W126" s="285">
        <f t="shared" si="65"/>
        <v>0</v>
      </c>
      <c r="X126" s="197"/>
      <c r="Y126" s="285">
        <f t="shared" ref="Y126:Z132" si="66" xml:space="preserve"> IF( ISNUMBER(H126), 0, 1 )</f>
        <v>0</v>
      </c>
      <c r="Z126" s="285">
        <f t="shared" si="66"/>
        <v>0</v>
      </c>
      <c r="AA126" s="197"/>
      <c r="AB126" s="197"/>
      <c r="AC126" s="828"/>
      <c r="AD126" s="197"/>
      <c r="AE126" s="396" t="s">
        <v>11839</v>
      </c>
      <c r="AF126" s="958" t="s">
        <v>1944</v>
      </c>
      <c r="AG126" s="904" t="s">
        <v>1972</v>
      </c>
      <c r="AH126" s="904" t="s">
        <v>2000</v>
      </c>
      <c r="AI126" s="904" t="s">
        <v>2028</v>
      </c>
      <c r="AJ126" s="959" t="s">
        <v>2056</v>
      </c>
      <c r="AK126" s="904" t="s">
        <v>2084</v>
      </c>
      <c r="AL126" s="904" t="s">
        <v>2112</v>
      </c>
      <c r="AM126" s="973"/>
      <c r="AN126" s="974"/>
      <c r="AO126" s="961"/>
      <c r="AP126" s="197"/>
      <c r="AQ126" s="197"/>
      <c r="AR126" s="197"/>
      <c r="AS126" s="197"/>
    </row>
    <row r="127" spans="1:45" s="4" customFormat="1" ht="15.75" customHeight="1">
      <c r="A127" s="197"/>
      <c r="B127" s="403" t="s">
        <v>11848</v>
      </c>
      <c r="C127" s="2092">
        <v>0</v>
      </c>
      <c r="D127" s="697">
        <v>0</v>
      </c>
      <c r="E127" s="697">
        <v>0</v>
      </c>
      <c r="F127" s="697">
        <v>0</v>
      </c>
      <c r="G127" s="1597">
        <f t="shared" si="63"/>
        <v>0</v>
      </c>
      <c r="H127" s="697">
        <v>0</v>
      </c>
      <c r="I127" s="697">
        <v>0</v>
      </c>
      <c r="J127" s="1618"/>
      <c r="K127" s="1619"/>
      <c r="L127" s="197"/>
      <c r="M127" s="290" t="s">
        <v>11978</v>
      </c>
      <c r="N127" s="197"/>
      <c r="O127" s="291"/>
      <c r="P127" s="197"/>
      <c r="Q127" s="828"/>
      <c r="R127" s="284">
        <f t="shared" si="64"/>
        <v>0</v>
      </c>
      <c r="S127" s="828"/>
      <c r="T127" s="285">
        <f t="shared" si="65"/>
        <v>0</v>
      </c>
      <c r="U127" s="285">
        <f t="shared" si="65"/>
        <v>0</v>
      </c>
      <c r="V127" s="285">
        <f t="shared" si="65"/>
        <v>0</v>
      </c>
      <c r="W127" s="285">
        <f t="shared" si="65"/>
        <v>0</v>
      </c>
      <c r="X127" s="197"/>
      <c r="Y127" s="285">
        <f t="shared" si="66"/>
        <v>0</v>
      </c>
      <c r="Z127" s="285">
        <f t="shared" si="66"/>
        <v>0</v>
      </c>
      <c r="AA127" s="197"/>
      <c r="AB127" s="197"/>
      <c r="AC127" s="828"/>
      <c r="AD127" s="197"/>
      <c r="AE127" s="403" t="s">
        <v>11848</v>
      </c>
      <c r="AF127" s="962" t="s">
        <v>1945</v>
      </c>
      <c r="AG127" s="905" t="s">
        <v>1973</v>
      </c>
      <c r="AH127" s="905" t="s">
        <v>2001</v>
      </c>
      <c r="AI127" s="905" t="s">
        <v>2029</v>
      </c>
      <c r="AJ127" s="963" t="s">
        <v>2057</v>
      </c>
      <c r="AK127" s="905" t="s">
        <v>2085</v>
      </c>
      <c r="AL127" s="905" t="s">
        <v>2113</v>
      </c>
      <c r="AM127" s="975"/>
      <c r="AN127" s="976"/>
      <c r="AO127" s="961"/>
      <c r="AP127" s="197"/>
      <c r="AQ127" s="197"/>
      <c r="AR127" s="197"/>
      <c r="AS127" s="197"/>
    </row>
    <row r="128" spans="1:45" s="4" customFormat="1" ht="15.75" customHeight="1">
      <c r="A128" s="197"/>
      <c r="B128" s="403" t="s">
        <v>11857</v>
      </c>
      <c r="C128" s="2092">
        <v>0</v>
      </c>
      <c r="D128" s="697">
        <v>0</v>
      </c>
      <c r="E128" s="697">
        <v>0</v>
      </c>
      <c r="F128" s="697">
        <v>0</v>
      </c>
      <c r="G128" s="1597">
        <f t="shared" si="63"/>
        <v>0</v>
      </c>
      <c r="H128" s="697">
        <v>0</v>
      </c>
      <c r="I128" s="697">
        <v>0</v>
      </c>
      <c r="J128" s="1618"/>
      <c r="K128" s="1619"/>
      <c r="L128" s="197"/>
      <c r="M128" s="290" t="s">
        <v>11979</v>
      </c>
      <c r="N128" s="197"/>
      <c r="O128" s="291"/>
      <c r="P128" s="197"/>
      <c r="Q128" s="828"/>
      <c r="R128" s="284">
        <f t="shared" si="64"/>
        <v>0</v>
      </c>
      <c r="S128" s="828"/>
      <c r="T128" s="285">
        <f t="shared" si="65"/>
        <v>0</v>
      </c>
      <c r="U128" s="285">
        <f t="shared" si="65"/>
        <v>0</v>
      </c>
      <c r="V128" s="285">
        <f t="shared" si="65"/>
        <v>0</v>
      </c>
      <c r="W128" s="285">
        <f t="shared" si="65"/>
        <v>0</v>
      </c>
      <c r="X128" s="197"/>
      <c r="Y128" s="285">
        <f t="shared" si="66"/>
        <v>0</v>
      </c>
      <c r="Z128" s="285">
        <f t="shared" si="66"/>
        <v>0</v>
      </c>
      <c r="AA128" s="197"/>
      <c r="AB128" s="197"/>
      <c r="AC128" s="828"/>
      <c r="AD128" s="197"/>
      <c r="AE128" s="403" t="s">
        <v>11857</v>
      </c>
      <c r="AF128" s="962" t="s">
        <v>1946</v>
      </c>
      <c r="AG128" s="905" t="s">
        <v>1974</v>
      </c>
      <c r="AH128" s="905" t="s">
        <v>2002</v>
      </c>
      <c r="AI128" s="905" t="s">
        <v>2030</v>
      </c>
      <c r="AJ128" s="963" t="s">
        <v>2058</v>
      </c>
      <c r="AK128" s="905" t="s">
        <v>2086</v>
      </c>
      <c r="AL128" s="905" t="s">
        <v>2114</v>
      </c>
      <c r="AM128" s="975"/>
      <c r="AN128" s="976"/>
      <c r="AO128" s="961"/>
      <c r="AP128" s="197"/>
      <c r="AQ128" s="197"/>
      <c r="AR128" s="197"/>
      <c r="AS128" s="197"/>
    </row>
    <row r="129" spans="1:45" s="4" customFormat="1" ht="15.75" customHeight="1">
      <c r="A129" s="197"/>
      <c r="B129" s="403" t="s">
        <v>11866</v>
      </c>
      <c r="C129" s="2092">
        <v>0</v>
      </c>
      <c r="D129" s="697">
        <v>0</v>
      </c>
      <c r="E129" s="697">
        <v>0</v>
      </c>
      <c r="F129" s="697">
        <v>0</v>
      </c>
      <c r="G129" s="1597">
        <f t="shared" si="63"/>
        <v>0</v>
      </c>
      <c r="H129" s="697">
        <v>0</v>
      </c>
      <c r="I129" s="697">
        <v>0</v>
      </c>
      <c r="J129" s="1618"/>
      <c r="K129" s="1619"/>
      <c r="L129" s="197"/>
      <c r="M129" s="290" t="s">
        <v>11980</v>
      </c>
      <c r="N129" s="197"/>
      <c r="O129" s="291"/>
      <c r="P129" s="200"/>
      <c r="Q129" s="935"/>
      <c r="R129" s="284">
        <f t="shared" si="64"/>
        <v>0</v>
      </c>
      <c r="S129" s="828"/>
      <c r="T129" s="285">
        <f t="shared" si="65"/>
        <v>0</v>
      </c>
      <c r="U129" s="285">
        <f t="shared" si="65"/>
        <v>0</v>
      </c>
      <c r="V129" s="285">
        <f t="shared" si="65"/>
        <v>0</v>
      </c>
      <c r="W129" s="285">
        <f t="shared" si="65"/>
        <v>0</v>
      </c>
      <c r="X129" s="197"/>
      <c r="Y129" s="285">
        <f t="shared" si="66"/>
        <v>0</v>
      </c>
      <c r="Z129" s="285">
        <f t="shared" si="66"/>
        <v>0</v>
      </c>
      <c r="AA129" s="197"/>
      <c r="AB129" s="197"/>
      <c r="AC129" s="828"/>
      <c r="AD129" s="197"/>
      <c r="AE129" s="403" t="s">
        <v>11866</v>
      </c>
      <c r="AF129" s="962" t="s">
        <v>1947</v>
      </c>
      <c r="AG129" s="905" t="s">
        <v>1975</v>
      </c>
      <c r="AH129" s="905" t="s">
        <v>2003</v>
      </c>
      <c r="AI129" s="905" t="s">
        <v>2031</v>
      </c>
      <c r="AJ129" s="963" t="s">
        <v>2059</v>
      </c>
      <c r="AK129" s="905" t="s">
        <v>2087</v>
      </c>
      <c r="AL129" s="905" t="s">
        <v>2115</v>
      </c>
      <c r="AM129" s="975"/>
      <c r="AN129" s="976"/>
      <c r="AO129" s="961"/>
      <c r="AP129" s="197"/>
      <c r="AQ129" s="197"/>
      <c r="AR129" s="197"/>
      <c r="AS129" s="197"/>
    </row>
    <row r="130" spans="1:45" s="4" customFormat="1" ht="15.75" customHeight="1">
      <c r="A130" s="197"/>
      <c r="B130" s="403" t="s">
        <v>11875</v>
      </c>
      <c r="C130" s="2092">
        <v>0</v>
      </c>
      <c r="D130" s="697">
        <v>0</v>
      </c>
      <c r="E130" s="697">
        <v>0</v>
      </c>
      <c r="F130" s="697">
        <v>0</v>
      </c>
      <c r="G130" s="1597">
        <f t="shared" si="63"/>
        <v>0</v>
      </c>
      <c r="H130" s="697">
        <v>0</v>
      </c>
      <c r="I130" s="697">
        <v>0</v>
      </c>
      <c r="J130" s="1618"/>
      <c r="K130" s="1619"/>
      <c r="L130" s="197"/>
      <c r="M130" s="290" t="s">
        <v>11981</v>
      </c>
      <c r="N130" s="197"/>
      <c r="O130" s="291"/>
      <c r="P130" s="200"/>
      <c r="Q130" s="935"/>
      <c r="R130" s="284">
        <f t="shared" si="64"/>
        <v>0</v>
      </c>
      <c r="S130" s="828"/>
      <c r="T130" s="285">
        <f t="shared" si="65"/>
        <v>0</v>
      </c>
      <c r="U130" s="285">
        <f t="shared" si="65"/>
        <v>0</v>
      </c>
      <c r="V130" s="285">
        <f t="shared" si="65"/>
        <v>0</v>
      </c>
      <c r="W130" s="285">
        <f t="shared" si="65"/>
        <v>0</v>
      </c>
      <c r="X130" s="197"/>
      <c r="Y130" s="285">
        <f t="shared" si="66"/>
        <v>0</v>
      </c>
      <c r="Z130" s="285">
        <f t="shared" si="66"/>
        <v>0</v>
      </c>
      <c r="AA130" s="197"/>
      <c r="AB130" s="197"/>
      <c r="AC130" s="828"/>
      <c r="AD130" s="197"/>
      <c r="AE130" s="403" t="s">
        <v>11875</v>
      </c>
      <c r="AF130" s="962" t="s">
        <v>1948</v>
      </c>
      <c r="AG130" s="905" t="s">
        <v>1976</v>
      </c>
      <c r="AH130" s="905" t="s">
        <v>2004</v>
      </c>
      <c r="AI130" s="905" t="s">
        <v>2032</v>
      </c>
      <c r="AJ130" s="963" t="s">
        <v>2060</v>
      </c>
      <c r="AK130" s="905" t="s">
        <v>2088</v>
      </c>
      <c r="AL130" s="905" t="s">
        <v>2116</v>
      </c>
      <c r="AM130" s="975"/>
      <c r="AN130" s="976"/>
      <c r="AO130" s="961"/>
      <c r="AP130" s="197"/>
      <c r="AQ130" s="197"/>
      <c r="AR130" s="197"/>
      <c r="AS130" s="197"/>
    </row>
    <row r="131" spans="1:45" s="4" customFormat="1" ht="15.75" customHeight="1">
      <c r="A131" s="197"/>
      <c r="B131" s="403" t="s">
        <v>11884</v>
      </c>
      <c r="C131" s="2092">
        <v>0</v>
      </c>
      <c r="D131" s="697">
        <v>0</v>
      </c>
      <c r="E131" s="697">
        <v>0</v>
      </c>
      <c r="F131" s="697">
        <v>0</v>
      </c>
      <c r="G131" s="1597">
        <f t="shared" si="63"/>
        <v>0</v>
      </c>
      <c r="H131" s="697">
        <v>0</v>
      </c>
      <c r="I131" s="697">
        <v>0</v>
      </c>
      <c r="J131" s="1618"/>
      <c r="K131" s="1619"/>
      <c r="L131" s="197"/>
      <c r="M131" s="290" t="s">
        <v>11982</v>
      </c>
      <c r="N131" s="197"/>
      <c r="O131" s="291"/>
      <c r="P131" s="200"/>
      <c r="Q131" s="935"/>
      <c r="R131" s="284">
        <f t="shared" si="64"/>
        <v>0</v>
      </c>
      <c r="S131" s="828"/>
      <c r="T131" s="285">
        <f t="shared" si="65"/>
        <v>0</v>
      </c>
      <c r="U131" s="285">
        <f t="shared" si="65"/>
        <v>0</v>
      </c>
      <c r="V131" s="285">
        <f t="shared" si="65"/>
        <v>0</v>
      </c>
      <c r="W131" s="285">
        <f t="shared" si="65"/>
        <v>0</v>
      </c>
      <c r="X131" s="197"/>
      <c r="Y131" s="285">
        <f t="shared" si="66"/>
        <v>0</v>
      </c>
      <c r="Z131" s="285">
        <f t="shared" si="66"/>
        <v>0</v>
      </c>
      <c r="AA131" s="197"/>
      <c r="AB131" s="197"/>
      <c r="AC131" s="828"/>
      <c r="AD131" s="197"/>
      <c r="AE131" s="403" t="s">
        <v>11884</v>
      </c>
      <c r="AF131" s="962" t="s">
        <v>1949</v>
      </c>
      <c r="AG131" s="905" t="s">
        <v>1977</v>
      </c>
      <c r="AH131" s="905" t="s">
        <v>2005</v>
      </c>
      <c r="AI131" s="905" t="s">
        <v>2033</v>
      </c>
      <c r="AJ131" s="963" t="s">
        <v>2061</v>
      </c>
      <c r="AK131" s="905" t="s">
        <v>2089</v>
      </c>
      <c r="AL131" s="905" t="s">
        <v>2117</v>
      </c>
      <c r="AM131" s="975"/>
      <c r="AN131" s="976"/>
      <c r="AO131" s="961"/>
      <c r="AP131" s="197"/>
      <c r="AQ131" s="197"/>
      <c r="AR131" s="197"/>
      <c r="AS131" s="197"/>
    </row>
    <row r="132" spans="1:45" s="4" customFormat="1" ht="15.75" customHeight="1">
      <c r="A132" s="197"/>
      <c r="B132" s="403" t="s">
        <v>11893</v>
      </c>
      <c r="C132" s="2092">
        <v>0</v>
      </c>
      <c r="D132" s="697">
        <v>0</v>
      </c>
      <c r="E132" s="697">
        <v>0</v>
      </c>
      <c r="F132" s="697">
        <v>0</v>
      </c>
      <c r="G132" s="1597">
        <f t="shared" si="63"/>
        <v>0</v>
      </c>
      <c r="H132" s="697">
        <v>0</v>
      </c>
      <c r="I132" s="697">
        <v>0</v>
      </c>
      <c r="J132" s="1618"/>
      <c r="K132" s="1619"/>
      <c r="L132" s="197"/>
      <c r="M132" s="290" t="s">
        <v>11983</v>
      </c>
      <c r="N132" s="197"/>
      <c r="O132" s="291"/>
      <c r="P132" s="197"/>
      <c r="Q132" s="828"/>
      <c r="R132" s="284">
        <f t="shared" si="64"/>
        <v>0</v>
      </c>
      <c r="S132" s="828"/>
      <c r="T132" s="285">
        <f t="shared" si="65"/>
        <v>0</v>
      </c>
      <c r="U132" s="285">
        <f t="shared" si="65"/>
        <v>0</v>
      </c>
      <c r="V132" s="285">
        <f t="shared" si="65"/>
        <v>0</v>
      </c>
      <c r="W132" s="285">
        <f t="shared" si="65"/>
        <v>0</v>
      </c>
      <c r="X132" s="197"/>
      <c r="Y132" s="285">
        <f t="shared" si="66"/>
        <v>0</v>
      </c>
      <c r="Z132" s="285">
        <f t="shared" si="66"/>
        <v>0</v>
      </c>
      <c r="AA132" s="197"/>
      <c r="AB132" s="197"/>
      <c r="AC132" s="828"/>
      <c r="AD132" s="197"/>
      <c r="AE132" s="403" t="s">
        <v>11893</v>
      </c>
      <c r="AF132" s="962" t="s">
        <v>1950</v>
      </c>
      <c r="AG132" s="905" t="s">
        <v>1978</v>
      </c>
      <c r="AH132" s="905" t="s">
        <v>2006</v>
      </c>
      <c r="AI132" s="905" t="s">
        <v>2034</v>
      </c>
      <c r="AJ132" s="963" t="s">
        <v>2062</v>
      </c>
      <c r="AK132" s="905" t="s">
        <v>2090</v>
      </c>
      <c r="AL132" s="905" t="s">
        <v>2118</v>
      </c>
      <c r="AM132" s="975"/>
      <c r="AN132" s="976"/>
      <c r="AO132" s="961"/>
      <c r="AP132" s="197"/>
      <c r="AQ132" s="197"/>
      <c r="AR132" s="197"/>
      <c r="AS132" s="197"/>
    </row>
    <row r="133" spans="1:45" s="4" customFormat="1" ht="15.75" customHeight="1" thickBot="1">
      <c r="A133" s="197"/>
      <c r="B133" s="406" t="s">
        <v>7445</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11984</v>
      </c>
      <c r="N133" s="197"/>
      <c r="O133" s="302"/>
      <c r="P133" s="197"/>
      <c r="Q133" s="828"/>
      <c r="R133" s="284"/>
      <c r="S133" s="828"/>
      <c r="T133" s="197"/>
      <c r="U133" s="197"/>
      <c r="V133" s="197"/>
      <c r="W133" s="197"/>
      <c r="X133" s="197"/>
      <c r="Y133" s="197"/>
      <c r="Z133" s="197"/>
      <c r="AA133" s="197"/>
      <c r="AB133" s="197"/>
      <c r="AC133" s="828"/>
      <c r="AD133" s="197"/>
      <c r="AE133" s="406" t="s">
        <v>7445</v>
      </c>
      <c r="AF133" s="965" t="s">
        <v>1951</v>
      </c>
      <c r="AG133" s="679" t="s">
        <v>1979</v>
      </c>
      <c r="AH133" s="679" t="s">
        <v>2007</v>
      </c>
      <c r="AI133" s="679" t="s">
        <v>2035</v>
      </c>
      <c r="AJ133" s="679" t="s">
        <v>2063</v>
      </c>
      <c r="AK133" s="679" t="s">
        <v>2091</v>
      </c>
      <c r="AL133" s="679" t="s">
        <v>2119</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9921</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11910</v>
      </c>
      <c r="C135" s="729"/>
      <c r="D135" s="1603"/>
      <c r="E135" s="1603"/>
      <c r="F135" s="1603"/>
      <c r="G135" s="1603"/>
      <c r="H135" s="1603"/>
      <c r="I135" s="1603"/>
      <c r="J135" s="1615"/>
      <c r="K135" s="1615"/>
      <c r="L135" s="197"/>
      <c r="M135" s="260" t="s">
        <v>9921</v>
      </c>
      <c r="N135" s="197"/>
      <c r="O135" s="197"/>
      <c r="P135" s="197"/>
      <c r="Q135" s="828"/>
      <c r="R135" s="284"/>
      <c r="S135" s="828"/>
      <c r="T135" s="197"/>
      <c r="U135" s="197"/>
      <c r="V135" s="197"/>
      <c r="W135" s="197"/>
      <c r="X135" s="197"/>
      <c r="Y135" s="197"/>
      <c r="Z135" s="197"/>
      <c r="AA135" s="197"/>
      <c r="AB135" s="197"/>
      <c r="AC135" s="828"/>
      <c r="AD135" s="197"/>
      <c r="AE135" s="393" t="s">
        <v>11910</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11910</v>
      </c>
      <c r="C136" s="701">
        <v>0</v>
      </c>
      <c r="D136" s="701">
        <v>0</v>
      </c>
      <c r="E136" s="701">
        <v>0</v>
      </c>
      <c r="F136" s="701">
        <v>0</v>
      </c>
      <c r="G136" s="1586">
        <f>IFERROR(SUM(C136:F136),0)</f>
        <v>0</v>
      </c>
      <c r="H136" s="701">
        <v>0</v>
      </c>
      <c r="I136" s="701">
        <v>0</v>
      </c>
      <c r="J136" s="1620"/>
      <c r="K136" s="1621"/>
      <c r="L136" s="197"/>
      <c r="M136" s="374" t="s">
        <v>11985</v>
      </c>
      <c r="N136" s="197"/>
      <c r="O136" s="982"/>
      <c r="P136" s="389"/>
      <c r="Q136" s="825"/>
      <c r="R136" s="284">
        <f>IF( SUM( T136:AA136 ) = 0, 0, $T$10 )</f>
        <v>0</v>
      </c>
      <c r="S136" s="825"/>
      <c r="T136" s="285">
        <f xml:space="preserve"> IF( ISNUMBER(C136), 0, 1 )</f>
        <v>0</v>
      </c>
      <c r="U136" s="285">
        <f xml:space="preserve"> IF( ISNUMBER(D136), 0, 1 )</f>
        <v>0</v>
      </c>
      <c r="V136" s="285">
        <f xml:space="preserve"> IF( ISNUMBER(E136), 0, 1 )</f>
        <v>0</v>
      </c>
      <c r="W136" s="285">
        <f xml:space="preserve"> IF( ISNUMBER(F136), 0, 1 )</f>
        <v>0</v>
      </c>
      <c r="X136" s="197"/>
      <c r="Y136" s="285">
        <f xml:space="preserve"> IF( ISNUMBER(H136), 0, 1 )</f>
        <v>0</v>
      </c>
      <c r="Z136" s="285">
        <f xml:space="preserve"> IF( ISNUMBER(I136), 0, 1 )</f>
        <v>0</v>
      </c>
      <c r="AA136" s="197"/>
      <c r="AB136" s="197"/>
      <c r="AC136" s="825"/>
      <c r="AD136" s="389"/>
      <c r="AE136" s="420" t="s">
        <v>11910</v>
      </c>
      <c r="AF136" s="978" t="s">
        <v>1952</v>
      </c>
      <c r="AG136" s="978" t="s">
        <v>1980</v>
      </c>
      <c r="AH136" s="978" t="s">
        <v>2008</v>
      </c>
      <c r="AI136" s="978" t="s">
        <v>2036</v>
      </c>
      <c r="AJ136" s="979" t="s">
        <v>2064</v>
      </c>
      <c r="AK136" s="978" t="s">
        <v>2092</v>
      </c>
      <c r="AL136" s="978" t="s">
        <v>2120</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9921</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11919</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11986</v>
      </c>
      <c r="N138" s="197"/>
      <c r="O138" s="982"/>
      <c r="P138" s="389"/>
      <c r="Q138" s="825"/>
      <c r="R138" s="284"/>
      <c r="S138" s="825"/>
      <c r="T138" s="197"/>
      <c r="U138" s="197"/>
      <c r="V138" s="197"/>
      <c r="W138" s="197"/>
      <c r="X138" s="197"/>
      <c r="Y138" s="197"/>
      <c r="Z138" s="197"/>
      <c r="AA138" s="197"/>
      <c r="AB138" s="197"/>
      <c r="AC138" s="825"/>
      <c r="AD138" s="389"/>
      <c r="AE138" s="420" t="s">
        <v>11919</v>
      </c>
      <c r="AF138" s="985" t="s">
        <v>1953</v>
      </c>
      <c r="AG138" s="372" t="s">
        <v>1981</v>
      </c>
      <c r="AH138" s="372" t="s">
        <v>2009</v>
      </c>
      <c r="AI138" s="372" t="s">
        <v>2037</v>
      </c>
      <c r="AJ138" s="372" t="s">
        <v>2065</v>
      </c>
      <c r="AK138" s="372" t="s">
        <v>2093</v>
      </c>
      <c r="AL138" s="372" t="s">
        <v>2121</v>
      </c>
      <c r="AM138" s="986"/>
      <c r="AN138" s="987"/>
      <c r="AO138" s="961"/>
      <c r="AP138" s="389"/>
      <c r="AQ138" s="389"/>
      <c r="AR138" s="389"/>
      <c r="AS138" s="389"/>
    </row>
    <row r="139" spans="1:45" s="4" customFormat="1" ht="17.25"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5.95" customHeight="1" thickTop="1">
      <c r="A140" s="197"/>
      <c r="B140" s="2711" t="s">
        <v>7224</v>
      </c>
      <c r="C140" s="2673" t="s">
        <v>11987</v>
      </c>
      <c r="D140" s="2673"/>
      <c r="E140" s="2673"/>
      <c r="F140" s="2673"/>
      <c r="G140" s="2673"/>
      <c r="H140" s="2673"/>
      <c r="I140" s="2673"/>
      <c r="J140" s="2673"/>
      <c r="K140" s="2675"/>
      <c r="L140" s="651"/>
      <c r="M140" s="197"/>
      <c r="N140" s="197"/>
      <c r="O140" s="197"/>
      <c r="P140" s="651"/>
      <c r="Q140" s="907"/>
      <c r="R140" s="284"/>
      <c r="S140" s="907"/>
      <c r="T140" s="651"/>
      <c r="U140" s="651"/>
      <c r="V140" s="651"/>
      <c r="W140" s="651"/>
      <c r="X140" s="651"/>
      <c r="Y140" s="651"/>
      <c r="Z140" s="651"/>
      <c r="AA140" s="651"/>
      <c r="AB140" s="651"/>
      <c r="AC140" s="907"/>
      <c r="AD140" s="651"/>
      <c r="AE140" s="2711" t="s">
        <v>7224</v>
      </c>
      <c r="AF140" s="2673" t="s">
        <v>11987</v>
      </c>
      <c r="AG140" s="2673"/>
      <c r="AH140" s="2673"/>
      <c r="AI140" s="2673"/>
      <c r="AJ140" s="2673"/>
      <c r="AK140" s="2673"/>
      <c r="AL140" s="2673"/>
      <c r="AM140" s="2673"/>
      <c r="AN140" s="2675"/>
      <c r="AO140" s="317"/>
      <c r="AP140" s="197"/>
      <c r="AQ140" s="197"/>
      <c r="AR140" s="197"/>
      <c r="AS140" s="197"/>
    </row>
    <row r="141" spans="1:45" s="4" customFormat="1">
      <c r="A141" s="197"/>
      <c r="B141" s="2795"/>
      <c r="C141" s="2796" t="s">
        <v>11650</v>
      </c>
      <c r="D141" s="2796"/>
      <c r="E141" s="2796"/>
      <c r="F141" s="2796"/>
      <c r="G141" s="2796" t="s">
        <v>11651</v>
      </c>
      <c r="H141" s="2796"/>
      <c r="I141" s="2796" t="s">
        <v>11652</v>
      </c>
      <c r="J141" s="2796" t="s">
        <v>11653</v>
      </c>
      <c r="K141" s="2837"/>
      <c r="L141" s="197"/>
      <c r="M141" s="197"/>
      <c r="N141" s="197"/>
      <c r="O141" s="197"/>
      <c r="P141" s="197"/>
      <c r="Q141" s="828"/>
      <c r="R141" s="284"/>
      <c r="S141" s="828"/>
      <c r="T141" s="197"/>
      <c r="U141" s="197"/>
      <c r="V141" s="197"/>
      <c r="W141" s="197"/>
      <c r="X141" s="197"/>
      <c r="Y141" s="197"/>
      <c r="Z141" s="197"/>
      <c r="AA141" s="197"/>
      <c r="AB141" s="197"/>
      <c r="AC141" s="828"/>
      <c r="AD141" s="197"/>
      <c r="AE141" s="2795"/>
      <c r="AF141" s="2796" t="s">
        <v>11650</v>
      </c>
      <c r="AG141" s="2796"/>
      <c r="AH141" s="2796"/>
      <c r="AI141" s="2796"/>
      <c r="AJ141" s="2796" t="s">
        <v>11651</v>
      </c>
      <c r="AK141" s="2796"/>
      <c r="AL141" s="2796" t="s">
        <v>11652</v>
      </c>
      <c r="AM141" s="2796" t="s">
        <v>11653</v>
      </c>
      <c r="AN141" s="2837"/>
      <c r="AO141" s="317"/>
      <c r="AP141" s="197"/>
      <c r="AQ141" s="197"/>
      <c r="AR141" s="197"/>
      <c r="AS141" s="197"/>
    </row>
    <row r="142" spans="1:45" s="4" customFormat="1" ht="30">
      <c r="A142" s="197"/>
      <c r="B142" s="2795"/>
      <c r="C142" s="427" t="s">
        <v>11654</v>
      </c>
      <c r="D142" s="427" t="s">
        <v>11655</v>
      </c>
      <c r="E142" s="427" t="s">
        <v>11656</v>
      </c>
      <c r="F142" s="427" t="s">
        <v>11657</v>
      </c>
      <c r="G142" s="427" t="s">
        <v>11658</v>
      </c>
      <c r="H142" s="427" t="s">
        <v>11659</v>
      </c>
      <c r="I142" s="2796"/>
      <c r="J142" s="427" t="s">
        <v>11660</v>
      </c>
      <c r="K142" s="428" t="s">
        <v>11661</v>
      </c>
      <c r="L142" s="197"/>
      <c r="M142" s="197"/>
      <c r="N142" s="197"/>
      <c r="O142" s="197"/>
      <c r="P142" s="197"/>
      <c r="Q142" s="828"/>
      <c r="R142" s="284"/>
      <c r="S142" s="828"/>
      <c r="T142" s="197"/>
      <c r="U142" s="197"/>
      <c r="V142" s="197"/>
      <c r="W142" s="197"/>
      <c r="X142" s="197"/>
      <c r="Y142" s="197"/>
      <c r="Z142" s="197"/>
      <c r="AA142" s="197"/>
      <c r="AB142" s="197"/>
      <c r="AC142" s="828"/>
      <c r="AD142" s="197"/>
      <c r="AE142" s="2795"/>
      <c r="AF142" s="427" t="s">
        <v>11654</v>
      </c>
      <c r="AG142" s="427" t="s">
        <v>11655</v>
      </c>
      <c r="AH142" s="427" t="s">
        <v>11656</v>
      </c>
      <c r="AI142" s="427" t="s">
        <v>11657</v>
      </c>
      <c r="AJ142" s="427" t="s">
        <v>11658</v>
      </c>
      <c r="AK142" s="427" t="s">
        <v>11659</v>
      </c>
      <c r="AL142" s="2796"/>
      <c r="AM142" s="427" t="s">
        <v>11660</v>
      </c>
      <c r="AN142" s="428" t="s">
        <v>11661</v>
      </c>
      <c r="AO142" s="317"/>
      <c r="AP142" s="197"/>
      <c r="AQ142" s="197"/>
      <c r="AR142" s="197"/>
      <c r="AS142" s="197"/>
    </row>
    <row r="143" spans="1:45" s="4" customFormat="1" ht="15.95" customHeight="1">
      <c r="A143" s="197"/>
      <c r="B143" s="429" t="s">
        <v>7225</v>
      </c>
      <c r="C143" s="427" t="s">
        <v>681</v>
      </c>
      <c r="D143" s="427" t="s">
        <v>681</v>
      </c>
      <c r="E143" s="427" t="s">
        <v>681</v>
      </c>
      <c r="F143" s="427" t="s">
        <v>681</v>
      </c>
      <c r="G143" s="427" t="s">
        <v>681</v>
      </c>
      <c r="H143" s="427" t="s">
        <v>681</v>
      </c>
      <c r="I143" s="427" t="s">
        <v>681</v>
      </c>
      <c r="J143" s="427" t="s">
        <v>3137</v>
      </c>
      <c r="K143" s="428" t="s">
        <v>3137</v>
      </c>
      <c r="L143" s="197"/>
      <c r="M143" s="197"/>
      <c r="N143" s="197"/>
      <c r="O143" s="197"/>
      <c r="P143" s="197"/>
      <c r="Q143" s="828"/>
      <c r="R143" s="284"/>
      <c r="S143" s="828"/>
      <c r="T143" s="197"/>
      <c r="U143" s="197"/>
      <c r="V143" s="197"/>
      <c r="W143" s="197"/>
      <c r="X143" s="197"/>
      <c r="Y143" s="197"/>
      <c r="Z143" s="197"/>
      <c r="AA143" s="197"/>
      <c r="AB143" s="197"/>
      <c r="AC143" s="828"/>
      <c r="AD143" s="197"/>
      <c r="AE143" s="429" t="s">
        <v>7225</v>
      </c>
      <c r="AF143" s="427" t="s">
        <v>681</v>
      </c>
      <c r="AG143" s="427" t="s">
        <v>681</v>
      </c>
      <c r="AH143" s="427" t="s">
        <v>681</v>
      </c>
      <c r="AI143" s="427" t="s">
        <v>681</v>
      </c>
      <c r="AJ143" s="427" t="s">
        <v>681</v>
      </c>
      <c r="AK143" s="427" t="s">
        <v>681</v>
      </c>
      <c r="AL143" s="427" t="s">
        <v>681</v>
      </c>
      <c r="AM143" s="427" t="s">
        <v>3137</v>
      </c>
      <c r="AN143" s="428" t="s">
        <v>3137</v>
      </c>
      <c r="AO143" s="317"/>
      <c r="AP143" s="197"/>
      <c r="AQ143" s="197"/>
      <c r="AR143" s="197"/>
      <c r="AS143" s="197"/>
    </row>
    <row r="144" spans="1:45" s="4" customFormat="1" ht="16.5" thickBot="1">
      <c r="A144" s="197"/>
      <c r="B144" s="430" t="s">
        <v>670</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668" t="s">
        <v>7223</v>
      </c>
      <c r="U144" s="2668"/>
      <c r="V144" s="2819"/>
      <c r="W144" s="2819"/>
      <c r="X144" s="2819"/>
      <c r="Y144" s="2819"/>
      <c r="Z144" s="2819"/>
      <c r="AA144" s="2819"/>
      <c r="AB144" s="247"/>
      <c r="AC144" s="828"/>
      <c r="AD144" s="197"/>
      <c r="AE144" s="430" t="s">
        <v>670</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7.25"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7231</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11662</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11662</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11663</v>
      </c>
      <c r="C147" s="2091">
        <v>0</v>
      </c>
      <c r="D147" s="694">
        <v>0</v>
      </c>
      <c r="E147" s="694">
        <v>0</v>
      </c>
      <c r="F147" s="694">
        <v>0</v>
      </c>
      <c r="G147" s="1595">
        <f t="shared" ref="G147:G154" si="67">IFERROR(SUM(C147:F147),0)</f>
        <v>0</v>
      </c>
      <c r="H147" s="2091">
        <v>0</v>
      </c>
      <c r="I147" s="694">
        <v>0</v>
      </c>
      <c r="J147" s="1609">
        <v>0</v>
      </c>
      <c r="K147" s="1610">
        <v>0</v>
      </c>
      <c r="L147" s="197"/>
      <c r="M147" s="281" t="s">
        <v>11988</v>
      </c>
      <c r="N147" s="197"/>
      <c r="O147" s="283"/>
      <c r="P147" s="197"/>
      <c r="Q147" s="828"/>
      <c r="R147" s="284">
        <f t="shared" ref="R147:R153" si="68">IF( SUM( T147:AA147 ) = 0, 0, $T$10 )</f>
        <v>0</v>
      </c>
      <c r="S147" s="828"/>
      <c r="T147" s="285">
        <f t="shared" ref="T147:W153" si="69" xml:space="preserve"> IF( ISNUMBER(C147), 0, 1 )</f>
        <v>0</v>
      </c>
      <c r="U147" s="285">
        <f t="shared" si="69"/>
        <v>0</v>
      </c>
      <c r="V147" s="285">
        <f t="shared" si="69"/>
        <v>0</v>
      </c>
      <c r="W147" s="285">
        <f t="shared" si="69"/>
        <v>0</v>
      </c>
      <c r="X147" s="197"/>
      <c r="Y147" s="285">
        <f t="shared" ref="Y147:AB153" si="70" xml:space="preserve"> IF( ISNUMBER(H147), 0, 1 )</f>
        <v>0</v>
      </c>
      <c r="Z147" s="285">
        <f t="shared" si="70"/>
        <v>0</v>
      </c>
      <c r="AA147" s="285">
        <f t="shared" si="70"/>
        <v>0</v>
      </c>
      <c r="AB147" s="285">
        <f t="shared" si="70"/>
        <v>0</v>
      </c>
      <c r="AC147" s="828"/>
      <c r="AD147" s="197"/>
      <c r="AE147" s="396" t="s">
        <v>11663</v>
      </c>
      <c r="AF147" s="958" t="s">
        <v>2136</v>
      </c>
      <c r="AG147" s="904" t="s">
        <v>2164</v>
      </c>
      <c r="AH147" s="904" t="s">
        <v>2192</v>
      </c>
      <c r="AI147" s="904" t="s">
        <v>2220</v>
      </c>
      <c r="AJ147" s="959" t="s">
        <v>2248</v>
      </c>
      <c r="AK147" s="958" t="s">
        <v>2276</v>
      </c>
      <c r="AL147" s="904" t="s">
        <v>2304</v>
      </c>
      <c r="AM147" s="904" t="s">
        <v>2332</v>
      </c>
      <c r="AN147" s="960" t="s">
        <v>2339</v>
      </c>
      <c r="AO147" s="961"/>
      <c r="AP147" s="197"/>
      <c r="AQ147" s="197"/>
      <c r="AR147" s="197"/>
      <c r="AS147" s="197"/>
    </row>
    <row r="148" spans="1:45" s="4" customFormat="1" ht="15.75" customHeight="1">
      <c r="A148" s="197"/>
      <c r="B148" s="403" t="s">
        <v>11674</v>
      </c>
      <c r="C148" s="2092">
        <v>0</v>
      </c>
      <c r="D148" s="697">
        <v>0</v>
      </c>
      <c r="E148" s="697">
        <v>0</v>
      </c>
      <c r="F148" s="697">
        <v>0</v>
      </c>
      <c r="G148" s="1597">
        <f t="shared" si="67"/>
        <v>0</v>
      </c>
      <c r="H148" s="2092">
        <v>0</v>
      </c>
      <c r="I148" s="697">
        <v>0</v>
      </c>
      <c r="J148" s="1611">
        <v>0</v>
      </c>
      <c r="K148" s="1612">
        <v>0</v>
      </c>
      <c r="L148" s="197"/>
      <c r="M148" s="290" t="s">
        <v>11989</v>
      </c>
      <c r="N148" s="197"/>
      <c r="O148" s="291"/>
      <c r="P148" s="197"/>
      <c r="Q148" s="828"/>
      <c r="R148" s="284">
        <f t="shared" si="68"/>
        <v>0</v>
      </c>
      <c r="S148" s="828"/>
      <c r="T148" s="285">
        <f t="shared" si="69"/>
        <v>0</v>
      </c>
      <c r="U148" s="285">
        <f t="shared" si="69"/>
        <v>0</v>
      </c>
      <c r="V148" s="285">
        <f t="shared" si="69"/>
        <v>0</v>
      </c>
      <c r="W148" s="285">
        <f t="shared" si="69"/>
        <v>0</v>
      </c>
      <c r="X148" s="197"/>
      <c r="Y148" s="285">
        <f t="shared" si="70"/>
        <v>0</v>
      </c>
      <c r="Z148" s="285">
        <f t="shared" si="70"/>
        <v>0</v>
      </c>
      <c r="AA148" s="285">
        <f t="shared" si="70"/>
        <v>0</v>
      </c>
      <c r="AB148" s="285">
        <f t="shared" si="70"/>
        <v>0</v>
      </c>
      <c r="AC148" s="828"/>
      <c r="AD148" s="197"/>
      <c r="AE148" s="403" t="s">
        <v>11674</v>
      </c>
      <c r="AF148" s="962" t="s">
        <v>2137</v>
      </c>
      <c r="AG148" s="905" t="s">
        <v>2165</v>
      </c>
      <c r="AH148" s="905" t="s">
        <v>2193</v>
      </c>
      <c r="AI148" s="905" t="s">
        <v>2221</v>
      </c>
      <c r="AJ148" s="963" t="s">
        <v>2249</v>
      </c>
      <c r="AK148" s="962" t="s">
        <v>2277</v>
      </c>
      <c r="AL148" s="905" t="s">
        <v>2305</v>
      </c>
      <c r="AM148" s="905" t="s">
        <v>2333</v>
      </c>
      <c r="AN148" s="964" t="s">
        <v>2340</v>
      </c>
      <c r="AO148" s="961"/>
      <c r="AP148" s="197"/>
      <c r="AQ148" s="197"/>
      <c r="AR148" s="197"/>
      <c r="AS148" s="197"/>
    </row>
    <row r="149" spans="1:45" s="4" customFormat="1" ht="15.75" customHeight="1">
      <c r="A149" s="197"/>
      <c r="B149" s="403" t="s">
        <v>11685</v>
      </c>
      <c r="C149" s="2092">
        <v>0</v>
      </c>
      <c r="D149" s="697">
        <v>0</v>
      </c>
      <c r="E149" s="697">
        <v>0</v>
      </c>
      <c r="F149" s="697">
        <v>0</v>
      </c>
      <c r="G149" s="1597">
        <f t="shared" si="67"/>
        <v>0</v>
      </c>
      <c r="H149" s="2092">
        <v>0</v>
      </c>
      <c r="I149" s="697">
        <v>0</v>
      </c>
      <c r="J149" s="1611">
        <v>0</v>
      </c>
      <c r="K149" s="1612">
        <v>0</v>
      </c>
      <c r="L149" s="197"/>
      <c r="M149" s="290" t="s">
        <v>11990</v>
      </c>
      <c r="N149" s="197"/>
      <c r="O149" s="291"/>
      <c r="P149" s="197"/>
      <c r="Q149" s="828"/>
      <c r="R149" s="284">
        <f t="shared" si="68"/>
        <v>0</v>
      </c>
      <c r="S149" s="828"/>
      <c r="T149" s="285">
        <f t="shared" si="69"/>
        <v>0</v>
      </c>
      <c r="U149" s="285">
        <f t="shared" si="69"/>
        <v>0</v>
      </c>
      <c r="V149" s="285">
        <f t="shared" si="69"/>
        <v>0</v>
      </c>
      <c r="W149" s="285">
        <f t="shared" si="69"/>
        <v>0</v>
      </c>
      <c r="X149" s="197"/>
      <c r="Y149" s="285">
        <f t="shared" si="70"/>
        <v>0</v>
      </c>
      <c r="Z149" s="285">
        <f t="shared" si="70"/>
        <v>0</v>
      </c>
      <c r="AA149" s="285">
        <f t="shared" si="70"/>
        <v>0</v>
      </c>
      <c r="AB149" s="285">
        <f t="shared" si="70"/>
        <v>0</v>
      </c>
      <c r="AC149" s="828"/>
      <c r="AD149" s="197"/>
      <c r="AE149" s="403" t="s">
        <v>11685</v>
      </c>
      <c r="AF149" s="962" t="s">
        <v>2138</v>
      </c>
      <c r="AG149" s="905" t="s">
        <v>2166</v>
      </c>
      <c r="AH149" s="905" t="s">
        <v>2194</v>
      </c>
      <c r="AI149" s="905" t="s">
        <v>2222</v>
      </c>
      <c r="AJ149" s="963" t="s">
        <v>2250</v>
      </c>
      <c r="AK149" s="962" t="s">
        <v>2278</v>
      </c>
      <c r="AL149" s="905" t="s">
        <v>2306</v>
      </c>
      <c r="AM149" s="905" t="s">
        <v>2334</v>
      </c>
      <c r="AN149" s="964" t="s">
        <v>2341</v>
      </c>
      <c r="AO149" s="961"/>
      <c r="AP149" s="197"/>
      <c r="AQ149" s="197"/>
      <c r="AR149" s="197"/>
      <c r="AS149" s="197"/>
    </row>
    <row r="150" spans="1:45" s="4" customFormat="1" ht="15.75" customHeight="1">
      <c r="A150" s="197"/>
      <c r="B150" s="403" t="s">
        <v>11696</v>
      </c>
      <c r="C150" s="2092">
        <v>0</v>
      </c>
      <c r="D150" s="697">
        <v>0</v>
      </c>
      <c r="E150" s="697">
        <v>0</v>
      </c>
      <c r="F150" s="697">
        <v>0</v>
      </c>
      <c r="G150" s="1597">
        <f t="shared" si="67"/>
        <v>0</v>
      </c>
      <c r="H150" s="2092">
        <v>0</v>
      </c>
      <c r="I150" s="697">
        <v>0</v>
      </c>
      <c r="J150" s="1611">
        <v>0</v>
      </c>
      <c r="K150" s="1612">
        <v>0</v>
      </c>
      <c r="L150" s="197"/>
      <c r="M150" s="290" t="s">
        <v>11991</v>
      </c>
      <c r="N150" s="197"/>
      <c r="O150" s="291"/>
      <c r="P150" s="197"/>
      <c r="Q150" s="828"/>
      <c r="R150" s="284">
        <f t="shared" si="68"/>
        <v>0</v>
      </c>
      <c r="S150" s="828"/>
      <c r="T150" s="285">
        <f t="shared" si="69"/>
        <v>0</v>
      </c>
      <c r="U150" s="285">
        <f t="shared" si="69"/>
        <v>0</v>
      </c>
      <c r="V150" s="285">
        <f t="shared" si="69"/>
        <v>0</v>
      </c>
      <c r="W150" s="285">
        <f t="shared" si="69"/>
        <v>0</v>
      </c>
      <c r="X150" s="197"/>
      <c r="Y150" s="285">
        <f t="shared" si="70"/>
        <v>0</v>
      </c>
      <c r="Z150" s="285">
        <f t="shared" si="70"/>
        <v>0</v>
      </c>
      <c r="AA150" s="285">
        <f t="shared" si="70"/>
        <v>0</v>
      </c>
      <c r="AB150" s="285">
        <f t="shared" si="70"/>
        <v>0</v>
      </c>
      <c r="AC150" s="828"/>
      <c r="AD150" s="197"/>
      <c r="AE150" s="403" t="s">
        <v>11696</v>
      </c>
      <c r="AF150" s="962" t="s">
        <v>2139</v>
      </c>
      <c r="AG150" s="905" t="s">
        <v>2167</v>
      </c>
      <c r="AH150" s="905" t="s">
        <v>2195</v>
      </c>
      <c r="AI150" s="905" t="s">
        <v>2223</v>
      </c>
      <c r="AJ150" s="963" t="s">
        <v>2251</v>
      </c>
      <c r="AK150" s="962" t="s">
        <v>2279</v>
      </c>
      <c r="AL150" s="905" t="s">
        <v>2307</v>
      </c>
      <c r="AM150" s="905" t="s">
        <v>2335</v>
      </c>
      <c r="AN150" s="964" t="s">
        <v>2342</v>
      </c>
      <c r="AO150" s="961"/>
      <c r="AP150" s="197"/>
      <c r="AQ150" s="197"/>
      <c r="AR150" s="197"/>
      <c r="AS150" s="197"/>
    </row>
    <row r="151" spans="1:45" s="4" customFormat="1" ht="15.75" customHeight="1">
      <c r="A151" s="197"/>
      <c r="B151" s="403" t="s">
        <v>11707</v>
      </c>
      <c r="C151" s="2092">
        <v>0</v>
      </c>
      <c r="D151" s="697">
        <v>0</v>
      </c>
      <c r="E151" s="697">
        <v>0</v>
      </c>
      <c r="F151" s="697">
        <v>0</v>
      </c>
      <c r="G151" s="1597">
        <f t="shared" si="67"/>
        <v>0</v>
      </c>
      <c r="H151" s="2092">
        <v>0</v>
      </c>
      <c r="I151" s="697">
        <v>0</v>
      </c>
      <c r="J151" s="1611">
        <v>0</v>
      </c>
      <c r="K151" s="1612">
        <v>0</v>
      </c>
      <c r="L151" s="197"/>
      <c r="M151" s="290" t="s">
        <v>11992</v>
      </c>
      <c r="N151" s="197"/>
      <c r="O151" s="291"/>
      <c r="P151" s="197"/>
      <c r="Q151" s="828"/>
      <c r="R151" s="284">
        <f t="shared" si="68"/>
        <v>0</v>
      </c>
      <c r="S151" s="828"/>
      <c r="T151" s="285">
        <f t="shared" si="69"/>
        <v>0</v>
      </c>
      <c r="U151" s="285">
        <f t="shared" si="69"/>
        <v>0</v>
      </c>
      <c r="V151" s="285">
        <f t="shared" si="69"/>
        <v>0</v>
      </c>
      <c r="W151" s="285">
        <f t="shared" si="69"/>
        <v>0</v>
      </c>
      <c r="X151" s="197"/>
      <c r="Y151" s="285">
        <f t="shared" si="70"/>
        <v>0</v>
      </c>
      <c r="Z151" s="285">
        <f t="shared" si="70"/>
        <v>0</v>
      </c>
      <c r="AA151" s="285">
        <f t="shared" si="70"/>
        <v>0</v>
      </c>
      <c r="AB151" s="285">
        <f t="shared" si="70"/>
        <v>0</v>
      </c>
      <c r="AC151" s="828"/>
      <c r="AD151" s="197"/>
      <c r="AE151" s="403" t="s">
        <v>11707</v>
      </c>
      <c r="AF151" s="962" t="s">
        <v>2140</v>
      </c>
      <c r="AG151" s="905" t="s">
        <v>2168</v>
      </c>
      <c r="AH151" s="905" t="s">
        <v>2196</v>
      </c>
      <c r="AI151" s="905" t="s">
        <v>2224</v>
      </c>
      <c r="AJ151" s="963" t="s">
        <v>2252</v>
      </c>
      <c r="AK151" s="962" t="s">
        <v>2280</v>
      </c>
      <c r="AL151" s="905" t="s">
        <v>2308</v>
      </c>
      <c r="AM151" s="905" t="s">
        <v>2336</v>
      </c>
      <c r="AN151" s="964" t="s">
        <v>2343</v>
      </c>
      <c r="AO151" s="961"/>
      <c r="AP151" s="197"/>
      <c r="AQ151" s="197"/>
      <c r="AR151" s="197"/>
      <c r="AS151" s="197"/>
    </row>
    <row r="152" spans="1:45" s="4" customFormat="1" ht="15.75" customHeight="1">
      <c r="A152" s="197"/>
      <c r="B152" s="403" t="s">
        <v>11718</v>
      </c>
      <c r="C152" s="2092">
        <v>0</v>
      </c>
      <c r="D152" s="697">
        <v>0</v>
      </c>
      <c r="E152" s="697">
        <v>0</v>
      </c>
      <c r="F152" s="697">
        <v>0</v>
      </c>
      <c r="G152" s="1597">
        <f t="shared" si="67"/>
        <v>0</v>
      </c>
      <c r="H152" s="2092">
        <v>0</v>
      </c>
      <c r="I152" s="697">
        <v>0</v>
      </c>
      <c r="J152" s="1611">
        <v>0</v>
      </c>
      <c r="K152" s="1612">
        <v>0</v>
      </c>
      <c r="L152" s="197"/>
      <c r="M152" s="290" t="s">
        <v>11993</v>
      </c>
      <c r="N152" s="197"/>
      <c r="O152" s="291"/>
      <c r="P152" s="197"/>
      <c r="Q152" s="828"/>
      <c r="R152" s="284">
        <f t="shared" si="68"/>
        <v>0</v>
      </c>
      <c r="S152" s="828"/>
      <c r="T152" s="285">
        <f t="shared" si="69"/>
        <v>0</v>
      </c>
      <c r="U152" s="285">
        <f t="shared" si="69"/>
        <v>0</v>
      </c>
      <c r="V152" s="285">
        <f t="shared" si="69"/>
        <v>0</v>
      </c>
      <c r="W152" s="285">
        <f t="shared" si="69"/>
        <v>0</v>
      </c>
      <c r="X152" s="197"/>
      <c r="Y152" s="285">
        <f t="shared" si="70"/>
        <v>0</v>
      </c>
      <c r="Z152" s="285">
        <f t="shared" si="70"/>
        <v>0</v>
      </c>
      <c r="AA152" s="285">
        <f t="shared" si="70"/>
        <v>0</v>
      </c>
      <c r="AB152" s="285">
        <f t="shared" si="70"/>
        <v>0</v>
      </c>
      <c r="AC152" s="828"/>
      <c r="AD152" s="197"/>
      <c r="AE152" s="403" t="s">
        <v>11718</v>
      </c>
      <c r="AF152" s="962" t="s">
        <v>2141</v>
      </c>
      <c r="AG152" s="905" t="s">
        <v>2169</v>
      </c>
      <c r="AH152" s="905" t="s">
        <v>2197</v>
      </c>
      <c r="AI152" s="905" t="s">
        <v>2225</v>
      </c>
      <c r="AJ152" s="963" t="s">
        <v>2253</v>
      </c>
      <c r="AK152" s="962" t="s">
        <v>2281</v>
      </c>
      <c r="AL152" s="905" t="s">
        <v>2309</v>
      </c>
      <c r="AM152" s="905" t="s">
        <v>2337</v>
      </c>
      <c r="AN152" s="964" t="s">
        <v>2344</v>
      </c>
      <c r="AO152" s="961"/>
      <c r="AP152" s="197"/>
      <c r="AQ152" s="197"/>
      <c r="AR152" s="197"/>
      <c r="AS152" s="197"/>
    </row>
    <row r="153" spans="1:45" s="4" customFormat="1" ht="15.75" customHeight="1">
      <c r="A153" s="197"/>
      <c r="B153" s="403" t="s">
        <v>11729</v>
      </c>
      <c r="C153" s="2092">
        <v>0</v>
      </c>
      <c r="D153" s="697">
        <v>0</v>
      </c>
      <c r="E153" s="697">
        <v>0</v>
      </c>
      <c r="F153" s="697">
        <v>0</v>
      </c>
      <c r="G153" s="1597">
        <f t="shared" si="67"/>
        <v>0</v>
      </c>
      <c r="H153" s="2092">
        <v>0</v>
      </c>
      <c r="I153" s="697">
        <v>0</v>
      </c>
      <c r="J153" s="1611">
        <v>0</v>
      </c>
      <c r="K153" s="1612">
        <v>0</v>
      </c>
      <c r="L153" s="197"/>
      <c r="M153" s="290" t="s">
        <v>11994</v>
      </c>
      <c r="N153" s="197"/>
      <c r="O153" s="291"/>
      <c r="P153" s="197"/>
      <c r="Q153" s="828"/>
      <c r="R153" s="284">
        <f t="shared" si="68"/>
        <v>0</v>
      </c>
      <c r="S153" s="828"/>
      <c r="T153" s="285">
        <f t="shared" si="69"/>
        <v>0</v>
      </c>
      <c r="U153" s="285">
        <f t="shared" si="69"/>
        <v>0</v>
      </c>
      <c r="V153" s="285">
        <f t="shared" si="69"/>
        <v>0</v>
      </c>
      <c r="W153" s="285">
        <f t="shared" si="69"/>
        <v>0</v>
      </c>
      <c r="X153" s="197"/>
      <c r="Y153" s="285">
        <f t="shared" si="70"/>
        <v>0</v>
      </c>
      <c r="Z153" s="285">
        <f t="shared" si="70"/>
        <v>0</v>
      </c>
      <c r="AA153" s="285">
        <f t="shared" si="70"/>
        <v>0</v>
      </c>
      <c r="AB153" s="285">
        <f t="shared" si="70"/>
        <v>0</v>
      </c>
      <c r="AC153" s="828"/>
      <c r="AD153" s="197"/>
      <c r="AE153" s="403" t="s">
        <v>11729</v>
      </c>
      <c r="AF153" s="962" t="s">
        <v>2142</v>
      </c>
      <c r="AG153" s="905" t="s">
        <v>2170</v>
      </c>
      <c r="AH153" s="905" t="s">
        <v>2198</v>
      </c>
      <c r="AI153" s="905" t="s">
        <v>2226</v>
      </c>
      <c r="AJ153" s="963" t="s">
        <v>2254</v>
      </c>
      <c r="AK153" s="962" t="s">
        <v>2282</v>
      </c>
      <c r="AL153" s="905" t="s">
        <v>2310</v>
      </c>
      <c r="AM153" s="905" t="s">
        <v>2338</v>
      </c>
      <c r="AN153" s="964" t="s">
        <v>2345</v>
      </c>
      <c r="AO153" s="961"/>
      <c r="AP153" s="197"/>
      <c r="AQ153" s="197"/>
      <c r="AR153" s="197"/>
      <c r="AS153" s="197"/>
    </row>
    <row r="154" spans="1:45" s="4" customFormat="1" ht="15.75" customHeight="1" thickBot="1">
      <c r="A154" s="197"/>
      <c r="B154" s="406" t="s">
        <v>7445</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11995</v>
      </c>
      <c r="N154" s="197"/>
      <c r="O154" s="302"/>
      <c r="P154" s="197"/>
      <c r="Q154" s="828"/>
      <c r="R154" s="284"/>
      <c r="S154" s="828"/>
      <c r="T154" s="197"/>
      <c r="U154" s="197"/>
      <c r="V154" s="197"/>
      <c r="W154" s="197"/>
      <c r="X154" s="197"/>
      <c r="Y154" s="197"/>
      <c r="Z154" s="197"/>
      <c r="AA154" s="197"/>
      <c r="AB154" s="197"/>
      <c r="AC154" s="828"/>
      <c r="AD154" s="197"/>
      <c r="AE154" s="406" t="s">
        <v>7445</v>
      </c>
      <c r="AF154" s="965" t="s">
        <v>2143</v>
      </c>
      <c r="AG154" s="679" t="s">
        <v>2171</v>
      </c>
      <c r="AH154" s="679" t="s">
        <v>2199</v>
      </c>
      <c r="AI154" s="679" t="s">
        <v>2227</v>
      </c>
      <c r="AJ154" s="679" t="s">
        <v>2255</v>
      </c>
      <c r="AK154" s="679" t="s">
        <v>2283</v>
      </c>
      <c r="AL154" s="679" t="s">
        <v>2311</v>
      </c>
      <c r="AM154" s="966" t="s">
        <v>11996</v>
      </c>
      <c r="AN154" s="967" t="s">
        <v>11996</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9921</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11748</v>
      </c>
      <c r="C156" s="729"/>
      <c r="D156" s="1603"/>
      <c r="E156" s="1603"/>
      <c r="F156" s="1603"/>
      <c r="G156" s="1603"/>
      <c r="H156" s="1603"/>
      <c r="I156" s="1603"/>
      <c r="J156" s="1615"/>
      <c r="K156" s="1615"/>
      <c r="L156" s="197"/>
      <c r="M156" s="242" t="s">
        <v>9921</v>
      </c>
      <c r="N156" s="197"/>
      <c r="O156" s="197"/>
      <c r="P156" s="197"/>
      <c r="Q156" s="828"/>
      <c r="R156" s="284"/>
      <c r="S156" s="828"/>
      <c r="T156" s="197"/>
      <c r="U156" s="197"/>
      <c r="V156" s="197"/>
      <c r="W156" s="197"/>
      <c r="X156" s="197"/>
      <c r="Y156" s="197"/>
      <c r="Z156" s="197"/>
      <c r="AA156" s="197"/>
      <c r="AB156" s="197"/>
      <c r="AC156" s="828"/>
      <c r="AD156" s="197"/>
      <c r="AE156" s="393" t="s">
        <v>11748</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11749</v>
      </c>
      <c r="C157" s="2091">
        <v>0</v>
      </c>
      <c r="D157" s="694">
        <v>0</v>
      </c>
      <c r="E157" s="694">
        <v>0</v>
      </c>
      <c r="F157" s="694">
        <v>0</v>
      </c>
      <c r="G157" s="1595">
        <f>IFERROR(SUM(C157:F157),0)</f>
        <v>0</v>
      </c>
      <c r="H157" s="694">
        <v>0</v>
      </c>
      <c r="I157" s="694">
        <v>0</v>
      </c>
      <c r="J157" s="1616"/>
      <c r="K157" s="1617"/>
      <c r="L157" s="197"/>
      <c r="M157" s="281" t="s">
        <v>11997</v>
      </c>
      <c r="N157" s="197"/>
      <c r="O157" s="283"/>
      <c r="P157" s="197"/>
      <c r="Q157" s="828"/>
      <c r="R157" s="284">
        <f>IF( SUM( T157:AA157 ) = 0, 0, $T$10 )</f>
        <v>0</v>
      </c>
      <c r="S157" s="828"/>
      <c r="T157" s="285">
        <f t="shared" ref="T157:W160" si="71" xml:space="preserve"> IF( ISNUMBER(C157), 0, 1 )</f>
        <v>0</v>
      </c>
      <c r="U157" s="285">
        <f t="shared" si="71"/>
        <v>0</v>
      </c>
      <c r="V157" s="285">
        <f t="shared" si="71"/>
        <v>0</v>
      </c>
      <c r="W157" s="285">
        <f t="shared" si="71"/>
        <v>0</v>
      </c>
      <c r="X157" s="197"/>
      <c r="Y157" s="285">
        <f t="shared" ref="Y157:Z160" si="72" xml:space="preserve"> IF( ISNUMBER(H157), 0, 1 )</f>
        <v>0</v>
      </c>
      <c r="Z157" s="285">
        <f t="shared" si="72"/>
        <v>0</v>
      </c>
      <c r="AA157" s="197"/>
      <c r="AB157" s="197"/>
      <c r="AC157" s="828"/>
      <c r="AD157" s="197"/>
      <c r="AE157" s="396" t="s">
        <v>11749</v>
      </c>
      <c r="AF157" s="958" t="s">
        <v>2144</v>
      </c>
      <c r="AG157" s="904" t="s">
        <v>2172</v>
      </c>
      <c r="AH157" s="904" t="s">
        <v>2200</v>
      </c>
      <c r="AI157" s="904" t="s">
        <v>2228</v>
      </c>
      <c r="AJ157" s="959" t="s">
        <v>2256</v>
      </c>
      <c r="AK157" s="904" t="s">
        <v>2284</v>
      </c>
      <c r="AL157" s="904" t="s">
        <v>2312</v>
      </c>
      <c r="AM157" s="973"/>
      <c r="AN157" s="974"/>
      <c r="AO157" s="961"/>
      <c r="AP157" s="197"/>
      <c r="AQ157" s="197"/>
      <c r="AR157" s="197"/>
      <c r="AS157" s="197"/>
    </row>
    <row r="158" spans="1:45" s="4" customFormat="1" ht="15.75" customHeight="1">
      <c r="A158" s="197"/>
      <c r="B158" s="403" t="s">
        <v>11758</v>
      </c>
      <c r="C158" s="2092">
        <v>0</v>
      </c>
      <c r="D158" s="697">
        <v>0</v>
      </c>
      <c r="E158" s="697">
        <v>0</v>
      </c>
      <c r="F158" s="697">
        <v>0</v>
      </c>
      <c r="G158" s="1597">
        <f>IFERROR(SUM(C158:F158),0)</f>
        <v>0</v>
      </c>
      <c r="H158" s="697">
        <v>0</v>
      </c>
      <c r="I158" s="697">
        <v>0</v>
      </c>
      <c r="J158" s="1618"/>
      <c r="K158" s="1619"/>
      <c r="L158" s="197"/>
      <c r="M158" s="290" t="s">
        <v>11998</v>
      </c>
      <c r="N158" s="197"/>
      <c r="O158" s="291"/>
      <c r="P158" s="197"/>
      <c r="Q158" s="828"/>
      <c r="R158" s="284">
        <f>IF( SUM( T158:AA158 ) = 0, 0, $T$10 )</f>
        <v>0</v>
      </c>
      <c r="S158" s="828"/>
      <c r="T158" s="285">
        <f t="shared" si="71"/>
        <v>0</v>
      </c>
      <c r="U158" s="285">
        <f t="shared" si="71"/>
        <v>0</v>
      </c>
      <c r="V158" s="285">
        <f t="shared" si="71"/>
        <v>0</v>
      </c>
      <c r="W158" s="285">
        <f t="shared" si="71"/>
        <v>0</v>
      </c>
      <c r="X158" s="197"/>
      <c r="Y158" s="285">
        <f t="shared" si="72"/>
        <v>0</v>
      </c>
      <c r="Z158" s="285">
        <f t="shared" si="72"/>
        <v>0</v>
      </c>
      <c r="AA158" s="197"/>
      <c r="AB158" s="197"/>
      <c r="AC158" s="828"/>
      <c r="AD158" s="197"/>
      <c r="AE158" s="403" t="s">
        <v>11758</v>
      </c>
      <c r="AF158" s="962" t="s">
        <v>2145</v>
      </c>
      <c r="AG158" s="905" t="s">
        <v>2173</v>
      </c>
      <c r="AH158" s="905" t="s">
        <v>2201</v>
      </c>
      <c r="AI158" s="905" t="s">
        <v>2229</v>
      </c>
      <c r="AJ158" s="963" t="s">
        <v>2257</v>
      </c>
      <c r="AK158" s="905" t="s">
        <v>2285</v>
      </c>
      <c r="AL158" s="905" t="s">
        <v>2313</v>
      </c>
      <c r="AM158" s="975"/>
      <c r="AN158" s="976"/>
      <c r="AO158" s="961"/>
      <c r="AP158" s="197"/>
      <c r="AQ158" s="197"/>
      <c r="AR158" s="197"/>
      <c r="AS158" s="197"/>
    </row>
    <row r="159" spans="1:45" s="4" customFormat="1" ht="15.75" customHeight="1">
      <c r="A159" s="197"/>
      <c r="B159" s="403" t="s">
        <v>11767</v>
      </c>
      <c r="C159" s="2092">
        <v>0</v>
      </c>
      <c r="D159" s="697">
        <v>0</v>
      </c>
      <c r="E159" s="697">
        <v>0</v>
      </c>
      <c r="F159" s="697">
        <v>0</v>
      </c>
      <c r="G159" s="1597">
        <f>IFERROR(SUM(C159:F159),0)</f>
        <v>0</v>
      </c>
      <c r="H159" s="697">
        <v>0</v>
      </c>
      <c r="I159" s="697">
        <v>0</v>
      </c>
      <c r="J159" s="1618"/>
      <c r="K159" s="1619"/>
      <c r="L159" s="197"/>
      <c r="M159" s="290" t="s">
        <v>11999</v>
      </c>
      <c r="N159" s="197"/>
      <c r="O159" s="291"/>
      <c r="P159" s="197"/>
      <c r="Q159" s="828"/>
      <c r="R159" s="284">
        <f>IF( SUM( T159:AA159 ) = 0, 0, $T$10 )</f>
        <v>0</v>
      </c>
      <c r="S159" s="828"/>
      <c r="T159" s="285">
        <f t="shared" si="71"/>
        <v>0</v>
      </c>
      <c r="U159" s="285">
        <f t="shared" si="71"/>
        <v>0</v>
      </c>
      <c r="V159" s="285">
        <f t="shared" si="71"/>
        <v>0</v>
      </c>
      <c r="W159" s="285">
        <f t="shared" si="71"/>
        <v>0</v>
      </c>
      <c r="X159" s="197"/>
      <c r="Y159" s="285">
        <f t="shared" si="72"/>
        <v>0</v>
      </c>
      <c r="Z159" s="285">
        <f t="shared" si="72"/>
        <v>0</v>
      </c>
      <c r="AA159" s="197"/>
      <c r="AB159" s="197"/>
      <c r="AC159" s="828"/>
      <c r="AD159" s="197"/>
      <c r="AE159" s="403" t="s">
        <v>11767</v>
      </c>
      <c r="AF159" s="962" t="s">
        <v>2146</v>
      </c>
      <c r="AG159" s="905" t="s">
        <v>2174</v>
      </c>
      <c r="AH159" s="905" t="s">
        <v>2202</v>
      </c>
      <c r="AI159" s="905" t="s">
        <v>2230</v>
      </c>
      <c r="AJ159" s="963" t="s">
        <v>2258</v>
      </c>
      <c r="AK159" s="905" t="s">
        <v>2286</v>
      </c>
      <c r="AL159" s="905" t="s">
        <v>2314</v>
      </c>
      <c r="AM159" s="975"/>
      <c r="AN159" s="976"/>
      <c r="AO159" s="961"/>
      <c r="AP159" s="197"/>
      <c r="AQ159" s="197"/>
      <c r="AR159" s="197"/>
      <c r="AS159" s="197"/>
    </row>
    <row r="160" spans="1:45" s="4" customFormat="1" ht="15.75" customHeight="1">
      <c r="A160" s="197"/>
      <c r="B160" s="403" t="s">
        <v>11776</v>
      </c>
      <c r="C160" s="2092">
        <v>0</v>
      </c>
      <c r="D160" s="697">
        <v>0</v>
      </c>
      <c r="E160" s="697">
        <v>0</v>
      </c>
      <c r="F160" s="697">
        <v>0</v>
      </c>
      <c r="G160" s="1597">
        <f>IFERROR(SUM(C160:F160),0)</f>
        <v>0</v>
      </c>
      <c r="H160" s="697">
        <v>0</v>
      </c>
      <c r="I160" s="697">
        <v>0</v>
      </c>
      <c r="J160" s="1618"/>
      <c r="K160" s="1619"/>
      <c r="L160" s="197"/>
      <c r="M160" s="290" t="s">
        <v>12000</v>
      </c>
      <c r="N160" s="197"/>
      <c r="O160" s="291"/>
      <c r="P160" s="197"/>
      <c r="Q160" s="828"/>
      <c r="R160" s="284">
        <f>IF( SUM( T160:AA160 ) = 0, 0, $T$10 )</f>
        <v>0</v>
      </c>
      <c r="S160" s="828"/>
      <c r="T160" s="285">
        <f t="shared" si="71"/>
        <v>0</v>
      </c>
      <c r="U160" s="285">
        <f t="shared" si="71"/>
        <v>0</v>
      </c>
      <c r="V160" s="285">
        <f t="shared" si="71"/>
        <v>0</v>
      </c>
      <c r="W160" s="285">
        <f t="shared" si="71"/>
        <v>0</v>
      </c>
      <c r="X160" s="197"/>
      <c r="Y160" s="285">
        <f t="shared" si="72"/>
        <v>0</v>
      </c>
      <c r="Z160" s="285">
        <f t="shared" si="72"/>
        <v>0</v>
      </c>
      <c r="AA160" s="197"/>
      <c r="AB160" s="197"/>
      <c r="AC160" s="828"/>
      <c r="AD160" s="197"/>
      <c r="AE160" s="403" t="s">
        <v>11776</v>
      </c>
      <c r="AF160" s="962" t="s">
        <v>2147</v>
      </c>
      <c r="AG160" s="905" t="s">
        <v>2175</v>
      </c>
      <c r="AH160" s="905" t="s">
        <v>2203</v>
      </c>
      <c r="AI160" s="905" t="s">
        <v>2231</v>
      </c>
      <c r="AJ160" s="963" t="s">
        <v>2259</v>
      </c>
      <c r="AK160" s="905" t="s">
        <v>2287</v>
      </c>
      <c r="AL160" s="905" t="s">
        <v>2315</v>
      </c>
      <c r="AM160" s="975"/>
      <c r="AN160" s="976"/>
      <c r="AO160" s="961"/>
      <c r="AP160" s="197"/>
      <c r="AQ160" s="197"/>
      <c r="AR160" s="197"/>
      <c r="AS160" s="197"/>
    </row>
    <row r="161" spans="1:45" s="4" customFormat="1" ht="15.75" customHeight="1" thickBot="1">
      <c r="A161" s="197"/>
      <c r="B161" s="406" t="s">
        <v>7445</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12001</v>
      </c>
      <c r="N161" s="197"/>
      <c r="O161" s="302"/>
      <c r="P161" s="197"/>
      <c r="Q161" s="828"/>
      <c r="R161" s="284"/>
      <c r="S161" s="828"/>
      <c r="T161" s="197"/>
      <c r="U161" s="197"/>
      <c r="V161" s="197"/>
      <c r="W161" s="197"/>
      <c r="X161" s="197"/>
      <c r="Y161" s="197"/>
      <c r="Z161" s="197"/>
      <c r="AA161" s="197"/>
      <c r="AB161" s="197"/>
      <c r="AC161" s="828"/>
      <c r="AD161" s="197"/>
      <c r="AE161" s="406" t="s">
        <v>7445</v>
      </c>
      <c r="AF161" s="965" t="s">
        <v>2148</v>
      </c>
      <c r="AG161" s="679" t="s">
        <v>2176</v>
      </c>
      <c r="AH161" s="679" t="s">
        <v>2204</v>
      </c>
      <c r="AI161" s="679" t="s">
        <v>2232</v>
      </c>
      <c r="AJ161" s="679" t="s">
        <v>2260</v>
      </c>
      <c r="AK161" s="679" t="s">
        <v>2288</v>
      </c>
      <c r="AL161" s="679" t="s">
        <v>2316</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9921</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11793</v>
      </c>
      <c r="C163" s="729"/>
      <c r="D163" s="1603"/>
      <c r="E163" s="1603"/>
      <c r="F163" s="1603"/>
      <c r="G163" s="1603"/>
      <c r="H163" s="1603"/>
      <c r="I163" s="1603"/>
      <c r="J163" s="1615"/>
      <c r="K163" s="1615"/>
      <c r="L163" s="197"/>
      <c r="M163" s="242" t="s">
        <v>9921</v>
      </c>
      <c r="N163" s="197"/>
      <c r="O163" s="197"/>
      <c r="P163" s="197"/>
      <c r="Q163" s="828"/>
      <c r="R163" s="284"/>
      <c r="S163" s="828"/>
      <c r="T163" s="197"/>
      <c r="U163" s="197"/>
      <c r="V163" s="197"/>
      <c r="W163" s="197"/>
      <c r="X163" s="197"/>
      <c r="Y163" s="197"/>
      <c r="Z163" s="197"/>
      <c r="AA163" s="197"/>
      <c r="AB163" s="197"/>
      <c r="AC163" s="828"/>
      <c r="AD163" s="197"/>
      <c r="AE163" s="393" t="s">
        <v>11793</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11794</v>
      </c>
      <c r="C164" s="2091">
        <v>0</v>
      </c>
      <c r="D164" s="694">
        <v>0</v>
      </c>
      <c r="E164" s="694">
        <v>0</v>
      </c>
      <c r="F164" s="694">
        <v>0</v>
      </c>
      <c r="G164" s="1595">
        <f>IFERROR(SUM(C164:F164),0)</f>
        <v>0</v>
      </c>
      <c r="H164" s="694">
        <v>0</v>
      </c>
      <c r="I164" s="694">
        <v>0</v>
      </c>
      <c r="J164" s="1616"/>
      <c r="K164" s="1617"/>
      <c r="L164" s="197"/>
      <c r="M164" s="281" t="s">
        <v>12002</v>
      </c>
      <c r="N164" s="197"/>
      <c r="O164" s="283"/>
      <c r="P164" s="197"/>
      <c r="Q164" s="828"/>
      <c r="R164" s="284">
        <f>IF( SUM( T164:AA164 ) = 0, 0, $T$10 )</f>
        <v>0</v>
      </c>
      <c r="S164" s="828"/>
      <c r="T164" s="285">
        <f t="shared" ref="T164:W167" si="73" xml:space="preserve"> IF( ISNUMBER(C164), 0, 1 )</f>
        <v>0</v>
      </c>
      <c r="U164" s="285">
        <f t="shared" si="73"/>
        <v>0</v>
      </c>
      <c r="V164" s="285">
        <f t="shared" si="73"/>
        <v>0</v>
      </c>
      <c r="W164" s="285">
        <f t="shared" si="73"/>
        <v>0</v>
      </c>
      <c r="X164" s="197"/>
      <c r="Y164" s="285">
        <f t="shared" ref="Y164:Z167" si="74" xml:space="preserve"> IF( ISNUMBER(H164), 0, 1 )</f>
        <v>0</v>
      </c>
      <c r="Z164" s="285">
        <f t="shared" si="74"/>
        <v>0</v>
      </c>
      <c r="AA164" s="197"/>
      <c r="AB164" s="197"/>
      <c r="AC164" s="828"/>
      <c r="AD164" s="197"/>
      <c r="AE164" s="396" t="s">
        <v>11794</v>
      </c>
      <c r="AF164" s="958" t="s">
        <v>2149</v>
      </c>
      <c r="AG164" s="904" t="s">
        <v>2177</v>
      </c>
      <c r="AH164" s="904" t="s">
        <v>2205</v>
      </c>
      <c r="AI164" s="904" t="s">
        <v>2233</v>
      </c>
      <c r="AJ164" s="959" t="s">
        <v>2261</v>
      </c>
      <c r="AK164" s="904" t="s">
        <v>2289</v>
      </c>
      <c r="AL164" s="904" t="s">
        <v>2317</v>
      </c>
      <c r="AM164" s="973"/>
      <c r="AN164" s="974"/>
      <c r="AO164" s="961"/>
      <c r="AP164" s="197"/>
      <c r="AQ164" s="197"/>
      <c r="AR164" s="197"/>
      <c r="AS164" s="197"/>
    </row>
    <row r="165" spans="1:45" s="4" customFormat="1" ht="15.75" customHeight="1">
      <c r="A165" s="197"/>
      <c r="B165" s="403" t="s">
        <v>11803</v>
      </c>
      <c r="C165" s="2092">
        <v>0</v>
      </c>
      <c r="D165" s="697">
        <v>0</v>
      </c>
      <c r="E165" s="697">
        <v>0</v>
      </c>
      <c r="F165" s="697">
        <v>0</v>
      </c>
      <c r="G165" s="1597">
        <f>IFERROR(SUM(C165:F165),0)</f>
        <v>0</v>
      </c>
      <c r="H165" s="697">
        <v>0</v>
      </c>
      <c r="I165" s="697">
        <v>0</v>
      </c>
      <c r="J165" s="1618"/>
      <c r="K165" s="1619"/>
      <c r="L165" s="197"/>
      <c r="M165" s="290" t="s">
        <v>12003</v>
      </c>
      <c r="N165" s="197"/>
      <c r="O165" s="291"/>
      <c r="P165" s="197"/>
      <c r="Q165" s="828"/>
      <c r="R165" s="284">
        <f>IF( SUM( T165:AA165 ) = 0, 0, $T$10 )</f>
        <v>0</v>
      </c>
      <c r="S165" s="828"/>
      <c r="T165" s="285">
        <f t="shared" si="73"/>
        <v>0</v>
      </c>
      <c r="U165" s="285">
        <f t="shared" si="73"/>
        <v>0</v>
      </c>
      <c r="V165" s="285">
        <f t="shared" si="73"/>
        <v>0</v>
      </c>
      <c r="W165" s="285">
        <f t="shared" si="73"/>
        <v>0</v>
      </c>
      <c r="X165" s="197"/>
      <c r="Y165" s="285">
        <f t="shared" si="74"/>
        <v>0</v>
      </c>
      <c r="Z165" s="285">
        <f t="shared" si="74"/>
        <v>0</v>
      </c>
      <c r="AA165" s="197"/>
      <c r="AB165" s="197"/>
      <c r="AC165" s="828"/>
      <c r="AD165" s="197"/>
      <c r="AE165" s="403" t="s">
        <v>11803</v>
      </c>
      <c r="AF165" s="962" t="s">
        <v>2150</v>
      </c>
      <c r="AG165" s="905" t="s">
        <v>2178</v>
      </c>
      <c r="AH165" s="905" t="s">
        <v>2206</v>
      </c>
      <c r="AI165" s="905" t="s">
        <v>2234</v>
      </c>
      <c r="AJ165" s="963" t="s">
        <v>2262</v>
      </c>
      <c r="AK165" s="905" t="s">
        <v>2290</v>
      </c>
      <c r="AL165" s="905" t="s">
        <v>2318</v>
      </c>
      <c r="AM165" s="975"/>
      <c r="AN165" s="976"/>
      <c r="AO165" s="961"/>
      <c r="AP165" s="197"/>
      <c r="AQ165" s="197"/>
      <c r="AR165" s="197"/>
      <c r="AS165" s="197"/>
    </row>
    <row r="166" spans="1:45" s="4" customFormat="1" ht="15.75" customHeight="1">
      <c r="A166" s="197"/>
      <c r="B166" s="403" t="s">
        <v>11812</v>
      </c>
      <c r="C166" s="2092">
        <v>0</v>
      </c>
      <c r="D166" s="697">
        <v>0</v>
      </c>
      <c r="E166" s="697">
        <v>0</v>
      </c>
      <c r="F166" s="697">
        <v>0</v>
      </c>
      <c r="G166" s="1597">
        <f>IFERROR(SUM(C166:F166),0)</f>
        <v>0</v>
      </c>
      <c r="H166" s="697">
        <v>0</v>
      </c>
      <c r="I166" s="697">
        <v>0</v>
      </c>
      <c r="J166" s="1618"/>
      <c r="K166" s="1619"/>
      <c r="L166" s="197"/>
      <c r="M166" s="290" t="s">
        <v>12004</v>
      </c>
      <c r="N166" s="197"/>
      <c r="O166" s="291"/>
      <c r="P166" s="197"/>
      <c r="Q166" s="828"/>
      <c r="R166" s="284">
        <f>IF( SUM( T166:AA166 ) = 0, 0, $T$10 )</f>
        <v>0</v>
      </c>
      <c r="S166" s="828"/>
      <c r="T166" s="285">
        <f t="shared" si="73"/>
        <v>0</v>
      </c>
      <c r="U166" s="285">
        <f t="shared" si="73"/>
        <v>0</v>
      </c>
      <c r="V166" s="285">
        <f t="shared" si="73"/>
        <v>0</v>
      </c>
      <c r="W166" s="285">
        <f t="shared" si="73"/>
        <v>0</v>
      </c>
      <c r="X166" s="197"/>
      <c r="Y166" s="285">
        <f t="shared" si="74"/>
        <v>0</v>
      </c>
      <c r="Z166" s="285">
        <f t="shared" si="74"/>
        <v>0</v>
      </c>
      <c r="AA166" s="197"/>
      <c r="AB166" s="197"/>
      <c r="AC166" s="828"/>
      <c r="AD166" s="197"/>
      <c r="AE166" s="403" t="s">
        <v>11812</v>
      </c>
      <c r="AF166" s="962" t="s">
        <v>2151</v>
      </c>
      <c r="AG166" s="905" t="s">
        <v>2179</v>
      </c>
      <c r="AH166" s="905" t="s">
        <v>2207</v>
      </c>
      <c r="AI166" s="905" t="s">
        <v>2235</v>
      </c>
      <c r="AJ166" s="963" t="s">
        <v>2263</v>
      </c>
      <c r="AK166" s="905" t="s">
        <v>2291</v>
      </c>
      <c r="AL166" s="905" t="s">
        <v>2319</v>
      </c>
      <c r="AM166" s="975"/>
      <c r="AN166" s="976"/>
      <c r="AO166" s="961"/>
      <c r="AP166" s="197"/>
      <c r="AQ166" s="197"/>
      <c r="AR166" s="197"/>
      <c r="AS166" s="197"/>
    </row>
    <row r="167" spans="1:45" s="4" customFormat="1" ht="15.75" customHeight="1">
      <c r="A167" s="197"/>
      <c r="B167" s="403" t="s">
        <v>11821</v>
      </c>
      <c r="C167" s="2092">
        <v>0</v>
      </c>
      <c r="D167" s="697">
        <v>0</v>
      </c>
      <c r="E167" s="697">
        <v>0</v>
      </c>
      <c r="F167" s="697">
        <v>0</v>
      </c>
      <c r="G167" s="1597">
        <f>IFERROR(SUM(C167:F167),0)</f>
        <v>0</v>
      </c>
      <c r="H167" s="697">
        <v>0</v>
      </c>
      <c r="I167" s="697">
        <v>0</v>
      </c>
      <c r="J167" s="1618"/>
      <c r="K167" s="1619"/>
      <c r="L167" s="197"/>
      <c r="M167" s="290" t="s">
        <v>12005</v>
      </c>
      <c r="N167" s="197"/>
      <c r="O167" s="291"/>
      <c r="P167" s="197"/>
      <c r="Q167" s="828"/>
      <c r="R167" s="284">
        <f>IF( SUM( T167:AA167 ) = 0, 0, $T$10 )</f>
        <v>0</v>
      </c>
      <c r="S167" s="828"/>
      <c r="T167" s="285">
        <f t="shared" si="73"/>
        <v>0</v>
      </c>
      <c r="U167" s="285">
        <f t="shared" si="73"/>
        <v>0</v>
      </c>
      <c r="V167" s="285">
        <f t="shared" si="73"/>
        <v>0</v>
      </c>
      <c r="W167" s="285">
        <f t="shared" si="73"/>
        <v>0</v>
      </c>
      <c r="X167" s="197"/>
      <c r="Y167" s="285">
        <f t="shared" si="74"/>
        <v>0</v>
      </c>
      <c r="Z167" s="285">
        <f t="shared" si="74"/>
        <v>0</v>
      </c>
      <c r="AA167" s="197"/>
      <c r="AB167" s="197"/>
      <c r="AC167" s="828"/>
      <c r="AD167" s="197"/>
      <c r="AE167" s="403" t="s">
        <v>11821</v>
      </c>
      <c r="AF167" s="962" t="s">
        <v>2152</v>
      </c>
      <c r="AG167" s="905" t="s">
        <v>2180</v>
      </c>
      <c r="AH167" s="905" t="s">
        <v>2208</v>
      </c>
      <c r="AI167" s="905" t="s">
        <v>2236</v>
      </c>
      <c r="AJ167" s="963" t="s">
        <v>2264</v>
      </c>
      <c r="AK167" s="905" t="s">
        <v>2292</v>
      </c>
      <c r="AL167" s="905" t="s">
        <v>2320</v>
      </c>
      <c r="AM167" s="975"/>
      <c r="AN167" s="976"/>
      <c r="AO167" s="961"/>
      <c r="AP167" s="197"/>
      <c r="AQ167" s="197"/>
      <c r="AR167" s="197"/>
      <c r="AS167" s="197"/>
    </row>
    <row r="168" spans="1:45" s="4" customFormat="1" ht="15.75" customHeight="1" thickBot="1">
      <c r="A168" s="197"/>
      <c r="B168" s="406" t="s">
        <v>7445</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12006</v>
      </c>
      <c r="N168" s="197"/>
      <c r="O168" s="302"/>
      <c r="P168" s="197"/>
      <c r="Q168" s="828"/>
      <c r="R168" s="284"/>
      <c r="S168" s="828"/>
      <c r="T168" s="197"/>
      <c r="U168" s="197"/>
      <c r="V168" s="197"/>
      <c r="W168" s="197"/>
      <c r="X168" s="197"/>
      <c r="Y168" s="197"/>
      <c r="Z168" s="197"/>
      <c r="AA168" s="197"/>
      <c r="AB168" s="197"/>
      <c r="AC168" s="828"/>
      <c r="AD168" s="197"/>
      <c r="AE168" s="406" t="s">
        <v>7445</v>
      </c>
      <c r="AF168" s="965" t="s">
        <v>2153</v>
      </c>
      <c r="AG168" s="679" t="s">
        <v>2181</v>
      </c>
      <c r="AH168" s="679" t="s">
        <v>2209</v>
      </c>
      <c r="AI168" s="679" t="s">
        <v>2237</v>
      </c>
      <c r="AJ168" s="679" t="s">
        <v>2265</v>
      </c>
      <c r="AK168" s="679" t="s">
        <v>2293</v>
      </c>
      <c r="AL168" s="679" t="s">
        <v>2321</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9921</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11838</v>
      </c>
      <c r="C170" s="729"/>
      <c r="D170" s="1603"/>
      <c r="E170" s="1603"/>
      <c r="F170" s="1603"/>
      <c r="G170" s="1603"/>
      <c r="H170" s="1603"/>
      <c r="I170" s="1603"/>
      <c r="J170" s="1615"/>
      <c r="K170" s="1615"/>
      <c r="L170" s="197"/>
      <c r="M170" s="242" t="s">
        <v>9921</v>
      </c>
      <c r="N170" s="197"/>
      <c r="O170" s="197"/>
      <c r="P170" s="197"/>
      <c r="Q170" s="828"/>
      <c r="R170" s="284"/>
      <c r="S170" s="828"/>
      <c r="T170" s="197"/>
      <c r="U170" s="197"/>
      <c r="V170" s="197"/>
      <c r="W170" s="197"/>
      <c r="X170" s="197"/>
      <c r="Y170" s="197"/>
      <c r="Z170" s="197"/>
      <c r="AA170" s="197"/>
      <c r="AB170" s="197"/>
      <c r="AC170" s="828"/>
      <c r="AD170" s="197"/>
      <c r="AE170" s="393" t="s">
        <v>11838</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11839</v>
      </c>
      <c r="C171" s="2091">
        <v>0</v>
      </c>
      <c r="D171" s="694">
        <v>0</v>
      </c>
      <c r="E171" s="694">
        <v>0</v>
      </c>
      <c r="F171" s="694">
        <v>0</v>
      </c>
      <c r="G171" s="1595">
        <f t="shared" ref="G171:G178" si="75">IFERROR(SUM(C171:F171),0)</f>
        <v>0</v>
      </c>
      <c r="H171" s="694">
        <v>0</v>
      </c>
      <c r="I171" s="694">
        <v>0</v>
      </c>
      <c r="J171" s="1616"/>
      <c r="K171" s="1617"/>
      <c r="L171" s="197"/>
      <c r="M171" s="281" t="s">
        <v>12007</v>
      </c>
      <c r="N171" s="197"/>
      <c r="O171" s="283"/>
      <c r="P171" s="197"/>
      <c r="Q171" s="828"/>
      <c r="R171" s="284">
        <f t="shared" ref="R171:R177" si="76">IF( SUM( T171:AA171 ) = 0, 0, $T$10 )</f>
        <v>0</v>
      </c>
      <c r="S171" s="828"/>
      <c r="T171" s="285">
        <f t="shared" ref="T171:W177" si="77" xml:space="preserve"> IF( ISNUMBER(C171), 0, 1 )</f>
        <v>0</v>
      </c>
      <c r="U171" s="285">
        <f t="shared" si="77"/>
        <v>0</v>
      </c>
      <c r="V171" s="285">
        <f t="shared" si="77"/>
        <v>0</v>
      </c>
      <c r="W171" s="285">
        <f t="shared" si="77"/>
        <v>0</v>
      </c>
      <c r="X171" s="197"/>
      <c r="Y171" s="285">
        <f t="shared" ref="Y171:Z177" si="78" xml:space="preserve"> IF( ISNUMBER(H171), 0, 1 )</f>
        <v>0</v>
      </c>
      <c r="Z171" s="285">
        <f t="shared" si="78"/>
        <v>0</v>
      </c>
      <c r="AA171" s="197"/>
      <c r="AB171" s="197"/>
      <c r="AC171" s="828"/>
      <c r="AD171" s="197"/>
      <c r="AE171" s="396" t="s">
        <v>11839</v>
      </c>
      <c r="AF171" s="958" t="s">
        <v>2154</v>
      </c>
      <c r="AG171" s="904" t="s">
        <v>2182</v>
      </c>
      <c r="AH171" s="904" t="s">
        <v>2210</v>
      </c>
      <c r="AI171" s="904" t="s">
        <v>2238</v>
      </c>
      <c r="AJ171" s="959" t="s">
        <v>2266</v>
      </c>
      <c r="AK171" s="904" t="s">
        <v>2294</v>
      </c>
      <c r="AL171" s="904" t="s">
        <v>2322</v>
      </c>
      <c r="AM171" s="973"/>
      <c r="AN171" s="974"/>
      <c r="AO171" s="961"/>
      <c r="AP171" s="197"/>
      <c r="AQ171" s="197"/>
      <c r="AR171" s="197"/>
      <c r="AS171" s="197"/>
    </row>
    <row r="172" spans="1:45" s="4" customFormat="1" ht="15.75" customHeight="1">
      <c r="A172" s="197"/>
      <c r="B172" s="403" t="s">
        <v>11848</v>
      </c>
      <c r="C172" s="2092">
        <v>0</v>
      </c>
      <c r="D172" s="697">
        <v>0</v>
      </c>
      <c r="E172" s="697">
        <v>0</v>
      </c>
      <c r="F172" s="697">
        <v>0</v>
      </c>
      <c r="G172" s="1597">
        <f t="shared" si="75"/>
        <v>0</v>
      </c>
      <c r="H172" s="697">
        <v>0</v>
      </c>
      <c r="I172" s="697">
        <v>0</v>
      </c>
      <c r="J172" s="1618"/>
      <c r="K172" s="1619"/>
      <c r="L172" s="197"/>
      <c r="M172" s="290" t="s">
        <v>12008</v>
      </c>
      <c r="N172" s="197"/>
      <c r="O172" s="291"/>
      <c r="P172" s="197"/>
      <c r="Q172" s="828"/>
      <c r="R172" s="284">
        <f t="shared" si="76"/>
        <v>0</v>
      </c>
      <c r="S172" s="828"/>
      <c r="T172" s="285">
        <f t="shared" si="77"/>
        <v>0</v>
      </c>
      <c r="U172" s="285">
        <f t="shared" si="77"/>
        <v>0</v>
      </c>
      <c r="V172" s="285">
        <f t="shared" si="77"/>
        <v>0</v>
      </c>
      <c r="W172" s="285">
        <f t="shared" si="77"/>
        <v>0</v>
      </c>
      <c r="X172" s="197"/>
      <c r="Y172" s="285">
        <f t="shared" si="78"/>
        <v>0</v>
      </c>
      <c r="Z172" s="285">
        <f t="shared" si="78"/>
        <v>0</v>
      </c>
      <c r="AA172" s="197"/>
      <c r="AB172" s="197"/>
      <c r="AC172" s="828"/>
      <c r="AD172" s="197"/>
      <c r="AE172" s="403" t="s">
        <v>11848</v>
      </c>
      <c r="AF172" s="962" t="s">
        <v>2155</v>
      </c>
      <c r="AG172" s="905" t="s">
        <v>2183</v>
      </c>
      <c r="AH172" s="905" t="s">
        <v>2211</v>
      </c>
      <c r="AI172" s="905" t="s">
        <v>2239</v>
      </c>
      <c r="AJ172" s="963" t="s">
        <v>2267</v>
      </c>
      <c r="AK172" s="905" t="s">
        <v>2295</v>
      </c>
      <c r="AL172" s="905" t="s">
        <v>2323</v>
      </c>
      <c r="AM172" s="975"/>
      <c r="AN172" s="976"/>
      <c r="AO172" s="961"/>
      <c r="AP172" s="197"/>
      <c r="AQ172" s="197"/>
      <c r="AR172" s="197"/>
      <c r="AS172" s="197"/>
    </row>
    <row r="173" spans="1:45" s="4" customFormat="1" ht="15.75" customHeight="1">
      <c r="A173" s="197"/>
      <c r="B173" s="403" t="s">
        <v>11857</v>
      </c>
      <c r="C173" s="2092">
        <v>0</v>
      </c>
      <c r="D173" s="697">
        <v>0</v>
      </c>
      <c r="E173" s="697">
        <v>0</v>
      </c>
      <c r="F173" s="697">
        <v>0</v>
      </c>
      <c r="G173" s="1597">
        <f t="shared" si="75"/>
        <v>0</v>
      </c>
      <c r="H173" s="697">
        <v>0</v>
      </c>
      <c r="I173" s="697">
        <v>0</v>
      </c>
      <c r="J173" s="1618"/>
      <c r="K173" s="1619"/>
      <c r="L173" s="197"/>
      <c r="M173" s="290" t="s">
        <v>12009</v>
      </c>
      <c r="N173" s="197"/>
      <c r="O173" s="291"/>
      <c r="P173" s="197"/>
      <c r="Q173" s="828"/>
      <c r="R173" s="284">
        <f t="shared" si="76"/>
        <v>0</v>
      </c>
      <c r="S173" s="828"/>
      <c r="T173" s="285">
        <f t="shared" si="77"/>
        <v>0</v>
      </c>
      <c r="U173" s="285">
        <f t="shared" si="77"/>
        <v>0</v>
      </c>
      <c r="V173" s="285">
        <f t="shared" si="77"/>
        <v>0</v>
      </c>
      <c r="W173" s="285">
        <f t="shared" si="77"/>
        <v>0</v>
      </c>
      <c r="X173" s="197"/>
      <c r="Y173" s="285">
        <f t="shared" si="78"/>
        <v>0</v>
      </c>
      <c r="Z173" s="285">
        <f t="shared" si="78"/>
        <v>0</v>
      </c>
      <c r="AA173" s="197"/>
      <c r="AB173" s="197"/>
      <c r="AC173" s="828"/>
      <c r="AD173" s="197"/>
      <c r="AE173" s="403" t="s">
        <v>11857</v>
      </c>
      <c r="AF173" s="962" t="s">
        <v>2156</v>
      </c>
      <c r="AG173" s="905" t="s">
        <v>2184</v>
      </c>
      <c r="AH173" s="905" t="s">
        <v>2212</v>
      </c>
      <c r="AI173" s="905" t="s">
        <v>2240</v>
      </c>
      <c r="AJ173" s="963" t="s">
        <v>2268</v>
      </c>
      <c r="AK173" s="905" t="s">
        <v>2296</v>
      </c>
      <c r="AL173" s="905" t="s">
        <v>2324</v>
      </c>
      <c r="AM173" s="975"/>
      <c r="AN173" s="976"/>
      <c r="AO173" s="961"/>
      <c r="AP173" s="197"/>
      <c r="AQ173" s="197"/>
      <c r="AR173" s="197"/>
      <c r="AS173" s="197"/>
    </row>
    <row r="174" spans="1:45" s="4" customFormat="1" ht="15.75" customHeight="1">
      <c r="A174" s="197"/>
      <c r="B174" s="403" t="s">
        <v>11866</v>
      </c>
      <c r="C174" s="2092">
        <v>0</v>
      </c>
      <c r="D174" s="697">
        <v>0</v>
      </c>
      <c r="E174" s="697">
        <v>0</v>
      </c>
      <c r="F174" s="697">
        <v>0</v>
      </c>
      <c r="G174" s="1597">
        <f t="shared" si="75"/>
        <v>0</v>
      </c>
      <c r="H174" s="697">
        <v>0</v>
      </c>
      <c r="I174" s="697">
        <v>0</v>
      </c>
      <c r="J174" s="1618"/>
      <c r="K174" s="1619"/>
      <c r="L174" s="197"/>
      <c r="M174" s="290" t="s">
        <v>12010</v>
      </c>
      <c r="N174" s="197"/>
      <c r="O174" s="291"/>
      <c r="P174" s="200"/>
      <c r="Q174" s="935"/>
      <c r="R174" s="284">
        <f t="shared" si="76"/>
        <v>0</v>
      </c>
      <c r="S174" s="828"/>
      <c r="T174" s="285">
        <f t="shared" si="77"/>
        <v>0</v>
      </c>
      <c r="U174" s="285">
        <f t="shared" si="77"/>
        <v>0</v>
      </c>
      <c r="V174" s="285">
        <f t="shared" si="77"/>
        <v>0</v>
      </c>
      <c r="W174" s="285">
        <f t="shared" si="77"/>
        <v>0</v>
      </c>
      <c r="X174" s="197"/>
      <c r="Y174" s="285">
        <f t="shared" si="78"/>
        <v>0</v>
      </c>
      <c r="Z174" s="285">
        <f t="shared" si="78"/>
        <v>0</v>
      </c>
      <c r="AA174" s="197"/>
      <c r="AB174" s="197"/>
      <c r="AC174" s="828"/>
      <c r="AD174" s="197"/>
      <c r="AE174" s="403" t="s">
        <v>11866</v>
      </c>
      <c r="AF174" s="962" t="s">
        <v>2157</v>
      </c>
      <c r="AG174" s="905" t="s">
        <v>2185</v>
      </c>
      <c r="AH174" s="905" t="s">
        <v>2213</v>
      </c>
      <c r="AI174" s="905" t="s">
        <v>2241</v>
      </c>
      <c r="AJ174" s="963" t="s">
        <v>2269</v>
      </c>
      <c r="AK174" s="905" t="s">
        <v>2297</v>
      </c>
      <c r="AL174" s="905" t="s">
        <v>2325</v>
      </c>
      <c r="AM174" s="975"/>
      <c r="AN174" s="976"/>
      <c r="AO174" s="961"/>
      <c r="AP174" s="197"/>
      <c r="AQ174" s="197"/>
      <c r="AR174" s="197"/>
      <c r="AS174" s="197"/>
    </row>
    <row r="175" spans="1:45" s="4" customFormat="1" ht="15.75" customHeight="1">
      <c r="A175" s="197"/>
      <c r="B175" s="403" t="s">
        <v>11875</v>
      </c>
      <c r="C175" s="2092">
        <v>0</v>
      </c>
      <c r="D175" s="697">
        <v>0</v>
      </c>
      <c r="E175" s="697">
        <v>0</v>
      </c>
      <c r="F175" s="697">
        <v>0</v>
      </c>
      <c r="G175" s="1597">
        <f t="shared" si="75"/>
        <v>0</v>
      </c>
      <c r="H175" s="697">
        <v>0</v>
      </c>
      <c r="I175" s="697">
        <v>0</v>
      </c>
      <c r="J175" s="1618"/>
      <c r="K175" s="1619"/>
      <c r="L175" s="197"/>
      <c r="M175" s="290" t="s">
        <v>12011</v>
      </c>
      <c r="N175" s="197"/>
      <c r="O175" s="291"/>
      <c r="P175" s="200"/>
      <c r="Q175" s="935"/>
      <c r="R175" s="284">
        <f t="shared" si="76"/>
        <v>0</v>
      </c>
      <c r="S175" s="828"/>
      <c r="T175" s="285">
        <f t="shared" si="77"/>
        <v>0</v>
      </c>
      <c r="U175" s="285">
        <f t="shared" si="77"/>
        <v>0</v>
      </c>
      <c r="V175" s="285">
        <f t="shared" si="77"/>
        <v>0</v>
      </c>
      <c r="W175" s="285">
        <f t="shared" si="77"/>
        <v>0</v>
      </c>
      <c r="X175" s="197"/>
      <c r="Y175" s="285">
        <f t="shared" si="78"/>
        <v>0</v>
      </c>
      <c r="Z175" s="285">
        <f t="shared" si="78"/>
        <v>0</v>
      </c>
      <c r="AA175" s="197"/>
      <c r="AB175" s="197"/>
      <c r="AC175" s="828"/>
      <c r="AD175" s="197"/>
      <c r="AE175" s="403" t="s">
        <v>11875</v>
      </c>
      <c r="AF175" s="962" t="s">
        <v>2158</v>
      </c>
      <c r="AG175" s="905" t="s">
        <v>2186</v>
      </c>
      <c r="AH175" s="905" t="s">
        <v>2214</v>
      </c>
      <c r="AI175" s="905" t="s">
        <v>2242</v>
      </c>
      <c r="AJ175" s="963" t="s">
        <v>2270</v>
      </c>
      <c r="AK175" s="905" t="s">
        <v>2298</v>
      </c>
      <c r="AL175" s="905" t="s">
        <v>2326</v>
      </c>
      <c r="AM175" s="975"/>
      <c r="AN175" s="976"/>
      <c r="AO175" s="961"/>
      <c r="AP175" s="197"/>
      <c r="AQ175" s="197"/>
      <c r="AR175" s="197"/>
      <c r="AS175" s="197"/>
    </row>
    <row r="176" spans="1:45" s="4" customFormat="1" ht="15.75" customHeight="1">
      <c r="A176" s="197"/>
      <c r="B176" s="403" t="s">
        <v>11884</v>
      </c>
      <c r="C176" s="2092">
        <v>0</v>
      </c>
      <c r="D176" s="697">
        <v>0</v>
      </c>
      <c r="E176" s="697">
        <v>0</v>
      </c>
      <c r="F176" s="697">
        <v>0</v>
      </c>
      <c r="G176" s="1597">
        <f t="shared" si="75"/>
        <v>0</v>
      </c>
      <c r="H176" s="697">
        <v>0</v>
      </c>
      <c r="I176" s="697">
        <v>0</v>
      </c>
      <c r="J176" s="1618"/>
      <c r="K176" s="1619"/>
      <c r="L176" s="197"/>
      <c r="M176" s="290" t="s">
        <v>12012</v>
      </c>
      <c r="N176" s="197"/>
      <c r="O176" s="291"/>
      <c r="P176" s="200"/>
      <c r="Q176" s="935"/>
      <c r="R176" s="284">
        <f t="shared" si="76"/>
        <v>0</v>
      </c>
      <c r="S176" s="828"/>
      <c r="T176" s="285">
        <f t="shared" si="77"/>
        <v>0</v>
      </c>
      <c r="U176" s="285">
        <f t="shared" si="77"/>
        <v>0</v>
      </c>
      <c r="V176" s="285">
        <f t="shared" si="77"/>
        <v>0</v>
      </c>
      <c r="W176" s="285">
        <f t="shared" si="77"/>
        <v>0</v>
      </c>
      <c r="X176" s="197"/>
      <c r="Y176" s="285">
        <f t="shared" si="78"/>
        <v>0</v>
      </c>
      <c r="Z176" s="285">
        <f t="shared" si="78"/>
        <v>0</v>
      </c>
      <c r="AA176" s="197"/>
      <c r="AB176" s="197"/>
      <c r="AC176" s="828"/>
      <c r="AD176" s="197"/>
      <c r="AE176" s="403" t="s">
        <v>11884</v>
      </c>
      <c r="AF176" s="962" t="s">
        <v>2159</v>
      </c>
      <c r="AG176" s="905" t="s">
        <v>2187</v>
      </c>
      <c r="AH176" s="905" t="s">
        <v>2215</v>
      </c>
      <c r="AI176" s="905" t="s">
        <v>2243</v>
      </c>
      <c r="AJ176" s="963" t="s">
        <v>2271</v>
      </c>
      <c r="AK176" s="905" t="s">
        <v>2299</v>
      </c>
      <c r="AL176" s="905" t="s">
        <v>2327</v>
      </c>
      <c r="AM176" s="975"/>
      <c r="AN176" s="976"/>
      <c r="AO176" s="961"/>
      <c r="AP176" s="197"/>
      <c r="AQ176" s="197"/>
      <c r="AR176" s="197"/>
      <c r="AS176" s="197"/>
    </row>
    <row r="177" spans="1:45" s="4" customFormat="1" ht="15.75" customHeight="1">
      <c r="A177" s="197"/>
      <c r="B177" s="403" t="s">
        <v>11893</v>
      </c>
      <c r="C177" s="2092">
        <v>0</v>
      </c>
      <c r="D177" s="697">
        <v>0</v>
      </c>
      <c r="E177" s="697">
        <v>0</v>
      </c>
      <c r="F177" s="697">
        <v>0</v>
      </c>
      <c r="G177" s="1597">
        <f t="shared" si="75"/>
        <v>0</v>
      </c>
      <c r="H177" s="697">
        <v>0</v>
      </c>
      <c r="I177" s="697">
        <v>0</v>
      </c>
      <c r="J177" s="1618"/>
      <c r="K177" s="1619"/>
      <c r="L177" s="197"/>
      <c r="M177" s="290" t="s">
        <v>12013</v>
      </c>
      <c r="N177" s="197"/>
      <c r="O177" s="291"/>
      <c r="P177" s="197"/>
      <c r="Q177" s="828"/>
      <c r="R177" s="284">
        <f t="shared" si="76"/>
        <v>0</v>
      </c>
      <c r="S177" s="828"/>
      <c r="T177" s="285">
        <f t="shared" si="77"/>
        <v>0</v>
      </c>
      <c r="U177" s="285">
        <f t="shared" si="77"/>
        <v>0</v>
      </c>
      <c r="V177" s="285">
        <f t="shared" si="77"/>
        <v>0</v>
      </c>
      <c r="W177" s="285">
        <f t="shared" si="77"/>
        <v>0</v>
      </c>
      <c r="X177" s="197"/>
      <c r="Y177" s="285">
        <f t="shared" si="78"/>
        <v>0</v>
      </c>
      <c r="Z177" s="285">
        <f t="shared" si="78"/>
        <v>0</v>
      </c>
      <c r="AA177" s="197"/>
      <c r="AB177" s="197"/>
      <c r="AC177" s="828"/>
      <c r="AD177" s="197"/>
      <c r="AE177" s="403" t="s">
        <v>11893</v>
      </c>
      <c r="AF177" s="962" t="s">
        <v>2160</v>
      </c>
      <c r="AG177" s="905" t="s">
        <v>2188</v>
      </c>
      <c r="AH177" s="905" t="s">
        <v>2216</v>
      </c>
      <c r="AI177" s="905" t="s">
        <v>2244</v>
      </c>
      <c r="AJ177" s="963" t="s">
        <v>2272</v>
      </c>
      <c r="AK177" s="905" t="s">
        <v>2300</v>
      </c>
      <c r="AL177" s="905" t="s">
        <v>2328</v>
      </c>
      <c r="AM177" s="975"/>
      <c r="AN177" s="976"/>
      <c r="AO177" s="961"/>
      <c r="AP177" s="197"/>
      <c r="AQ177" s="197"/>
      <c r="AR177" s="197"/>
      <c r="AS177" s="197"/>
    </row>
    <row r="178" spans="1:45" s="4" customFormat="1" ht="15.75" customHeight="1" thickBot="1">
      <c r="A178" s="197"/>
      <c r="B178" s="406" t="s">
        <v>7445</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12014</v>
      </c>
      <c r="N178" s="197"/>
      <c r="O178" s="302"/>
      <c r="P178" s="197"/>
      <c r="Q178" s="828"/>
      <c r="R178" s="284"/>
      <c r="S178" s="828"/>
      <c r="T178" s="197"/>
      <c r="U178" s="197"/>
      <c r="V178" s="197"/>
      <c r="W178" s="197"/>
      <c r="X178" s="197"/>
      <c r="Y178" s="197"/>
      <c r="Z178" s="197"/>
      <c r="AA178" s="197"/>
      <c r="AB178" s="197"/>
      <c r="AC178" s="828"/>
      <c r="AD178" s="197"/>
      <c r="AE178" s="406" t="s">
        <v>7445</v>
      </c>
      <c r="AF178" s="965" t="s">
        <v>2161</v>
      </c>
      <c r="AG178" s="679" t="s">
        <v>2189</v>
      </c>
      <c r="AH178" s="679" t="s">
        <v>2217</v>
      </c>
      <c r="AI178" s="679" t="s">
        <v>2245</v>
      </c>
      <c r="AJ178" s="679" t="s">
        <v>2273</v>
      </c>
      <c r="AK178" s="679" t="s">
        <v>2301</v>
      </c>
      <c r="AL178" s="679" t="s">
        <v>2329</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9921</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11910</v>
      </c>
      <c r="C180" s="729"/>
      <c r="D180" s="1603"/>
      <c r="E180" s="1603"/>
      <c r="F180" s="1603"/>
      <c r="G180" s="1603"/>
      <c r="H180" s="1603"/>
      <c r="I180" s="1603"/>
      <c r="J180" s="1615"/>
      <c r="K180" s="1615"/>
      <c r="L180" s="197"/>
      <c r="M180" s="260" t="s">
        <v>9921</v>
      </c>
      <c r="N180" s="197"/>
      <c r="O180" s="197"/>
      <c r="P180" s="197"/>
      <c r="Q180" s="828"/>
      <c r="R180" s="284"/>
      <c r="S180" s="828"/>
      <c r="T180" s="197"/>
      <c r="U180" s="197"/>
      <c r="V180" s="197"/>
      <c r="W180" s="197"/>
      <c r="X180" s="197"/>
      <c r="Y180" s="197"/>
      <c r="Z180" s="197"/>
      <c r="AA180" s="197"/>
      <c r="AB180" s="197"/>
      <c r="AC180" s="828"/>
      <c r="AD180" s="197"/>
      <c r="AE180" s="393" t="s">
        <v>11910</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11910</v>
      </c>
      <c r="C181" s="701">
        <v>0</v>
      </c>
      <c r="D181" s="701">
        <v>0</v>
      </c>
      <c r="E181" s="701">
        <v>0</v>
      </c>
      <c r="F181" s="701">
        <v>0</v>
      </c>
      <c r="G181" s="1586">
        <f>IFERROR(SUM(C181:F181),0)</f>
        <v>0</v>
      </c>
      <c r="H181" s="701">
        <v>0</v>
      </c>
      <c r="I181" s="701">
        <v>0</v>
      </c>
      <c r="J181" s="1620"/>
      <c r="K181" s="1621"/>
      <c r="L181" s="197"/>
      <c r="M181" s="374" t="s">
        <v>12015</v>
      </c>
      <c r="N181" s="197"/>
      <c r="O181" s="982"/>
      <c r="P181" s="389"/>
      <c r="Q181" s="825"/>
      <c r="R181" s="284">
        <f>IF( SUM( T181:AA181 ) = 0, 0, $T$10 )</f>
        <v>0</v>
      </c>
      <c r="S181" s="825"/>
      <c r="T181" s="285">
        <f xml:space="preserve"> IF( ISNUMBER(C181), 0, 1 )</f>
        <v>0</v>
      </c>
      <c r="U181" s="285">
        <f xml:space="preserve"> IF( ISNUMBER(D181), 0, 1 )</f>
        <v>0</v>
      </c>
      <c r="V181" s="285">
        <f xml:space="preserve"> IF( ISNUMBER(E181), 0, 1 )</f>
        <v>0</v>
      </c>
      <c r="W181" s="285">
        <f xml:space="preserve"> IF( ISNUMBER(F181), 0, 1 )</f>
        <v>0</v>
      </c>
      <c r="X181" s="197"/>
      <c r="Y181" s="285">
        <f xml:space="preserve"> IF( ISNUMBER(H181), 0, 1 )</f>
        <v>0</v>
      </c>
      <c r="Z181" s="285">
        <f xml:space="preserve"> IF( ISNUMBER(I181), 0, 1 )</f>
        <v>0</v>
      </c>
      <c r="AA181" s="197"/>
      <c r="AB181" s="197"/>
      <c r="AC181" s="825"/>
      <c r="AD181" s="389"/>
      <c r="AE181" s="420" t="s">
        <v>11910</v>
      </c>
      <c r="AF181" s="978" t="s">
        <v>2162</v>
      </c>
      <c r="AG181" s="978" t="s">
        <v>2190</v>
      </c>
      <c r="AH181" s="978" t="s">
        <v>2218</v>
      </c>
      <c r="AI181" s="978" t="s">
        <v>2246</v>
      </c>
      <c r="AJ181" s="979" t="s">
        <v>2274</v>
      </c>
      <c r="AK181" s="978" t="s">
        <v>2302</v>
      </c>
      <c r="AL181" s="978" t="s">
        <v>2330</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9921</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11919</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12016</v>
      </c>
      <c r="N183" s="197"/>
      <c r="O183" s="982"/>
      <c r="P183" s="389"/>
      <c r="Q183" s="825"/>
      <c r="R183" s="284"/>
      <c r="S183" s="825"/>
      <c r="T183" s="197"/>
      <c r="U183" s="197"/>
      <c r="V183" s="197"/>
      <c r="W183" s="197"/>
      <c r="X183" s="197"/>
      <c r="Y183" s="197"/>
      <c r="Z183" s="197"/>
      <c r="AA183" s="197"/>
      <c r="AB183" s="197"/>
      <c r="AC183" s="825"/>
      <c r="AD183" s="389"/>
      <c r="AE183" s="420" t="s">
        <v>11919</v>
      </c>
      <c r="AF183" s="985" t="s">
        <v>2163</v>
      </c>
      <c r="AG183" s="372" t="s">
        <v>2191</v>
      </c>
      <c r="AH183" s="372" t="s">
        <v>2219</v>
      </c>
      <c r="AI183" s="372" t="s">
        <v>2247</v>
      </c>
      <c r="AJ183" s="372" t="s">
        <v>2275</v>
      </c>
      <c r="AK183" s="372" t="s">
        <v>2303</v>
      </c>
      <c r="AL183" s="372" t="s">
        <v>2331</v>
      </c>
      <c r="AM183" s="986"/>
      <c r="AN183" s="987"/>
      <c r="AO183" s="961"/>
      <c r="AP183" s="389"/>
      <c r="AQ183" s="389"/>
      <c r="AR183" s="389"/>
      <c r="AS183" s="389"/>
    </row>
    <row r="184" spans="1:45" s="4" customFormat="1" ht="17.25"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5.95" customHeight="1" thickTop="1">
      <c r="A185" s="197"/>
      <c r="B185" s="2711" t="s">
        <v>7224</v>
      </c>
      <c r="C185" s="2673" t="s">
        <v>12017</v>
      </c>
      <c r="D185" s="2673"/>
      <c r="E185" s="2673"/>
      <c r="F185" s="2673"/>
      <c r="G185" s="2673"/>
      <c r="H185" s="2673"/>
      <c r="I185" s="2673"/>
      <c r="J185" s="2673"/>
      <c r="K185" s="2675"/>
      <c r="L185" s="651"/>
      <c r="M185" s="197"/>
      <c r="N185" s="197"/>
      <c r="O185" s="197"/>
      <c r="P185" s="651"/>
      <c r="Q185" s="907"/>
      <c r="R185" s="284"/>
      <c r="S185" s="907"/>
      <c r="T185" s="651"/>
      <c r="U185" s="651"/>
      <c r="V185" s="651"/>
      <c r="W185" s="651"/>
      <c r="X185" s="651"/>
      <c r="Y185" s="651"/>
      <c r="Z185" s="651"/>
      <c r="AA185" s="651"/>
      <c r="AB185" s="651"/>
      <c r="AC185" s="907"/>
      <c r="AD185" s="651"/>
      <c r="AE185" s="2711" t="s">
        <v>7224</v>
      </c>
      <c r="AF185" s="2673" t="s">
        <v>12017</v>
      </c>
      <c r="AG185" s="2673"/>
      <c r="AH185" s="2673"/>
      <c r="AI185" s="2673"/>
      <c r="AJ185" s="2673"/>
      <c r="AK185" s="2673"/>
      <c r="AL185" s="2673"/>
      <c r="AM185" s="2673"/>
      <c r="AN185" s="2675"/>
      <c r="AO185" s="317"/>
      <c r="AP185" s="197"/>
      <c r="AQ185" s="197"/>
      <c r="AR185" s="197"/>
      <c r="AS185" s="197"/>
    </row>
    <row r="186" spans="1:45" s="4" customFormat="1">
      <c r="A186" s="197"/>
      <c r="B186" s="2795"/>
      <c r="C186" s="2796" t="s">
        <v>11650</v>
      </c>
      <c r="D186" s="2796"/>
      <c r="E186" s="2796"/>
      <c r="F186" s="2796"/>
      <c r="G186" s="2796" t="s">
        <v>11651</v>
      </c>
      <c r="H186" s="2796"/>
      <c r="I186" s="2796" t="s">
        <v>11652</v>
      </c>
      <c r="J186" s="2796" t="s">
        <v>11653</v>
      </c>
      <c r="K186" s="2837"/>
      <c r="L186" s="197"/>
      <c r="M186" s="197"/>
      <c r="N186" s="197"/>
      <c r="O186" s="197"/>
      <c r="P186" s="197"/>
      <c r="Q186" s="828"/>
      <c r="R186" s="284"/>
      <c r="S186" s="828"/>
      <c r="T186" s="197"/>
      <c r="U186" s="197"/>
      <c r="V186" s="197"/>
      <c r="W186" s="197"/>
      <c r="X186" s="197"/>
      <c r="Y186" s="197"/>
      <c r="Z186" s="197"/>
      <c r="AA186" s="197"/>
      <c r="AB186" s="197"/>
      <c r="AC186" s="828"/>
      <c r="AD186" s="197"/>
      <c r="AE186" s="2795"/>
      <c r="AF186" s="2796" t="s">
        <v>11650</v>
      </c>
      <c r="AG186" s="2796"/>
      <c r="AH186" s="2796"/>
      <c r="AI186" s="2796"/>
      <c r="AJ186" s="2796" t="s">
        <v>11651</v>
      </c>
      <c r="AK186" s="2796"/>
      <c r="AL186" s="2796" t="s">
        <v>11652</v>
      </c>
      <c r="AM186" s="2796" t="s">
        <v>11653</v>
      </c>
      <c r="AN186" s="2837"/>
      <c r="AO186" s="317"/>
      <c r="AP186" s="197"/>
      <c r="AQ186" s="197"/>
      <c r="AR186" s="197"/>
      <c r="AS186" s="197"/>
    </row>
    <row r="187" spans="1:45" s="4" customFormat="1" ht="30">
      <c r="A187" s="197"/>
      <c r="B187" s="2795"/>
      <c r="C187" s="427" t="s">
        <v>11654</v>
      </c>
      <c r="D187" s="427" t="s">
        <v>11655</v>
      </c>
      <c r="E187" s="427" t="s">
        <v>11656</v>
      </c>
      <c r="F187" s="427" t="s">
        <v>11657</v>
      </c>
      <c r="G187" s="427" t="s">
        <v>11658</v>
      </c>
      <c r="H187" s="427" t="s">
        <v>11659</v>
      </c>
      <c r="I187" s="2796"/>
      <c r="J187" s="427" t="s">
        <v>11660</v>
      </c>
      <c r="K187" s="428" t="s">
        <v>11661</v>
      </c>
      <c r="L187" s="197"/>
      <c r="M187" s="197"/>
      <c r="N187" s="197"/>
      <c r="O187" s="197"/>
      <c r="P187" s="197"/>
      <c r="Q187" s="828"/>
      <c r="R187" s="284"/>
      <c r="S187" s="828"/>
      <c r="T187" s="197"/>
      <c r="U187" s="197"/>
      <c r="V187" s="197"/>
      <c r="W187" s="197"/>
      <c r="X187" s="197"/>
      <c r="Y187" s="197"/>
      <c r="Z187" s="197"/>
      <c r="AA187" s="197"/>
      <c r="AB187" s="197"/>
      <c r="AC187" s="828"/>
      <c r="AD187" s="197"/>
      <c r="AE187" s="2795"/>
      <c r="AF187" s="427" t="s">
        <v>11654</v>
      </c>
      <c r="AG187" s="427" t="s">
        <v>11655</v>
      </c>
      <c r="AH187" s="427" t="s">
        <v>11656</v>
      </c>
      <c r="AI187" s="427" t="s">
        <v>11657</v>
      </c>
      <c r="AJ187" s="427" t="s">
        <v>11658</v>
      </c>
      <c r="AK187" s="427" t="s">
        <v>11659</v>
      </c>
      <c r="AL187" s="2796"/>
      <c r="AM187" s="427" t="s">
        <v>11660</v>
      </c>
      <c r="AN187" s="428" t="s">
        <v>11661</v>
      </c>
      <c r="AO187" s="317"/>
      <c r="AP187" s="197"/>
      <c r="AQ187" s="197"/>
      <c r="AR187" s="197"/>
      <c r="AS187" s="197"/>
    </row>
    <row r="188" spans="1:45" s="4" customFormat="1" ht="15.95" customHeight="1">
      <c r="A188" s="197"/>
      <c r="B188" s="429" t="s">
        <v>7225</v>
      </c>
      <c r="C188" s="427" t="s">
        <v>681</v>
      </c>
      <c r="D188" s="427" t="s">
        <v>681</v>
      </c>
      <c r="E188" s="427" t="s">
        <v>681</v>
      </c>
      <c r="F188" s="427" t="s">
        <v>681</v>
      </c>
      <c r="G188" s="427" t="s">
        <v>681</v>
      </c>
      <c r="H188" s="427" t="s">
        <v>681</v>
      </c>
      <c r="I188" s="427" t="s">
        <v>681</v>
      </c>
      <c r="J188" s="427" t="s">
        <v>3137</v>
      </c>
      <c r="K188" s="428" t="s">
        <v>3137</v>
      </c>
      <c r="L188" s="197"/>
      <c r="M188" s="197"/>
      <c r="N188" s="197"/>
      <c r="O188" s="197"/>
      <c r="P188" s="197"/>
      <c r="Q188" s="828"/>
      <c r="R188" s="284"/>
      <c r="S188" s="828"/>
      <c r="T188" s="197"/>
      <c r="U188" s="197"/>
      <c r="V188" s="197"/>
      <c r="W188" s="197"/>
      <c r="X188" s="197"/>
      <c r="Y188" s="197"/>
      <c r="Z188" s="197"/>
      <c r="AA188" s="197"/>
      <c r="AB188" s="197"/>
      <c r="AC188" s="828"/>
      <c r="AD188" s="197"/>
      <c r="AE188" s="429" t="s">
        <v>7225</v>
      </c>
      <c r="AF188" s="427" t="s">
        <v>681</v>
      </c>
      <c r="AG188" s="427" t="s">
        <v>681</v>
      </c>
      <c r="AH188" s="427" t="s">
        <v>681</v>
      </c>
      <c r="AI188" s="427" t="s">
        <v>681</v>
      </c>
      <c r="AJ188" s="427" t="s">
        <v>681</v>
      </c>
      <c r="AK188" s="427" t="s">
        <v>681</v>
      </c>
      <c r="AL188" s="427" t="s">
        <v>681</v>
      </c>
      <c r="AM188" s="427" t="s">
        <v>3137</v>
      </c>
      <c r="AN188" s="428" t="s">
        <v>3137</v>
      </c>
      <c r="AO188" s="317"/>
      <c r="AP188" s="197"/>
      <c r="AQ188" s="197"/>
      <c r="AR188" s="197"/>
      <c r="AS188" s="197"/>
    </row>
    <row r="189" spans="1:45" s="4" customFormat="1" ht="16.5" thickBot="1">
      <c r="A189" s="197"/>
      <c r="B189" s="430" t="s">
        <v>670</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668" t="s">
        <v>7223</v>
      </c>
      <c r="U189" s="2668"/>
      <c r="V189" s="2819"/>
      <c r="W189" s="2819"/>
      <c r="X189" s="2819"/>
      <c r="Y189" s="2819"/>
      <c r="Z189" s="2819"/>
      <c r="AA189" s="2819"/>
      <c r="AB189" s="247"/>
      <c r="AC189" s="828"/>
      <c r="AD189" s="197"/>
      <c r="AE189" s="430" t="s">
        <v>670</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7.25"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7231</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11662</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11662</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11663</v>
      </c>
      <c r="C192" s="2091">
        <v>0</v>
      </c>
      <c r="D192" s="694">
        <v>0</v>
      </c>
      <c r="E192" s="694">
        <v>150</v>
      </c>
      <c r="F192" s="694">
        <v>0</v>
      </c>
      <c r="G192" s="1595">
        <f t="shared" ref="G192:G199" si="79">IFERROR(SUM(C192:F192),0)</f>
        <v>150</v>
      </c>
      <c r="H192" s="2091">
        <v>-8.7430000000000003</v>
      </c>
      <c r="I192" s="694">
        <v>0</v>
      </c>
      <c r="J192" s="1609">
        <v>0</v>
      </c>
      <c r="K192" s="1610">
        <v>0</v>
      </c>
      <c r="L192" s="197"/>
      <c r="M192" s="281" t="s">
        <v>12018</v>
      </c>
      <c r="N192" s="197"/>
      <c r="O192" s="283"/>
      <c r="P192" s="197"/>
      <c r="Q192" s="828"/>
      <c r="R192" s="284">
        <f t="shared" ref="R192:R198" si="80">IF( SUM( T192:AA192 ) = 0, 0, $T$10 )</f>
        <v>0</v>
      </c>
      <c r="S192" s="828"/>
      <c r="T192" s="285">
        <f t="shared" ref="T192:W198" si="81" xml:space="preserve"> IF( ISNUMBER(C192), 0, 1 )</f>
        <v>0</v>
      </c>
      <c r="U192" s="285">
        <f t="shared" si="81"/>
        <v>0</v>
      </c>
      <c r="V192" s="285">
        <f t="shared" si="81"/>
        <v>0</v>
      </c>
      <c r="W192" s="285">
        <f t="shared" si="81"/>
        <v>0</v>
      </c>
      <c r="X192" s="197"/>
      <c r="Y192" s="285">
        <f t="shared" ref="Y192:AB198" si="82" xml:space="preserve"> IF( ISNUMBER(H192), 0, 1 )</f>
        <v>0</v>
      </c>
      <c r="Z192" s="285">
        <f t="shared" si="82"/>
        <v>0</v>
      </c>
      <c r="AA192" s="285">
        <f t="shared" si="82"/>
        <v>0</v>
      </c>
      <c r="AB192" s="285">
        <f t="shared" si="82"/>
        <v>0</v>
      </c>
      <c r="AC192" s="828"/>
      <c r="AD192" s="197"/>
      <c r="AE192" s="396" t="s">
        <v>11663</v>
      </c>
      <c r="AF192" s="958" t="s">
        <v>2346</v>
      </c>
      <c r="AG192" s="904" t="s">
        <v>2374</v>
      </c>
      <c r="AH192" s="904" t="s">
        <v>2402</v>
      </c>
      <c r="AI192" s="904" t="s">
        <v>2430</v>
      </c>
      <c r="AJ192" s="959" t="s">
        <v>2458</v>
      </c>
      <c r="AK192" s="958" t="s">
        <v>2486</v>
      </c>
      <c r="AL192" s="904" t="s">
        <v>2514</v>
      </c>
      <c r="AM192" s="904" t="s">
        <v>2542</v>
      </c>
      <c r="AN192" s="960" t="s">
        <v>2549</v>
      </c>
      <c r="AO192" s="961"/>
      <c r="AP192" s="197"/>
      <c r="AQ192" s="197"/>
      <c r="AR192" s="197"/>
      <c r="AS192" s="197"/>
    </row>
    <row r="193" spans="1:45" s="4" customFormat="1" ht="15.75" customHeight="1">
      <c r="A193" s="197"/>
      <c r="B193" s="403" t="s">
        <v>11674</v>
      </c>
      <c r="C193" s="2092">
        <v>0</v>
      </c>
      <c r="D193" s="697">
        <v>0</v>
      </c>
      <c r="E193" s="697">
        <v>0</v>
      </c>
      <c r="F193" s="697">
        <v>0</v>
      </c>
      <c r="G193" s="1597">
        <f t="shared" si="79"/>
        <v>0</v>
      </c>
      <c r="H193" s="2092">
        <v>0</v>
      </c>
      <c r="I193" s="697">
        <v>0</v>
      </c>
      <c r="J193" s="1611">
        <v>0</v>
      </c>
      <c r="K193" s="1612">
        <v>0</v>
      </c>
      <c r="L193" s="197"/>
      <c r="M193" s="290" t="s">
        <v>12019</v>
      </c>
      <c r="N193" s="197"/>
      <c r="O193" s="291"/>
      <c r="P193" s="197"/>
      <c r="Q193" s="828"/>
      <c r="R193" s="284">
        <f t="shared" si="80"/>
        <v>0</v>
      </c>
      <c r="S193" s="828"/>
      <c r="T193" s="285">
        <f t="shared" si="81"/>
        <v>0</v>
      </c>
      <c r="U193" s="285">
        <f t="shared" si="81"/>
        <v>0</v>
      </c>
      <c r="V193" s="285">
        <f t="shared" si="81"/>
        <v>0</v>
      </c>
      <c r="W193" s="285">
        <f t="shared" si="81"/>
        <v>0</v>
      </c>
      <c r="X193" s="197"/>
      <c r="Y193" s="285">
        <f t="shared" si="82"/>
        <v>0</v>
      </c>
      <c r="Z193" s="285">
        <f t="shared" si="82"/>
        <v>0</v>
      </c>
      <c r="AA193" s="285">
        <f t="shared" si="82"/>
        <v>0</v>
      </c>
      <c r="AB193" s="285">
        <f t="shared" si="82"/>
        <v>0</v>
      </c>
      <c r="AC193" s="828"/>
      <c r="AD193" s="197"/>
      <c r="AE193" s="403" t="s">
        <v>11674</v>
      </c>
      <c r="AF193" s="962" t="s">
        <v>2347</v>
      </c>
      <c r="AG193" s="905" t="s">
        <v>2375</v>
      </c>
      <c r="AH193" s="905" t="s">
        <v>2403</v>
      </c>
      <c r="AI193" s="905" t="s">
        <v>2431</v>
      </c>
      <c r="AJ193" s="963" t="s">
        <v>2459</v>
      </c>
      <c r="AK193" s="962" t="s">
        <v>2487</v>
      </c>
      <c r="AL193" s="905" t="s">
        <v>2515</v>
      </c>
      <c r="AM193" s="905" t="s">
        <v>2543</v>
      </c>
      <c r="AN193" s="964" t="s">
        <v>2550</v>
      </c>
      <c r="AO193" s="961"/>
      <c r="AP193" s="197"/>
      <c r="AQ193" s="197"/>
      <c r="AR193" s="197"/>
      <c r="AS193" s="197"/>
    </row>
    <row r="194" spans="1:45" s="4" customFormat="1" ht="15.75" customHeight="1">
      <c r="A194" s="197"/>
      <c r="B194" s="403" t="s">
        <v>11685</v>
      </c>
      <c r="C194" s="2092">
        <v>0</v>
      </c>
      <c r="D194" s="697">
        <v>0</v>
      </c>
      <c r="E194" s="697">
        <v>0</v>
      </c>
      <c r="F194" s="697">
        <v>0</v>
      </c>
      <c r="G194" s="1597">
        <f t="shared" si="79"/>
        <v>0</v>
      </c>
      <c r="H194" s="2092">
        <v>0</v>
      </c>
      <c r="I194" s="697">
        <v>0</v>
      </c>
      <c r="J194" s="1611">
        <v>0</v>
      </c>
      <c r="K194" s="1612">
        <v>0</v>
      </c>
      <c r="L194" s="197"/>
      <c r="M194" s="290" t="s">
        <v>12020</v>
      </c>
      <c r="N194" s="197"/>
      <c r="O194" s="291"/>
      <c r="P194" s="197"/>
      <c r="Q194" s="828"/>
      <c r="R194" s="284">
        <f t="shared" si="80"/>
        <v>0</v>
      </c>
      <c r="S194" s="828"/>
      <c r="T194" s="285">
        <f t="shared" si="81"/>
        <v>0</v>
      </c>
      <c r="U194" s="285">
        <f t="shared" si="81"/>
        <v>0</v>
      </c>
      <c r="V194" s="285">
        <f t="shared" si="81"/>
        <v>0</v>
      </c>
      <c r="W194" s="285">
        <f t="shared" si="81"/>
        <v>0</v>
      </c>
      <c r="X194" s="197"/>
      <c r="Y194" s="285">
        <f t="shared" si="82"/>
        <v>0</v>
      </c>
      <c r="Z194" s="285">
        <f t="shared" si="82"/>
        <v>0</v>
      </c>
      <c r="AA194" s="285">
        <f t="shared" si="82"/>
        <v>0</v>
      </c>
      <c r="AB194" s="285">
        <f t="shared" si="82"/>
        <v>0</v>
      </c>
      <c r="AC194" s="828"/>
      <c r="AD194" s="197"/>
      <c r="AE194" s="403" t="s">
        <v>11685</v>
      </c>
      <c r="AF194" s="962" t="s">
        <v>2348</v>
      </c>
      <c r="AG194" s="905" t="s">
        <v>2376</v>
      </c>
      <c r="AH194" s="905" t="s">
        <v>2404</v>
      </c>
      <c r="AI194" s="905" t="s">
        <v>2432</v>
      </c>
      <c r="AJ194" s="963" t="s">
        <v>2460</v>
      </c>
      <c r="AK194" s="962" t="s">
        <v>2488</v>
      </c>
      <c r="AL194" s="905" t="s">
        <v>2516</v>
      </c>
      <c r="AM194" s="905" t="s">
        <v>2544</v>
      </c>
      <c r="AN194" s="964" t="s">
        <v>2551</v>
      </c>
      <c r="AO194" s="961"/>
      <c r="AP194" s="197"/>
      <c r="AQ194" s="197"/>
      <c r="AR194" s="197"/>
      <c r="AS194" s="197"/>
    </row>
    <row r="195" spans="1:45" s="4" customFormat="1" ht="15.75" customHeight="1">
      <c r="A195" s="197"/>
      <c r="B195" s="403" t="s">
        <v>11696</v>
      </c>
      <c r="C195" s="2092">
        <v>0</v>
      </c>
      <c r="D195" s="697">
        <v>0</v>
      </c>
      <c r="E195" s="697">
        <v>0</v>
      </c>
      <c r="F195" s="697">
        <v>0</v>
      </c>
      <c r="G195" s="1597">
        <f t="shared" si="79"/>
        <v>0</v>
      </c>
      <c r="H195" s="2092">
        <v>0</v>
      </c>
      <c r="I195" s="697">
        <v>0</v>
      </c>
      <c r="J195" s="1611">
        <v>0</v>
      </c>
      <c r="K195" s="1612">
        <v>0</v>
      </c>
      <c r="L195" s="197"/>
      <c r="M195" s="290" t="s">
        <v>12021</v>
      </c>
      <c r="N195" s="197"/>
      <c r="O195" s="291"/>
      <c r="P195" s="197"/>
      <c r="Q195" s="828"/>
      <c r="R195" s="284">
        <f t="shared" si="80"/>
        <v>0</v>
      </c>
      <c r="S195" s="828"/>
      <c r="T195" s="285">
        <f t="shared" si="81"/>
        <v>0</v>
      </c>
      <c r="U195" s="285">
        <f t="shared" si="81"/>
        <v>0</v>
      </c>
      <c r="V195" s="285">
        <f t="shared" si="81"/>
        <v>0</v>
      </c>
      <c r="W195" s="285">
        <f t="shared" si="81"/>
        <v>0</v>
      </c>
      <c r="X195" s="197"/>
      <c r="Y195" s="285">
        <f t="shared" si="82"/>
        <v>0</v>
      </c>
      <c r="Z195" s="285">
        <f t="shared" si="82"/>
        <v>0</v>
      </c>
      <c r="AA195" s="285">
        <f t="shared" si="82"/>
        <v>0</v>
      </c>
      <c r="AB195" s="285">
        <f t="shared" si="82"/>
        <v>0</v>
      </c>
      <c r="AC195" s="828"/>
      <c r="AD195" s="197"/>
      <c r="AE195" s="403" t="s">
        <v>11696</v>
      </c>
      <c r="AF195" s="962" t="s">
        <v>2349</v>
      </c>
      <c r="AG195" s="905" t="s">
        <v>2377</v>
      </c>
      <c r="AH195" s="905" t="s">
        <v>2405</v>
      </c>
      <c r="AI195" s="905" t="s">
        <v>2433</v>
      </c>
      <c r="AJ195" s="963" t="s">
        <v>2461</v>
      </c>
      <c r="AK195" s="962" t="s">
        <v>2489</v>
      </c>
      <c r="AL195" s="905" t="s">
        <v>2517</v>
      </c>
      <c r="AM195" s="905" t="s">
        <v>2545</v>
      </c>
      <c r="AN195" s="964" t="s">
        <v>2552</v>
      </c>
      <c r="AO195" s="961"/>
      <c r="AP195" s="197"/>
      <c r="AQ195" s="197"/>
      <c r="AR195" s="197"/>
      <c r="AS195" s="197"/>
    </row>
    <row r="196" spans="1:45" s="4" customFormat="1" ht="15.75" customHeight="1">
      <c r="A196" s="197"/>
      <c r="B196" s="403" t="s">
        <v>11707</v>
      </c>
      <c r="C196" s="2092">
        <v>0</v>
      </c>
      <c r="D196" s="697">
        <v>0</v>
      </c>
      <c r="E196" s="697">
        <v>150</v>
      </c>
      <c r="F196" s="697">
        <v>100</v>
      </c>
      <c r="G196" s="1597">
        <f t="shared" si="79"/>
        <v>250</v>
      </c>
      <c r="H196" s="2092">
        <v>96.347000000000008</v>
      </c>
      <c r="I196" s="697">
        <v>87.170999999999992</v>
      </c>
      <c r="J196" s="1611">
        <v>0</v>
      </c>
      <c r="K196" s="1612">
        <v>0</v>
      </c>
      <c r="L196" s="197"/>
      <c r="M196" s="290" t="s">
        <v>12022</v>
      </c>
      <c r="N196" s="197"/>
      <c r="O196" s="291"/>
      <c r="P196" s="197"/>
      <c r="Q196" s="828"/>
      <c r="R196" s="284">
        <f t="shared" si="80"/>
        <v>0</v>
      </c>
      <c r="S196" s="828"/>
      <c r="T196" s="285">
        <f t="shared" si="81"/>
        <v>0</v>
      </c>
      <c r="U196" s="285">
        <f t="shared" si="81"/>
        <v>0</v>
      </c>
      <c r="V196" s="285">
        <f t="shared" si="81"/>
        <v>0</v>
      </c>
      <c r="W196" s="285">
        <f t="shared" si="81"/>
        <v>0</v>
      </c>
      <c r="X196" s="197"/>
      <c r="Y196" s="285">
        <f t="shared" si="82"/>
        <v>0</v>
      </c>
      <c r="Z196" s="285">
        <f t="shared" si="82"/>
        <v>0</v>
      </c>
      <c r="AA196" s="285">
        <f t="shared" si="82"/>
        <v>0</v>
      </c>
      <c r="AB196" s="285">
        <f t="shared" si="82"/>
        <v>0</v>
      </c>
      <c r="AC196" s="828"/>
      <c r="AD196" s="197"/>
      <c r="AE196" s="403" t="s">
        <v>11707</v>
      </c>
      <c r="AF196" s="962" t="s">
        <v>2350</v>
      </c>
      <c r="AG196" s="905" t="s">
        <v>2378</v>
      </c>
      <c r="AH196" s="905" t="s">
        <v>2406</v>
      </c>
      <c r="AI196" s="905" t="s">
        <v>2434</v>
      </c>
      <c r="AJ196" s="963" t="s">
        <v>2462</v>
      </c>
      <c r="AK196" s="962" t="s">
        <v>2490</v>
      </c>
      <c r="AL196" s="905" t="s">
        <v>2518</v>
      </c>
      <c r="AM196" s="905" t="s">
        <v>2546</v>
      </c>
      <c r="AN196" s="964" t="s">
        <v>2553</v>
      </c>
      <c r="AO196" s="961"/>
      <c r="AP196" s="197"/>
      <c r="AQ196" s="197"/>
      <c r="AR196" s="197"/>
      <c r="AS196" s="197"/>
    </row>
    <row r="197" spans="1:45" s="4" customFormat="1" ht="15.75" customHeight="1">
      <c r="A197" s="197"/>
      <c r="B197" s="403" t="s">
        <v>11718</v>
      </c>
      <c r="C197" s="2092">
        <v>0</v>
      </c>
      <c r="D197" s="697">
        <v>0</v>
      </c>
      <c r="E197" s="697">
        <v>0</v>
      </c>
      <c r="F197" s="697">
        <v>0</v>
      </c>
      <c r="G197" s="1597">
        <f t="shared" si="79"/>
        <v>0</v>
      </c>
      <c r="H197" s="2092">
        <v>0</v>
      </c>
      <c r="I197" s="697">
        <v>0</v>
      </c>
      <c r="J197" s="1611">
        <v>0</v>
      </c>
      <c r="K197" s="1612">
        <v>0</v>
      </c>
      <c r="L197" s="197"/>
      <c r="M197" s="290" t="s">
        <v>12023</v>
      </c>
      <c r="N197" s="197"/>
      <c r="O197" s="291"/>
      <c r="P197" s="197"/>
      <c r="Q197" s="828"/>
      <c r="R197" s="284">
        <f t="shared" si="80"/>
        <v>0</v>
      </c>
      <c r="S197" s="828"/>
      <c r="T197" s="285">
        <f t="shared" si="81"/>
        <v>0</v>
      </c>
      <c r="U197" s="285">
        <f t="shared" si="81"/>
        <v>0</v>
      </c>
      <c r="V197" s="285">
        <f t="shared" si="81"/>
        <v>0</v>
      </c>
      <c r="W197" s="285">
        <f t="shared" si="81"/>
        <v>0</v>
      </c>
      <c r="X197" s="197"/>
      <c r="Y197" s="285">
        <f t="shared" si="82"/>
        <v>0</v>
      </c>
      <c r="Z197" s="285">
        <f t="shared" si="82"/>
        <v>0</v>
      </c>
      <c r="AA197" s="285">
        <f t="shared" si="82"/>
        <v>0</v>
      </c>
      <c r="AB197" s="285">
        <f t="shared" si="82"/>
        <v>0</v>
      </c>
      <c r="AC197" s="828"/>
      <c r="AD197" s="197"/>
      <c r="AE197" s="403" t="s">
        <v>11718</v>
      </c>
      <c r="AF197" s="962" t="s">
        <v>2351</v>
      </c>
      <c r="AG197" s="905" t="s">
        <v>2379</v>
      </c>
      <c r="AH197" s="905" t="s">
        <v>2407</v>
      </c>
      <c r="AI197" s="905" t="s">
        <v>2435</v>
      </c>
      <c r="AJ197" s="963" t="s">
        <v>2463</v>
      </c>
      <c r="AK197" s="962" t="s">
        <v>2491</v>
      </c>
      <c r="AL197" s="905" t="s">
        <v>2519</v>
      </c>
      <c r="AM197" s="905" t="s">
        <v>2547</v>
      </c>
      <c r="AN197" s="964" t="s">
        <v>2554</v>
      </c>
      <c r="AO197" s="961"/>
      <c r="AP197" s="197"/>
      <c r="AQ197" s="197"/>
      <c r="AR197" s="197"/>
      <c r="AS197" s="197"/>
    </row>
    <row r="198" spans="1:45" s="4" customFormat="1" ht="15.75" customHeight="1">
      <c r="A198" s="197"/>
      <c r="B198" s="403" t="s">
        <v>11729</v>
      </c>
      <c r="C198" s="2092">
        <v>0</v>
      </c>
      <c r="D198" s="697">
        <v>0</v>
      </c>
      <c r="E198" s="697">
        <v>0</v>
      </c>
      <c r="F198" s="697">
        <v>0</v>
      </c>
      <c r="G198" s="1597">
        <f t="shared" si="79"/>
        <v>0</v>
      </c>
      <c r="H198" s="2092">
        <v>0</v>
      </c>
      <c r="I198" s="697">
        <v>0</v>
      </c>
      <c r="J198" s="1611">
        <v>0</v>
      </c>
      <c r="K198" s="1612">
        <v>0</v>
      </c>
      <c r="L198" s="197"/>
      <c r="M198" s="290" t="s">
        <v>12024</v>
      </c>
      <c r="N198" s="197"/>
      <c r="O198" s="291"/>
      <c r="P198" s="197"/>
      <c r="Q198" s="828"/>
      <c r="R198" s="284">
        <f t="shared" si="80"/>
        <v>0</v>
      </c>
      <c r="S198" s="828"/>
      <c r="T198" s="285">
        <f t="shared" si="81"/>
        <v>0</v>
      </c>
      <c r="U198" s="285">
        <f t="shared" si="81"/>
        <v>0</v>
      </c>
      <c r="V198" s="285">
        <f t="shared" si="81"/>
        <v>0</v>
      </c>
      <c r="W198" s="285">
        <f t="shared" si="81"/>
        <v>0</v>
      </c>
      <c r="X198" s="197"/>
      <c r="Y198" s="285">
        <f t="shared" si="82"/>
        <v>0</v>
      </c>
      <c r="Z198" s="285">
        <f t="shared" si="82"/>
        <v>0</v>
      </c>
      <c r="AA198" s="285">
        <f t="shared" si="82"/>
        <v>0</v>
      </c>
      <c r="AB198" s="285">
        <f t="shared" si="82"/>
        <v>0</v>
      </c>
      <c r="AC198" s="828"/>
      <c r="AD198" s="197"/>
      <c r="AE198" s="403" t="s">
        <v>11729</v>
      </c>
      <c r="AF198" s="962" t="s">
        <v>2352</v>
      </c>
      <c r="AG198" s="905" t="s">
        <v>2380</v>
      </c>
      <c r="AH198" s="905" t="s">
        <v>2408</v>
      </c>
      <c r="AI198" s="905" t="s">
        <v>2436</v>
      </c>
      <c r="AJ198" s="963" t="s">
        <v>2464</v>
      </c>
      <c r="AK198" s="962" t="s">
        <v>2492</v>
      </c>
      <c r="AL198" s="905" t="s">
        <v>2520</v>
      </c>
      <c r="AM198" s="905" t="s">
        <v>2548</v>
      </c>
      <c r="AN198" s="964" t="s">
        <v>2555</v>
      </c>
      <c r="AO198" s="961"/>
      <c r="AP198" s="197"/>
      <c r="AQ198" s="197"/>
      <c r="AR198" s="197"/>
      <c r="AS198" s="197"/>
    </row>
    <row r="199" spans="1:45" s="4" customFormat="1" ht="15.75" customHeight="1" thickBot="1">
      <c r="A199" s="197"/>
      <c r="B199" s="406" t="s">
        <v>7445</v>
      </c>
      <c r="C199" s="2037">
        <f>IFERROR(SUM(C192:C198), 0)</f>
        <v>0</v>
      </c>
      <c r="D199" s="1589">
        <f>IFERROR(SUM(D192:D198), 0)</f>
        <v>0</v>
      </c>
      <c r="E199" s="1589">
        <f>IFERROR(SUM(E192:E198), 0)</f>
        <v>300</v>
      </c>
      <c r="F199" s="1589">
        <f>IFERROR(SUM(F192:F198), 0)</f>
        <v>100</v>
      </c>
      <c r="G199" s="1589">
        <f t="shared" si="79"/>
        <v>400</v>
      </c>
      <c r="H199" s="1589">
        <f>IFERROR(SUM(H192:H198), 0)</f>
        <v>87.604000000000013</v>
      </c>
      <c r="I199" s="1589">
        <f>IFERROR(SUM(I192:I198), 0)</f>
        <v>87.170999999999992</v>
      </c>
      <c r="J199" s="1613"/>
      <c r="K199" s="1614"/>
      <c r="L199" s="197"/>
      <c r="M199" s="576" t="s">
        <v>12025</v>
      </c>
      <c r="N199" s="197"/>
      <c r="O199" s="302"/>
      <c r="P199" s="197"/>
      <c r="Q199" s="828"/>
      <c r="R199" s="284"/>
      <c r="S199" s="828"/>
      <c r="T199" s="197"/>
      <c r="U199" s="197"/>
      <c r="V199" s="197"/>
      <c r="W199" s="197"/>
      <c r="X199" s="197"/>
      <c r="Y199" s="197"/>
      <c r="Z199" s="197"/>
      <c r="AA199" s="197"/>
      <c r="AB199" s="197"/>
      <c r="AC199" s="828"/>
      <c r="AD199" s="197"/>
      <c r="AE199" s="406" t="s">
        <v>7445</v>
      </c>
      <c r="AF199" s="965" t="s">
        <v>2353</v>
      </c>
      <c r="AG199" s="679" t="s">
        <v>2381</v>
      </c>
      <c r="AH199" s="679" t="s">
        <v>2409</v>
      </c>
      <c r="AI199" s="679" t="s">
        <v>2437</v>
      </c>
      <c r="AJ199" s="679" t="s">
        <v>2465</v>
      </c>
      <c r="AK199" s="679" t="s">
        <v>2493</v>
      </c>
      <c r="AL199" s="679" t="s">
        <v>2521</v>
      </c>
      <c r="AM199" s="966" t="s">
        <v>12026</v>
      </c>
      <c r="AN199" s="967" t="s">
        <v>12026</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9921</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11748</v>
      </c>
      <c r="C201" s="729"/>
      <c r="D201" s="1603"/>
      <c r="E201" s="1603"/>
      <c r="F201" s="1603"/>
      <c r="G201" s="1603"/>
      <c r="H201" s="1603"/>
      <c r="I201" s="1603"/>
      <c r="J201" s="1615"/>
      <c r="K201" s="1615"/>
      <c r="L201" s="197"/>
      <c r="M201" s="242" t="s">
        <v>9921</v>
      </c>
      <c r="N201" s="197"/>
      <c r="O201" s="197"/>
      <c r="P201" s="197"/>
      <c r="Q201" s="828"/>
      <c r="R201" s="284"/>
      <c r="S201" s="828"/>
      <c r="T201" s="197"/>
      <c r="U201" s="197"/>
      <c r="V201" s="197"/>
      <c r="W201" s="197"/>
      <c r="X201" s="197"/>
      <c r="Y201" s="197"/>
      <c r="Z201" s="197"/>
      <c r="AA201" s="197"/>
      <c r="AB201" s="197"/>
      <c r="AC201" s="828"/>
      <c r="AD201" s="197"/>
      <c r="AE201" s="393" t="s">
        <v>11748</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11749</v>
      </c>
      <c r="C202" s="2091">
        <v>0</v>
      </c>
      <c r="D202" s="694">
        <v>0</v>
      </c>
      <c r="E202" s="694">
        <v>0</v>
      </c>
      <c r="F202" s="694">
        <v>0</v>
      </c>
      <c r="G202" s="1595">
        <f>IFERROR(SUM(C202:F202),0)</f>
        <v>0</v>
      </c>
      <c r="H202" s="694">
        <v>0</v>
      </c>
      <c r="I202" s="694">
        <v>0</v>
      </c>
      <c r="J202" s="1616"/>
      <c r="K202" s="1617"/>
      <c r="L202" s="197"/>
      <c r="M202" s="281" t="s">
        <v>12027</v>
      </c>
      <c r="N202" s="197"/>
      <c r="O202" s="283"/>
      <c r="P202" s="197"/>
      <c r="Q202" s="828"/>
      <c r="R202" s="284">
        <f>IF( SUM( T202:AA202 ) = 0, 0, $T$10 )</f>
        <v>0</v>
      </c>
      <c r="S202" s="828"/>
      <c r="T202" s="285">
        <f t="shared" ref="T202:W205" si="83" xml:space="preserve"> IF( ISNUMBER(C202), 0, 1 )</f>
        <v>0</v>
      </c>
      <c r="U202" s="285">
        <f t="shared" si="83"/>
        <v>0</v>
      </c>
      <c r="V202" s="285">
        <f t="shared" si="83"/>
        <v>0</v>
      </c>
      <c r="W202" s="285">
        <f t="shared" si="83"/>
        <v>0</v>
      </c>
      <c r="X202" s="197"/>
      <c r="Y202" s="285">
        <f t="shared" ref="Y202:Z205" si="84" xml:space="preserve"> IF( ISNUMBER(H202), 0, 1 )</f>
        <v>0</v>
      </c>
      <c r="Z202" s="285">
        <f t="shared" si="84"/>
        <v>0</v>
      </c>
      <c r="AA202" s="197"/>
      <c r="AB202" s="197"/>
      <c r="AC202" s="828"/>
      <c r="AD202" s="197"/>
      <c r="AE202" s="396" t="s">
        <v>11749</v>
      </c>
      <c r="AF202" s="958" t="s">
        <v>2354</v>
      </c>
      <c r="AG202" s="904" t="s">
        <v>2382</v>
      </c>
      <c r="AH202" s="904" t="s">
        <v>2410</v>
      </c>
      <c r="AI202" s="904" t="s">
        <v>2438</v>
      </c>
      <c r="AJ202" s="959" t="s">
        <v>2466</v>
      </c>
      <c r="AK202" s="904" t="s">
        <v>2494</v>
      </c>
      <c r="AL202" s="904" t="s">
        <v>2522</v>
      </c>
      <c r="AM202" s="973"/>
      <c r="AN202" s="974"/>
      <c r="AO202" s="961"/>
      <c r="AP202" s="197"/>
      <c r="AQ202" s="197"/>
      <c r="AR202" s="197"/>
      <c r="AS202" s="197"/>
    </row>
    <row r="203" spans="1:45" s="4" customFormat="1" ht="15.75" customHeight="1">
      <c r="A203" s="197"/>
      <c r="B203" s="403" t="s">
        <v>11758</v>
      </c>
      <c r="C203" s="2092">
        <v>0</v>
      </c>
      <c r="D203" s="697">
        <v>0</v>
      </c>
      <c r="E203" s="697">
        <v>0</v>
      </c>
      <c r="F203" s="697">
        <v>0</v>
      </c>
      <c r="G203" s="1597">
        <f>IFERROR(SUM(C203:F203),0)</f>
        <v>0</v>
      </c>
      <c r="H203" s="697">
        <v>0</v>
      </c>
      <c r="I203" s="697">
        <v>0</v>
      </c>
      <c r="J203" s="1618"/>
      <c r="K203" s="1619"/>
      <c r="L203" s="197"/>
      <c r="M203" s="290" t="s">
        <v>12028</v>
      </c>
      <c r="N203" s="197"/>
      <c r="O203" s="291"/>
      <c r="P203" s="197"/>
      <c r="Q203" s="828"/>
      <c r="R203" s="284">
        <f>IF( SUM( T203:AA203 ) = 0, 0, $T$10 )</f>
        <v>0</v>
      </c>
      <c r="S203" s="828"/>
      <c r="T203" s="285">
        <f t="shared" si="83"/>
        <v>0</v>
      </c>
      <c r="U203" s="285">
        <f t="shared" si="83"/>
        <v>0</v>
      </c>
      <c r="V203" s="285">
        <f t="shared" si="83"/>
        <v>0</v>
      </c>
      <c r="W203" s="285">
        <f t="shared" si="83"/>
        <v>0</v>
      </c>
      <c r="X203" s="197"/>
      <c r="Y203" s="285">
        <f t="shared" si="84"/>
        <v>0</v>
      </c>
      <c r="Z203" s="285">
        <f t="shared" si="84"/>
        <v>0</v>
      </c>
      <c r="AA203" s="197"/>
      <c r="AB203" s="197"/>
      <c r="AC203" s="828"/>
      <c r="AD203" s="197"/>
      <c r="AE203" s="403" t="s">
        <v>11758</v>
      </c>
      <c r="AF203" s="962" t="s">
        <v>2355</v>
      </c>
      <c r="AG203" s="905" t="s">
        <v>2383</v>
      </c>
      <c r="AH203" s="905" t="s">
        <v>2411</v>
      </c>
      <c r="AI203" s="905" t="s">
        <v>2439</v>
      </c>
      <c r="AJ203" s="963" t="s">
        <v>2467</v>
      </c>
      <c r="AK203" s="905" t="s">
        <v>2495</v>
      </c>
      <c r="AL203" s="905" t="s">
        <v>2523</v>
      </c>
      <c r="AM203" s="975"/>
      <c r="AN203" s="976"/>
      <c r="AO203" s="961"/>
      <c r="AP203" s="197"/>
      <c r="AQ203" s="197"/>
      <c r="AR203" s="197"/>
      <c r="AS203" s="197"/>
    </row>
    <row r="204" spans="1:45" s="4" customFormat="1" ht="15.75" customHeight="1">
      <c r="A204" s="197"/>
      <c r="B204" s="403" t="s">
        <v>11767</v>
      </c>
      <c r="C204" s="2092">
        <v>0</v>
      </c>
      <c r="D204" s="697">
        <v>0</v>
      </c>
      <c r="E204" s="697">
        <v>0</v>
      </c>
      <c r="F204" s="697">
        <v>0</v>
      </c>
      <c r="G204" s="1597">
        <f>IFERROR(SUM(C204:F204),0)</f>
        <v>0</v>
      </c>
      <c r="H204" s="697">
        <v>0</v>
      </c>
      <c r="I204" s="697">
        <v>0</v>
      </c>
      <c r="J204" s="1618"/>
      <c r="K204" s="1619"/>
      <c r="L204" s="197"/>
      <c r="M204" s="290" t="s">
        <v>12029</v>
      </c>
      <c r="N204" s="197"/>
      <c r="O204" s="291"/>
      <c r="P204" s="197"/>
      <c r="Q204" s="828"/>
      <c r="R204" s="284">
        <f>IF( SUM( T204:AA204 ) = 0, 0, $T$10 )</f>
        <v>0</v>
      </c>
      <c r="S204" s="828"/>
      <c r="T204" s="285">
        <f t="shared" si="83"/>
        <v>0</v>
      </c>
      <c r="U204" s="285">
        <f t="shared" si="83"/>
        <v>0</v>
      </c>
      <c r="V204" s="285">
        <f t="shared" si="83"/>
        <v>0</v>
      </c>
      <c r="W204" s="285">
        <f t="shared" si="83"/>
        <v>0</v>
      </c>
      <c r="X204" s="197"/>
      <c r="Y204" s="285">
        <f t="shared" si="84"/>
        <v>0</v>
      </c>
      <c r="Z204" s="285">
        <f t="shared" si="84"/>
        <v>0</v>
      </c>
      <c r="AA204" s="197"/>
      <c r="AB204" s="197"/>
      <c r="AC204" s="828"/>
      <c r="AD204" s="197"/>
      <c r="AE204" s="403" t="s">
        <v>11767</v>
      </c>
      <c r="AF204" s="962" t="s">
        <v>2356</v>
      </c>
      <c r="AG204" s="905" t="s">
        <v>2384</v>
      </c>
      <c r="AH204" s="905" t="s">
        <v>2412</v>
      </c>
      <c r="AI204" s="905" t="s">
        <v>2440</v>
      </c>
      <c r="AJ204" s="963" t="s">
        <v>2468</v>
      </c>
      <c r="AK204" s="905" t="s">
        <v>2496</v>
      </c>
      <c r="AL204" s="905" t="s">
        <v>2524</v>
      </c>
      <c r="AM204" s="975"/>
      <c r="AN204" s="976"/>
      <c r="AO204" s="961"/>
      <c r="AP204" s="197"/>
      <c r="AQ204" s="197"/>
      <c r="AR204" s="197"/>
      <c r="AS204" s="197"/>
    </row>
    <row r="205" spans="1:45" s="4" customFormat="1" ht="15.75" customHeight="1">
      <c r="A205" s="197"/>
      <c r="B205" s="403" t="s">
        <v>11776</v>
      </c>
      <c r="C205" s="2092">
        <v>0</v>
      </c>
      <c r="D205" s="697">
        <v>0</v>
      </c>
      <c r="E205" s="697">
        <v>0</v>
      </c>
      <c r="F205" s="697">
        <v>0</v>
      </c>
      <c r="G205" s="1597">
        <f>IFERROR(SUM(C205:F205),0)</f>
        <v>0</v>
      </c>
      <c r="H205" s="697">
        <v>0</v>
      </c>
      <c r="I205" s="697">
        <v>0</v>
      </c>
      <c r="J205" s="1618"/>
      <c r="K205" s="1619"/>
      <c r="L205" s="197"/>
      <c r="M205" s="290" t="s">
        <v>12030</v>
      </c>
      <c r="N205" s="197"/>
      <c r="O205" s="291"/>
      <c r="P205" s="197"/>
      <c r="Q205" s="828"/>
      <c r="R205" s="284">
        <f>IF( SUM( T205:AA205 ) = 0, 0, $T$10 )</f>
        <v>0</v>
      </c>
      <c r="S205" s="828"/>
      <c r="T205" s="285">
        <f t="shared" si="83"/>
        <v>0</v>
      </c>
      <c r="U205" s="285">
        <f t="shared" si="83"/>
        <v>0</v>
      </c>
      <c r="V205" s="285">
        <f t="shared" si="83"/>
        <v>0</v>
      </c>
      <c r="W205" s="285">
        <f t="shared" si="83"/>
        <v>0</v>
      </c>
      <c r="X205" s="197"/>
      <c r="Y205" s="285">
        <f t="shared" si="84"/>
        <v>0</v>
      </c>
      <c r="Z205" s="285">
        <f t="shared" si="84"/>
        <v>0</v>
      </c>
      <c r="AA205" s="197"/>
      <c r="AB205" s="197"/>
      <c r="AC205" s="828"/>
      <c r="AD205" s="197"/>
      <c r="AE205" s="403" t="s">
        <v>11776</v>
      </c>
      <c r="AF205" s="962" t="s">
        <v>2357</v>
      </c>
      <c r="AG205" s="905" t="s">
        <v>2385</v>
      </c>
      <c r="AH205" s="905" t="s">
        <v>2413</v>
      </c>
      <c r="AI205" s="905" t="s">
        <v>2441</v>
      </c>
      <c r="AJ205" s="963" t="s">
        <v>2469</v>
      </c>
      <c r="AK205" s="905" t="s">
        <v>2497</v>
      </c>
      <c r="AL205" s="905" t="s">
        <v>2525</v>
      </c>
      <c r="AM205" s="975"/>
      <c r="AN205" s="976"/>
      <c r="AO205" s="961"/>
      <c r="AP205" s="197"/>
      <c r="AQ205" s="197"/>
      <c r="AR205" s="197"/>
      <c r="AS205" s="197"/>
    </row>
    <row r="206" spans="1:45" s="4" customFormat="1" ht="15.75" customHeight="1" thickBot="1">
      <c r="A206" s="197"/>
      <c r="B206" s="406" t="s">
        <v>7445</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12031</v>
      </c>
      <c r="N206" s="197"/>
      <c r="O206" s="302"/>
      <c r="P206" s="197"/>
      <c r="Q206" s="828"/>
      <c r="R206" s="284"/>
      <c r="S206" s="828"/>
      <c r="T206" s="197"/>
      <c r="U206" s="197"/>
      <c r="V206" s="197"/>
      <c r="W206" s="197"/>
      <c r="X206" s="197"/>
      <c r="Y206" s="197"/>
      <c r="Z206" s="197"/>
      <c r="AA206" s="197"/>
      <c r="AB206" s="197"/>
      <c r="AC206" s="828"/>
      <c r="AD206" s="197"/>
      <c r="AE206" s="406" t="s">
        <v>7445</v>
      </c>
      <c r="AF206" s="965" t="s">
        <v>2358</v>
      </c>
      <c r="AG206" s="679" t="s">
        <v>2386</v>
      </c>
      <c r="AH206" s="679" t="s">
        <v>2414</v>
      </c>
      <c r="AI206" s="679" t="s">
        <v>2442</v>
      </c>
      <c r="AJ206" s="679" t="s">
        <v>2470</v>
      </c>
      <c r="AK206" s="679" t="s">
        <v>2498</v>
      </c>
      <c r="AL206" s="679" t="s">
        <v>2526</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9921</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11793</v>
      </c>
      <c r="C208" s="729"/>
      <c r="D208" s="1603"/>
      <c r="E208" s="1603"/>
      <c r="F208" s="1603"/>
      <c r="G208" s="1603"/>
      <c r="H208" s="1603"/>
      <c r="I208" s="1603"/>
      <c r="J208" s="1615"/>
      <c r="K208" s="1615"/>
      <c r="L208" s="197"/>
      <c r="M208" s="242" t="s">
        <v>9921</v>
      </c>
      <c r="N208" s="197"/>
      <c r="O208" s="197"/>
      <c r="P208" s="197"/>
      <c r="Q208" s="828"/>
      <c r="R208" s="284"/>
      <c r="S208" s="828"/>
      <c r="T208" s="197"/>
      <c r="U208" s="197"/>
      <c r="V208" s="197"/>
      <c r="W208" s="197"/>
      <c r="X208" s="197"/>
      <c r="Y208" s="197"/>
      <c r="Z208" s="197"/>
      <c r="AA208" s="197"/>
      <c r="AB208" s="197"/>
      <c r="AC208" s="828"/>
      <c r="AD208" s="197"/>
      <c r="AE208" s="393" t="s">
        <v>11793</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11794</v>
      </c>
      <c r="C209" s="2091">
        <v>0</v>
      </c>
      <c r="D209" s="694">
        <v>0</v>
      </c>
      <c r="E209" s="694">
        <v>0</v>
      </c>
      <c r="F209" s="694">
        <v>0</v>
      </c>
      <c r="G209" s="1595">
        <f>IFERROR(SUM(C209:F209),0)</f>
        <v>0</v>
      </c>
      <c r="H209" s="694">
        <v>0</v>
      </c>
      <c r="I209" s="694">
        <v>0</v>
      </c>
      <c r="J209" s="1616"/>
      <c r="K209" s="1617"/>
      <c r="L209" s="197"/>
      <c r="M209" s="281" t="s">
        <v>12032</v>
      </c>
      <c r="N209" s="197"/>
      <c r="O209" s="283"/>
      <c r="P209" s="197"/>
      <c r="Q209" s="828"/>
      <c r="R209" s="284">
        <f>IF( SUM( T209:AA209 ) = 0, 0, $T$10 )</f>
        <v>0</v>
      </c>
      <c r="S209" s="828"/>
      <c r="T209" s="285">
        <f t="shared" ref="T209:W212" si="85" xml:space="preserve"> IF( ISNUMBER(C209), 0, 1 )</f>
        <v>0</v>
      </c>
      <c r="U209" s="285">
        <f t="shared" si="85"/>
        <v>0</v>
      </c>
      <c r="V209" s="285">
        <f t="shared" si="85"/>
        <v>0</v>
      </c>
      <c r="W209" s="285">
        <f t="shared" si="85"/>
        <v>0</v>
      </c>
      <c r="X209" s="197"/>
      <c r="Y209" s="285">
        <f t="shared" ref="Y209:Z212" si="86" xml:space="preserve"> IF( ISNUMBER(H209), 0, 1 )</f>
        <v>0</v>
      </c>
      <c r="Z209" s="285">
        <f t="shared" si="86"/>
        <v>0</v>
      </c>
      <c r="AA209" s="197"/>
      <c r="AB209" s="197"/>
      <c r="AC209" s="828"/>
      <c r="AD209" s="197"/>
      <c r="AE209" s="396" t="s">
        <v>11794</v>
      </c>
      <c r="AF209" s="958" t="s">
        <v>2359</v>
      </c>
      <c r="AG209" s="904" t="s">
        <v>2387</v>
      </c>
      <c r="AH209" s="904" t="s">
        <v>2415</v>
      </c>
      <c r="AI209" s="904" t="s">
        <v>2443</v>
      </c>
      <c r="AJ209" s="959" t="s">
        <v>2471</v>
      </c>
      <c r="AK209" s="904" t="s">
        <v>2499</v>
      </c>
      <c r="AL209" s="904" t="s">
        <v>2527</v>
      </c>
      <c r="AM209" s="973"/>
      <c r="AN209" s="974"/>
      <c r="AO209" s="961"/>
      <c r="AP209" s="197"/>
      <c r="AQ209" s="197"/>
      <c r="AR209" s="197"/>
      <c r="AS209" s="197"/>
    </row>
    <row r="210" spans="1:45" s="4" customFormat="1" ht="15.75" customHeight="1">
      <c r="A210" s="197"/>
      <c r="B210" s="403" t="s">
        <v>11803</v>
      </c>
      <c r="C210" s="2092">
        <v>0</v>
      </c>
      <c r="D210" s="697">
        <v>0</v>
      </c>
      <c r="E210" s="697">
        <v>0</v>
      </c>
      <c r="F210" s="697">
        <v>0</v>
      </c>
      <c r="G210" s="1597">
        <f>IFERROR(SUM(C210:F210),0)</f>
        <v>0</v>
      </c>
      <c r="H210" s="697">
        <v>0</v>
      </c>
      <c r="I210" s="697">
        <v>0</v>
      </c>
      <c r="J210" s="1618"/>
      <c r="K210" s="1619"/>
      <c r="L210" s="197"/>
      <c r="M210" s="290" t="s">
        <v>12033</v>
      </c>
      <c r="N210" s="197"/>
      <c r="O210" s="291"/>
      <c r="P210" s="197"/>
      <c r="Q210" s="828"/>
      <c r="R210" s="284">
        <f>IF( SUM( T210:AA210 ) = 0, 0, $T$10 )</f>
        <v>0</v>
      </c>
      <c r="S210" s="828"/>
      <c r="T210" s="285">
        <f t="shared" si="85"/>
        <v>0</v>
      </c>
      <c r="U210" s="285">
        <f t="shared" si="85"/>
        <v>0</v>
      </c>
      <c r="V210" s="285">
        <f t="shared" si="85"/>
        <v>0</v>
      </c>
      <c r="W210" s="285">
        <f t="shared" si="85"/>
        <v>0</v>
      </c>
      <c r="X210" s="197"/>
      <c r="Y210" s="285">
        <f t="shared" si="86"/>
        <v>0</v>
      </c>
      <c r="Z210" s="285">
        <f t="shared" si="86"/>
        <v>0</v>
      </c>
      <c r="AA210" s="197"/>
      <c r="AB210" s="197"/>
      <c r="AC210" s="828"/>
      <c r="AD210" s="197"/>
      <c r="AE210" s="403" t="s">
        <v>11803</v>
      </c>
      <c r="AF210" s="962" t="s">
        <v>2360</v>
      </c>
      <c r="AG210" s="905" t="s">
        <v>2388</v>
      </c>
      <c r="AH210" s="905" t="s">
        <v>2416</v>
      </c>
      <c r="AI210" s="905" t="s">
        <v>2444</v>
      </c>
      <c r="AJ210" s="963" t="s">
        <v>2472</v>
      </c>
      <c r="AK210" s="905" t="s">
        <v>2500</v>
      </c>
      <c r="AL210" s="905" t="s">
        <v>2528</v>
      </c>
      <c r="AM210" s="975"/>
      <c r="AN210" s="976"/>
      <c r="AO210" s="961"/>
      <c r="AP210" s="197"/>
      <c r="AQ210" s="197"/>
      <c r="AR210" s="197"/>
      <c r="AS210" s="197"/>
    </row>
    <row r="211" spans="1:45" s="4" customFormat="1" ht="15.75" customHeight="1">
      <c r="A211" s="197"/>
      <c r="B211" s="403" t="s">
        <v>11812</v>
      </c>
      <c r="C211" s="2092">
        <v>0</v>
      </c>
      <c r="D211" s="697">
        <v>0</v>
      </c>
      <c r="E211" s="697">
        <v>0</v>
      </c>
      <c r="F211" s="697">
        <v>0</v>
      </c>
      <c r="G211" s="1597">
        <f>IFERROR(SUM(C211:F211),0)</f>
        <v>0</v>
      </c>
      <c r="H211" s="697">
        <v>0</v>
      </c>
      <c r="I211" s="697">
        <v>0</v>
      </c>
      <c r="J211" s="1618"/>
      <c r="K211" s="1619"/>
      <c r="L211" s="197"/>
      <c r="M211" s="290" t="s">
        <v>12034</v>
      </c>
      <c r="N211" s="197"/>
      <c r="O211" s="291"/>
      <c r="P211" s="197"/>
      <c r="Q211" s="828"/>
      <c r="R211" s="284">
        <f>IF( SUM( T211:AA211 ) = 0, 0, $T$10 )</f>
        <v>0</v>
      </c>
      <c r="S211" s="828"/>
      <c r="T211" s="285">
        <f t="shared" si="85"/>
        <v>0</v>
      </c>
      <c r="U211" s="285">
        <f t="shared" si="85"/>
        <v>0</v>
      </c>
      <c r="V211" s="285">
        <f t="shared" si="85"/>
        <v>0</v>
      </c>
      <c r="W211" s="285">
        <f t="shared" si="85"/>
        <v>0</v>
      </c>
      <c r="X211" s="197"/>
      <c r="Y211" s="285">
        <f t="shared" si="86"/>
        <v>0</v>
      </c>
      <c r="Z211" s="285">
        <f t="shared" si="86"/>
        <v>0</v>
      </c>
      <c r="AA211" s="197"/>
      <c r="AB211" s="197"/>
      <c r="AC211" s="828"/>
      <c r="AD211" s="197"/>
      <c r="AE211" s="403" t="s">
        <v>11812</v>
      </c>
      <c r="AF211" s="962" t="s">
        <v>2361</v>
      </c>
      <c r="AG211" s="905" t="s">
        <v>2389</v>
      </c>
      <c r="AH211" s="905" t="s">
        <v>2417</v>
      </c>
      <c r="AI211" s="905" t="s">
        <v>2445</v>
      </c>
      <c r="AJ211" s="963" t="s">
        <v>2473</v>
      </c>
      <c r="AK211" s="905" t="s">
        <v>2501</v>
      </c>
      <c r="AL211" s="905" t="s">
        <v>2529</v>
      </c>
      <c r="AM211" s="975"/>
      <c r="AN211" s="976"/>
      <c r="AO211" s="961"/>
      <c r="AP211" s="197"/>
      <c r="AQ211" s="197"/>
      <c r="AR211" s="197"/>
      <c r="AS211" s="197"/>
    </row>
    <row r="212" spans="1:45" s="4" customFormat="1" ht="15.75" customHeight="1">
      <c r="A212" s="197"/>
      <c r="B212" s="403" t="s">
        <v>11821</v>
      </c>
      <c r="C212" s="2092">
        <v>0</v>
      </c>
      <c r="D212" s="697">
        <v>0</v>
      </c>
      <c r="E212" s="697">
        <v>0</v>
      </c>
      <c r="F212" s="697">
        <v>0</v>
      </c>
      <c r="G212" s="1597">
        <f>IFERROR(SUM(C212:F212),0)</f>
        <v>0</v>
      </c>
      <c r="H212" s="697">
        <v>0</v>
      </c>
      <c r="I212" s="697">
        <v>0</v>
      </c>
      <c r="J212" s="1618"/>
      <c r="K212" s="1619"/>
      <c r="L212" s="197"/>
      <c r="M212" s="290" t="s">
        <v>12035</v>
      </c>
      <c r="N212" s="197"/>
      <c r="O212" s="291"/>
      <c r="P212" s="197"/>
      <c r="Q212" s="828"/>
      <c r="R212" s="284">
        <f>IF( SUM( T212:AA212 ) = 0, 0, $T$10 )</f>
        <v>0</v>
      </c>
      <c r="S212" s="828"/>
      <c r="T212" s="285">
        <f t="shared" si="85"/>
        <v>0</v>
      </c>
      <c r="U212" s="285">
        <f t="shared" si="85"/>
        <v>0</v>
      </c>
      <c r="V212" s="285">
        <f t="shared" si="85"/>
        <v>0</v>
      </c>
      <c r="W212" s="285">
        <f t="shared" si="85"/>
        <v>0</v>
      </c>
      <c r="X212" s="197"/>
      <c r="Y212" s="285">
        <f t="shared" si="86"/>
        <v>0</v>
      </c>
      <c r="Z212" s="285">
        <f t="shared" si="86"/>
        <v>0</v>
      </c>
      <c r="AA212" s="197"/>
      <c r="AB212" s="197"/>
      <c r="AC212" s="828"/>
      <c r="AD212" s="197"/>
      <c r="AE212" s="403" t="s">
        <v>11821</v>
      </c>
      <c r="AF212" s="962" t="s">
        <v>2362</v>
      </c>
      <c r="AG212" s="905" t="s">
        <v>2390</v>
      </c>
      <c r="AH212" s="905" t="s">
        <v>2418</v>
      </c>
      <c r="AI212" s="905" t="s">
        <v>2446</v>
      </c>
      <c r="AJ212" s="963" t="s">
        <v>2474</v>
      </c>
      <c r="AK212" s="905" t="s">
        <v>2502</v>
      </c>
      <c r="AL212" s="905" t="s">
        <v>2530</v>
      </c>
      <c r="AM212" s="975"/>
      <c r="AN212" s="976"/>
      <c r="AO212" s="961"/>
      <c r="AP212" s="197"/>
      <c r="AQ212" s="197"/>
      <c r="AR212" s="197"/>
      <c r="AS212" s="197"/>
    </row>
    <row r="213" spans="1:45" s="4" customFormat="1" ht="15.75" customHeight="1" thickBot="1">
      <c r="A213" s="197"/>
      <c r="B213" s="406" t="s">
        <v>7445</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12036</v>
      </c>
      <c r="N213" s="197"/>
      <c r="O213" s="302"/>
      <c r="P213" s="197"/>
      <c r="Q213" s="828"/>
      <c r="R213" s="284"/>
      <c r="S213" s="828"/>
      <c r="T213" s="197"/>
      <c r="U213" s="197"/>
      <c r="V213" s="197"/>
      <c r="W213" s="197"/>
      <c r="X213" s="197"/>
      <c r="Y213" s="197"/>
      <c r="Z213" s="197"/>
      <c r="AA213" s="197"/>
      <c r="AB213" s="197"/>
      <c r="AC213" s="828"/>
      <c r="AD213" s="197"/>
      <c r="AE213" s="406" t="s">
        <v>7445</v>
      </c>
      <c r="AF213" s="965" t="s">
        <v>2363</v>
      </c>
      <c r="AG213" s="679" t="s">
        <v>2391</v>
      </c>
      <c r="AH213" s="679" t="s">
        <v>2419</v>
      </c>
      <c r="AI213" s="679" t="s">
        <v>2447</v>
      </c>
      <c r="AJ213" s="679" t="s">
        <v>2475</v>
      </c>
      <c r="AK213" s="679" t="s">
        <v>2503</v>
      </c>
      <c r="AL213" s="679" t="s">
        <v>2531</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9921</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11838</v>
      </c>
      <c r="C215" s="729"/>
      <c r="D215" s="1603"/>
      <c r="E215" s="1603"/>
      <c r="F215" s="1603"/>
      <c r="G215" s="1603"/>
      <c r="H215" s="1603"/>
      <c r="I215" s="1603"/>
      <c r="J215" s="1615"/>
      <c r="K215" s="1615"/>
      <c r="L215" s="197"/>
      <c r="M215" s="242" t="s">
        <v>9921</v>
      </c>
      <c r="N215" s="197"/>
      <c r="O215" s="197"/>
      <c r="P215" s="197"/>
      <c r="Q215" s="828"/>
      <c r="R215" s="284"/>
      <c r="S215" s="828"/>
      <c r="T215" s="197"/>
      <c r="U215" s="197"/>
      <c r="V215" s="197"/>
      <c r="W215" s="197"/>
      <c r="X215" s="197"/>
      <c r="Y215" s="197"/>
      <c r="Z215" s="197"/>
      <c r="AA215" s="197"/>
      <c r="AB215" s="197"/>
      <c r="AC215" s="828"/>
      <c r="AD215" s="197"/>
      <c r="AE215" s="393" t="s">
        <v>11838</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11839</v>
      </c>
      <c r="C216" s="2091">
        <v>0</v>
      </c>
      <c r="D216" s="694">
        <v>3.1480000000000001</v>
      </c>
      <c r="E216" s="694">
        <v>0.93</v>
      </c>
      <c r="F216" s="694">
        <v>0</v>
      </c>
      <c r="G216" s="1595">
        <f t="shared" ref="G216:G223" si="87">IFERROR(SUM(C216:F216),0)</f>
        <v>4.0780000000000003</v>
      </c>
      <c r="H216" s="694">
        <v>-0.30399999999999999</v>
      </c>
      <c r="I216" s="694">
        <v>0</v>
      </c>
      <c r="J216" s="1616"/>
      <c r="K216" s="1617"/>
      <c r="L216" s="197"/>
      <c r="M216" s="281" t="s">
        <v>12037</v>
      </c>
      <c r="N216" s="197"/>
      <c r="O216" s="283"/>
      <c r="P216" s="197"/>
      <c r="Q216" s="828"/>
      <c r="R216" s="284">
        <f t="shared" ref="R216:R222" si="88">IF( SUM( T216:AA216 ) = 0, 0, $T$10 )</f>
        <v>0</v>
      </c>
      <c r="S216" s="828"/>
      <c r="T216" s="285">
        <f t="shared" ref="T216:W222" si="89" xml:space="preserve"> IF( ISNUMBER(C216), 0, 1 )</f>
        <v>0</v>
      </c>
      <c r="U216" s="285">
        <f t="shared" si="89"/>
        <v>0</v>
      </c>
      <c r="V216" s="285">
        <f t="shared" si="89"/>
        <v>0</v>
      </c>
      <c r="W216" s="285">
        <f t="shared" si="89"/>
        <v>0</v>
      </c>
      <c r="X216" s="197"/>
      <c r="Y216" s="285">
        <f t="shared" ref="Y216:Z222" si="90" xml:space="preserve"> IF( ISNUMBER(H216), 0, 1 )</f>
        <v>0</v>
      </c>
      <c r="Z216" s="285">
        <f t="shared" si="90"/>
        <v>0</v>
      </c>
      <c r="AA216" s="197"/>
      <c r="AB216" s="197"/>
      <c r="AC216" s="828"/>
      <c r="AD216" s="197"/>
      <c r="AE216" s="396" t="s">
        <v>11839</v>
      </c>
      <c r="AF216" s="958" t="s">
        <v>2364</v>
      </c>
      <c r="AG216" s="904" t="s">
        <v>2392</v>
      </c>
      <c r="AH216" s="904" t="s">
        <v>2420</v>
      </c>
      <c r="AI216" s="904" t="s">
        <v>2448</v>
      </c>
      <c r="AJ216" s="959" t="s">
        <v>2476</v>
      </c>
      <c r="AK216" s="904" t="s">
        <v>2504</v>
      </c>
      <c r="AL216" s="904" t="s">
        <v>2532</v>
      </c>
      <c r="AM216" s="973"/>
      <c r="AN216" s="974"/>
      <c r="AO216" s="961"/>
      <c r="AP216" s="197"/>
      <c r="AQ216" s="197"/>
      <c r="AR216" s="197"/>
      <c r="AS216" s="197"/>
    </row>
    <row r="217" spans="1:45" s="4" customFormat="1" ht="15.75" customHeight="1">
      <c r="A217" s="197"/>
      <c r="B217" s="403" t="s">
        <v>11848</v>
      </c>
      <c r="C217" s="2092">
        <v>0</v>
      </c>
      <c r="D217" s="697">
        <v>0</v>
      </c>
      <c r="E217" s="697">
        <v>0</v>
      </c>
      <c r="F217" s="697">
        <v>0</v>
      </c>
      <c r="G217" s="1597">
        <f t="shared" si="87"/>
        <v>0</v>
      </c>
      <c r="H217" s="697">
        <v>0</v>
      </c>
      <c r="I217" s="697">
        <v>0</v>
      </c>
      <c r="J217" s="1618"/>
      <c r="K217" s="1619"/>
      <c r="L217" s="197"/>
      <c r="M217" s="290" t="s">
        <v>12038</v>
      </c>
      <c r="N217" s="197"/>
      <c r="O217" s="291"/>
      <c r="P217" s="197"/>
      <c r="Q217" s="828"/>
      <c r="R217" s="284">
        <f t="shared" si="88"/>
        <v>0</v>
      </c>
      <c r="S217" s="828"/>
      <c r="T217" s="285">
        <f t="shared" si="89"/>
        <v>0</v>
      </c>
      <c r="U217" s="285">
        <f t="shared" si="89"/>
        <v>0</v>
      </c>
      <c r="V217" s="285">
        <f t="shared" si="89"/>
        <v>0</v>
      </c>
      <c r="W217" s="285">
        <f t="shared" si="89"/>
        <v>0</v>
      </c>
      <c r="X217" s="197"/>
      <c r="Y217" s="285">
        <f t="shared" si="90"/>
        <v>0</v>
      </c>
      <c r="Z217" s="285">
        <f t="shared" si="90"/>
        <v>0</v>
      </c>
      <c r="AA217" s="197"/>
      <c r="AB217" s="197"/>
      <c r="AC217" s="828"/>
      <c r="AD217" s="197"/>
      <c r="AE217" s="403" t="s">
        <v>11848</v>
      </c>
      <c r="AF217" s="962" t="s">
        <v>2365</v>
      </c>
      <c r="AG217" s="905" t="s">
        <v>2393</v>
      </c>
      <c r="AH217" s="905" t="s">
        <v>2421</v>
      </c>
      <c r="AI217" s="905" t="s">
        <v>2449</v>
      </c>
      <c r="AJ217" s="963" t="s">
        <v>2477</v>
      </c>
      <c r="AK217" s="905" t="s">
        <v>2505</v>
      </c>
      <c r="AL217" s="905" t="s">
        <v>2533</v>
      </c>
      <c r="AM217" s="975"/>
      <c r="AN217" s="976"/>
      <c r="AO217" s="961"/>
      <c r="AP217" s="197"/>
      <c r="AQ217" s="197"/>
      <c r="AR217" s="197"/>
      <c r="AS217" s="197"/>
    </row>
    <row r="218" spans="1:45" s="4" customFormat="1" ht="15.75" customHeight="1">
      <c r="A218" s="197"/>
      <c r="B218" s="403" t="s">
        <v>11857</v>
      </c>
      <c r="C218" s="2092">
        <v>0</v>
      </c>
      <c r="D218" s="697">
        <v>0</v>
      </c>
      <c r="E218" s="697">
        <v>0</v>
      </c>
      <c r="F218" s="697">
        <v>0</v>
      </c>
      <c r="G218" s="1597">
        <f t="shared" si="87"/>
        <v>0</v>
      </c>
      <c r="H218" s="697">
        <v>0</v>
      </c>
      <c r="I218" s="697">
        <v>0</v>
      </c>
      <c r="J218" s="1618"/>
      <c r="K218" s="1619"/>
      <c r="L218" s="197"/>
      <c r="M218" s="290" t="s">
        <v>12039</v>
      </c>
      <c r="N218" s="197"/>
      <c r="O218" s="291"/>
      <c r="P218" s="197"/>
      <c r="Q218" s="828"/>
      <c r="R218" s="284">
        <f t="shared" si="88"/>
        <v>0</v>
      </c>
      <c r="S218" s="828"/>
      <c r="T218" s="285">
        <f t="shared" si="89"/>
        <v>0</v>
      </c>
      <c r="U218" s="285">
        <f t="shared" si="89"/>
        <v>0</v>
      </c>
      <c r="V218" s="285">
        <f t="shared" si="89"/>
        <v>0</v>
      </c>
      <c r="W218" s="285">
        <f t="shared" si="89"/>
        <v>0</v>
      </c>
      <c r="X218" s="197"/>
      <c r="Y218" s="285">
        <f t="shared" si="90"/>
        <v>0</v>
      </c>
      <c r="Z218" s="285">
        <f t="shared" si="90"/>
        <v>0</v>
      </c>
      <c r="AA218" s="197"/>
      <c r="AB218" s="197"/>
      <c r="AC218" s="828"/>
      <c r="AD218" s="197"/>
      <c r="AE218" s="403" t="s">
        <v>11857</v>
      </c>
      <c r="AF218" s="962" t="s">
        <v>2366</v>
      </c>
      <c r="AG218" s="905" t="s">
        <v>2394</v>
      </c>
      <c r="AH218" s="905" t="s">
        <v>2422</v>
      </c>
      <c r="AI218" s="905" t="s">
        <v>2450</v>
      </c>
      <c r="AJ218" s="963" t="s">
        <v>2478</v>
      </c>
      <c r="AK218" s="905" t="s">
        <v>2506</v>
      </c>
      <c r="AL218" s="905" t="s">
        <v>2534</v>
      </c>
      <c r="AM218" s="975"/>
      <c r="AN218" s="976"/>
      <c r="AO218" s="961"/>
      <c r="AP218" s="197"/>
      <c r="AQ218" s="197"/>
      <c r="AR218" s="197"/>
      <c r="AS218" s="197"/>
    </row>
    <row r="219" spans="1:45" s="4" customFormat="1" ht="15.75" customHeight="1">
      <c r="A219" s="197"/>
      <c r="B219" s="403" t="s">
        <v>11866</v>
      </c>
      <c r="C219" s="2092">
        <v>0</v>
      </c>
      <c r="D219" s="697">
        <v>0</v>
      </c>
      <c r="E219" s="697">
        <v>0</v>
      </c>
      <c r="F219" s="697">
        <v>0</v>
      </c>
      <c r="G219" s="1597">
        <f t="shared" si="87"/>
        <v>0</v>
      </c>
      <c r="H219" s="697">
        <v>0</v>
      </c>
      <c r="I219" s="697">
        <v>0</v>
      </c>
      <c r="J219" s="1618"/>
      <c r="K219" s="1619"/>
      <c r="L219" s="197"/>
      <c r="M219" s="290" t="s">
        <v>12040</v>
      </c>
      <c r="N219" s="197"/>
      <c r="O219" s="291"/>
      <c r="P219" s="200"/>
      <c r="Q219" s="935"/>
      <c r="R219" s="284">
        <f t="shared" si="88"/>
        <v>0</v>
      </c>
      <c r="S219" s="828"/>
      <c r="T219" s="285">
        <f t="shared" si="89"/>
        <v>0</v>
      </c>
      <c r="U219" s="285">
        <f t="shared" si="89"/>
        <v>0</v>
      </c>
      <c r="V219" s="285">
        <f t="shared" si="89"/>
        <v>0</v>
      </c>
      <c r="W219" s="285">
        <f t="shared" si="89"/>
        <v>0</v>
      </c>
      <c r="X219" s="197"/>
      <c r="Y219" s="285">
        <f t="shared" si="90"/>
        <v>0</v>
      </c>
      <c r="Z219" s="285">
        <f t="shared" si="90"/>
        <v>0</v>
      </c>
      <c r="AA219" s="197"/>
      <c r="AB219" s="197"/>
      <c r="AC219" s="828"/>
      <c r="AD219" s="197"/>
      <c r="AE219" s="403" t="s">
        <v>11866</v>
      </c>
      <c r="AF219" s="962" t="s">
        <v>2367</v>
      </c>
      <c r="AG219" s="905" t="s">
        <v>2395</v>
      </c>
      <c r="AH219" s="905" t="s">
        <v>2423</v>
      </c>
      <c r="AI219" s="905" t="s">
        <v>2451</v>
      </c>
      <c r="AJ219" s="963" t="s">
        <v>2479</v>
      </c>
      <c r="AK219" s="905" t="s">
        <v>2507</v>
      </c>
      <c r="AL219" s="905" t="s">
        <v>2535</v>
      </c>
      <c r="AM219" s="975"/>
      <c r="AN219" s="976"/>
      <c r="AO219" s="961"/>
      <c r="AP219" s="197"/>
      <c r="AQ219" s="197"/>
      <c r="AR219" s="197"/>
      <c r="AS219" s="197"/>
    </row>
    <row r="220" spans="1:45" s="4" customFormat="1" ht="15.75" customHeight="1">
      <c r="A220" s="197"/>
      <c r="B220" s="403" t="s">
        <v>11875</v>
      </c>
      <c r="C220" s="2092">
        <v>0</v>
      </c>
      <c r="D220" s="697">
        <v>0</v>
      </c>
      <c r="E220" s="697">
        <v>0</v>
      </c>
      <c r="F220" s="697">
        <v>0</v>
      </c>
      <c r="G220" s="1597">
        <f t="shared" si="87"/>
        <v>0</v>
      </c>
      <c r="H220" s="697">
        <v>0</v>
      </c>
      <c r="I220" s="697">
        <v>0</v>
      </c>
      <c r="J220" s="1618"/>
      <c r="K220" s="1619"/>
      <c r="L220" s="197"/>
      <c r="M220" s="290" t="s">
        <v>12041</v>
      </c>
      <c r="N220" s="197"/>
      <c r="O220" s="291"/>
      <c r="P220" s="200"/>
      <c r="Q220" s="935"/>
      <c r="R220" s="284">
        <f t="shared" si="88"/>
        <v>0</v>
      </c>
      <c r="S220" s="828"/>
      <c r="T220" s="285">
        <f t="shared" si="89"/>
        <v>0</v>
      </c>
      <c r="U220" s="285">
        <f t="shared" si="89"/>
        <v>0</v>
      </c>
      <c r="V220" s="285">
        <f t="shared" si="89"/>
        <v>0</v>
      </c>
      <c r="W220" s="285">
        <f t="shared" si="89"/>
        <v>0</v>
      </c>
      <c r="X220" s="197"/>
      <c r="Y220" s="285">
        <f t="shared" si="90"/>
        <v>0</v>
      </c>
      <c r="Z220" s="285">
        <f t="shared" si="90"/>
        <v>0</v>
      </c>
      <c r="AA220" s="197"/>
      <c r="AB220" s="197"/>
      <c r="AC220" s="828"/>
      <c r="AD220" s="197"/>
      <c r="AE220" s="403" t="s">
        <v>11875</v>
      </c>
      <c r="AF220" s="962" t="s">
        <v>2368</v>
      </c>
      <c r="AG220" s="905" t="s">
        <v>2396</v>
      </c>
      <c r="AH220" s="905" t="s">
        <v>2424</v>
      </c>
      <c r="AI220" s="905" t="s">
        <v>2452</v>
      </c>
      <c r="AJ220" s="963" t="s">
        <v>2480</v>
      </c>
      <c r="AK220" s="905" t="s">
        <v>2508</v>
      </c>
      <c r="AL220" s="905" t="s">
        <v>2536</v>
      </c>
      <c r="AM220" s="975"/>
      <c r="AN220" s="976"/>
      <c r="AO220" s="961"/>
      <c r="AP220" s="197"/>
      <c r="AQ220" s="197"/>
      <c r="AR220" s="197"/>
      <c r="AS220" s="197"/>
    </row>
    <row r="221" spans="1:45" s="4" customFormat="1" ht="15.75" customHeight="1">
      <c r="A221" s="197"/>
      <c r="B221" s="403" t="s">
        <v>11884</v>
      </c>
      <c r="C221" s="2092">
        <v>0</v>
      </c>
      <c r="D221" s="697">
        <v>0</v>
      </c>
      <c r="E221" s="697">
        <v>0</v>
      </c>
      <c r="F221" s="697">
        <v>0</v>
      </c>
      <c r="G221" s="1597">
        <f t="shared" si="87"/>
        <v>0</v>
      </c>
      <c r="H221" s="697">
        <v>0</v>
      </c>
      <c r="I221" s="697">
        <v>0</v>
      </c>
      <c r="J221" s="1618"/>
      <c r="K221" s="1619"/>
      <c r="L221" s="197"/>
      <c r="M221" s="290" t="s">
        <v>12042</v>
      </c>
      <c r="N221" s="197"/>
      <c r="O221" s="291"/>
      <c r="P221" s="200"/>
      <c r="Q221" s="935"/>
      <c r="R221" s="284">
        <f t="shared" si="88"/>
        <v>0</v>
      </c>
      <c r="S221" s="828"/>
      <c r="T221" s="285">
        <f t="shared" si="89"/>
        <v>0</v>
      </c>
      <c r="U221" s="285">
        <f t="shared" si="89"/>
        <v>0</v>
      </c>
      <c r="V221" s="285">
        <f t="shared" si="89"/>
        <v>0</v>
      </c>
      <c r="W221" s="285">
        <f t="shared" si="89"/>
        <v>0</v>
      </c>
      <c r="X221" s="197"/>
      <c r="Y221" s="285">
        <f t="shared" si="90"/>
        <v>0</v>
      </c>
      <c r="Z221" s="285">
        <f t="shared" si="90"/>
        <v>0</v>
      </c>
      <c r="AA221" s="197"/>
      <c r="AB221" s="197"/>
      <c r="AC221" s="828"/>
      <c r="AD221" s="197"/>
      <c r="AE221" s="403" t="s">
        <v>11884</v>
      </c>
      <c r="AF221" s="962" t="s">
        <v>2369</v>
      </c>
      <c r="AG221" s="905" t="s">
        <v>2397</v>
      </c>
      <c r="AH221" s="905" t="s">
        <v>2425</v>
      </c>
      <c r="AI221" s="905" t="s">
        <v>2453</v>
      </c>
      <c r="AJ221" s="963" t="s">
        <v>2481</v>
      </c>
      <c r="AK221" s="905" t="s">
        <v>2509</v>
      </c>
      <c r="AL221" s="905" t="s">
        <v>2537</v>
      </c>
      <c r="AM221" s="975"/>
      <c r="AN221" s="976"/>
      <c r="AO221" s="961"/>
      <c r="AP221" s="197"/>
      <c r="AQ221" s="197"/>
      <c r="AR221" s="197"/>
      <c r="AS221" s="197"/>
    </row>
    <row r="222" spans="1:45" s="4" customFormat="1" ht="15.75" customHeight="1">
      <c r="A222" s="197"/>
      <c r="B222" s="403" t="s">
        <v>11893</v>
      </c>
      <c r="C222" s="2092">
        <v>0</v>
      </c>
      <c r="D222" s="697">
        <v>0</v>
      </c>
      <c r="E222" s="697">
        <v>0</v>
      </c>
      <c r="F222" s="697">
        <v>0</v>
      </c>
      <c r="G222" s="1597">
        <f t="shared" si="87"/>
        <v>0</v>
      </c>
      <c r="H222" s="697">
        <v>0</v>
      </c>
      <c r="I222" s="697">
        <v>0</v>
      </c>
      <c r="J222" s="1618"/>
      <c r="K222" s="1619"/>
      <c r="L222" s="197"/>
      <c r="M222" s="290" t="s">
        <v>12043</v>
      </c>
      <c r="N222" s="197"/>
      <c r="O222" s="291"/>
      <c r="P222" s="197"/>
      <c r="Q222" s="828"/>
      <c r="R222" s="284">
        <f t="shared" si="88"/>
        <v>0</v>
      </c>
      <c r="S222" s="828"/>
      <c r="T222" s="285">
        <f t="shared" si="89"/>
        <v>0</v>
      </c>
      <c r="U222" s="285">
        <f t="shared" si="89"/>
        <v>0</v>
      </c>
      <c r="V222" s="285">
        <f t="shared" si="89"/>
        <v>0</v>
      </c>
      <c r="W222" s="285">
        <f t="shared" si="89"/>
        <v>0</v>
      </c>
      <c r="X222" s="197"/>
      <c r="Y222" s="285">
        <f t="shared" si="90"/>
        <v>0</v>
      </c>
      <c r="Z222" s="285">
        <f t="shared" si="90"/>
        <v>0</v>
      </c>
      <c r="AA222" s="197"/>
      <c r="AB222" s="197"/>
      <c r="AC222" s="828"/>
      <c r="AD222" s="197"/>
      <c r="AE222" s="403" t="s">
        <v>11893</v>
      </c>
      <c r="AF222" s="962" t="s">
        <v>2370</v>
      </c>
      <c r="AG222" s="905" t="s">
        <v>2398</v>
      </c>
      <c r="AH222" s="905" t="s">
        <v>2426</v>
      </c>
      <c r="AI222" s="905" t="s">
        <v>2454</v>
      </c>
      <c r="AJ222" s="963" t="s">
        <v>2482</v>
      </c>
      <c r="AK222" s="905" t="s">
        <v>2510</v>
      </c>
      <c r="AL222" s="905" t="s">
        <v>2538</v>
      </c>
      <c r="AM222" s="975"/>
      <c r="AN222" s="976"/>
      <c r="AO222" s="961"/>
      <c r="AP222" s="197"/>
      <c r="AQ222" s="197"/>
      <c r="AR222" s="197"/>
      <c r="AS222" s="197"/>
    </row>
    <row r="223" spans="1:45" s="4" customFormat="1" ht="15.75" customHeight="1" thickBot="1">
      <c r="A223" s="197"/>
      <c r="B223" s="406" t="s">
        <v>7445</v>
      </c>
      <c r="C223" s="2037">
        <f>IFERROR(SUM(C216:C222), 0)</f>
        <v>0</v>
      </c>
      <c r="D223" s="1589">
        <f>IFERROR(SUM(D216:D222), 0)</f>
        <v>3.1480000000000001</v>
      </c>
      <c r="E223" s="1589">
        <f>IFERROR(SUM(E216:E222), 0)</f>
        <v>0.93</v>
      </c>
      <c r="F223" s="1589">
        <f>IFERROR(SUM(F216:F222), 0)</f>
        <v>0</v>
      </c>
      <c r="G223" s="1589">
        <f t="shared" si="87"/>
        <v>4.0780000000000003</v>
      </c>
      <c r="H223" s="1589">
        <f>IFERROR(SUM(H216:H222), 0)</f>
        <v>-0.30399999999999999</v>
      </c>
      <c r="I223" s="1589">
        <f>IFERROR(SUM(I216:I222), 0)</f>
        <v>0</v>
      </c>
      <c r="J223" s="1613"/>
      <c r="K223" s="1614"/>
      <c r="L223" s="197"/>
      <c r="M223" s="356" t="s">
        <v>12044</v>
      </c>
      <c r="N223" s="197"/>
      <c r="O223" s="302"/>
      <c r="P223" s="197"/>
      <c r="Q223" s="828"/>
      <c r="R223" s="284"/>
      <c r="S223" s="828"/>
      <c r="T223" s="197"/>
      <c r="U223" s="197"/>
      <c r="V223" s="197"/>
      <c r="W223" s="197"/>
      <c r="X223" s="197"/>
      <c r="Y223" s="197"/>
      <c r="Z223" s="197"/>
      <c r="AA223" s="197"/>
      <c r="AB223" s="197"/>
      <c r="AC223" s="828"/>
      <c r="AD223" s="197"/>
      <c r="AE223" s="406" t="s">
        <v>7445</v>
      </c>
      <c r="AF223" s="965" t="s">
        <v>2371</v>
      </c>
      <c r="AG223" s="679" t="s">
        <v>2399</v>
      </c>
      <c r="AH223" s="679" t="s">
        <v>2427</v>
      </c>
      <c r="AI223" s="679" t="s">
        <v>2455</v>
      </c>
      <c r="AJ223" s="679" t="s">
        <v>2483</v>
      </c>
      <c r="AK223" s="679" t="s">
        <v>2511</v>
      </c>
      <c r="AL223" s="679" t="s">
        <v>2539</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9921</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11910</v>
      </c>
      <c r="C225" s="729"/>
      <c r="D225" s="1603"/>
      <c r="E225" s="1603"/>
      <c r="F225" s="1603"/>
      <c r="G225" s="1603"/>
      <c r="H225" s="1603"/>
      <c r="I225" s="1603"/>
      <c r="J225" s="1615"/>
      <c r="K225" s="1615"/>
      <c r="L225" s="197"/>
      <c r="M225" s="260" t="s">
        <v>9921</v>
      </c>
      <c r="N225" s="197"/>
      <c r="O225" s="197"/>
      <c r="P225" s="197"/>
      <c r="Q225" s="828"/>
      <c r="R225" s="284"/>
      <c r="S225" s="828"/>
      <c r="T225" s="197"/>
      <c r="U225" s="197"/>
      <c r="V225" s="197"/>
      <c r="W225" s="197"/>
      <c r="X225" s="197"/>
      <c r="Y225" s="197"/>
      <c r="Z225" s="197"/>
      <c r="AA225" s="197"/>
      <c r="AB225" s="197"/>
      <c r="AC225" s="828"/>
      <c r="AD225" s="197"/>
      <c r="AE225" s="393" t="s">
        <v>11910</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11910</v>
      </c>
      <c r="C226" s="701">
        <v>0.28399999999999997</v>
      </c>
      <c r="D226" s="701">
        <v>0</v>
      </c>
      <c r="E226" s="701">
        <v>0</v>
      </c>
      <c r="F226" s="701">
        <v>0</v>
      </c>
      <c r="G226" s="1586">
        <f>IFERROR(SUM(C226:F226),0)</f>
        <v>0.28399999999999997</v>
      </c>
      <c r="H226" s="701">
        <v>-0.23</v>
      </c>
      <c r="I226" s="701">
        <v>0</v>
      </c>
      <c r="J226" s="1620"/>
      <c r="K226" s="1621"/>
      <c r="L226" s="197"/>
      <c r="M226" s="374" t="s">
        <v>12045</v>
      </c>
      <c r="N226" s="197"/>
      <c r="O226" s="982"/>
      <c r="P226" s="389"/>
      <c r="Q226" s="825"/>
      <c r="R226" s="284">
        <f>IF( SUM( T226:AA226 ) = 0, 0, $T$10 )</f>
        <v>0</v>
      </c>
      <c r="S226" s="825"/>
      <c r="T226" s="285">
        <f xml:space="preserve"> IF( ISNUMBER(C226), 0, 1 )</f>
        <v>0</v>
      </c>
      <c r="U226" s="285">
        <f xml:space="preserve"> IF( ISNUMBER(D226), 0, 1 )</f>
        <v>0</v>
      </c>
      <c r="V226" s="285">
        <f xml:space="preserve"> IF( ISNUMBER(E226), 0, 1 )</f>
        <v>0</v>
      </c>
      <c r="W226" s="285">
        <f xml:space="preserve"> IF( ISNUMBER(F226), 0, 1 )</f>
        <v>0</v>
      </c>
      <c r="X226" s="197"/>
      <c r="Y226" s="285">
        <f xml:space="preserve"> IF( ISNUMBER(H226), 0, 1 )</f>
        <v>0</v>
      </c>
      <c r="Z226" s="285">
        <f xml:space="preserve"> IF( ISNUMBER(I226), 0, 1 )</f>
        <v>0</v>
      </c>
      <c r="AA226" s="197"/>
      <c r="AB226" s="197"/>
      <c r="AC226" s="825"/>
      <c r="AD226" s="389"/>
      <c r="AE226" s="420" t="s">
        <v>11910</v>
      </c>
      <c r="AF226" s="978" t="s">
        <v>2372</v>
      </c>
      <c r="AG226" s="978" t="s">
        <v>2400</v>
      </c>
      <c r="AH226" s="978" t="s">
        <v>2428</v>
      </c>
      <c r="AI226" s="978" t="s">
        <v>2456</v>
      </c>
      <c r="AJ226" s="979" t="s">
        <v>2484</v>
      </c>
      <c r="AK226" s="978" t="s">
        <v>2512</v>
      </c>
      <c r="AL226" s="978" t="s">
        <v>2540</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9921</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11919</v>
      </c>
      <c r="C228" s="2038">
        <f>IFERROR(SUM(C199,C206,C213,C223,C226), 0)</f>
        <v>0.28399999999999997</v>
      </c>
      <c r="D228" s="1586">
        <f>IFERROR(SUM(D199,D206,D213,D223,D226), 0)</f>
        <v>3.1480000000000001</v>
      </c>
      <c r="E228" s="1586">
        <f>IFERROR(SUM(E199,E206,E213,E223,E226), 0)</f>
        <v>300.93</v>
      </c>
      <c r="F228" s="1586">
        <f>IFERROR(SUM(F199,F206,F213,F223,F226), 0)</f>
        <v>100</v>
      </c>
      <c r="G228" s="1586">
        <f>IFERROR(SUM(C228:F228),0)</f>
        <v>404.36200000000002</v>
      </c>
      <c r="H228" s="1586">
        <f>IFERROR(SUM(H199,H206,H213,H223,H226), 0)</f>
        <v>87.070000000000007</v>
      </c>
      <c r="I228" s="1586">
        <f>IFERROR(SUM(I199,I206,I213,I223,I226), 0)</f>
        <v>87.170999999999992</v>
      </c>
      <c r="J228" s="1622"/>
      <c r="K228" s="1623"/>
      <c r="L228" s="389"/>
      <c r="M228" s="374" t="s">
        <v>12046</v>
      </c>
      <c r="N228" s="197"/>
      <c r="O228" s="982"/>
      <c r="P228" s="389"/>
      <c r="Q228" s="825"/>
      <c r="R228" s="284"/>
      <c r="S228" s="825"/>
      <c r="T228" s="197"/>
      <c r="U228" s="197"/>
      <c r="V228" s="197"/>
      <c r="W228" s="197"/>
      <c r="X228" s="197"/>
      <c r="Y228" s="197"/>
      <c r="Z228" s="197"/>
      <c r="AA228" s="197"/>
      <c r="AB228" s="197"/>
      <c r="AC228" s="825"/>
      <c r="AD228" s="389"/>
      <c r="AE228" s="420" t="s">
        <v>11919</v>
      </c>
      <c r="AF228" s="985" t="s">
        <v>2373</v>
      </c>
      <c r="AG228" s="372" t="s">
        <v>2401</v>
      </c>
      <c r="AH228" s="372" t="s">
        <v>2429</v>
      </c>
      <c r="AI228" s="372" t="s">
        <v>2457</v>
      </c>
      <c r="AJ228" s="372" t="s">
        <v>2485</v>
      </c>
      <c r="AK228" s="372" t="s">
        <v>2513</v>
      </c>
      <c r="AL228" s="372" t="s">
        <v>2541</v>
      </c>
      <c r="AM228" s="986"/>
      <c r="AN228" s="987"/>
      <c r="AO228" s="961"/>
      <c r="AP228" s="389"/>
      <c r="AQ228" s="389"/>
      <c r="AR228" s="389"/>
      <c r="AS228" s="389"/>
    </row>
    <row r="229" spans="1:45" s="4" customFormat="1" ht="16.5"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tabColor rgb="FF00B050"/>
    <pageSetUpPr fitToPage="1"/>
  </sheetPr>
  <dimension ref="A1:AL39"/>
  <sheetViews>
    <sheetView showGridLines="0" zoomScale="40" zoomScaleNormal="40" zoomScaleSheetLayoutView="100" workbookViewId="0">
      <selection activeCell="F9" activeCellId="5" sqref="E18:I20 E23:I25 E30:I31 E35:I35 E10:I15 F9:I9"/>
    </sheetView>
  </sheetViews>
  <sheetFormatPr defaultColWidth="9" defaultRowHeight="15.75"/>
  <cols>
    <col min="1" max="1" width="1.625" style="224" customWidth="1"/>
    <col min="2" max="2" width="64.75" style="1022" customWidth="1"/>
    <col min="3" max="3" width="5.5" style="1022" bestFit="1" customWidth="1"/>
    <col min="4" max="4" width="4.75" style="1022" bestFit="1" customWidth="1"/>
    <col min="5" max="5" width="15.75" style="1022" bestFit="1" customWidth="1"/>
    <col min="6" max="6" width="10.75" style="1022" bestFit="1" customWidth="1"/>
    <col min="7" max="7" width="10.25" style="1022" bestFit="1" customWidth="1"/>
    <col min="8" max="8" width="9.25" style="1022" bestFit="1" customWidth="1"/>
    <col min="9" max="9" width="13.25" style="1022" bestFit="1" customWidth="1"/>
    <col min="10" max="10" width="11.75" style="1022" customWidth="1"/>
    <col min="11" max="11" width="1.625" style="1022" customWidth="1"/>
    <col min="12" max="12" width="15.75" style="1024" bestFit="1" customWidth="1"/>
    <col min="13" max="13" width="1.625" style="248" customWidth="1"/>
    <col min="14" max="14" width="29.5" style="248" bestFit="1" customWidth="1"/>
    <col min="15" max="15" width="1.625" style="248"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1022"/>
  </cols>
  <sheetData>
    <row r="1" spans="1:38" s="991" customFormat="1" ht="29.25" customHeight="1">
      <c r="A1" s="389"/>
      <c r="B1" s="2661" t="s">
        <v>12047</v>
      </c>
      <c r="C1" s="2661"/>
      <c r="D1" s="2661"/>
      <c r="E1" s="2661"/>
      <c r="F1" s="2661"/>
      <c r="G1" s="2661"/>
      <c r="H1" s="2661"/>
      <c r="I1" s="2661"/>
      <c r="J1" s="2661"/>
      <c r="K1" s="339"/>
      <c r="L1" s="424"/>
      <c r="M1" s="989"/>
      <c r="N1" s="989"/>
      <c r="O1" s="989"/>
      <c r="P1" s="990"/>
      <c r="Q1" s="389"/>
      <c r="R1" s="825"/>
      <c r="S1" s="389"/>
      <c r="T1" s="389"/>
      <c r="U1" s="389"/>
      <c r="V1" s="389"/>
      <c r="W1" s="389"/>
      <c r="X1" s="825"/>
      <c r="Y1" s="389"/>
      <c r="Z1" s="2661" t="s">
        <v>7220</v>
      </c>
      <c r="AA1" s="2661"/>
      <c r="AB1" s="2661"/>
      <c r="AC1" s="2661"/>
      <c r="AD1" s="2661"/>
      <c r="AE1" s="2661"/>
      <c r="AF1" s="2661"/>
      <c r="AG1" s="389"/>
      <c r="AH1" s="389"/>
      <c r="AI1" s="389"/>
      <c r="AJ1" s="389"/>
      <c r="AK1" s="389"/>
      <c r="AL1" s="389"/>
    </row>
    <row r="2" spans="1:38" s="991" customFormat="1" ht="29.25" customHeight="1">
      <c r="A2" s="389"/>
      <c r="B2" s="2661" t="str">
        <f>SelectCompany!B4</f>
        <v>Northumbrian Water</v>
      </c>
      <c r="C2" s="2661"/>
      <c r="D2" s="2661"/>
      <c r="E2" s="2661"/>
      <c r="F2" s="2661"/>
      <c r="G2" s="2661"/>
      <c r="H2" s="2661"/>
      <c r="I2" s="529"/>
      <c r="J2" s="529"/>
      <c r="K2" s="529"/>
      <c r="L2" s="529"/>
      <c r="M2" s="529"/>
      <c r="N2" s="529"/>
      <c r="O2" s="529"/>
      <c r="P2" s="990"/>
      <c r="Q2" s="389"/>
      <c r="R2" s="825"/>
      <c r="S2" s="389"/>
      <c r="T2" s="389"/>
      <c r="U2" s="389"/>
      <c r="V2" s="389"/>
      <c r="W2" s="389"/>
      <c r="X2" s="825"/>
      <c r="Y2" s="389"/>
      <c r="Z2" s="2661"/>
      <c r="AA2" s="2661"/>
      <c r="AB2" s="2661"/>
      <c r="AC2" s="2661"/>
      <c r="AD2" s="2661"/>
      <c r="AE2" s="2661"/>
      <c r="AF2" s="2661"/>
      <c r="AG2" s="389"/>
      <c r="AH2" s="389"/>
      <c r="AI2" s="389"/>
      <c r="AJ2" s="389"/>
      <c r="AK2" s="389"/>
      <c r="AL2" s="389"/>
    </row>
    <row r="3" spans="1:38" s="995" customFormat="1" ht="45" customHeight="1">
      <c r="A3" s="197"/>
      <c r="B3" s="2807" t="s">
        <v>12048</v>
      </c>
      <c r="C3" s="2807"/>
      <c r="D3" s="2807"/>
      <c r="E3" s="2807"/>
      <c r="F3" s="2807"/>
      <c r="G3" s="2807"/>
      <c r="H3" s="2807"/>
      <c r="I3" s="2807"/>
      <c r="J3" s="2807"/>
      <c r="K3" s="2807"/>
      <c r="L3" s="2807"/>
      <c r="M3" s="2807"/>
      <c r="N3" s="2807"/>
      <c r="O3" s="992"/>
      <c r="P3" s="993"/>
      <c r="Q3" s="650" t="s">
        <v>7222</v>
      </c>
      <c r="R3" s="994"/>
      <c r="S3" s="197"/>
      <c r="T3" s="197"/>
      <c r="U3" s="197"/>
      <c r="V3" s="197"/>
      <c r="W3" s="197"/>
      <c r="X3" s="828"/>
      <c r="Y3" s="197"/>
      <c r="Z3" s="2807" t="s">
        <v>12048</v>
      </c>
      <c r="AA3" s="2807"/>
      <c r="AB3" s="2807"/>
      <c r="AC3" s="2807"/>
      <c r="AD3" s="2807"/>
      <c r="AE3" s="2807"/>
      <c r="AF3" s="2807"/>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44" t="s">
        <v>7224</v>
      </c>
      <c r="C5" s="2846" t="s">
        <v>7225</v>
      </c>
      <c r="D5" s="2846" t="s">
        <v>670</v>
      </c>
      <c r="E5" s="2846" t="s">
        <v>8160</v>
      </c>
      <c r="F5" s="2841" t="s">
        <v>9202</v>
      </c>
      <c r="G5" s="2841"/>
      <c r="H5" s="2841"/>
      <c r="I5" s="2841"/>
      <c r="J5" s="2842" t="s">
        <v>7445</v>
      </c>
      <c r="K5" s="997"/>
      <c r="L5" s="2808" t="s">
        <v>7229</v>
      </c>
      <c r="M5" s="482"/>
      <c r="N5" s="2808" t="s">
        <v>7230</v>
      </c>
      <c r="O5" s="482"/>
      <c r="P5" s="993"/>
      <c r="Q5" s="106"/>
      <c r="R5" s="994"/>
      <c r="S5" s="197"/>
      <c r="T5" s="197"/>
      <c r="U5" s="197"/>
      <c r="V5" s="197"/>
      <c r="W5" s="197"/>
      <c r="X5" s="828"/>
      <c r="Y5" s="197"/>
      <c r="Z5" s="2844" t="s">
        <v>7224</v>
      </c>
      <c r="AA5" s="2846" t="s">
        <v>8160</v>
      </c>
      <c r="AB5" s="2841" t="s">
        <v>9202</v>
      </c>
      <c r="AC5" s="2841"/>
      <c r="AD5" s="2841"/>
      <c r="AE5" s="2841"/>
      <c r="AF5" s="2842" t="s">
        <v>7445</v>
      </c>
      <c r="AG5" s="197"/>
      <c r="AH5" s="197"/>
      <c r="AI5" s="197"/>
      <c r="AJ5" s="197"/>
      <c r="AK5" s="197"/>
      <c r="AL5" s="197"/>
    </row>
    <row r="6" spans="1:38" s="995" customFormat="1" ht="48" customHeight="1" thickBot="1">
      <c r="A6" s="197"/>
      <c r="B6" s="2845"/>
      <c r="C6" s="2847"/>
      <c r="D6" s="2847"/>
      <c r="E6" s="2848"/>
      <c r="F6" s="999" t="s">
        <v>12049</v>
      </c>
      <c r="G6" s="999" t="s">
        <v>11028</v>
      </c>
      <c r="H6" s="999" t="s">
        <v>11029</v>
      </c>
      <c r="I6" s="999" t="s">
        <v>11030</v>
      </c>
      <c r="J6" s="2843"/>
      <c r="K6" s="997"/>
      <c r="L6" s="2809"/>
      <c r="M6" s="482"/>
      <c r="N6" s="2809"/>
      <c r="O6" s="482"/>
      <c r="P6" s="993"/>
      <c r="Q6" s="888"/>
      <c r="R6" s="1000"/>
      <c r="S6" s="197"/>
      <c r="T6" s="197"/>
      <c r="U6" s="197"/>
      <c r="V6" s="197"/>
      <c r="W6" s="197"/>
      <c r="X6" s="828"/>
      <c r="Y6" s="197"/>
      <c r="Z6" s="2845"/>
      <c r="AA6" s="2848"/>
      <c r="AB6" s="999" t="s">
        <v>12049</v>
      </c>
      <c r="AC6" s="999" t="s">
        <v>11028</v>
      </c>
      <c r="AD6" s="999" t="s">
        <v>11029</v>
      </c>
      <c r="AE6" s="999" t="s">
        <v>11030</v>
      </c>
      <c r="AF6" s="2843"/>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668" t="s">
        <v>7223</v>
      </c>
      <c r="T7" s="2819"/>
      <c r="U7" s="2819"/>
      <c r="V7" s="2819"/>
      <c r="W7" s="2819"/>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8479</v>
      </c>
      <c r="C8" s="394"/>
      <c r="D8" s="394"/>
      <c r="E8" s="482"/>
      <c r="F8" s="482"/>
      <c r="G8" s="482"/>
      <c r="H8" s="1001"/>
      <c r="I8" s="1001"/>
      <c r="J8" s="997"/>
      <c r="K8" s="997"/>
      <c r="L8" s="1004"/>
      <c r="M8" s="1005"/>
      <c r="N8" s="1005"/>
      <c r="O8" s="1005"/>
      <c r="P8" s="993"/>
      <c r="Q8" s="106"/>
      <c r="R8" s="994"/>
      <c r="S8" s="269" t="s">
        <v>7231</v>
      </c>
      <c r="T8" s="242"/>
      <c r="U8" s="242"/>
      <c r="V8" s="242"/>
      <c r="W8" s="242"/>
      <c r="X8" s="886"/>
      <c r="Y8" s="242"/>
      <c r="Z8" s="33" t="s">
        <v>8479</v>
      </c>
      <c r="AA8" s="482"/>
      <c r="AB8" s="482"/>
      <c r="AC8" s="482"/>
      <c r="AD8" s="1001"/>
      <c r="AE8" s="1001"/>
      <c r="AF8" s="997"/>
      <c r="AG8" s="197"/>
      <c r="AH8" s="197"/>
      <c r="AI8" s="197"/>
      <c r="AJ8" s="197"/>
      <c r="AK8" s="197"/>
      <c r="AL8" s="197"/>
    </row>
    <row r="9" spans="1:38" s="995" customFormat="1" ht="15.75" customHeight="1" thickTop="1">
      <c r="A9" s="197"/>
      <c r="B9" s="93" t="s">
        <v>8262</v>
      </c>
      <c r="C9" s="94" t="s">
        <v>681</v>
      </c>
      <c r="D9" s="94">
        <v>3</v>
      </c>
      <c r="E9" s="1624">
        <v>20.649000000000001</v>
      </c>
      <c r="F9" s="1624">
        <v>3.0459999999999998</v>
      </c>
      <c r="G9" s="1624">
        <v>0.05</v>
      </c>
      <c r="H9" s="1624">
        <v>6.65</v>
      </c>
      <c r="I9" s="1624">
        <v>28.292999999999999</v>
      </c>
      <c r="J9" s="1625">
        <f>IFERROR(SUM(E9:I9), 0)</f>
        <v>58.688000000000002</v>
      </c>
      <c r="K9" s="997"/>
      <c r="L9" s="43" t="s">
        <v>12050</v>
      </c>
      <c r="M9" s="174"/>
      <c r="N9" s="920"/>
      <c r="O9" s="174"/>
      <c r="P9" s="993"/>
      <c r="Q9" s="284">
        <f t="shared" ref="Q9:Q15" si="0">IF( SUM( S9:W9 ) = 0, 0, $S$8 )</f>
        <v>0</v>
      </c>
      <c r="R9" s="994"/>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8"/>
      <c r="Y9" s="197"/>
      <c r="Z9" s="93" t="s">
        <v>8262</v>
      </c>
      <c r="AA9" s="1006" t="s">
        <v>8264</v>
      </c>
      <c r="AB9" s="1006" t="s">
        <v>12051</v>
      </c>
      <c r="AC9" s="1006" t="s">
        <v>12052</v>
      </c>
      <c r="AD9" s="1006" t="s">
        <v>12053</v>
      </c>
      <c r="AE9" s="1006" t="s">
        <v>12054</v>
      </c>
      <c r="AF9" s="1007" t="s">
        <v>12055</v>
      </c>
      <c r="AG9" s="197"/>
      <c r="AH9" s="197"/>
      <c r="AI9" s="197"/>
      <c r="AJ9" s="197"/>
      <c r="AK9" s="197"/>
      <c r="AL9" s="197"/>
    </row>
    <row r="10" spans="1:38" s="995" customFormat="1" ht="15.75" customHeight="1">
      <c r="A10" s="197"/>
      <c r="B10" s="96" t="s">
        <v>8270</v>
      </c>
      <c r="C10" s="97" t="s">
        <v>681</v>
      </c>
      <c r="D10" s="97">
        <v>3</v>
      </c>
      <c r="E10" s="1626">
        <v>-0.26500000000000001</v>
      </c>
      <c r="F10" s="1626">
        <v>0</v>
      </c>
      <c r="G10" s="1626">
        <v>0</v>
      </c>
      <c r="H10" s="1626">
        <v>-0.05</v>
      </c>
      <c r="I10" s="1626">
        <v>0</v>
      </c>
      <c r="J10" s="1627">
        <f>IFERROR(SUM(E10:I10), 0)</f>
        <v>-0.315</v>
      </c>
      <c r="K10" s="997"/>
      <c r="L10" s="52" t="s">
        <v>12056</v>
      </c>
      <c r="M10" s="174"/>
      <c r="N10" s="927"/>
      <c r="O10" s="174"/>
      <c r="P10" s="993"/>
      <c r="Q10" s="284">
        <f t="shared" si="0"/>
        <v>0</v>
      </c>
      <c r="R10" s="994"/>
      <c r="S10" s="285">
        <f t="shared" ref="S10:S15" si="6" xml:space="preserve"> IF( ISNUMBER(E10), 0, 1 )</f>
        <v>0</v>
      </c>
      <c r="T10" s="285">
        <f t="shared" si="2"/>
        <v>0</v>
      </c>
      <c r="U10" s="285">
        <f t="shared" si="3"/>
        <v>0</v>
      </c>
      <c r="V10" s="285">
        <f t="shared" si="4"/>
        <v>0</v>
      </c>
      <c r="W10" s="285">
        <f t="shared" si="5"/>
        <v>0</v>
      </c>
      <c r="X10" s="828"/>
      <c r="Y10" s="197"/>
      <c r="Z10" s="96" t="s">
        <v>8270</v>
      </c>
      <c r="AA10" s="1008" t="s">
        <v>8272</v>
      </c>
      <c r="AB10" s="1008" t="s">
        <v>12057</v>
      </c>
      <c r="AC10" s="1008" t="s">
        <v>12058</v>
      </c>
      <c r="AD10" s="1008" t="s">
        <v>12059</v>
      </c>
      <c r="AE10" s="1008" t="s">
        <v>12060</v>
      </c>
      <c r="AF10" s="1009" t="s">
        <v>12061</v>
      </c>
      <c r="AG10" s="197"/>
      <c r="AH10" s="197"/>
      <c r="AI10" s="197"/>
      <c r="AJ10" s="197"/>
      <c r="AK10" s="197"/>
      <c r="AL10" s="197"/>
    </row>
    <row r="11" spans="1:38" s="995" customFormat="1" ht="15.75" customHeight="1">
      <c r="A11" s="197"/>
      <c r="B11" s="96" t="s">
        <v>8287</v>
      </c>
      <c r="C11" s="97" t="s">
        <v>681</v>
      </c>
      <c r="D11" s="97">
        <v>3</v>
      </c>
      <c r="E11" s="1626">
        <v>1.22</v>
      </c>
      <c r="F11" s="1626">
        <v>0</v>
      </c>
      <c r="G11" s="1626">
        <v>0</v>
      </c>
      <c r="H11" s="1626">
        <v>0</v>
      </c>
      <c r="I11" s="1626">
        <v>0</v>
      </c>
      <c r="J11" s="1627">
        <f t="shared" ref="J11:J14" si="7">IFERROR(SUM(E11:I11), 0)</f>
        <v>1.22</v>
      </c>
      <c r="K11" s="997"/>
      <c r="L11" s="52" t="s">
        <v>12062</v>
      </c>
      <c r="M11" s="174"/>
      <c r="N11" s="927"/>
      <c r="O11" s="174"/>
      <c r="P11" s="993"/>
      <c r="Q11" s="284">
        <f t="shared" si="0"/>
        <v>0</v>
      </c>
      <c r="R11" s="994"/>
      <c r="S11" s="285">
        <f t="shared" si="6"/>
        <v>0</v>
      </c>
      <c r="T11" s="285">
        <f t="shared" si="2"/>
        <v>0</v>
      </c>
      <c r="U11" s="285">
        <f t="shared" si="3"/>
        <v>0</v>
      </c>
      <c r="V11" s="285">
        <f t="shared" si="4"/>
        <v>0</v>
      </c>
      <c r="W11" s="285">
        <f t="shared" si="5"/>
        <v>0</v>
      </c>
      <c r="X11" s="828"/>
      <c r="Y11" s="197"/>
      <c r="Z11" s="96" t="s">
        <v>12063</v>
      </c>
      <c r="AA11" s="1008" t="s">
        <v>8289</v>
      </c>
      <c r="AB11" s="1008" t="s">
        <v>12064</v>
      </c>
      <c r="AC11" s="1008" t="s">
        <v>12065</v>
      </c>
      <c r="AD11" s="1008" t="s">
        <v>12066</v>
      </c>
      <c r="AE11" s="1008" t="s">
        <v>12067</v>
      </c>
      <c r="AF11" s="1009" t="s">
        <v>12068</v>
      </c>
      <c r="AG11" s="197"/>
      <c r="AH11" s="197"/>
      <c r="AI11" s="197"/>
      <c r="AJ11" s="197"/>
      <c r="AK11" s="197"/>
      <c r="AL11" s="197"/>
    </row>
    <row r="12" spans="1:38" s="995" customFormat="1" ht="15.75" customHeight="1">
      <c r="A12" s="197"/>
      <c r="B12" s="96" t="s">
        <v>12069</v>
      </c>
      <c r="C12" s="97" t="s">
        <v>681</v>
      </c>
      <c r="D12" s="97">
        <v>3</v>
      </c>
      <c r="E12" s="1626">
        <v>0.59699999999999998</v>
      </c>
      <c r="F12" s="1626">
        <v>0</v>
      </c>
      <c r="G12" s="1626">
        <v>0</v>
      </c>
      <c r="H12" s="1626">
        <v>4.7E-2</v>
      </c>
      <c r="I12" s="1626">
        <v>0.37</v>
      </c>
      <c r="J12" s="1627">
        <f t="shared" si="7"/>
        <v>1.014</v>
      </c>
      <c r="K12" s="997"/>
      <c r="L12" s="52" t="s">
        <v>12070</v>
      </c>
      <c r="M12" s="174"/>
      <c r="N12" s="927"/>
      <c r="O12" s="174"/>
      <c r="P12" s="993"/>
      <c r="Q12" s="284">
        <f t="shared" si="0"/>
        <v>0</v>
      </c>
      <c r="R12" s="994"/>
      <c r="S12" s="285">
        <f t="shared" si="6"/>
        <v>0</v>
      </c>
      <c r="T12" s="285">
        <f t="shared" si="2"/>
        <v>0</v>
      </c>
      <c r="U12" s="285">
        <f t="shared" si="3"/>
        <v>0</v>
      </c>
      <c r="V12" s="285">
        <f t="shared" si="4"/>
        <v>0</v>
      </c>
      <c r="W12" s="285">
        <f t="shared" si="5"/>
        <v>0</v>
      </c>
      <c r="X12" s="828"/>
      <c r="Y12" s="197"/>
      <c r="Z12" s="96" t="s">
        <v>12069</v>
      </c>
      <c r="AA12" s="1008" t="s">
        <v>8297</v>
      </c>
      <c r="AB12" s="1008" t="s">
        <v>12071</v>
      </c>
      <c r="AC12" s="1008" t="s">
        <v>12072</v>
      </c>
      <c r="AD12" s="1008" t="s">
        <v>12073</v>
      </c>
      <c r="AE12" s="1008" t="s">
        <v>12074</v>
      </c>
      <c r="AF12" s="1009" t="s">
        <v>12075</v>
      </c>
      <c r="AG12" s="197"/>
      <c r="AH12" s="197"/>
      <c r="AI12" s="197"/>
      <c r="AJ12" s="197"/>
      <c r="AK12" s="197"/>
      <c r="AL12" s="197"/>
    </row>
    <row r="13" spans="1:38" s="995" customFormat="1" ht="15.75" customHeight="1">
      <c r="A13" s="197"/>
      <c r="B13" s="96" t="s">
        <v>12076</v>
      </c>
      <c r="C13" s="97" t="s">
        <v>681</v>
      </c>
      <c r="D13" s="97">
        <v>3</v>
      </c>
      <c r="E13" s="1626">
        <v>0.20300000000000001</v>
      </c>
      <c r="F13" s="1626">
        <v>2.5000000000000001E-2</v>
      </c>
      <c r="G13" s="1626">
        <v>0</v>
      </c>
      <c r="H13" s="1626">
        <v>1.2030000000000001</v>
      </c>
      <c r="I13" s="1626">
        <v>4.6079999999999997</v>
      </c>
      <c r="J13" s="1627">
        <f t="shared" si="7"/>
        <v>6.0389999999999997</v>
      </c>
      <c r="K13" s="997"/>
      <c r="L13" s="52" t="s">
        <v>12077</v>
      </c>
      <c r="M13" s="174"/>
      <c r="N13" s="927"/>
      <c r="O13" s="174"/>
      <c r="P13" s="993"/>
      <c r="Q13" s="284">
        <f t="shared" si="0"/>
        <v>0</v>
      </c>
      <c r="R13" s="994"/>
      <c r="S13" s="285">
        <f t="shared" si="6"/>
        <v>0</v>
      </c>
      <c r="T13" s="285">
        <f t="shared" si="2"/>
        <v>0</v>
      </c>
      <c r="U13" s="285">
        <f t="shared" si="3"/>
        <v>0</v>
      </c>
      <c r="V13" s="285">
        <f t="shared" si="4"/>
        <v>0</v>
      </c>
      <c r="W13" s="285">
        <f t="shared" si="5"/>
        <v>0</v>
      </c>
      <c r="X13" s="828"/>
      <c r="Y13" s="197"/>
      <c r="Z13" s="96" t="s">
        <v>12076</v>
      </c>
      <c r="AA13" s="1008" t="s">
        <v>8305</v>
      </c>
      <c r="AB13" s="1008" t="s">
        <v>12078</v>
      </c>
      <c r="AC13" s="1008" t="s">
        <v>12079</v>
      </c>
      <c r="AD13" s="1008" t="s">
        <v>12080</v>
      </c>
      <c r="AE13" s="1008" t="s">
        <v>12081</v>
      </c>
      <c r="AF13" s="1009" t="s">
        <v>12082</v>
      </c>
      <c r="AG13" s="197"/>
      <c r="AH13" s="197"/>
      <c r="AI13" s="197"/>
      <c r="AJ13" s="197"/>
      <c r="AK13" s="197"/>
      <c r="AL13" s="197"/>
    </row>
    <row r="14" spans="1:38" s="995" customFormat="1" ht="15.75" customHeight="1">
      <c r="A14" s="197"/>
      <c r="B14" s="96" t="s">
        <v>8313</v>
      </c>
      <c r="C14" s="97" t="s">
        <v>681</v>
      </c>
      <c r="D14" s="97">
        <v>3</v>
      </c>
      <c r="E14" s="1626">
        <v>7.4560000000000004</v>
      </c>
      <c r="F14" s="1626">
        <v>0.442</v>
      </c>
      <c r="G14" s="1626">
        <v>2.2599999999999998</v>
      </c>
      <c r="H14" s="1626">
        <v>51.259</v>
      </c>
      <c r="I14" s="1626">
        <v>57.357999999999997</v>
      </c>
      <c r="J14" s="1627">
        <f t="shared" si="7"/>
        <v>118.77500000000001</v>
      </c>
      <c r="K14" s="997"/>
      <c r="L14" s="52" t="s">
        <v>12083</v>
      </c>
      <c r="M14" s="174"/>
      <c r="N14" s="927"/>
      <c r="O14" s="174"/>
      <c r="P14" s="993"/>
      <c r="Q14" s="284">
        <f t="shared" si="0"/>
        <v>0</v>
      </c>
      <c r="R14" s="994"/>
      <c r="S14" s="285">
        <f t="shared" si="6"/>
        <v>0</v>
      </c>
      <c r="T14" s="285">
        <f t="shared" si="2"/>
        <v>0</v>
      </c>
      <c r="U14" s="285">
        <f t="shared" si="3"/>
        <v>0</v>
      </c>
      <c r="V14" s="285">
        <f t="shared" si="4"/>
        <v>0</v>
      </c>
      <c r="W14" s="285">
        <f t="shared" si="5"/>
        <v>0</v>
      </c>
      <c r="X14" s="828"/>
      <c r="Y14" s="197"/>
      <c r="Z14" s="96" t="s">
        <v>8313</v>
      </c>
      <c r="AA14" s="1008" t="s">
        <v>12084</v>
      </c>
      <c r="AB14" s="1008" t="s">
        <v>12085</v>
      </c>
      <c r="AC14" s="1008" t="s">
        <v>12086</v>
      </c>
      <c r="AD14" s="1008" t="s">
        <v>12087</v>
      </c>
      <c r="AE14" s="1008" t="s">
        <v>12088</v>
      </c>
      <c r="AF14" s="1009" t="s">
        <v>12089</v>
      </c>
      <c r="AG14" s="197"/>
      <c r="AH14" s="197"/>
      <c r="AI14" s="197"/>
      <c r="AJ14" s="197"/>
      <c r="AK14" s="197"/>
      <c r="AL14" s="197"/>
    </row>
    <row r="15" spans="1:38" s="995" customFormat="1" ht="15.75" customHeight="1" thickBot="1">
      <c r="A15" s="197"/>
      <c r="B15" s="100" t="s">
        <v>8320</v>
      </c>
      <c r="C15" s="101" t="s">
        <v>681</v>
      </c>
      <c r="D15" s="101">
        <v>3</v>
      </c>
      <c r="E15" s="1628">
        <v>4.2220000000000004</v>
      </c>
      <c r="F15" s="1628">
        <v>3.2759999999999998</v>
      </c>
      <c r="G15" s="1628">
        <v>0</v>
      </c>
      <c r="H15" s="1628">
        <v>3.9670000000000001</v>
      </c>
      <c r="I15" s="1628">
        <v>19.698</v>
      </c>
      <c r="J15" s="1629">
        <f>IFERROR(SUM(E15:I15), 0)</f>
        <v>31.163</v>
      </c>
      <c r="K15" s="997"/>
      <c r="L15" s="54" t="s">
        <v>12090</v>
      </c>
      <c r="M15" s="174"/>
      <c r="N15" s="942"/>
      <c r="O15" s="174"/>
      <c r="P15" s="993"/>
      <c r="Q15" s="284">
        <f t="shared" si="0"/>
        <v>0</v>
      </c>
      <c r="R15" s="994"/>
      <c r="S15" s="285">
        <f t="shared" si="6"/>
        <v>0</v>
      </c>
      <c r="T15" s="285">
        <f t="shared" si="2"/>
        <v>0</v>
      </c>
      <c r="U15" s="285">
        <f t="shared" si="3"/>
        <v>0</v>
      </c>
      <c r="V15" s="285">
        <f t="shared" si="4"/>
        <v>0</v>
      </c>
      <c r="W15" s="285">
        <f t="shared" si="5"/>
        <v>0</v>
      </c>
      <c r="X15" s="828"/>
      <c r="Y15" s="197"/>
      <c r="Z15" s="100" t="s">
        <v>8320</v>
      </c>
      <c r="AA15" s="1010" t="s">
        <v>8322</v>
      </c>
      <c r="AB15" s="1010" t="s">
        <v>12091</v>
      </c>
      <c r="AC15" s="1010" t="s">
        <v>12092</v>
      </c>
      <c r="AD15" s="1010" t="s">
        <v>12093</v>
      </c>
      <c r="AE15" s="1010" t="s">
        <v>12094</v>
      </c>
      <c r="AF15" s="1011" t="s">
        <v>12095</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12096</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12096</v>
      </c>
      <c r="AA17" s="482"/>
      <c r="AB17" s="482"/>
      <c r="AC17" s="482"/>
      <c r="AD17" s="1001"/>
      <c r="AE17" s="1001"/>
      <c r="AF17" s="997"/>
      <c r="AG17" s="197"/>
      <c r="AH17" s="197"/>
      <c r="AI17" s="197"/>
      <c r="AJ17" s="197"/>
      <c r="AK17" s="197"/>
      <c r="AL17" s="197"/>
    </row>
    <row r="18" spans="1:38" s="995" customFormat="1" ht="15.75" customHeight="1" thickTop="1">
      <c r="A18" s="197"/>
      <c r="B18" s="93" t="s">
        <v>12097</v>
      </c>
      <c r="C18" s="94" t="s">
        <v>681</v>
      </c>
      <c r="D18" s="94">
        <v>3</v>
      </c>
      <c r="E18" s="1624">
        <v>0.5</v>
      </c>
      <c r="F18" s="1624">
        <v>0</v>
      </c>
      <c r="G18" s="1624">
        <v>0</v>
      </c>
      <c r="H18" s="1624">
        <v>0</v>
      </c>
      <c r="I18" s="1624">
        <v>0</v>
      </c>
      <c r="J18" s="1625">
        <f>IFERROR(SUM(E18:I18), 0)</f>
        <v>0.5</v>
      </c>
      <c r="K18" s="997"/>
      <c r="L18" s="43" t="s">
        <v>12098</v>
      </c>
      <c r="M18" s="174"/>
      <c r="N18" s="920"/>
      <c r="O18" s="174"/>
      <c r="P18" s="993"/>
      <c r="Q18" s="284">
        <f t="shared" ref="Q18:Q20" si="8">IF( SUM( S18:W18 ) = 0, 0, $S$8 )</f>
        <v>0</v>
      </c>
      <c r="R18" s="994"/>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8"/>
      <c r="Y18" s="197"/>
      <c r="Z18" s="93" t="s">
        <v>12097</v>
      </c>
      <c r="AA18" s="1006" t="s">
        <v>12099</v>
      </c>
      <c r="AB18" s="1006" t="s">
        <v>12100</v>
      </c>
      <c r="AC18" s="1006" t="s">
        <v>12101</v>
      </c>
      <c r="AD18" s="1006" t="s">
        <v>12102</v>
      </c>
      <c r="AE18" s="1006" t="s">
        <v>12103</v>
      </c>
      <c r="AF18" s="1007" t="s">
        <v>12104</v>
      </c>
      <c r="AG18" s="197"/>
      <c r="AH18" s="197"/>
      <c r="AI18" s="197"/>
      <c r="AJ18" s="197"/>
      <c r="AK18" s="197"/>
      <c r="AL18" s="197"/>
    </row>
    <row r="19" spans="1:38" s="995" customFormat="1" ht="15.75" customHeight="1">
      <c r="A19" s="197"/>
      <c r="B19" s="96" t="s">
        <v>12105</v>
      </c>
      <c r="C19" s="97" t="s">
        <v>681</v>
      </c>
      <c r="D19" s="97">
        <v>3</v>
      </c>
      <c r="E19" s="1626">
        <v>39.064999999999998</v>
      </c>
      <c r="F19" s="1626">
        <v>8.9999999999999993E-3</v>
      </c>
      <c r="G19" s="1626">
        <v>0</v>
      </c>
      <c r="H19" s="1626">
        <v>0.28699999999999998</v>
      </c>
      <c r="I19" s="1626">
        <v>2.1999999999999999E-2</v>
      </c>
      <c r="J19" s="1627">
        <f>IFERROR(SUM(E19:I19), 0)</f>
        <v>39.382999999999996</v>
      </c>
      <c r="K19" s="997"/>
      <c r="L19" s="52" t="s">
        <v>12106</v>
      </c>
      <c r="M19" s="174"/>
      <c r="N19" s="927"/>
      <c r="O19" s="174"/>
      <c r="P19" s="993"/>
      <c r="Q19" s="284">
        <f t="shared" si="8"/>
        <v>0</v>
      </c>
      <c r="R19" s="994"/>
      <c r="S19" s="285">
        <f t="shared" si="9"/>
        <v>0</v>
      </c>
      <c r="T19" s="285">
        <f t="shared" si="10"/>
        <v>0</v>
      </c>
      <c r="U19" s="285">
        <f t="shared" si="11"/>
        <v>0</v>
      </c>
      <c r="V19" s="285">
        <f t="shared" si="12"/>
        <v>0</v>
      </c>
      <c r="W19" s="285">
        <f t="shared" si="13"/>
        <v>0</v>
      </c>
      <c r="X19" s="828"/>
      <c r="Y19" s="197"/>
      <c r="Z19" s="96" t="s">
        <v>12105</v>
      </c>
      <c r="AA19" s="1008" t="s">
        <v>12107</v>
      </c>
      <c r="AB19" s="1008" t="s">
        <v>12108</v>
      </c>
      <c r="AC19" s="1008" t="s">
        <v>12109</v>
      </c>
      <c r="AD19" s="1008" t="s">
        <v>12110</v>
      </c>
      <c r="AE19" s="1008" t="s">
        <v>12111</v>
      </c>
      <c r="AF19" s="1009" t="s">
        <v>12112</v>
      </c>
      <c r="AG19" s="197"/>
      <c r="AH19" s="197"/>
      <c r="AI19" s="197"/>
      <c r="AJ19" s="197"/>
      <c r="AK19" s="197"/>
      <c r="AL19" s="197"/>
    </row>
    <row r="20" spans="1:38" s="995" customFormat="1" ht="15.75" customHeight="1" thickBot="1">
      <c r="A20" s="197"/>
      <c r="B20" s="100" t="s">
        <v>12113</v>
      </c>
      <c r="C20" s="101" t="s">
        <v>681</v>
      </c>
      <c r="D20" s="101">
        <v>3</v>
      </c>
      <c r="E20" s="1628">
        <v>0</v>
      </c>
      <c r="F20" s="1628">
        <v>0</v>
      </c>
      <c r="G20" s="1628">
        <v>0</v>
      </c>
      <c r="H20" s="1628">
        <v>0</v>
      </c>
      <c r="I20" s="1628">
        <v>0</v>
      </c>
      <c r="J20" s="1629">
        <f>IFERROR(SUM(E20:I20), 0)</f>
        <v>0</v>
      </c>
      <c r="K20" s="997"/>
      <c r="L20" s="54" t="s">
        <v>12114</v>
      </c>
      <c r="M20" s="174"/>
      <c r="N20" s="942"/>
      <c r="O20" s="174"/>
      <c r="P20" s="993"/>
      <c r="Q20" s="284">
        <f t="shared" si="8"/>
        <v>0</v>
      </c>
      <c r="R20" s="994"/>
      <c r="S20" s="285">
        <f t="shared" si="9"/>
        <v>0</v>
      </c>
      <c r="T20" s="285">
        <f t="shared" si="10"/>
        <v>0</v>
      </c>
      <c r="U20" s="285">
        <f t="shared" si="11"/>
        <v>0</v>
      </c>
      <c r="V20" s="285">
        <f t="shared" si="12"/>
        <v>0</v>
      </c>
      <c r="W20" s="285">
        <f t="shared" si="13"/>
        <v>0</v>
      </c>
      <c r="X20" s="828"/>
      <c r="Y20" s="197"/>
      <c r="Z20" s="100" t="s">
        <v>12113</v>
      </c>
      <c r="AA20" s="1010" t="s">
        <v>12115</v>
      </c>
      <c r="AB20" s="1010" t="s">
        <v>12116</v>
      </c>
      <c r="AC20" s="1010" t="s">
        <v>12117</v>
      </c>
      <c r="AD20" s="1010" t="s">
        <v>12118</v>
      </c>
      <c r="AE20" s="1010" t="s">
        <v>12119</v>
      </c>
      <c r="AF20" s="1011" t="s">
        <v>12120</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12121</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8313</v>
      </c>
      <c r="AA22" s="482"/>
      <c r="AB22" s="482"/>
      <c r="AC22" s="482"/>
      <c r="AD22" s="1001"/>
      <c r="AE22" s="1001"/>
      <c r="AF22" s="997"/>
      <c r="AG22" s="197"/>
      <c r="AH22" s="197"/>
      <c r="AI22" s="197"/>
      <c r="AJ22" s="197"/>
      <c r="AK22" s="197"/>
      <c r="AL22" s="197"/>
    </row>
    <row r="23" spans="1:38" s="995" customFormat="1" ht="15.75" customHeight="1" thickTop="1">
      <c r="A23" s="197"/>
      <c r="B23" s="93" t="s">
        <v>12122</v>
      </c>
      <c r="C23" s="94" t="s">
        <v>681</v>
      </c>
      <c r="D23" s="94">
        <v>3</v>
      </c>
      <c r="E23" s="1624">
        <v>0</v>
      </c>
      <c r="F23" s="1624">
        <v>0</v>
      </c>
      <c r="G23" s="1624">
        <v>0</v>
      </c>
      <c r="H23" s="1624">
        <v>0</v>
      </c>
      <c r="I23" s="1624">
        <v>0.40799999999999997</v>
      </c>
      <c r="J23" s="1625">
        <f>IFERROR(SUM(E23:I23), 0)</f>
        <v>0.40799999999999997</v>
      </c>
      <c r="K23" s="997"/>
      <c r="L23" s="43" t="s">
        <v>12123</v>
      </c>
      <c r="M23" s="174"/>
      <c r="N23" s="920"/>
      <c r="O23" s="174"/>
      <c r="P23" s="993"/>
      <c r="Q23" s="284">
        <f t="shared" ref="Q23:Q25" si="14">IF( SUM( S23:W23 ) = 0, 0, $S$8 )</f>
        <v>0</v>
      </c>
      <c r="R23" s="994"/>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8"/>
      <c r="Y23" s="197"/>
      <c r="Z23" s="93" t="s">
        <v>12122</v>
      </c>
      <c r="AA23" s="1006" t="s">
        <v>12124</v>
      </c>
      <c r="AB23" s="1006" t="s">
        <v>12125</v>
      </c>
      <c r="AC23" s="1006" t="s">
        <v>12126</v>
      </c>
      <c r="AD23" s="1006" t="s">
        <v>12127</v>
      </c>
      <c r="AE23" s="1006" t="s">
        <v>12128</v>
      </c>
      <c r="AF23" s="1007" t="s">
        <v>12129</v>
      </c>
      <c r="AG23" s="197"/>
      <c r="AH23" s="197"/>
      <c r="AI23" s="197"/>
      <c r="AJ23" s="197"/>
      <c r="AK23" s="197"/>
      <c r="AL23" s="197"/>
    </row>
    <row r="24" spans="1:38" s="995" customFormat="1" ht="15.75" customHeight="1">
      <c r="A24" s="197"/>
      <c r="B24" s="96" t="s">
        <v>12130</v>
      </c>
      <c r="C24" s="97" t="s">
        <v>681</v>
      </c>
      <c r="D24" s="97">
        <v>3</v>
      </c>
      <c r="E24" s="1626">
        <v>0</v>
      </c>
      <c r="F24" s="1626">
        <v>0</v>
      </c>
      <c r="G24" s="1626">
        <v>0</v>
      </c>
      <c r="H24" s="1626">
        <v>0</v>
      </c>
      <c r="I24" s="1626">
        <v>0</v>
      </c>
      <c r="J24" s="1627">
        <f>IFERROR(SUM(E24:I24), 0)</f>
        <v>0</v>
      </c>
      <c r="K24" s="997"/>
      <c r="L24" s="52" t="s">
        <v>12131</v>
      </c>
      <c r="M24" s="174"/>
      <c r="N24" s="927"/>
      <c r="O24" s="174"/>
      <c r="P24" s="993"/>
      <c r="Q24" s="284">
        <f t="shared" si="14"/>
        <v>0</v>
      </c>
      <c r="R24" s="994"/>
      <c r="S24" s="285">
        <f t="shared" si="15"/>
        <v>0</v>
      </c>
      <c r="T24" s="285">
        <f t="shared" si="16"/>
        <v>0</v>
      </c>
      <c r="U24" s="285">
        <f t="shared" si="17"/>
        <v>0</v>
      </c>
      <c r="V24" s="285">
        <f t="shared" si="18"/>
        <v>0</v>
      </c>
      <c r="W24" s="285">
        <f t="shared" si="19"/>
        <v>0</v>
      </c>
      <c r="X24" s="828"/>
      <c r="Y24" s="197"/>
      <c r="Z24" s="96" t="s">
        <v>12130</v>
      </c>
      <c r="AA24" s="1008" t="s">
        <v>12132</v>
      </c>
      <c r="AB24" s="1008" t="s">
        <v>12133</v>
      </c>
      <c r="AC24" s="1008" t="s">
        <v>12134</v>
      </c>
      <c r="AD24" s="1008" t="s">
        <v>12135</v>
      </c>
      <c r="AE24" s="1008" t="s">
        <v>12136</v>
      </c>
      <c r="AF24" s="1009" t="s">
        <v>12137</v>
      </c>
      <c r="AG24" s="197"/>
      <c r="AH24" s="197"/>
      <c r="AI24" s="197"/>
      <c r="AJ24" s="197"/>
      <c r="AK24" s="197"/>
      <c r="AL24" s="197"/>
    </row>
    <row r="25" spans="1:38" s="995" customFormat="1" ht="15.75" customHeight="1" thickBot="1">
      <c r="A25" s="197"/>
      <c r="B25" s="100" t="s">
        <v>12138</v>
      </c>
      <c r="C25" s="101" t="s">
        <v>681</v>
      </c>
      <c r="D25" s="101">
        <v>3</v>
      </c>
      <c r="E25" s="1628">
        <v>0</v>
      </c>
      <c r="F25" s="1628">
        <v>0</v>
      </c>
      <c r="G25" s="1628">
        <v>0</v>
      </c>
      <c r="H25" s="1628">
        <v>0</v>
      </c>
      <c r="I25" s="1628">
        <v>0</v>
      </c>
      <c r="J25" s="1629">
        <f>IFERROR(SUM(E25:I25), 0)</f>
        <v>0</v>
      </c>
      <c r="K25" s="997"/>
      <c r="L25" s="54" t="s">
        <v>12139</v>
      </c>
      <c r="M25" s="174"/>
      <c r="N25" s="942"/>
      <c r="O25" s="174"/>
      <c r="P25" s="993"/>
      <c r="Q25" s="284">
        <f t="shared" si="14"/>
        <v>0</v>
      </c>
      <c r="R25" s="994"/>
      <c r="S25" s="285">
        <f t="shared" si="15"/>
        <v>0</v>
      </c>
      <c r="T25" s="285">
        <f t="shared" si="16"/>
        <v>0</v>
      </c>
      <c r="U25" s="285">
        <f t="shared" si="17"/>
        <v>0</v>
      </c>
      <c r="V25" s="285">
        <f t="shared" si="18"/>
        <v>0</v>
      </c>
      <c r="W25" s="285">
        <f t="shared" si="19"/>
        <v>0</v>
      </c>
      <c r="X25" s="828"/>
      <c r="Y25" s="197"/>
      <c r="Z25" s="100" t="s">
        <v>12138</v>
      </c>
      <c r="AA25" s="1010" t="s">
        <v>12140</v>
      </c>
      <c r="AB25" s="1010" t="s">
        <v>12141</v>
      </c>
      <c r="AC25" s="1010" t="s">
        <v>12142</v>
      </c>
      <c r="AD25" s="1010" t="s">
        <v>12143</v>
      </c>
      <c r="AE25" s="1010" t="s">
        <v>12144</v>
      </c>
      <c r="AF25" s="1011" t="s">
        <v>12145</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8328</v>
      </c>
      <c r="C27" s="1015" t="s">
        <v>681</v>
      </c>
      <c r="D27" s="1015">
        <v>3</v>
      </c>
      <c r="E27" s="1635">
        <f>IFERROR(SUM(E9:E15,E18:E20,E23:E25), 0)</f>
        <v>73.646999999999991</v>
      </c>
      <c r="F27" s="1635">
        <f t="shared" ref="F27:I27" si="20">IFERROR(SUM(F9:F15,F18:F20,F23:F25), 0)</f>
        <v>6.798</v>
      </c>
      <c r="G27" s="1635">
        <f t="shared" si="20"/>
        <v>2.3099999999999996</v>
      </c>
      <c r="H27" s="1635">
        <f t="shared" si="20"/>
        <v>63.363</v>
      </c>
      <c r="I27" s="1635">
        <f t="shared" si="20"/>
        <v>110.75700000000001</v>
      </c>
      <c r="J27" s="1636">
        <f>IFERROR(SUM(J9:J15,J18:J20,J23:J25), 0)</f>
        <v>256.875</v>
      </c>
      <c r="K27" s="997"/>
      <c r="L27" s="59" t="s">
        <v>12146</v>
      </c>
      <c r="M27" s="174"/>
      <c r="N27" s="1018"/>
      <c r="O27" s="174"/>
      <c r="P27" s="993"/>
      <c r="Q27" s="106"/>
      <c r="R27" s="994"/>
      <c r="S27" s="270"/>
      <c r="T27" s="270"/>
      <c r="U27" s="270"/>
      <c r="V27" s="270"/>
      <c r="W27" s="270"/>
      <c r="X27" s="828"/>
      <c r="Y27" s="197"/>
      <c r="Z27" s="192" t="s">
        <v>8328</v>
      </c>
      <c r="AA27" s="1016" t="s">
        <v>11032</v>
      </c>
      <c r="AB27" s="1016" t="s">
        <v>11033</v>
      </c>
      <c r="AC27" s="1016" t="s">
        <v>11034</v>
      </c>
      <c r="AD27" s="1016" t="s">
        <v>11035</v>
      </c>
      <c r="AE27" s="1016" t="s">
        <v>11036</v>
      </c>
      <c r="AF27" s="1017" t="s">
        <v>12147</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7721</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7721</v>
      </c>
      <c r="AA29" s="482"/>
      <c r="AB29" s="482"/>
      <c r="AC29" s="482"/>
      <c r="AD29" s="1001"/>
      <c r="AE29" s="1001"/>
      <c r="AF29" s="997"/>
      <c r="AG29" s="197"/>
      <c r="AH29" s="197"/>
      <c r="AI29" s="197"/>
      <c r="AJ29" s="197"/>
      <c r="AK29" s="197"/>
      <c r="AL29" s="197"/>
    </row>
    <row r="30" spans="1:38" s="995" customFormat="1" ht="15.75" customHeight="1" thickTop="1">
      <c r="A30" s="197"/>
      <c r="B30" s="93" t="s">
        <v>12148</v>
      </c>
      <c r="C30" s="94" t="s">
        <v>681</v>
      </c>
      <c r="D30" s="94">
        <v>3</v>
      </c>
      <c r="E30" s="1624">
        <v>8.6989999999999998</v>
      </c>
      <c r="F30" s="1624">
        <v>0</v>
      </c>
      <c r="G30" s="1624">
        <v>0</v>
      </c>
      <c r="H30" s="1624">
        <v>0</v>
      </c>
      <c r="I30" s="1624">
        <v>29.338000000000001</v>
      </c>
      <c r="J30" s="1625">
        <f>IFERROR(SUM(E30:I30), 0)</f>
        <v>38.036999999999999</v>
      </c>
      <c r="K30" s="997"/>
      <c r="L30" s="43" t="s">
        <v>12149</v>
      </c>
      <c r="M30" s="174"/>
      <c r="N30" s="920"/>
      <c r="O30" s="174"/>
      <c r="P30" s="993"/>
      <c r="Q30" s="284">
        <f t="shared" ref="Q30:Q31" si="21">IF( SUM( S30:W30 ) = 0, 0, $S$8 )</f>
        <v>0</v>
      </c>
      <c r="R30" s="994"/>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8"/>
      <c r="Y30" s="197"/>
      <c r="Z30" s="93" t="s">
        <v>12148</v>
      </c>
      <c r="AA30" s="1006" t="s">
        <v>12150</v>
      </c>
      <c r="AB30" s="1006" t="s">
        <v>12151</v>
      </c>
      <c r="AC30" s="1006" t="s">
        <v>12152</v>
      </c>
      <c r="AD30" s="1006" t="s">
        <v>12153</v>
      </c>
      <c r="AE30" s="1006" t="s">
        <v>12154</v>
      </c>
      <c r="AF30" s="1007" t="s">
        <v>12155</v>
      </c>
      <c r="AG30" s="197"/>
      <c r="AH30" s="197"/>
      <c r="AI30" s="197"/>
      <c r="AJ30" s="197"/>
      <c r="AK30" s="197"/>
      <c r="AL30" s="197"/>
    </row>
    <row r="31" spans="1:38" s="995" customFormat="1" ht="15.75" customHeight="1">
      <c r="A31" s="197"/>
      <c r="B31" s="96" t="s">
        <v>12156</v>
      </c>
      <c r="C31" s="97" t="s">
        <v>681</v>
      </c>
      <c r="D31" s="97">
        <v>3</v>
      </c>
      <c r="E31" s="1626">
        <v>13.109</v>
      </c>
      <c r="F31" s="1626">
        <v>0.13800000000000001</v>
      </c>
      <c r="G31" s="1626">
        <v>0</v>
      </c>
      <c r="H31" s="1626">
        <v>53.197000000000003</v>
      </c>
      <c r="I31" s="1626">
        <v>34.637</v>
      </c>
      <c r="J31" s="1627">
        <f>IFERROR(SUM(E31:I31), 0)</f>
        <v>101.081</v>
      </c>
      <c r="K31" s="997"/>
      <c r="L31" s="52" t="s">
        <v>12157</v>
      </c>
      <c r="M31" s="174"/>
      <c r="N31" s="927"/>
      <c r="O31" s="174"/>
      <c r="P31" s="993"/>
      <c r="Q31" s="284">
        <f t="shared" si="21"/>
        <v>0</v>
      </c>
      <c r="R31" s="994"/>
      <c r="S31" s="285">
        <f t="shared" si="22"/>
        <v>0</v>
      </c>
      <c r="T31" s="285">
        <f t="shared" si="23"/>
        <v>0</v>
      </c>
      <c r="U31" s="285">
        <f t="shared" si="24"/>
        <v>0</v>
      </c>
      <c r="V31" s="285">
        <f t="shared" si="25"/>
        <v>0</v>
      </c>
      <c r="W31" s="285">
        <f t="shared" si="26"/>
        <v>0</v>
      </c>
      <c r="X31" s="828"/>
      <c r="Y31" s="197"/>
      <c r="Z31" s="96" t="s">
        <v>12156</v>
      </c>
      <c r="AA31" s="1008" t="s">
        <v>12158</v>
      </c>
      <c r="AB31" s="1008" t="s">
        <v>12159</v>
      </c>
      <c r="AC31" s="1008" t="s">
        <v>12160</v>
      </c>
      <c r="AD31" s="1008" t="s">
        <v>12161</v>
      </c>
      <c r="AE31" s="1008" t="s">
        <v>12162</v>
      </c>
      <c r="AF31" s="1009" t="s">
        <v>12163</v>
      </c>
      <c r="AG31" s="197"/>
      <c r="AH31" s="197"/>
      <c r="AI31" s="197"/>
      <c r="AJ31" s="197"/>
      <c r="AK31" s="197"/>
      <c r="AL31" s="197"/>
    </row>
    <row r="32" spans="1:38" s="995" customFormat="1" ht="15.75" customHeight="1" thickBot="1">
      <c r="A32" s="197"/>
      <c r="B32" s="100" t="s">
        <v>12164</v>
      </c>
      <c r="C32" s="101" t="s">
        <v>681</v>
      </c>
      <c r="D32" s="101">
        <v>3</v>
      </c>
      <c r="E32" s="1637">
        <f>IFERROR(SUM(E30:E31), 0)</f>
        <v>21.808</v>
      </c>
      <c r="F32" s="1637">
        <f>IFERROR(SUM(F30:F31), 0)</f>
        <v>0.13800000000000001</v>
      </c>
      <c r="G32" s="1637">
        <f>IFERROR(SUM(G30:G31), 0)</f>
        <v>0</v>
      </c>
      <c r="H32" s="1637">
        <f>IFERROR(SUM(H30:H31), 0)</f>
        <v>53.197000000000003</v>
      </c>
      <c r="I32" s="1637">
        <f>IFERROR(SUM(I30:I31), 0)</f>
        <v>63.975000000000001</v>
      </c>
      <c r="J32" s="1629">
        <f>IFERROR(SUM(E32:I32), 0)</f>
        <v>139.11799999999999</v>
      </c>
      <c r="K32" s="997"/>
      <c r="L32" s="54" t="s">
        <v>12165</v>
      </c>
      <c r="M32" s="174"/>
      <c r="N32" s="942"/>
      <c r="O32" s="174"/>
      <c r="P32" s="993"/>
      <c r="Q32" s="106"/>
      <c r="R32" s="994"/>
      <c r="S32" s="270"/>
      <c r="T32" s="270"/>
      <c r="U32" s="270"/>
      <c r="V32" s="270"/>
      <c r="W32" s="270"/>
      <c r="X32" s="828"/>
      <c r="Y32" s="197"/>
      <c r="Z32" s="100" t="s">
        <v>12164</v>
      </c>
      <c r="AA32" s="1019" t="s">
        <v>8387</v>
      </c>
      <c r="AB32" s="1019" t="s">
        <v>11079</v>
      </c>
      <c r="AC32" s="1019" t="s">
        <v>11080</v>
      </c>
      <c r="AD32" s="1019" t="s">
        <v>11081</v>
      </c>
      <c r="AE32" s="1019" t="s">
        <v>11082</v>
      </c>
      <c r="AF32" s="1011" t="s">
        <v>12166</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12167</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12167</v>
      </c>
      <c r="AA34" s="83"/>
      <c r="AB34" s="83"/>
      <c r="AC34" s="83"/>
      <c r="AD34" s="83"/>
      <c r="AE34" s="83"/>
      <c r="AF34" s="83"/>
      <c r="AG34" s="197"/>
      <c r="AH34" s="197"/>
      <c r="AI34" s="197"/>
      <c r="AJ34" s="197"/>
      <c r="AK34" s="197"/>
      <c r="AL34" s="197"/>
    </row>
    <row r="35" spans="1:38" ht="15.75" customHeight="1" thickTop="1" thickBot="1">
      <c r="A35" s="197"/>
      <c r="B35" s="192" t="s">
        <v>12168</v>
      </c>
      <c r="C35" s="1015" t="s">
        <v>1523</v>
      </c>
      <c r="D35" s="1015">
        <v>0</v>
      </c>
      <c r="E35" s="1638">
        <v>0</v>
      </c>
      <c r="F35" s="1638">
        <v>0</v>
      </c>
      <c r="G35" s="1638">
        <v>0</v>
      </c>
      <c r="H35" s="1638">
        <v>0</v>
      </c>
      <c r="I35" s="1638">
        <v>9165</v>
      </c>
      <c r="J35" s="1639">
        <f>IFERROR(SUM(E35:I35), 0)</f>
        <v>9165</v>
      </c>
      <c r="K35" s="997"/>
      <c r="L35" s="59" t="s">
        <v>12169</v>
      </c>
      <c r="M35" s="174"/>
      <c r="N35" s="1018"/>
      <c r="O35" s="174"/>
      <c r="P35" s="993"/>
      <c r="Q35" s="284">
        <f t="shared" ref="Q35" si="27">IF( SUM( S35:W35 ) = 0, 0, $S$8 )</f>
        <v>0</v>
      </c>
      <c r="R35" s="1021"/>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12168</v>
      </c>
      <c r="AA35" s="1020" t="s">
        <v>12170</v>
      </c>
      <c r="AB35" s="1020" t="s">
        <v>12171</v>
      </c>
      <c r="AC35" s="1020" t="s">
        <v>12172</v>
      </c>
      <c r="AD35" s="1020" t="s">
        <v>12173</v>
      </c>
      <c r="AE35" s="1020" t="s">
        <v>12174</v>
      </c>
      <c r="AF35" s="1017" t="s">
        <v>12175</v>
      </c>
    </row>
    <row r="36" spans="1:38" ht="18.75" customHeight="1" thickTop="1">
      <c r="A36" s="197"/>
      <c r="B36" s="365"/>
      <c r="C36" s="365"/>
      <c r="D36" s="365"/>
      <c r="E36" s="83"/>
      <c r="F36" s="83"/>
      <c r="G36" s="83"/>
      <c r="H36" s="83"/>
      <c r="I36" s="83"/>
      <c r="J36" s="83" t="s">
        <v>7211</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tabColor rgb="FF00B050"/>
    <pageSetUpPr fitToPage="1"/>
  </sheetPr>
  <dimension ref="A1:AS43"/>
  <sheetViews>
    <sheetView showGridLines="0" topLeftCell="B3" zoomScale="40" zoomScaleNormal="40" zoomScaleSheetLayoutView="100" workbookViewId="0">
      <selection activeCell="H27" sqref="H27"/>
    </sheetView>
  </sheetViews>
  <sheetFormatPr defaultColWidth="9" defaultRowHeight="15.75"/>
  <cols>
    <col min="1" max="1" width="1.625" style="17" customWidth="1"/>
    <col min="2" max="2" width="64.625" style="19" bestFit="1" customWidth="1"/>
    <col min="3" max="3" width="6.125" style="17" bestFit="1" customWidth="1"/>
    <col min="4" max="4" width="5.375" style="17" bestFit="1" customWidth="1"/>
    <col min="5" max="5" width="7.375" style="17" bestFit="1" customWidth="1"/>
    <col min="6" max="6" width="13.375" style="17" bestFit="1" customWidth="1"/>
    <col min="7" max="7" width="9.5" style="17" bestFit="1" customWidth="1"/>
    <col min="8" max="8" width="17.375" style="17" bestFit="1" customWidth="1"/>
    <col min="9" max="9" width="13" style="17" bestFit="1" customWidth="1"/>
    <col min="10" max="10" width="9.5" style="17" bestFit="1" customWidth="1"/>
    <col min="11" max="11" width="10" style="17" bestFit="1" customWidth="1"/>
    <col min="12" max="12" width="8.625" style="17" bestFit="1" customWidth="1"/>
    <col min="13" max="13" width="8.875" style="17" bestFit="1" customWidth="1"/>
    <col min="14" max="14" width="1.625" style="17" customWidth="1"/>
    <col min="15" max="15" width="17.625" style="20" bestFit="1" customWidth="1"/>
    <col min="16" max="16" width="1.625" style="14" customWidth="1"/>
    <col min="17" max="17" width="29.5" style="14" bestFit="1" customWidth="1"/>
    <col min="18" max="18" width="1.625" style="14" customWidth="1"/>
    <col min="19" max="19" width="1.625" style="17" customWidth="1"/>
    <col min="20" max="20" width="19.875" style="17" bestFit="1" customWidth="1"/>
    <col min="21" max="21" width="1.625" style="17" customWidth="1"/>
    <col min="22" max="22" width="18.875" style="17" bestFit="1" customWidth="1"/>
    <col min="23" max="29" width="1.75" style="17" bestFit="1" customWidth="1"/>
    <col min="30" max="30" width="1.625" style="17" hidden="1" customWidth="1"/>
    <col min="31" max="31" width="1.625" style="17" customWidth="1"/>
    <col min="32" max="32" width="64.625" style="17" bestFit="1" customWidth="1"/>
    <col min="33" max="33" width="21.125" style="17" bestFit="1" customWidth="1"/>
    <col min="34" max="34" width="23.625" style="17" bestFit="1" customWidth="1"/>
    <col min="35" max="35" width="21.625" style="17" bestFit="1" customWidth="1"/>
    <col min="36" max="36" width="23" style="17" bestFit="1" customWidth="1"/>
    <col min="37" max="37" width="22.875" style="17" bestFit="1" customWidth="1"/>
    <col min="38" max="39" width="23" style="17" bestFit="1" customWidth="1"/>
    <col min="40" max="41" width="23.25" style="17" bestFit="1" customWidth="1"/>
    <col min="42" max="42" width="1.625" style="17" customWidth="1"/>
    <col min="43" max="16384" width="9" style="17"/>
  </cols>
  <sheetData>
    <row r="1" spans="1:45" s="13" customFormat="1" ht="29.25" customHeight="1">
      <c r="A1" s="389"/>
      <c r="B1" s="2760" t="s">
        <v>12176</v>
      </c>
      <c r="C1" s="2760"/>
      <c r="D1" s="2760"/>
      <c r="E1" s="2760"/>
      <c r="F1" s="2760"/>
      <c r="G1" s="2760"/>
      <c r="H1" s="2760"/>
      <c r="I1" s="2760"/>
      <c r="J1" s="2760"/>
      <c r="K1" s="1025"/>
      <c r="L1" s="1025"/>
      <c r="M1" s="1025"/>
      <c r="N1" s="1025"/>
      <c r="O1" s="1026"/>
      <c r="P1" s="1027"/>
      <c r="Q1" s="1027"/>
      <c r="R1" s="1027"/>
      <c r="S1" s="825"/>
      <c r="T1" s="389"/>
      <c r="U1" s="825"/>
      <c r="V1" s="389"/>
      <c r="W1" s="389"/>
      <c r="X1" s="389"/>
      <c r="Y1" s="389"/>
      <c r="Z1" s="389"/>
      <c r="AA1" s="389"/>
      <c r="AB1" s="389"/>
      <c r="AC1" s="389"/>
      <c r="AD1" s="825"/>
      <c r="AE1" s="389"/>
      <c r="AF1" s="2760" t="s">
        <v>7220</v>
      </c>
      <c r="AG1" s="2760"/>
      <c r="AH1" s="2760"/>
      <c r="AI1" s="2760"/>
      <c r="AJ1" s="2760"/>
      <c r="AK1" s="2760"/>
      <c r="AL1" s="2760"/>
      <c r="AM1" s="2760"/>
      <c r="AN1" s="2760"/>
      <c r="AO1" s="2760"/>
      <c r="AP1" s="389"/>
      <c r="AQ1" s="389"/>
      <c r="AR1" s="389"/>
      <c r="AS1" s="389"/>
    </row>
    <row r="2" spans="1:45" s="13" customFormat="1" ht="29.25" customHeight="1">
      <c r="A2" s="389"/>
      <c r="B2" s="2760" t="str">
        <f>SelectCompany!B4</f>
        <v>Northumbrian Water</v>
      </c>
      <c r="C2" s="2760"/>
      <c r="D2" s="2760"/>
      <c r="E2" s="2760"/>
      <c r="F2" s="2760"/>
      <c r="G2" s="2760"/>
      <c r="H2" s="2760"/>
      <c r="I2" s="2760"/>
      <c r="J2" s="2760"/>
      <c r="K2" s="1025"/>
      <c r="L2" s="1025"/>
      <c r="M2" s="1025"/>
      <c r="N2" s="1025"/>
      <c r="O2" s="1028"/>
      <c r="P2" s="1027"/>
      <c r="Q2" s="1027"/>
      <c r="R2" s="1027"/>
      <c r="S2" s="825"/>
      <c r="T2" s="389"/>
      <c r="U2" s="825"/>
      <c r="V2" s="389"/>
      <c r="W2" s="389"/>
      <c r="X2" s="389"/>
      <c r="Y2" s="389"/>
      <c r="Z2" s="389"/>
      <c r="AA2" s="389"/>
      <c r="AB2" s="389"/>
      <c r="AC2" s="389"/>
      <c r="AD2" s="825"/>
      <c r="AE2" s="389"/>
      <c r="AF2" s="2760"/>
      <c r="AG2" s="2760"/>
      <c r="AH2" s="2760"/>
      <c r="AI2" s="2760"/>
      <c r="AJ2" s="2760"/>
      <c r="AK2" s="2760"/>
      <c r="AL2" s="2760"/>
      <c r="AM2" s="2760"/>
      <c r="AN2" s="2760"/>
      <c r="AO2" s="2760"/>
      <c r="AP2" s="2760"/>
      <c r="AQ2" s="2760"/>
      <c r="AR2" s="2760"/>
      <c r="AS2" s="389"/>
    </row>
    <row r="3" spans="1:45" s="23" customFormat="1" ht="46.5" customHeight="1">
      <c r="A3" s="224"/>
      <c r="B3" s="2807" t="s">
        <v>12177</v>
      </c>
      <c r="C3" s="2807"/>
      <c r="D3" s="2807"/>
      <c r="E3" s="2807"/>
      <c r="F3" s="2807"/>
      <c r="G3" s="2807"/>
      <c r="H3" s="2807"/>
      <c r="I3" s="2807"/>
      <c r="J3" s="2807"/>
      <c r="K3" s="2807"/>
      <c r="L3" s="2807"/>
      <c r="M3" s="2807"/>
      <c r="N3" s="2807"/>
      <c r="O3" s="2807"/>
      <c r="P3" s="2807"/>
      <c r="Q3" s="2807"/>
      <c r="R3" s="1027"/>
      <c r="S3" s="1021"/>
      <c r="T3" s="650" t="s">
        <v>7222</v>
      </c>
      <c r="U3" s="363"/>
      <c r="V3" s="224"/>
      <c r="W3" s="224"/>
      <c r="X3" s="224"/>
      <c r="Y3" s="224"/>
      <c r="Z3" s="224"/>
      <c r="AA3" s="224"/>
      <c r="AB3" s="224"/>
      <c r="AC3" s="224"/>
      <c r="AD3" s="363"/>
      <c r="AE3" s="224"/>
      <c r="AF3" s="2849" t="s">
        <v>12177</v>
      </c>
      <c r="AG3" s="2849"/>
      <c r="AH3" s="2849"/>
      <c r="AI3" s="2849"/>
      <c r="AJ3" s="2849"/>
      <c r="AK3" s="2849"/>
      <c r="AL3" s="2849"/>
      <c r="AM3" s="2849"/>
      <c r="AN3" s="2849"/>
      <c r="AO3" s="2849"/>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50" t="s">
        <v>7224</v>
      </c>
      <c r="C5" s="2833" t="s">
        <v>7225</v>
      </c>
      <c r="D5" s="2833" t="s">
        <v>670</v>
      </c>
      <c r="E5" s="2813" t="s">
        <v>12178</v>
      </c>
      <c r="F5" s="2813"/>
      <c r="G5" s="2813"/>
      <c r="H5" s="2813"/>
      <c r="I5" s="2813"/>
      <c r="J5" s="2813"/>
      <c r="K5" s="2813"/>
      <c r="L5" s="2813"/>
      <c r="M5" s="2814"/>
      <c r="N5" s="997"/>
      <c r="O5" s="2790" t="s">
        <v>7229</v>
      </c>
      <c r="P5" s="1031"/>
      <c r="Q5" s="2790" t="s">
        <v>7230</v>
      </c>
      <c r="R5" s="1031"/>
      <c r="S5" s="1021"/>
      <c r="T5" s="224"/>
      <c r="U5" s="363"/>
      <c r="V5" s="224"/>
      <c r="W5" s="224"/>
      <c r="X5" s="224"/>
      <c r="Y5" s="224"/>
      <c r="Z5" s="224"/>
      <c r="AA5" s="224"/>
      <c r="AB5" s="224"/>
      <c r="AC5" s="224"/>
      <c r="AD5" s="363"/>
      <c r="AE5" s="224"/>
      <c r="AF5" s="2850" t="s">
        <v>7224</v>
      </c>
      <c r="AG5" s="2813" t="s">
        <v>12178</v>
      </c>
      <c r="AH5" s="2813"/>
      <c r="AI5" s="2813"/>
      <c r="AJ5" s="2813"/>
      <c r="AK5" s="2813"/>
      <c r="AL5" s="2813"/>
      <c r="AM5" s="2813"/>
      <c r="AN5" s="2813"/>
      <c r="AO5" s="2814"/>
      <c r="AP5" s="224"/>
      <c r="AQ5" s="224"/>
      <c r="AR5" s="224"/>
      <c r="AS5" s="224"/>
    </row>
    <row r="6" spans="1:45" s="23" customFormat="1" ht="18" customHeight="1">
      <c r="A6" s="197"/>
      <c r="B6" s="2851"/>
      <c r="C6" s="2834"/>
      <c r="D6" s="2834"/>
      <c r="E6" s="2835" t="s">
        <v>12179</v>
      </c>
      <c r="F6" s="2835"/>
      <c r="G6" s="2835"/>
      <c r="H6" s="2835"/>
      <c r="I6" s="2835"/>
      <c r="J6" s="2828" t="s">
        <v>8163</v>
      </c>
      <c r="K6" s="2828"/>
      <c r="L6" s="2828"/>
      <c r="M6" s="2830" t="s">
        <v>7445</v>
      </c>
      <c r="N6" s="997"/>
      <c r="O6" s="2791"/>
      <c r="P6" s="1031"/>
      <c r="Q6" s="2791"/>
      <c r="R6" s="1031"/>
      <c r="S6" s="1021"/>
      <c r="T6" s="224"/>
      <c r="U6" s="363"/>
      <c r="V6" s="224"/>
      <c r="W6" s="224"/>
      <c r="X6" s="224"/>
      <c r="Y6" s="224"/>
      <c r="Z6" s="224"/>
      <c r="AA6" s="224"/>
      <c r="AB6" s="224"/>
      <c r="AC6" s="224"/>
      <c r="AD6" s="363"/>
      <c r="AE6" s="224"/>
      <c r="AF6" s="2851"/>
      <c r="AG6" s="2835" t="s">
        <v>12179</v>
      </c>
      <c r="AH6" s="2835"/>
      <c r="AI6" s="2835"/>
      <c r="AJ6" s="2835"/>
      <c r="AK6" s="2835"/>
      <c r="AL6" s="2828" t="s">
        <v>8163</v>
      </c>
      <c r="AM6" s="2828"/>
      <c r="AN6" s="2828"/>
      <c r="AO6" s="2830" t="s">
        <v>7445</v>
      </c>
      <c r="AP6" s="224"/>
      <c r="AQ6" s="224"/>
      <c r="AR6" s="224"/>
      <c r="AS6" s="224"/>
    </row>
    <row r="7" spans="1:45" s="3" customFormat="1" ht="45" customHeight="1" thickBot="1">
      <c r="A7" s="197"/>
      <c r="B7" s="2852"/>
      <c r="C7" s="2816"/>
      <c r="D7" s="2816"/>
      <c r="E7" s="887" t="s">
        <v>11204</v>
      </c>
      <c r="F7" s="887" t="s">
        <v>11205</v>
      </c>
      <c r="G7" s="887" t="s">
        <v>11206</v>
      </c>
      <c r="H7" s="887" t="s">
        <v>11207</v>
      </c>
      <c r="I7" s="887" t="s">
        <v>11509</v>
      </c>
      <c r="J7" s="887" t="s">
        <v>12180</v>
      </c>
      <c r="K7" s="887" t="s">
        <v>12181</v>
      </c>
      <c r="L7" s="887" t="s">
        <v>12182</v>
      </c>
      <c r="M7" s="2831"/>
      <c r="N7" s="1032"/>
      <c r="O7" s="2792"/>
      <c r="P7" s="1033"/>
      <c r="Q7" s="2792"/>
      <c r="R7" s="1033"/>
      <c r="S7" s="994"/>
      <c r="T7" s="888"/>
      <c r="U7" s="828"/>
      <c r="V7" s="197"/>
      <c r="W7" s="197"/>
      <c r="X7" s="197"/>
      <c r="Y7" s="197"/>
      <c r="Z7" s="197"/>
      <c r="AA7" s="197"/>
      <c r="AB7" s="197"/>
      <c r="AC7" s="197"/>
      <c r="AD7" s="828"/>
      <c r="AE7" s="197"/>
      <c r="AF7" s="2852"/>
      <c r="AG7" s="887" t="s">
        <v>11204</v>
      </c>
      <c r="AH7" s="887" t="s">
        <v>11205</v>
      </c>
      <c r="AI7" s="887" t="s">
        <v>11206</v>
      </c>
      <c r="AJ7" s="887" t="s">
        <v>11207</v>
      </c>
      <c r="AK7" s="887" t="s">
        <v>11509</v>
      </c>
      <c r="AL7" s="887" t="s">
        <v>12180</v>
      </c>
      <c r="AM7" s="887" t="s">
        <v>12181</v>
      </c>
      <c r="AN7" s="887" t="s">
        <v>12182</v>
      </c>
      <c r="AO7" s="2831"/>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668" t="s">
        <v>7223</v>
      </c>
      <c r="W8" s="2819"/>
      <c r="X8" s="2819"/>
      <c r="Y8" s="2819"/>
      <c r="Z8" s="2819"/>
      <c r="AA8" s="2819"/>
      <c r="AB8" s="2819"/>
      <c r="AC8" s="2819"/>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8479</v>
      </c>
      <c r="C9" s="394"/>
      <c r="D9" s="394"/>
      <c r="E9" s="1037"/>
      <c r="F9" s="1037"/>
      <c r="G9" s="1037"/>
      <c r="H9" s="1037"/>
      <c r="I9" s="274"/>
      <c r="J9" s="274"/>
      <c r="K9" s="274"/>
      <c r="L9" s="1001"/>
      <c r="M9" s="1001"/>
      <c r="N9" s="997"/>
      <c r="O9" s="349"/>
      <c r="P9" s="1031"/>
      <c r="Q9" s="1038"/>
      <c r="R9" s="1031"/>
      <c r="S9" s="993"/>
      <c r="T9" s="197"/>
      <c r="U9" s="828"/>
      <c r="V9" s="269" t="s">
        <v>7231</v>
      </c>
      <c r="W9" s="197"/>
      <c r="X9" s="197"/>
      <c r="Y9" s="197"/>
      <c r="Z9" s="197"/>
      <c r="AA9" s="197"/>
      <c r="AB9" s="197"/>
      <c r="AC9" s="197"/>
      <c r="AD9" s="828"/>
      <c r="AE9" s="197"/>
      <c r="AF9" s="393" t="s">
        <v>8479</v>
      </c>
      <c r="AG9" s="1037"/>
      <c r="AH9" s="1037"/>
      <c r="AI9" s="1037"/>
      <c r="AJ9" s="1037"/>
      <c r="AK9" s="274"/>
      <c r="AL9" s="274"/>
      <c r="AM9" s="274"/>
      <c r="AN9" s="1001"/>
      <c r="AO9" s="1001"/>
      <c r="AP9" s="197"/>
      <c r="AQ9" s="197"/>
      <c r="AR9" s="197"/>
      <c r="AS9" s="197"/>
    </row>
    <row r="10" spans="1:45" s="3" customFormat="1" ht="15.75" customHeight="1" thickTop="1">
      <c r="A10" s="197"/>
      <c r="B10" s="451" t="s">
        <v>8262</v>
      </c>
      <c r="C10" s="277" t="s">
        <v>681</v>
      </c>
      <c r="D10" s="277">
        <v>3</v>
      </c>
      <c r="E10" s="694">
        <v>3.8580000000000001</v>
      </c>
      <c r="F10" s="694">
        <v>6.3949999999999996</v>
      </c>
      <c r="G10" s="694">
        <v>3.444</v>
      </c>
      <c r="H10" s="694">
        <v>24.486000000000001</v>
      </c>
      <c r="I10" s="694">
        <v>5.4050000000000002</v>
      </c>
      <c r="J10" s="694">
        <v>1.593</v>
      </c>
      <c r="K10" s="694">
        <v>3.5870000000000002</v>
      </c>
      <c r="L10" s="694">
        <v>1E-3</v>
      </c>
      <c r="M10" s="1596">
        <f>IFERROR(SUM(E10:L10), 0)</f>
        <v>48.768999999999998</v>
      </c>
      <c r="N10" s="1039"/>
      <c r="O10" s="1040" t="s">
        <v>12183</v>
      </c>
      <c r="P10" s="1031"/>
      <c r="Q10" s="283"/>
      <c r="R10" s="1031"/>
      <c r="S10" s="993"/>
      <c r="T10" s="284">
        <f>IF( SUM( V10:AC10 ) = 0, 0, $V$9 )</f>
        <v>0</v>
      </c>
      <c r="U10" s="828"/>
      <c r="V10" s="285">
        <f xml:space="preserve"> IF( ISNUMBER(E10), 0, 1 )</f>
        <v>0</v>
      </c>
      <c r="W10" s="285">
        <f t="shared" ref="W10:W16" si="0" xml:space="preserve"> IF( ISNUMBER(F10), 0, 1 )</f>
        <v>0</v>
      </c>
      <c r="X10" s="285">
        <f t="shared" ref="X10:X16" si="1" xml:space="preserve"> IF( ISNUMBER(G10), 0, 1 )</f>
        <v>0</v>
      </c>
      <c r="Y10" s="285">
        <f t="shared" ref="Y10:Y16" si="2" xml:space="preserve"> IF( ISNUMBER(H10), 0, 1 )</f>
        <v>0</v>
      </c>
      <c r="Z10" s="285">
        <f t="shared" ref="Z10:Z16" si="3" xml:space="preserve"> IF( ISNUMBER(I10), 0, 1 )</f>
        <v>0</v>
      </c>
      <c r="AA10" s="285">
        <f t="shared" ref="AA10:AA16" si="4" xml:space="preserve"> IF( ISNUMBER(J10), 0, 1 )</f>
        <v>0</v>
      </c>
      <c r="AB10" s="285">
        <f t="shared" ref="AB10:AB16" si="5" xml:space="preserve"> IF( ISNUMBER(K10), 0, 1 )</f>
        <v>0</v>
      </c>
      <c r="AC10" s="285">
        <f t="shared" ref="AC10:AC16" si="6" xml:space="preserve"> IF( ISNUMBER(L10), 0, 1 )</f>
        <v>0</v>
      </c>
      <c r="AD10" s="828"/>
      <c r="AE10" s="197"/>
      <c r="AF10" s="451" t="s">
        <v>8262</v>
      </c>
      <c r="AG10" s="904" t="s">
        <v>12184</v>
      </c>
      <c r="AH10" s="904" t="s">
        <v>12185</v>
      </c>
      <c r="AI10" s="904" t="s">
        <v>12186</v>
      </c>
      <c r="AJ10" s="904" t="s">
        <v>12187</v>
      </c>
      <c r="AK10" s="904" t="s">
        <v>12188</v>
      </c>
      <c r="AL10" s="904" t="s">
        <v>12189</v>
      </c>
      <c r="AM10" s="904" t="s">
        <v>12190</v>
      </c>
      <c r="AN10" s="904" t="s">
        <v>12191</v>
      </c>
      <c r="AO10" s="416" t="s">
        <v>12192</v>
      </c>
      <c r="AP10" s="197"/>
      <c r="AQ10" s="197"/>
      <c r="AR10" s="197"/>
      <c r="AS10" s="197"/>
    </row>
    <row r="11" spans="1:45" s="3" customFormat="1" ht="15.75" customHeight="1">
      <c r="A11" s="197"/>
      <c r="B11" s="460" t="s">
        <v>8270</v>
      </c>
      <c r="C11" s="286" t="s">
        <v>681</v>
      </c>
      <c r="D11" s="286">
        <v>3</v>
      </c>
      <c r="E11" s="697">
        <v>0</v>
      </c>
      <c r="F11" s="697">
        <v>0</v>
      </c>
      <c r="G11" s="697">
        <v>0</v>
      </c>
      <c r="H11" s="697">
        <v>0</v>
      </c>
      <c r="I11" s="697">
        <v>0</v>
      </c>
      <c r="J11" s="697">
        <v>0</v>
      </c>
      <c r="K11" s="697">
        <v>-19.463000000000001</v>
      </c>
      <c r="L11" s="697">
        <v>0</v>
      </c>
      <c r="M11" s="1598">
        <f t="shared" ref="M11:M16" si="7">IFERROR(SUM(E11:L11), 0)</f>
        <v>-19.463000000000001</v>
      </c>
      <c r="N11" s="1039"/>
      <c r="O11" s="1041" t="s">
        <v>12193</v>
      </c>
      <c r="P11" s="1031"/>
      <c r="Q11" s="291"/>
      <c r="R11" s="1031"/>
      <c r="S11" s="993"/>
      <c r="T11" s="284">
        <f t="shared" ref="T11:T16" si="8">IF( SUM( V11:AC11 ) = 0, 0, $V$9 )</f>
        <v>0</v>
      </c>
      <c r="U11" s="828"/>
      <c r="V11" s="285">
        <f t="shared" ref="V11:V16" si="9" xml:space="preserve"> IF( ISNUMBER(E11), 0, 1 )</f>
        <v>0</v>
      </c>
      <c r="W11" s="285">
        <f t="shared" si="0"/>
        <v>0</v>
      </c>
      <c r="X11" s="285">
        <f t="shared" si="1"/>
        <v>0</v>
      </c>
      <c r="Y11" s="285">
        <f t="shared" si="2"/>
        <v>0</v>
      </c>
      <c r="Z11" s="285">
        <f t="shared" si="3"/>
        <v>0</v>
      </c>
      <c r="AA11" s="285">
        <f t="shared" si="4"/>
        <v>0</v>
      </c>
      <c r="AB11" s="285">
        <f t="shared" si="5"/>
        <v>0</v>
      </c>
      <c r="AC11" s="285">
        <f t="shared" si="6"/>
        <v>0</v>
      </c>
      <c r="AD11" s="828"/>
      <c r="AE11" s="197"/>
      <c r="AF11" s="460" t="s">
        <v>8270</v>
      </c>
      <c r="AG11" s="905" t="s">
        <v>12194</v>
      </c>
      <c r="AH11" s="905" t="s">
        <v>12195</v>
      </c>
      <c r="AI11" s="905" t="s">
        <v>12196</v>
      </c>
      <c r="AJ11" s="905" t="s">
        <v>12197</v>
      </c>
      <c r="AK11" s="905" t="s">
        <v>12198</v>
      </c>
      <c r="AL11" s="905" t="s">
        <v>12199</v>
      </c>
      <c r="AM11" s="905" t="s">
        <v>12200</v>
      </c>
      <c r="AN11" s="905" t="s">
        <v>12201</v>
      </c>
      <c r="AO11" s="893" t="s">
        <v>12202</v>
      </c>
      <c r="AP11" s="197"/>
      <c r="AQ11" s="197"/>
      <c r="AR11" s="197"/>
      <c r="AS11" s="197"/>
    </row>
    <row r="12" spans="1:45" s="3" customFormat="1" ht="15.75" customHeight="1">
      <c r="A12" s="197"/>
      <c r="B12" s="460" t="s">
        <v>8287</v>
      </c>
      <c r="C12" s="286" t="s">
        <v>681</v>
      </c>
      <c r="D12" s="286">
        <v>3</v>
      </c>
      <c r="E12" s="697">
        <v>0</v>
      </c>
      <c r="F12" s="697">
        <v>0</v>
      </c>
      <c r="G12" s="697">
        <v>0</v>
      </c>
      <c r="H12" s="697">
        <v>0</v>
      </c>
      <c r="I12" s="697">
        <v>0</v>
      </c>
      <c r="J12" s="697">
        <v>0</v>
      </c>
      <c r="K12" s="697">
        <v>0</v>
      </c>
      <c r="L12" s="697">
        <v>0</v>
      </c>
      <c r="M12" s="1598">
        <f t="shared" si="7"/>
        <v>0</v>
      </c>
      <c r="N12" s="1039"/>
      <c r="O12" s="1041" t="s">
        <v>12203</v>
      </c>
      <c r="P12" s="1031"/>
      <c r="Q12" s="291"/>
      <c r="R12" s="1031"/>
      <c r="S12" s="993"/>
      <c r="T12" s="284">
        <f t="shared" si="8"/>
        <v>0</v>
      </c>
      <c r="U12" s="828"/>
      <c r="V12" s="285">
        <f t="shared" si="9"/>
        <v>0</v>
      </c>
      <c r="W12" s="285">
        <f t="shared" si="0"/>
        <v>0</v>
      </c>
      <c r="X12" s="285">
        <f t="shared" si="1"/>
        <v>0</v>
      </c>
      <c r="Y12" s="285">
        <f t="shared" si="2"/>
        <v>0</v>
      </c>
      <c r="Z12" s="285">
        <f t="shared" si="3"/>
        <v>0</v>
      </c>
      <c r="AA12" s="285">
        <f t="shared" si="4"/>
        <v>0</v>
      </c>
      <c r="AB12" s="285">
        <f t="shared" si="5"/>
        <v>0</v>
      </c>
      <c r="AC12" s="285">
        <f t="shared" si="6"/>
        <v>0</v>
      </c>
      <c r="AD12" s="828"/>
      <c r="AE12" s="197"/>
      <c r="AF12" s="460" t="s">
        <v>12204</v>
      </c>
      <c r="AG12" s="905" t="s">
        <v>12205</v>
      </c>
      <c r="AH12" s="905" t="s">
        <v>12206</v>
      </c>
      <c r="AI12" s="905" t="s">
        <v>12207</v>
      </c>
      <c r="AJ12" s="905" t="s">
        <v>12208</v>
      </c>
      <c r="AK12" s="905" t="s">
        <v>12209</v>
      </c>
      <c r="AL12" s="905" t="s">
        <v>12210</v>
      </c>
      <c r="AM12" s="905" t="s">
        <v>12211</v>
      </c>
      <c r="AN12" s="905" t="s">
        <v>12212</v>
      </c>
      <c r="AO12" s="893" t="s">
        <v>12213</v>
      </c>
      <c r="AP12" s="197"/>
      <c r="AQ12" s="197"/>
      <c r="AR12" s="197"/>
      <c r="AS12" s="197"/>
    </row>
    <row r="13" spans="1:45" s="3" customFormat="1" ht="15.75" customHeight="1">
      <c r="A13" s="197"/>
      <c r="B13" s="460" t="s">
        <v>12069</v>
      </c>
      <c r="C13" s="286" t="s">
        <v>681</v>
      </c>
      <c r="D13" s="286">
        <v>3</v>
      </c>
      <c r="E13" s="697">
        <v>0.46400000000000002</v>
      </c>
      <c r="F13" s="697">
        <v>0.76900000000000002</v>
      </c>
      <c r="G13" s="697">
        <v>0.41399999999999998</v>
      </c>
      <c r="H13" s="697">
        <v>0</v>
      </c>
      <c r="I13" s="697">
        <v>0</v>
      </c>
      <c r="J13" s="697">
        <v>0</v>
      </c>
      <c r="K13" s="697">
        <v>0</v>
      </c>
      <c r="L13" s="697">
        <v>0</v>
      </c>
      <c r="M13" s="1598">
        <f t="shared" si="7"/>
        <v>1.647</v>
      </c>
      <c r="N13" s="1039"/>
      <c r="O13" s="1041" t="s">
        <v>12214</v>
      </c>
      <c r="P13" s="1031"/>
      <c r="Q13" s="291"/>
      <c r="R13" s="1031"/>
      <c r="S13" s="993"/>
      <c r="T13" s="284">
        <f t="shared" si="8"/>
        <v>0</v>
      </c>
      <c r="U13" s="828"/>
      <c r="V13" s="285">
        <f t="shared" si="9"/>
        <v>0</v>
      </c>
      <c r="W13" s="285">
        <f t="shared" si="0"/>
        <v>0</v>
      </c>
      <c r="X13" s="285">
        <f t="shared" si="1"/>
        <v>0</v>
      </c>
      <c r="Y13" s="285">
        <f t="shared" si="2"/>
        <v>0</v>
      </c>
      <c r="Z13" s="285">
        <f t="shared" si="3"/>
        <v>0</v>
      </c>
      <c r="AA13" s="285">
        <f t="shared" si="4"/>
        <v>0</v>
      </c>
      <c r="AB13" s="285">
        <f t="shared" si="5"/>
        <v>0</v>
      </c>
      <c r="AC13" s="285">
        <f t="shared" si="6"/>
        <v>0</v>
      </c>
      <c r="AD13" s="828"/>
      <c r="AE13" s="197"/>
      <c r="AF13" s="460" t="s">
        <v>12069</v>
      </c>
      <c r="AG13" s="905" t="s">
        <v>12215</v>
      </c>
      <c r="AH13" s="905" t="s">
        <v>12216</v>
      </c>
      <c r="AI13" s="905" t="s">
        <v>12217</v>
      </c>
      <c r="AJ13" s="905" t="s">
        <v>12218</v>
      </c>
      <c r="AK13" s="905" t="s">
        <v>12219</v>
      </c>
      <c r="AL13" s="905" t="s">
        <v>12220</v>
      </c>
      <c r="AM13" s="905" t="s">
        <v>12221</v>
      </c>
      <c r="AN13" s="905" t="s">
        <v>12222</v>
      </c>
      <c r="AO13" s="893" t="s">
        <v>12223</v>
      </c>
      <c r="AP13" s="197"/>
      <c r="AQ13" s="197"/>
      <c r="AR13" s="197"/>
      <c r="AS13" s="197"/>
    </row>
    <row r="14" spans="1:45" s="3" customFormat="1" ht="15.75" customHeight="1">
      <c r="A14" s="197"/>
      <c r="B14" s="460" t="s">
        <v>12076</v>
      </c>
      <c r="C14" s="286" t="s">
        <v>681</v>
      </c>
      <c r="D14" s="286">
        <v>3</v>
      </c>
      <c r="E14" s="697">
        <v>0.29299999999999998</v>
      </c>
      <c r="F14" s="697">
        <v>0.48499999999999999</v>
      </c>
      <c r="G14" s="697">
        <v>0.26100000000000001</v>
      </c>
      <c r="H14" s="697">
        <v>1.573</v>
      </c>
      <c r="I14" s="697">
        <v>0</v>
      </c>
      <c r="J14" s="697">
        <v>0</v>
      </c>
      <c r="K14" s="697">
        <v>0.20799999999999999</v>
      </c>
      <c r="L14" s="697">
        <v>6.0000000000000001E-3</v>
      </c>
      <c r="M14" s="1598">
        <f t="shared" si="7"/>
        <v>2.8260000000000001</v>
      </c>
      <c r="N14" s="1039"/>
      <c r="O14" s="1041" t="s">
        <v>12224</v>
      </c>
      <c r="P14" s="1031"/>
      <c r="Q14" s="291"/>
      <c r="R14" s="1031"/>
      <c r="S14" s="993"/>
      <c r="T14" s="284">
        <f t="shared" si="8"/>
        <v>0</v>
      </c>
      <c r="U14" s="828"/>
      <c r="V14" s="285">
        <f t="shared" si="9"/>
        <v>0</v>
      </c>
      <c r="W14" s="285">
        <f t="shared" si="0"/>
        <v>0</v>
      </c>
      <c r="X14" s="285">
        <f t="shared" si="1"/>
        <v>0</v>
      </c>
      <c r="Y14" s="285">
        <f t="shared" si="2"/>
        <v>0</v>
      </c>
      <c r="Z14" s="285">
        <f t="shared" si="3"/>
        <v>0</v>
      </c>
      <c r="AA14" s="285">
        <f t="shared" si="4"/>
        <v>0</v>
      </c>
      <c r="AB14" s="285">
        <f t="shared" si="5"/>
        <v>0</v>
      </c>
      <c r="AC14" s="285">
        <f t="shared" si="6"/>
        <v>0</v>
      </c>
      <c r="AD14" s="828"/>
      <c r="AE14" s="197"/>
      <c r="AF14" s="460" t="s">
        <v>12076</v>
      </c>
      <c r="AG14" s="905" t="s">
        <v>12225</v>
      </c>
      <c r="AH14" s="905" t="s">
        <v>12226</v>
      </c>
      <c r="AI14" s="905" t="s">
        <v>12227</v>
      </c>
      <c r="AJ14" s="905" t="s">
        <v>12228</v>
      </c>
      <c r="AK14" s="905" t="s">
        <v>12229</v>
      </c>
      <c r="AL14" s="905" t="s">
        <v>12230</v>
      </c>
      <c r="AM14" s="905" t="s">
        <v>12231</v>
      </c>
      <c r="AN14" s="905" t="s">
        <v>12232</v>
      </c>
      <c r="AO14" s="893" t="s">
        <v>12233</v>
      </c>
      <c r="AP14" s="197"/>
      <c r="AQ14" s="197"/>
      <c r="AR14" s="197"/>
      <c r="AS14" s="197"/>
    </row>
    <row r="15" spans="1:45" s="3" customFormat="1" ht="15.75" customHeight="1">
      <c r="A15" s="197"/>
      <c r="B15" s="460" t="s">
        <v>8313</v>
      </c>
      <c r="C15" s="286" t="s">
        <v>681</v>
      </c>
      <c r="D15" s="286">
        <v>3</v>
      </c>
      <c r="E15" s="697">
        <v>7.7649999999999997</v>
      </c>
      <c r="F15" s="697">
        <v>12.843</v>
      </c>
      <c r="G15" s="697">
        <v>6.9020000000000001</v>
      </c>
      <c r="H15" s="697">
        <v>29.324000000000002</v>
      </c>
      <c r="I15" s="697">
        <v>1.6539999999999999</v>
      </c>
      <c r="J15" s="697">
        <v>3.8809999999999998</v>
      </c>
      <c r="K15" s="697">
        <v>8.2620000000000005</v>
      </c>
      <c r="L15" s="697">
        <v>1.141</v>
      </c>
      <c r="M15" s="1598">
        <f t="shared" si="7"/>
        <v>71.772000000000006</v>
      </c>
      <c r="N15" s="1039"/>
      <c r="O15" s="1041" t="s">
        <v>12234</v>
      </c>
      <c r="P15" s="1031"/>
      <c r="Q15" s="291"/>
      <c r="R15" s="1031"/>
      <c r="S15" s="993"/>
      <c r="T15" s="284">
        <f t="shared" si="8"/>
        <v>0</v>
      </c>
      <c r="U15" s="828"/>
      <c r="V15" s="285">
        <f t="shared" si="9"/>
        <v>0</v>
      </c>
      <c r="W15" s="285">
        <f t="shared" si="0"/>
        <v>0</v>
      </c>
      <c r="X15" s="285">
        <f t="shared" si="1"/>
        <v>0</v>
      </c>
      <c r="Y15" s="285">
        <f t="shared" si="2"/>
        <v>0</v>
      </c>
      <c r="Z15" s="285">
        <f t="shared" si="3"/>
        <v>0</v>
      </c>
      <c r="AA15" s="285">
        <f t="shared" si="4"/>
        <v>0</v>
      </c>
      <c r="AB15" s="285">
        <f t="shared" si="5"/>
        <v>0</v>
      </c>
      <c r="AC15" s="285">
        <f t="shared" si="6"/>
        <v>0</v>
      </c>
      <c r="AD15" s="828"/>
      <c r="AE15" s="197"/>
      <c r="AF15" s="460" t="s">
        <v>8313</v>
      </c>
      <c r="AG15" s="905" t="s">
        <v>12235</v>
      </c>
      <c r="AH15" s="905" t="s">
        <v>12236</v>
      </c>
      <c r="AI15" s="905" t="s">
        <v>12237</v>
      </c>
      <c r="AJ15" s="905" t="s">
        <v>12238</v>
      </c>
      <c r="AK15" s="905" t="s">
        <v>12239</v>
      </c>
      <c r="AL15" s="905" t="s">
        <v>12240</v>
      </c>
      <c r="AM15" s="905" t="s">
        <v>12241</v>
      </c>
      <c r="AN15" s="905" t="s">
        <v>12242</v>
      </c>
      <c r="AO15" s="893" t="s">
        <v>12243</v>
      </c>
      <c r="AP15" s="197"/>
      <c r="AQ15" s="197"/>
      <c r="AR15" s="197"/>
      <c r="AS15" s="197"/>
    </row>
    <row r="16" spans="1:45" s="3" customFormat="1" ht="15.75" customHeight="1" thickBot="1">
      <c r="A16" s="197"/>
      <c r="B16" s="463" t="s">
        <v>8320</v>
      </c>
      <c r="C16" s="355" t="s">
        <v>681</v>
      </c>
      <c r="D16" s="355">
        <v>3</v>
      </c>
      <c r="E16" s="1640">
        <v>0.04</v>
      </c>
      <c r="F16" s="1640">
        <v>6.7000000000000004E-2</v>
      </c>
      <c r="G16" s="1640">
        <v>3.5999999999999997E-2</v>
      </c>
      <c r="H16" s="1640">
        <v>7.5739999999999998</v>
      </c>
      <c r="I16" s="1640">
        <v>0</v>
      </c>
      <c r="J16" s="1640">
        <v>0</v>
      </c>
      <c r="K16" s="1640">
        <v>1.615</v>
      </c>
      <c r="L16" s="1640">
        <v>0</v>
      </c>
      <c r="M16" s="1599">
        <f t="shared" si="7"/>
        <v>9.331999999999999</v>
      </c>
      <c r="N16" s="1039"/>
      <c r="O16" s="1043" t="s">
        <v>12244</v>
      </c>
      <c r="P16" s="272"/>
      <c r="Q16" s="302"/>
      <c r="R16" s="272"/>
      <c r="S16" s="993"/>
      <c r="T16" s="284">
        <f t="shared" si="8"/>
        <v>0</v>
      </c>
      <c r="U16" s="828"/>
      <c r="V16" s="285">
        <f t="shared" si="9"/>
        <v>0</v>
      </c>
      <c r="W16" s="285">
        <f t="shared" si="0"/>
        <v>0</v>
      </c>
      <c r="X16" s="285">
        <f t="shared" si="1"/>
        <v>0</v>
      </c>
      <c r="Y16" s="285">
        <f t="shared" si="2"/>
        <v>0</v>
      </c>
      <c r="Z16" s="285">
        <f t="shared" si="3"/>
        <v>0</v>
      </c>
      <c r="AA16" s="285">
        <f t="shared" si="4"/>
        <v>0</v>
      </c>
      <c r="AB16" s="285">
        <f t="shared" si="5"/>
        <v>0</v>
      </c>
      <c r="AC16" s="285">
        <f t="shared" si="6"/>
        <v>0</v>
      </c>
      <c r="AD16" s="828"/>
      <c r="AE16" s="197"/>
      <c r="AF16" s="463" t="s">
        <v>8320</v>
      </c>
      <c r="AG16" s="1042" t="s">
        <v>12245</v>
      </c>
      <c r="AH16" s="1042" t="s">
        <v>12246</v>
      </c>
      <c r="AI16" s="1042" t="s">
        <v>12247</v>
      </c>
      <c r="AJ16" s="1042" t="s">
        <v>12248</v>
      </c>
      <c r="AK16" s="1042" t="s">
        <v>12249</v>
      </c>
      <c r="AL16" s="1042" t="s">
        <v>12250</v>
      </c>
      <c r="AM16" s="1042" t="s">
        <v>12251</v>
      </c>
      <c r="AN16" s="1042" t="s">
        <v>12252</v>
      </c>
      <c r="AO16" s="417" t="s">
        <v>12253</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12096</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12096</v>
      </c>
      <c r="AG18" s="1037"/>
      <c r="AH18" s="1037"/>
      <c r="AI18" s="1037"/>
      <c r="AJ18" s="1037"/>
      <c r="AK18" s="274"/>
      <c r="AL18" s="274"/>
      <c r="AM18" s="274"/>
      <c r="AN18" s="1001"/>
      <c r="AO18" s="1001"/>
      <c r="AP18" s="197"/>
      <c r="AQ18" s="197"/>
      <c r="AR18" s="197"/>
      <c r="AS18" s="197"/>
    </row>
    <row r="19" spans="1:45" s="3" customFormat="1" ht="15.75" customHeight="1" thickTop="1">
      <c r="A19" s="197"/>
      <c r="B19" s="451" t="s">
        <v>12097</v>
      </c>
      <c r="C19" s="277" t="s">
        <v>681</v>
      </c>
      <c r="D19" s="277">
        <v>3</v>
      </c>
      <c r="E19" s="694">
        <v>0</v>
      </c>
      <c r="F19" s="694">
        <v>0</v>
      </c>
      <c r="G19" s="694">
        <v>0</v>
      </c>
      <c r="H19" s="694">
        <v>0</v>
      </c>
      <c r="I19" s="694">
        <v>0</v>
      </c>
      <c r="J19" s="694">
        <v>0</v>
      </c>
      <c r="K19" s="694">
        <v>0</v>
      </c>
      <c r="L19" s="694">
        <v>0</v>
      </c>
      <c r="M19" s="1596">
        <f>IFERROR(SUM(E19:L19), 0)</f>
        <v>0</v>
      </c>
      <c r="N19" s="1039"/>
      <c r="O19" s="1040" t="s">
        <v>12254</v>
      </c>
      <c r="P19" s="1032"/>
      <c r="Q19" s="283"/>
      <c r="R19" s="1032"/>
      <c r="S19" s="993"/>
      <c r="T19" s="284">
        <f t="shared" ref="T19:T21" si="10">IF( SUM( V19:AC19 ) = 0, 0, $V$9 )</f>
        <v>0</v>
      </c>
      <c r="U19" s="828"/>
      <c r="V19" s="285">
        <f t="shared" ref="V19:V21" si="11" xml:space="preserve"> IF( ISNUMBER(E19), 0, 1 )</f>
        <v>0</v>
      </c>
      <c r="W19" s="285">
        <f t="shared" ref="W19:W21" si="12" xml:space="preserve"> IF( ISNUMBER(F19), 0, 1 )</f>
        <v>0</v>
      </c>
      <c r="X19" s="285">
        <f t="shared" ref="X19:X21" si="13" xml:space="preserve"> IF( ISNUMBER(G19), 0, 1 )</f>
        <v>0</v>
      </c>
      <c r="Y19" s="285">
        <f t="shared" ref="Y19:Y21" si="14" xml:space="preserve"> IF( ISNUMBER(H19), 0, 1 )</f>
        <v>0</v>
      </c>
      <c r="Z19" s="285">
        <f t="shared" ref="Z19:Z21" si="15" xml:space="preserve"> IF( ISNUMBER(I19), 0, 1 )</f>
        <v>0</v>
      </c>
      <c r="AA19" s="285">
        <f t="shared" ref="AA19:AA21" si="16" xml:space="preserve"> IF( ISNUMBER(J19), 0, 1 )</f>
        <v>0</v>
      </c>
      <c r="AB19" s="285">
        <f t="shared" ref="AB19:AB21" si="17" xml:space="preserve"> IF( ISNUMBER(K19), 0, 1 )</f>
        <v>0</v>
      </c>
      <c r="AC19" s="285">
        <f t="shared" ref="AC19:AC21" si="18" xml:space="preserve"> IF( ISNUMBER(L19), 0, 1 )</f>
        <v>0</v>
      </c>
      <c r="AD19" s="828"/>
      <c r="AE19" s="197"/>
      <c r="AF19" s="451" t="s">
        <v>12255</v>
      </c>
      <c r="AG19" s="904" t="s">
        <v>12256</v>
      </c>
      <c r="AH19" s="904" t="s">
        <v>12257</v>
      </c>
      <c r="AI19" s="904" t="s">
        <v>12258</v>
      </c>
      <c r="AJ19" s="904" t="s">
        <v>12259</v>
      </c>
      <c r="AK19" s="904" t="s">
        <v>12260</v>
      </c>
      <c r="AL19" s="904" t="s">
        <v>12261</v>
      </c>
      <c r="AM19" s="904" t="s">
        <v>12262</v>
      </c>
      <c r="AN19" s="904" t="s">
        <v>12263</v>
      </c>
      <c r="AO19" s="416" t="s">
        <v>12264</v>
      </c>
      <c r="AP19" s="197"/>
      <c r="AQ19" s="197"/>
      <c r="AR19" s="197"/>
      <c r="AS19" s="197"/>
    </row>
    <row r="20" spans="1:45" s="3" customFormat="1" ht="15.75" customHeight="1">
      <c r="A20" s="197"/>
      <c r="B20" s="460" t="s">
        <v>12265</v>
      </c>
      <c r="C20" s="286" t="s">
        <v>681</v>
      </c>
      <c r="D20" s="286">
        <v>3</v>
      </c>
      <c r="E20" s="697">
        <v>1.756</v>
      </c>
      <c r="F20" s="697">
        <v>0</v>
      </c>
      <c r="G20" s="697">
        <v>0</v>
      </c>
      <c r="H20" s="697">
        <v>2.0099999999999998</v>
      </c>
      <c r="I20" s="697">
        <v>0</v>
      </c>
      <c r="J20" s="697">
        <v>0</v>
      </c>
      <c r="K20" s="697">
        <v>0</v>
      </c>
      <c r="L20" s="697">
        <v>0</v>
      </c>
      <c r="M20" s="1598">
        <f t="shared" ref="M20:M21" si="19">IFERROR(SUM(E20:L20), 0)</f>
        <v>3.766</v>
      </c>
      <c r="N20" s="1039"/>
      <c r="O20" s="1041" t="s">
        <v>12266</v>
      </c>
      <c r="P20" s="1032"/>
      <c r="Q20" s="291"/>
      <c r="R20" s="1032"/>
      <c r="S20" s="993"/>
      <c r="T20" s="284">
        <f t="shared" si="10"/>
        <v>0</v>
      </c>
      <c r="U20" s="828"/>
      <c r="V20" s="285">
        <f t="shared" si="11"/>
        <v>0</v>
      </c>
      <c r="W20" s="285">
        <f t="shared" si="12"/>
        <v>0</v>
      </c>
      <c r="X20" s="285">
        <f t="shared" si="13"/>
        <v>0</v>
      </c>
      <c r="Y20" s="285">
        <f t="shared" si="14"/>
        <v>0</v>
      </c>
      <c r="Z20" s="285">
        <f t="shared" si="15"/>
        <v>0</v>
      </c>
      <c r="AA20" s="285">
        <f t="shared" si="16"/>
        <v>0</v>
      </c>
      <c r="AB20" s="285">
        <f t="shared" si="17"/>
        <v>0</v>
      </c>
      <c r="AC20" s="285">
        <f t="shared" si="18"/>
        <v>0</v>
      </c>
      <c r="AD20" s="828"/>
      <c r="AE20" s="197"/>
      <c r="AF20" s="460" t="s">
        <v>12267</v>
      </c>
      <c r="AG20" s="905" t="s">
        <v>12268</v>
      </c>
      <c r="AH20" s="905" t="s">
        <v>12269</v>
      </c>
      <c r="AI20" s="905" t="s">
        <v>12270</v>
      </c>
      <c r="AJ20" s="905" t="s">
        <v>12271</v>
      </c>
      <c r="AK20" s="905" t="s">
        <v>12272</v>
      </c>
      <c r="AL20" s="905" t="s">
        <v>12273</v>
      </c>
      <c r="AM20" s="905" t="s">
        <v>12274</v>
      </c>
      <c r="AN20" s="905" t="s">
        <v>12275</v>
      </c>
      <c r="AO20" s="893" t="s">
        <v>12276</v>
      </c>
      <c r="AP20" s="197"/>
      <c r="AQ20" s="197"/>
      <c r="AR20" s="197"/>
      <c r="AS20" s="197"/>
    </row>
    <row r="21" spans="1:45" s="3" customFormat="1" ht="15.75" customHeight="1" thickBot="1">
      <c r="A21" s="197"/>
      <c r="B21" s="463" t="s">
        <v>12113</v>
      </c>
      <c r="C21" s="355" t="s">
        <v>681</v>
      </c>
      <c r="D21" s="355">
        <v>3</v>
      </c>
      <c r="E21" s="1640">
        <v>0</v>
      </c>
      <c r="F21" s="1640">
        <v>0</v>
      </c>
      <c r="G21" s="1640">
        <v>0</v>
      </c>
      <c r="H21" s="1640">
        <v>0</v>
      </c>
      <c r="I21" s="1640">
        <v>0</v>
      </c>
      <c r="J21" s="1640">
        <v>0</v>
      </c>
      <c r="K21" s="1640">
        <v>0</v>
      </c>
      <c r="L21" s="1640">
        <v>0</v>
      </c>
      <c r="M21" s="1599">
        <f t="shared" si="19"/>
        <v>0</v>
      </c>
      <c r="N21" s="1039"/>
      <c r="O21" s="1043" t="s">
        <v>12277</v>
      </c>
      <c r="P21" s="1032"/>
      <c r="Q21" s="302"/>
      <c r="R21" s="1032"/>
      <c r="S21" s="993"/>
      <c r="T21" s="284">
        <f t="shared" si="10"/>
        <v>0</v>
      </c>
      <c r="U21" s="828"/>
      <c r="V21" s="285">
        <f t="shared" si="11"/>
        <v>0</v>
      </c>
      <c r="W21" s="285">
        <f t="shared" si="12"/>
        <v>0</v>
      </c>
      <c r="X21" s="285">
        <f t="shared" si="13"/>
        <v>0</v>
      </c>
      <c r="Y21" s="285">
        <f t="shared" si="14"/>
        <v>0</v>
      </c>
      <c r="Z21" s="285">
        <f t="shared" si="15"/>
        <v>0</v>
      </c>
      <c r="AA21" s="285">
        <f t="shared" si="16"/>
        <v>0</v>
      </c>
      <c r="AB21" s="285">
        <f t="shared" si="17"/>
        <v>0</v>
      </c>
      <c r="AC21" s="285">
        <f t="shared" si="18"/>
        <v>0</v>
      </c>
      <c r="AD21" s="828"/>
      <c r="AE21" s="197"/>
      <c r="AF21" s="463" t="s">
        <v>12278</v>
      </c>
      <c r="AG21" s="1042" t="s">
        <v>12279</v>
      </c>
      <c r="AH21" s="1042" t="s">
        <v>12280</v>
      </c>
      <c r="AI21" s="1042" t="s">
        <v>12281</v>
      </c>
      <c r="AJ21" s="1042" t="s">
        <v>12282</v>
      </c>
      <c r="AK21" s="1042" t="s">
        <v>12283</v>
      </c>
      <c r="AL21" s="1042" t="s">
        <v>12284</v>
      </c>
      <c r="AM21" s="1042" t="s">
        <v>12285</v>
      </c>
      <c r="AN21" s="1042" t="s">
        <v>12286</v>
      </c>
      <c r="AO21" s="417" t="s">
        <v>12287</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12121</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12288</v>
      </c>
      <c r="AG23" s="1037"/>
      <c r="AH23" s="1037"/>
      <c r="AI23" s="1037"/>
      <c r="AJ23" s="1037"/>
      <c r="AK23" s="274"/>
      <c r="AL23" s="274"/>
      <c r="AM23" s="274"/>
      <c r="AN23" s="1001"/>
      <c r="AO23" s="1001"/>
      <c r="AP23" s="197"/>
      <c r="AQ23" s="197"/>
      <c r="AR23" s="197"/>
      <c r="AS23" s="197"/>
    </row>
    <row r="24" spans="1:45" s="3" customFormat="1" ht="15.75" customHeight="1" thickTop="1">
      <c r="A24" s="197"/>
      <c r="B24" s="451" t="s">
        <v>12122</v>
      </c>
      <c r="C24" s="277" t="s">
        <v>681</v>
      </c>
      <c r="D24" s="277">
        <v>3</v>
      </c>
      <c r="E24" s="694">
        <v>2.1000000000000001E-2</v>
      </c>
      <c r="F24" s="694">
        <v>0</v>
      </c>
      <c r="G24" s="694">
        <v>0</v>
      </c>
      <c r="H24" s="694">
        <v>0</v>
      </c>
      <c r="I24" s="694">
        <v>0</v>
      </c>
      <c r="J24" s="694">
        <v>0</v>
      </c>
      <c r="K24" s="694">
        <v>0</v>
      </c>
      <c r="L24" s="694">
        <v>0</v>
      </c>
      <c r="M24" s="1596">
        <f>IFERROR(SUM(E24:L24), 0)</f>
        <v>2.1000000000000001E-2</v>
      </c>
      <c r="N24" s="1039"/>
      <c r="O24" s="1040" t="s">
        <v>12289</v>
      </c>
      <c r="P24" s="1031"/>
      <c r="Q24" s="283"/>
      <c r="R24" s="1031"/>
      <c r="S24" s="993"/>
      <c r="T24" s="284">
        <f t="shared" ref="T24:T26" si="20">IF( SUM( V24:AC24 ) = 0, 0, $V$9 )</f>
        <v>0</v>
      </c>
      <c r="U24" s="828"/>
      <c r="V24" s="285">
        <f t="shared" ref="V24:V26" si="21" xml:space="preserve"> IF( ISNUMBER(E24), 0, 1 )</f>
        <v>0</v>
      </c>
      <c r="W24" s="285">
        <f t="shared" ref="W24:W26" si="22" xml:space="preserve"> IF( ISNUMBER(F24), 0, 1 )</f>
        <v>0</v>
      </c>
      <c r="X24" s="285">
        <f t="shared" ref="X24:X26" si="23" xml:space="preserve"> IF( ISNUMBER(G24), 0, 1 )</f>
        <v>0</v>
      </c>
      <c r="Y24" s="285">
        <f t="shared" ref="Y24:Y26" si="24" xml:space="preserve"> IF( ISNUMBER(H24), 0, 1 )</f>
        <v>0</v>
      </c>
      <c r="Z24" s="285">
        <f t="shared" ref="Z24:Z26" si="25" xml:space="preserve"> IF( ISNUMBER(I24), 0, 1 )</f>
        <v>0</v>
      </c>
      <c r="AA24" s="285">
        <f t="shared" ref="AA24:AA26" si="26" xml:space="preserve"> IF( ISNUMBER(J24), 0, 1 )</f>
        <v>0</v>
      </c>
      <c r="AB24" s="285">
        <f t="shared" ref="AB24:AB26" si="27" xml:space="preserve"> IF( ISNUMBER(K24), 0, 1 )</f>
        <v>0</v>
      </c>
      <c r="AC24" s="285">
        <f t="shared" ref="AC24:AC26" si="28" xml:space="preserve"> IF( ISNUMBER(L24), 0, 1 )</f>
        <v>0</v>
      </c>
      <c r="AD24" s="828"/>
      <c r="AE24" s="197"/>
      <c r="AF24" s="451" t="s">
        <v>12122</v>
      </c>
      <c r="AG24" s="904" t="s">
        <v>12290</v>
      </c>
      <c r="AH24" s="904" t="s">
        <v>12291</v>
      </c>
      <c r="AI24" s="904" t="s">
        <v>12292</v>
      </c>
      <c r="AJ24" s="904" t="s">
        <v>12293</v>
      </c>
      <c r="AK24" s="904" t="s">
        <v>12294</v>
      </c>
      <c r="AL24" s="904" t="s">
        <v>12295</v>
      </c>
      <c r="AM24" s="904" t="s">
        <v>12296</v>
      </c>
      <c r="AN24" s="904" t="s">
        <v>12297</v>
      </c>
      <c r="AO24" s="416" t="s">
        <v>12298</v>
      </c>
      <c r="AP24" s="197"/>
      <c r="AQ24" s="197"/>
      <c r="AR24" s="197"/>
      <c r="AS24" s="197"/>
    </row>
    <row r="25" spans="1:45" s="3" customFormat="1" ht="15.75" customHeight="1">
      <c r="A25" s="197"/>
      <c r="B25" s="460" t="s">
        <v>12130</v>
      </c>
      <c r="C25" s="286" t="s">
        <v>681</v>
      </c>
      <c r="D25" s="286">
        <v>3</v>
      </c>
      <c r="E25" s="697">
        <v>0</v>
      </c>
      <c r="F25" s="697">
        <v>0</v>
      </c>
      <c r="G25" s="697">
        <v>0</v>
      </c>
      <c r="H25" s="697">
        <v>0</v>
      </c>
      <c r="I25" s="697">
        <v>0</v>
      </c>
      <c r="J25" s="697">
        <v>0</v>
      </c>
      <c r="K25" s="697">
        <v>0</v>
      </c>
      <c r="L25" s="697">
        <v>0</v>
      </c>
      <c r="M25" s="1598">
        <f t="shared" ref="M25:M26" si="29">IFERROR(SUM(E25:L25), 0)</f>
        <v>0</v>
      </c>
      <c r="N25" s="1039"/>
      <c r="O25" s="1041" t="s">
        <v>12299</v>
      </c>
      <c r="P25" s="272"/>
      <c r="Q25" s="291"/>
      <c r="R25" s="272"/>
      <c r="S25" s="993"/>
      <c r="T25" s="284">
        <f t="shared" si="20"/>
        <v>0</v>
      </c>
      <c r="U25" s="828"/>
      <c r="V25" s="285">
        <f t="shared" si="21"/>
        <v>0</v>
      </c>
      <c r="W25" s="285">
        <f t="shared" si="22"/>
        <v>0</v>
      </c>
      <c r="X25" s="285">
        <f t="shared" si="23"/>
        <v>0</v>
      </c>
      <c r="Y25" s="285">
        <f t="shared" si="24"/>
        <v>0</v>
      </c>
      <c r="Z25" s="285">
        <f t="shared" si="25"/>
        <v>0</v>
      </c>
      <c r="AA25" s="285">
        <f t="shared" si="26"/>
        <v>0</v>
      </c>
      <c r="AB25" s="285">
        <f t="shared" si="27"/>
        <v>0</v>
      </c>
      <c r="AC25" s="285">
        <f t="shared" si="28"/>
        <v>0</v>
      </c>
      <c r="AD25" s="828"/>
      <c r="AE25" s="197"/>
      <c r="AF25" s="460" t="s">
        <v>12130</v>
      </c>
      <c r="AG25" s="905" t="s">
        <v>12300</v>
      </c>
      <c r="AH25" s="905" t="s">
        <v>12301</v>
      </c>
      <c r="AI25" s="905" t="s">
        <v>12302</v>
      </c>
      <c r="AJ25" s="905" t="s">
        <v>12303</v>
      </c>
      <c r="AK25" s="905" t="s">
        <v>12304</v>
      </c>
      <c r="AL25" s="905" t="s">
        <v>12305</v>
      </c>
      <c r="AM25" s="905" t="s">
        <v>12306</v>
      </c>
      <c r="AN25" s="905" t="s">
        <v>12307</v>
      </c>
      <c r="AO25" s="893" t="s">
        <v>12308</v>
      </c>
      <c r="AP25" s="197"/>
      <c r="AQ25" s="197"/>
      <c r="AR25" s="197"/>
      <c r="AS25" s="197"/>
    </row>
    <row r="26" spans="1:45" s="3" customFormat="1" ht="16.5" thickBot="1">
      <c r="A26" s="197"/>
      <c r="B26" s="463" t="s">
        <v>12309</v>
      </c>
      <c r="C26" s="355" t="s">
        <v>681</v>
      </c>
      <c r="D26" s="355">
        <v>3</v>
      </c>
      <c r="E26" s="1640">
        <v>0</v>
      </c>
      <c r="F26" s="1640">
        <v>0</v>
      </c>
      <c r="G26" s="1640">
        <v>0</v>
      </c>
      <c r="H26" s="1640">
        <v>0</v>
      </c>
      <c r="I26" s="1640">
        <v>0</v>
      </c>
      <c r="J26" s="1640">
        <v>0</v>
      </c>
      <c r="K26" s="1640">
        <v>0</v>
      </c>
      <c r="L26" s="1640">
        <v>0</v>
      </c>
      <c r="M26" s="1599">
        <f t="shared" si="29"/>
        <v>0</v>
      </c>
      <c r="N26" s="1039"/>
      <c r="O26" s="1043" t="s">
        <v>12310</v>
      </c>
      <c r="P26" s="1044"/>
      <c r="Q26" s="302"/>
      <c r="R26" s="1044"/>
      <c r="S26" s="993"/>
      <c r="T26" s="284">
        <f t="shared" si="20"/>
        <v>0</v>
      </c>
      <c r="U26" s="828"/>
      <c r="V26" s="285">
        <f t="shared" si="21"/>
        <v>0</v>
      </c>
      <c r="W26" s="285">
        <f t="shared" si="22"/>
        <v>0</v>
      </c>
      <c r="X26" s="285">
        <f t="shared" si="23"/>
        <v>0</v>
      </c>
      <c r="Y26" s="285">
        <f t="shared" si="24"/>
        <v>0</v>
      </c>
      <c r="Z26" s="285">
        <f t="shared" si="25"/>
        <v>0</v>
      </c>
      <c r="AA26" s="285">
        <f t="shared" si="26"/>
        <v>0</v>
      </c>
      <c r="AB26" s="285">
        <f t="shared" si="27"/>
        <v>0</v>
      </c>
      <c r="AC26" s="285">
        <f t="shared" si="28"/>
        <v>0</v>
      </c>
      <c r="AD26" s="828"/>
      <c r="AE26" s="197"/>
      <c r="AF26" s="463" t="s">
        <v>12311</v>
      </c>
      <c r="AG26" s="1042" t="s">
        <v>12312</v>
      </c>
      <c r="AH26" s="1042" t="s">
        <v>12313</v>
      </c>
      <c r="AI26" s="1042" t="s">
        <v>12314</v>
      </c>
      <c r="AJ26" s="1042" t="s">
        <v>12315</v>
      </c>
      <c r="AK26" s="1042" t="s">
        <v>12316</v>
      </c>
      <c r="AL26" s="1042" t="s">
        <v>12317</v>
      </c>
      <c r="AM26" s="1042" t="s">
        <v>12318</v>
      </c>
      <c r="AN26" s="1042" t="s">
        <v>12319</v>
      </c>
      <c r="AO26" s="417" t="s">
        <v>12320</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8328</v>
      </c>
      <c r="C28" s="371" t="s">
        <v>681</v>
      </c>
      <c r="D28" s="371">
        <v>3</v>
      </c>
      <c r="E28" s="1586">
        <f>IFERROR(SUM(E10:E16,E19:E21,E24:E26), 0)</f>
        <v>14.196999999999999</v>
      </c>
      <c r="F28" s="1586">
        <f t="shared" ref="F28:L28" si="30">IFERROR(SUM(F10:F16,F19:F21,F24:F26), 0)</f>
        <v>20.559000000000001</v>
      </c>
      <c r="G28" s="1586">
        <f t="shared" si="30"/>
        <v>11.057</v>
      </c>
      <c r="H28" s="1586">
        <f t="shared" si="30"/>
        <v>64.966999999999999</v>
      </c>
      <c r="I28" s="1586">
        <f t="shared" si="30"/>
        <v>7.0590000000000002</v>
      </c>
      <c r="J28" s="1586">
        <f t="shared" si="30"/>
        <v>5.4740000000000002</v>
      </c>
      <c r="K28" s="1586">
        <f t="shared" si="30"/>
        <v>-5.7910000000000004</v>
      </c>
      <c r="L28" s="1586">
        <f t="shared" si="30"/>
        <v>1.1479999999999999</v>
      </c>
      <c r="M28" s="1581">
        <f>IFERROR(SUM(M10:M16,M19:M21,M24:M26), 0)</f>
        <v>118.67</v>
      </c>
      <c r="N28" s="1039"/>
      <c r="O28" s="1048" t="s">
        <v>12321</v>
      </c>
      <c r="P28" s="1032"/>
      <c r="Q28" s="375"/>
      <c r="R28" s="1032"/>
      <c r="S28" s="993"/>
      <c r="T28" s="284"/>
      <c r="U28" s="828"/>
      <c r="V28" s="197"/>
      <c r="W28" s="197"/>
      <c r="X28" s="197"/>
      <c r="Y28" s="197"/>
      <c r="Z28" s="197"/>
      <c r="AA28" s="197"/>
      <c r="AB28" s="197"/>
      <c r="AC28" s="197"/>
      <c r="AD28" s="828"/>
      <c r="AE28" s="197"/>
      <c r="AF28" s="469" t="s">
        <v>8328</v>
      </c>
      <c r="AG28" s="979" t="s">
        <v>11213</v>
      </c>
      <c r="AH28" s="979" t="s">
        <v>11214</v>
      </c>
      <c r="AI28" s="979" t="s">
        <v>11215</v>
      </c>
      <c r="AJ28" s="979" t="s">
        <v>11216</v>
      </c>
      <c r="AK28" s="979" t="s">
        <v>11217</v>
      </c>
      <c r="AL28" s="979" t="s">
        <v>11218</v>
      </c>
      <c r="AM28" s="979" t="s">
        <v>11219</v>
      </c>
      <c r="AN28" s="979" t="s">
        <v>11220</v>
      </c>
      <c r="AO28" s="687" t="s">
        <v>12322</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7721</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7721</v>
      </c>
      <c r="AG30" s="1037"/>
      <c r="AH30" s="1037"/>
      <c r="AI30" s="1037"/>
      <c r="AJ30" s="1037"/>
      <c r="AK30" s="1049"/>
      <c r="AL30" s="1039"/>
      <c r="AM30" s="1039"/>
      <c r="AN30" s="1039"/>
      <c r="AO30" s="1039"/>
      <c r="AP30" s="197"/>
      <c r="AQ30" s="197"/>
      <c r="AR30" s="197"/>
      <c r="AS30" s="197"/>
    </row>
    <row r="31" spans="1:45" s="3" customFormat="1" ht="15.75" customHeight="1" thickTop="1">
      <c r="A31" s="197"/>
      <c r="B31" s="451" t="s">
        <v>12148</v>
      </c>
      <c r="C31" s="277" t="s">
        <v>681</v>
      </c>
      <c r="D31" s="277">
        <v>3</v>
      </c>
      <c r="E31" s="694">
        <v>9.4439999999999991</v>
      </c>
      <c r="F31" s="694">
        <v>15.651999999999999</v>
      </c>
      <c r="G31" s="694">
        <v>8.4280000000000008</v>
      </c>
      <c r="H31" s="694">
        <v>0.10299999999999999</v>
      </c>
      <c r="I31" s="694">
        <v>0</v>
      </c>
      <c r="J31" s="694">
        <v>0</v>
      </c>
      <c r="K31" s="694">
        <v>0</v>
      </c>
      <c r="L31" s="694">
        <v>0</v>
      </c>
      <c r="M31" s="1596">
        <f>IFERROR(SUM(E31:L31), 0)</f>
        <v>33.627000000000002</v>
      </c>
      <c r="N31" s="1039"/>
      <c r="O31" s="1040" t="s">
        <v>12323</v>
      </c>
      <c r="P31" s="1031"/>
      <c r="Q31" s="283"/>
      <c r="R31" s="1031"/>
      <c r="S31" s="993"/>
      <c r="T31" s="284">
        <f t="shared" ref="T31:T32" si="31">IF( SUM( V31:AC31 ) = 0, 0, $V$9 )</f>
        <v>0</v>
      </c>
      <c r="U31" s="828"/>
      <c r="V31" s="285">
        <f t="shared" ref="V31:V32" si="32" xml:space="preserve"> IF( ISNUMBER(E31), 0, 1 )</f>
        <v>0</v>
      </c>
      <c r="W31" s="285">
        <f t="shared" ref="W31:W32" si="33" xml:space="preserve"> IF( ISNUMBER(F31), 0, 1 )</f>
        <v>0</v>
      </c>
      <c r="X31" s="285">
        <f t="shared" ref="X31:X32" si="34" xml:space="preserve"> IF( ISNUMBER(G31), 0, 1 )</f>
        <v>0</v>
      </c>
      <c r="Y31" s="285">
        <f t="shared" ref="Y31:Y32" si="35" xml:space="preserve"> IF( ISNUMBER(H31), 0, 1 )</f>
        <v>0</v>
      </c>
      <c r="Z31" s="285">
        <f t="shared" ref="Z31:Z32" si="36" xml:space="preserve"> IF( ISNUMBER(I31), 0, 1 )</f>
        <v>0</v>
      </c>
      <c r="AA31" s="285">
        <f t="shared" ref="AA31:AA32" si="37" xml:space="preserve"> IF( ISNUMBER(J31), 0, 1 )</f>
        <v>0</v>
      </c>
      <c r="AB31" s="285">
        <f t="shared" ref="AB31:AB32" si="38" xml:space="preserve"> IF( ISNUMBER(K31), 0, 1 )</f>
        <v>0</v>
      </c>
      <c r="AC31" s="285">
        <f t="shared" ref="AC31:AC32" si="39" xml:space="preserve"> IF( ISNUMBER(L31), 0, 1 )</f>
        <v>0</v>
      </c>
      <c r="AD31" s="828"/>
      <c r="AE31" s="197"/>
      <c r="AF31" s="451" t="s">
        <v>12148</v>
      </c>
      <c r="AG31" s="904" t="s">
        <v>12324</v>
      </c>
      <c r="AH31" s="904" t="s">
        <v>12325</v>
      </c>
      <c r="AI31" s="904" t="s">
        <v>12326</v>
      </c>
      <c r="AJ31" s="904" t="s">
        <v>12327</v>
      </c>
      <c r="AK31" s="904" t="s">
        <v>12328</v>
      </c>
      <c r="AL31" s="904" t="s">
        <v>12329</v>
      </c>
      <c r="AM31" s="904" t="s">
        <v>12330</v>
      </c>
      <c r="AN31" s="904" t="s">
        <v>12331</v>
      </c>
      <c r="AO31" s="416" t="s">
        <v>12332</v>
      </c>
      <c r="AP31" s="197"/>
      <c r="AQ31" s="197"/>
      <c r="AR31" s="197"/>
      <c r="AS31" s="197"/>
    </row>
    <row r="32" spans="1:45" s="3" customFormat="1" ht="15.75" customHeight="1">
      <c r="A32" s="197"/>
      <c r="B32" s="460" t="s">
        <v>12156</v>
      </c>
      <c r="C32" s="286" t="s">
        <v>681</v>
      </c>
      <c r="D32" s="286">
        <v>3</v>
      </c>
      <c r="E32" s="697">
        <v>2.177</v>
      </c>
      <c r="F32" s="697">
        <v>3.61</v>
      </c>
      <c r="G32" s="697">
        <v>1.944</v>
      </c>
      <c r="H32" s="697">
        <v>25.561</v>
      </c>
      <c r="I32" s="697">
        <v>0</v>
      </c>
      <c r="J32" s="697">
        <v>0.504</v>
      </c>
      <c r="K32" s="697">
        <v>3.0179999999999998</v>
      </c>
      <c r="L32" s="697">
        <v>1E-3</v>
      </c>
      <c r="M32" s="1598">
        <f t="shared" ref="M32" si="40">IFERROR(SUM(E32:L32), 0)</f>
        <v>36.814999999999998</v>
      </c>
      <c r="N32" s="1039"/>
      <c r="O32" s="1041" t="s">
        <v>12333</v>
      </c>
      <c r="P32" s="1031"/>
      <c r="Q32" s="291"/>
      <c r="R32" s="1031"/>
      <c r="S32" s="993"/>
      <c r="T32" s="284">
        <f t="shared" si="31"/>
        <v>0</v>
      </c>
      <c r="U32" s="828"/>
      <c r="V32" s="285">
        <f t="shared" si="32"/>
        <v>0</v>
      </c>
      <c r="W32" s="285">
        <f t="shared" si="33"/>
        <v>0</v>
      </c>
      <c r="X32" s="285">
        <f t="shared" si="34"/>
        <v>0</v>
      </c>
      <c r="Y32" s="285">
        <f t="shared" si="35"/>
        <v>0</v>
      </c>
      <c r="Z32" s="285">
        <f t="shared" si="36"/>
        <v>0</v>
      </c>
      <c r="AA32" s="285">
        <f t="shared" si="37"/>
        <v>0</v>
      </c>
      <c r="AB32" s="285">
        <f t="shared" si="38"/>
        <v>0</v>
      </c>
      <c r="AC32" s="285">
        <f t="shared" si="39"/>
        <v>0</v>
      </c>
      <c r="AD32" s="828"/>
      <c r="AE32" s="197"/>
      <c r="AF32" s="460" t="s">
        <v>12156</v>
      </c>
      <c r="AG32" s="905" t="s">
        <v>12334</v>
      </c>
      <c r="AH32" s="905" t="s">
        <v>12335</v>
      </c>
      <c r="AI32" s="905" t="s">
        <v>12336</v>
      </c>
      <c r="AJ32" s="905" t="s">
        <v>12337</v>
      </c>
      <c r="AK32" s="905" t="s">
        <v>12338</v>
      </c>
      <c r="AL32" s="905" t="s">
        <v>12339</v>
      </c>
      <c r="AM32" s="905" t="s">
        <v>12340</v>
      </c>
      <c r="AN32" s="905" t="s">
        <v>12341</v>
      </c>
      <c r="AO32" s="893" t="s">
        <v>12342</v>
      </c>
      <c r="AP32" s="197"/>
      <c r="AQ32" s="197"/>
      <c r="AR32" s="197"/>
      <c r="AS32" s="197"/>
    </row>
    <row r="33" spans="1:45" s="3" customFormat="1" ht="15.75" customHeight="1" thickBot="1">
      <c r="A33" s="197"/>
      <c r="B33" s="463" t="s">
        <v>12164</v>
      </c>
      <c r="C33" s="355" t="s">
        <v>681</v>
      </c>
      <c r="D33" s="355">
        <v>3</v>
      </c>
      <c r="E33" s="1589">
        <f>IFERROR(SUM(E31:E32), 0)</f>
        <v>11.620999999999999</v>
      </c>
      <c r="F33" s="1589">
        <f t="shared" ref="F33:L33" si="41">IFERROR(SUM(F31:F32), 0)</f>
        <v>19.262</v>
      </c>
      <c r="G33" s="1589">
        <f t="shared" si="41"/>
        <v>10.372</v>
      </c>
      <c r="H33" s="1589">
        <f t="shared" si="41"/>
        <v>25.664000000000001</v>
      </c>
      <c r="I33" s="1589">
        <f t="shared" si="41"/>
        <v>0</v>
      </c>
      <c r="J33" s="1589">
        <f t="shared" si="41"/>
        <v>0.504</v>
      </c>
      <c r="K33" s="1589">
        <f t="shared" si="41"/>
        <v>3.0179999999999998</v>
      </c>
      <c r="L33" s="1589">
        <f t="shared" si="41"/>
        <v>1E-3</v>
      </c>
      <c r="M33" s="1599">
        <f>IFERROR(SUM(M31:M32), 0)</f>
        <v>70.442000000000007</v>
      </c>
      <c r="N33" s="1039"/>
      <c r="O33" s="1043" t="s">
        <v>12343</v>
      </c>
      <c r="P33" s="1031"/>
      <c r="Q33" s="302"/>
      <c r="R33" s="1031"/>
      <c r="S33" s="993"/>
      <c r="T33" s="284"/>
      <c r="U33" s="828"/>
      <c r="V33" s="197"/>
      <c r="W33" s="197"/>
      <c r="X33" s="197"/>
      <c r="Y33" s="197"/>
      <c r="Z33" s="197"/>
      <c r="AA33" s="197"/>
      <c r="AB33" s="197"/>
      <c r="AC33" s="197"/>
      <c r="AD33" s="828"/>
      <c r="AE33" s="197"/>
      <c r="AF33" s="463" t="s">
        <v>12164</v>
      </c>
      <c r="AG33" s="679" t="s">
        <v>11284</v>
      </c>
      <c r="AH33" s="679" t="s">
        <v>11285</v>
      </c>
      <c r="AI33" s="679" t="s">
        <v>11286</v>
      </c>
      <c r="AJ33" s="679" t="s">
        <v>11287</v>
      </c>
      <c r="AK33" s="679" t="s">
        <v>11288</v>
      </c>
      <c r="AL33" s="679" t="s">
        <v>11289</v>
      </c>
      <c r="AM33" s="679" t="s">
        <v>11290</v>
      </c>
      <c r="AN33" s="679" t="s">
        <v>11291</v>
      </c>
      <c r="AO33" s="417" t="s">
        <v>12344</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12167</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12167</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12168</v>
      </c>
      <c r="C36" s="371" t="s">
        <v>1523</v>
      </c>
      <c r="D36" s="371">
        <v>0</v>
      </c>
      <c r="E36" s="1648">
        <v>402</v>
      </c>
      <c r="F36" s="1648">
        <v>0</v>
      </c>
      <c r="G36" s="1648">
        <v>0</v>
      </c>
      <c r="H36" s="1648">
        <v>0</v>
      </c>
      <c r="I36" s="1648">
        <v>0</v>
      </c>
      <c r="J36" s="1648">
        <v>0</v>
      </c>
      <c r="K36" s="1648">
        <v>0</v>
      </c>
      <c r="L36" s="1648">
        <v>0</v>
      </c>
      <c r="M36" s="2039">
        <f>IFERROR(SUM(E36:L36), 0)</f>
        <v>402</v>
      </c>
      <c r="N36" s="1039"/>
      <c r="O36" s="1048" t="s">
        <v>12345</v>
      </c>
      <c r="P36" s="1031"/>
      <c r="Q36" s="375"/>
      <c r="R36" s="1031"/>
      <c r="S36" s="993"/>
      <c r="T36" s="284">
        <f>IF( SUM( V36:AC36 ) = 0, 0, $V$9 )</f>
        <v>0</v>
      </c>
      <c r="U36" s="828"/>
      <c r="V36" s="285">
        <f t="shared" ref="V36" si="42" xml:space="preserve"> IF( ISNUMBER(E36), 0, 1 )</f>
        <v>0</v>
      </c>
      <c r="W36" s="285">
        <f t="shared" ref="W36" si="43" xml:space="preserve"> IF( ISNUMBER(F36), 0, 1 )</f>
        <v>0</v>
      </c>
      <c r="X36" s="285">
        <f t="shared" ref="X36" si="44" xml:space="preserve"> IF( ISNUMBER(G36), 0, 1 )</f>
        <v>0</v>
      </c>
      <c r="Y36" s="285">
        <f t="shared" ref="Y36" si="45" xml:space="preserve"> IF( ISNUMBER(H36), 0, 1 )</f>
        <v>0</v>
      </c>
      <c r="Z36" s="285">
        <f t="shared" ref="Z36" si="46" xml:space="preserve"> IF( ISNUMBER(I36), 0, 1 )</f>
        <v>0</v>
      </c>
      <c r="AA36" s="285">
        <f t="shared" ref="AA36" si="47" xml:space="preserve"> IF( ISNUMBER(J36), 0, 1 )</f>
        <v>0</v>
      </c>
      <c r="AB36" s="285">
        <f t="shared" ref="AB36" si="48" xml:space="preserve"> IF( ISNUMBER(K36), 0, 1 )</f>
        <v>0</v>
      </c>
      <c r="AC36" s="285">
        <f t="shared" ref="AC36" si="49" xml:space="preserve"> IF( ISNUMBER(L36), 0, 1 )</f>
        <v>0</v>
      </c>
      <c r="AD36" s="828"/>
      <c r="AE36" s="197"/>
      <c r="AF36" s="469" t="s">
        <v>12168</v>
      </c>
      <c r="AG36" s="978" t="s">
        <v>12346</v>
      </c>
      <c r="AH36" s="978" t="s">
        <v>12347</v>
      </c>
      <c r="AI36" s="978" t="s">
        <v>12348</v>
      </c>
      <c r="AJ36" s="978" t="s">
        <v>12349</v>
      </c>
      <c r="AK36" s="978" t="s">
        <v>12350</v>
      </c>
      <c r="AL36" s="978" t="s">
        <v>12351</v>
      </c>
      <c r="AM36" s="978" t="s">
        <v>12352</v>
      </c>
      <c r="AN36" s="978" t="s">
        <v>12353</v>
      </c>
      <c r="AO36" s="687" t="s">
        <v>12354</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12355</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12355</v>
      </c>
      <c r="AG38" s="1037"/>
      <c r="AH38" s="1037"/>
      <c r="AI38" s="1037"/>
      <c r="AJ38" s="1037"/>
      <c r="AK38" s="1049"/>
      <c r="AL38" s="1039"/>
      <c r="AM38" s="1039"/>
      <c r="AN38" s="1039"/>
      <c r="AO38" s="1039"/>
      <c r="AP38" s="1047"/>
      <c r="AQ38" s="1047"/>
      <c r="AR38" s="224"/>
      <c r="AS38" s="224"/>
    </row>
    <row r="39" spans="1:45" ht="15.75" customHeight="1" thickTop="1">
      <c r="A39" s="197"/>
      <c r="B39" s="451" t="s">
        <v>8262</v>
      </c>
      <c r="C39" s="277" t="s">
        <v>681</v>
      </c>
      <c r="D39" s="277">
        <v>3</v>
      </c>
      <c r="E39" s="694">
        <v>3.8580000000000001</v>
      </c>
      <c r="F39" s="694">
        <v>6.3949999999999996</v>
      </c>
      <c r="G39" s="694">
        <v>3.444</v>
      </c>
      <c r="H39" s="694">
        <v>24.486000000000001</v>
      </c>
      <c r="I39" s="694">
        <v>5.4050000000000002</v>
      </c>
      <c r="J39" s="694">
        <v>1.593</v>
      </c>
      <c r="K39" s="694">
        <v>3.5870000000000002</v>
      </c>
      <c r="L39" s="694">
        <v>1E-3</v>
      </c>
      <c r="M39" s="1596">
        <f t="shared" ref="M39:M40" si="50">IFERROR(SUM(E39:L39), 0)</f>
        <v>48.768999999999998</v>
      </c>
      <c r="N39" s="1039"/>
      <c r="O39" s="1040" t="s">
        <v>12356</v>
      </c>
      <c r="P39" s="1031"/>
      <c r="Q39" s="283"/>
      <c r="R39" s="105"/>
      <c r="S39" s="993"/>
      <c r="T39" s="284">
        <f t="shared" ref="T39:T40" si="51">IF( SUM( V39:AC39 ) = 0, 0, $V$9 )</f>
        <v>0</v>
      </c>
      <c r="U39" s="828"/>
      <c r="V39" s="285">
        <f t="shared" ref="V39:V40" si="52" xml:space="preserve"> IF( ISNUMBER(E39), 0, 1 )</f>
        <v>0</v>
      </c>
      <c r="W39" s="285">
        <f t="shared" ref="W39:W40" si="53" xml:space="preserve"> IF( ISNUMBER(F39), 0, 1 )</f>
        <v>0</v>
      </c>
      <c r="X39" s="285">
        <f t="shared" ref="X39:X40" si="54" xml:space="preserve"> IF( ISNUMBER(G39), 0, 1 )</f>
        <v>0</v>
      </c>
      <c r="Y39" s="285">
        <f t="shared" ref="Y39:Y40" si="55" xml:space="preserve"> IF( ISNUMBER(H39), 0, 1 )</f>
        <v>0</v>
      </c>
      <c r="Z39" s="285">
        <f t="shared" ref="Z39:Z40" si="56" xml:space="preserve"> IF( ISNUMBER(I39), 0, 1 )</f>
        <v>0</v>
      </c>
      <c r="AA39" s="285">
        <f t="shared" ref="AA39:AA40" si="57" xml:space="preserve"> IF( ISNUMBER(J39), 0, 1 )</f>
        <v>0</v>
      </c>
      <c r="AB39" s="285">
        <f t="shared" ref="AB39:AB40" si="58" xml:space="preserve"> IF( ISNUMBER(K39), 0, 1 )</f>
        <v>0</v>
      </c>
      <c r="AC39" s="285">
        <f t="shared" ref="AC39:AC40" si="59" xml:space="preserve"> IF( ISNUMBER(L39), 0, 1 )</f>
        <v>0</v>
      </c>
      <c r="AD39" s="828"/>
      <c r="AE39" s="224"/>
      <c r="AF39" s="451" t="s">
        <v>8262</v>
      </c>
      <c r="AG39" s="904" t="str">
        <f>CONCATENATE(AG10 &amp;"_AMP")</f>
        <v>WWS01001FL_AMP</v>
      </c>
      <c r="AH39" s="904" t="str">
        <f t="shared" ref="AH39:AO39" si="60">CONCATENATE(AH10 &amp;"_AMP")</f>
        <v>WWS01001SWD_AMP</v>
      </c>
      <c r="AI39" s="904" t="str">
        <f t="shared" si="60"/>
        <v>WWS01001HD_AMP</v>
      </c>
      <c r="AJ39" s="904" t="str">
        <f t="shared" si="60"/>
        <v>WWS01001STD_AMP</v>
      </c>
      <c r="AK39" s="904" t="str">
        <f t="shared" si="60"/>
        <v>WWS01001SLT_AMP</v>
      </c>
      <c r="AL39" s="904" t="str">
        <f t="shared" si="60"/>
        <v>WWS01001STP_AMP</v>
      </c>
      <c r="AM39" s="904" t="str">
        <f t="shared" si="60"/>
        <v>WWS01001SDT_AMP</v>
      </c>
      <c r="AN39" s="904" t="str">
        <f t="shared" si="60"/>
        <v>WWS01001SDD_AMP</v>
      </c>
      <c r="AO39" s="416" t="str">
        <f t="shared" si="60"/>
        <v>WWS01001CAS_AMP</v>
      </c>
      <c r="AP39" s="224"/>
      <c r="AQ39" s="224"/>
      <c r="AR39" s="224"/>
      <c r="AS39" s="224"/>
    </row>
    <row r="40" spans="1:45" ht="15.75" customHeight="1" thickBot="1">
      <c r="A40" s="197"/>
      <c r="B40" s="463" t="s">
        <v>8270</v>
      </c>
      <c r="C40" s="355" t="s">
        <v>681</v>
      </c>
      <c r="D40" s="355">
        <v>3</v>
      </c>
      <c r="E40" s="1640">
        <v>0</v>
      </c>
      <c r="F40" s="1640">
        <v>0</v>
      </c>
      <c r="G40" s="1640">
        <v>0</v>
      </c>
      <c r="H40" s="1640">
        <v>0</v>
      </c>
      <c r="I40" s="1640">
        <v>0</v>
      </c>
      <c r="J40" s="1640">
        <v>0</v>
      </c>
      <c r="K40" s="1640">
        <v>-19.463000000000001</v>
      </c>
      <c r="L40" s="1640">
        <v>0</v>
      </c>
      <c r="M40" s="1599">
        <f t="shared" si="50"/>
        <v>-19.463000000000001</v>
      </c>
      <c r="N40" s="1039"/>
      <c r="O40" s="1043" t="s">
        <v>12357</v>
      </c>
      <c r="P40" s="1031"/>
      <c r="Q40" s="302"/>
      <c r="R40" s="105"/>
      <c r="S40" s="993"/>
      <c r="T40" s="284">
        <f t="shared" si="51"/>
        <v>0</v>
      </c>
      <c r="U40" s="828"/>
      <c r="V40" s="285">
        <f t="shared" si="52"/>
        <v>0</v>
      </c>
      <c r="W40" s="285">
        <f t="shared" si="53"/>
        <v>0</v>
      </c>
      <c r="X40" s="285">
        <f t="shared" si="54"/>
        <v>0</v>
      </c>
      <c r="Y40" s="285">
        <f t="shared" si="55"/>
        <v>0</v>
      </c>
      <c r="Z40" s="285">
        <f t="shared" si="56"/>
        <v>0</v>
      </c>
      <c r="AA40" s="285">
        <f t="shared" si="57"/>
        <v>0</v>
      </c>
      <c r="AB40" s="285">
        <f t="shared" si="58"/>
        <v>0</v>
      </c>
      <c r="AC40" s="285">
        <f t="shared" si="59"/>
        <v>0</v>
      </c>
      <c r="AD40" s="828"/>
      <c r="AE40" s="224"/>
      <c r="AF40" s="463" t="s">
        <v>8270</v>
      </c>
      <c r="AG40" s="1042" t="str">
        <f>CONCATENATE(AG11 &amp;"_AMP")</f>
        <v>WWS01002FL_AMP</v>
      </c>
      <c r="AH40" s="1042" t="str">
        <f t="shared" ref="AH40:AO40" si="61">CONCATENATE(AH11 &amp;"_AMP")</f>
        <v>WWS01002SWD_AMP</v>
      </c>
      <c r="AI40" s="1042" t="str">
        <f t="shared" si="61"/>
        <v>WWS01002HD_AMP</v>
      </c>
      <c r="AJ40" s="1042" t="str">
        <f t="shared" si="61"/>
        <v>WWS01002STD_AMP</v>
      </c>
      <c r="AK40" s="1042" t="str">
        <f t="shared" si="61"/>
        <v>WWS01002SLT_AMP</v>
      </c>
      <c r="AL40" s="1042" t="str">
        <f t="shared" si="61"/>
        <v>WWS01002STP_AMP</v>
      </c>
      <c r="AM40" s="1042" t="str">
        <f t="shared" si="61"/>
        <v>WWS01002SDT_AMP</v>
      </c>
      <c r="AN40" s="1042" t="str">
        <f t="shared" si="61"/>
        <v>WWS01002SDD_AMP</v>
      </c>
      <c r="AO40" s="417" t="str">
        <f t="shared" si="61"/>
        <v>WWS01002CAS_AMP</v>
      </c>
      <c r="AP40" s="224"/>
      <c r="AQ40" s="224"/>
      <c r="AR40" s="224"/>
      <c r="AS40" s="224"/>
    </row>
    <row r="41" spans="1:45" ht="16.5"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tabColor rgb="FF00B050"/>
    <pageSetUpPr fitToPage="1"/>
  </sheetPr>
  <dimension ref="A1:BJ141"/>
  <sheetViews>
    <sheetView showGridLines="0" zoomScale="70" zoomScaleNormal="70" zoomScaleSheetLayoutView="100" workbookViewId="0">
      <pane ySplit="7" topLeftCell="A8" activePane="bottomLeft" state="frozen"/>
      <selection pane="bottomLeft" activeCell="M97" sqref="M97"/>
    </sheetView>
  </sheetViews>
  <sheetFormatPr defaultColWidth="9" defaultRowHeight="14.25"/>
  <cols>
    <col min="1" max="1" width="1.625" style="224" customWidth="1"/>
    <col min="2" max="2" width="104.75" style="1055" customWidth="1"/>
    <col min="3" max="3" width="8.625" style="224" customWidth="1"/>
    <col min="4" max="4" width="7" style="224" customWidth="1"/>
    <col min="5" max="5" width="5.125" style="224" customWidth="1"/>
    <col min="6" max="6" width="9.7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55"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89" customFormat="1" ht="29.25" customHeight="1">
      <c r="B1" s="1052" t="s">
        <v>12358</v>
      </c>
      <c r="C1" s="1053"/>
      <c r="D1" s="1053"/>
      <c r="E1" s="1053"/>
      <c r="F1" s="1053"/>
      <c r="G1" s="1053"/>
      <c r="H1" s="1053"/>
      <c r="I1" s="1053"/>
      <c r="J1" s="219"/>
      <c r="K1" s="219"/>
      <c r="L1" s="219"/>
      <c r="M1" s="219"/>
      <c r="N1" s="219"/>
      <c r="O1" s="219"/>
      <c r="P1" s="219"/>
      <c r="Q1" s="219"/>
      <c r="R1" s="219"/>
      <c r="S1" s="219"/>
      <c r="T1" s="219"/>
      <c r="U1" s="2853"/>
      <c r="V1" s="2853"/>
      <c r="Z1" s="1054"/>
      <c r="AB1" s="825"/>
      <c r="AR1" s="825"/>
      <c r="AT1" s="1052" t="s">
        <v>7220</v>
      </c>
      <c r="AU1" s="1053"/>
      <c r="AV1" s="1053"/>
      <c r="AW1" s="1053"/>
      <c r="AX1" s="1053"/>
      <c r="AY1" s="1053"/>
      <c r="AZ1" s="219"/>
      <c r="BA1" s="219"/>
      <c r="BB1" s="219"/>
      <c r="BC1" s="219"/>
      <c r="BD1" s="219"/>
      <c r="BE1" s="219"/>
      <c r="BF1" s="219"/>
      <c r="BG1" s="219"/>
      <c r="BH1" s="219"/>
      <c r="BI1" s="219"/>
      <c r="BJ1" s="219"/>
    </row>
    <row r="2" spans="2:62" s="389" customFormat="1" ht="29.25" customHeight="1">
      <c r="B2" s="1052" t="str">
        <f>SelectCompany!B4</f>
        <v>Northumbrian Water</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54" t="s">
        <v>12359</v>
      </c>
      <c r="C3" s="2854"/>
      <c r="D3" s="2854"/>
      <c r="E3" s="2854"/>
      <c r="F3" s="2854"/>
      <c r="G3" s="2854"/>
      <c r="H3" s="2854"/>
      <c r="I3" s="2854"/>
      <c r="J3" s="2854"/>
      <c r="K3" s="2854"/>
      <c r="L3" s="2854"/>
      <c r="M3" s="2854"/>
      <c r="N3" s="2854"/>
      <c r="O3" s="2854"/>
      <c r="P3" s="2854"/>
      <c r="Q3" s="2854"/>
      <c r="R3" s="2854"/>
      <c r="S3" s="2854"/>
      <c r="T3" s="2854"/>
      <c r="U3" s="2854"/>
      <c r="V3" s="2854"/>
      <c r="W3" s="2854"/>
      <c r="X3" s="2854"/>
      <c r="Z3" s="345"/>
      <c r="AA3" s="650" t="s">
        <v>7222</v>
      </c>
      <c r="AB3" s="363"/>
      <c r="AR3" s="363"/>
      <c r="AT3" s="2867" t="s">
        <v>12359</v>
      </c>
      <c r="AU3" s="2867"/>
      <c r="AV3" s="2867"/>
      <c r="AW3" s="2867"/>
      <c r="AX3" s="2867"/>
      <c r="AY3" s="2867"/>
      <c r="AZ3" s="2867"/>
      <c r="BA3" s="2867"/>
      <c r="BB3" s="2867"/>
      <c r="BC3" s="2867"/>
      <c r="BD3" s="2867"/>
      <c r="BE3" s="2867"/>
      <c r="BF3" s="2867"/>
      <c r="BG3" s="2867"/>
      <c r="BH3" s="2867"/>
      <c r="BI3" s="2867"/>
      <c r="BJ3" s="2867"/>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35" customHeight="1" thickTop="1">
      <c r="B5" s="2855" t="s">
        <v>12360</v>
      </c>
      <c r="C5" s="2817"/>
      <c r="D5" s="2817" t="s">
        <v>7225</v>
      </c>
      <c r="E5" s="2817" t="s">
        <v>670</v>
      </c>
      <c r="F5" s="2859" t="s">
        <v>12178</v>
      </c>
      <c r="G5" s="2859"/>
      <c r="H5" s="2859"/>
      <c r="I5" s="2859"/>
      <c r="J5" s="2859"/>
      <c r="K5" s="2859"/>
      <c r="L5" s="2833" t="s">
        <v>12361</v>
      </c>
      <c r="M5" s="2833"/>
      <c r="N5" s="2833"/>
      <c r="O5" s="2833"/>
      <c r="P5" s="2833"/>
      <c r="Q5" s="2833"/>
      <c r="R5" s="2817" t="s">
        <v>12362</v>
      </c>
      <c r="S5" s="2817" t="s">
        <v>12363</v>
      </c>
      <c r="T5" s="2820" t="s">
        <v>12364</v>
      </c>
      <c r="U5" s="242"/>
      <c r="V5" s="2860" t="s">
        <v>7229</v>
      </c>
      <c r="X5" s="2790" t="s">
        <v>7230</v>
      </c>
      <c r="Z5" s="1057"/>
      <c r="AB5" s="828"/>
      <c r="AR5" s="828"/>
      <c r="AT5" s="2855" t="s">
        <v>12360</v>
      </c>
      <c r="AU5" s="2817"/>
      <c r="AV5" s="2859" t="s">
        <v>12178</v>
      </c>
      <c r="AW5" s="2859"/>
      <c r="AX5" s="2859"/>
      <c r="AY5" s="2859"/>
      <c r="AZ5" s="2859"/>
      <c r="BA5" s="2859"/>
      <c r="BB5" s="2833" t="s">
        <v>12361</v>
      </c>
      <c r="BC5" s="2833"/>
      <c r="BD5" s="2833"/>
      <c r="BE5" s="2833"/>
      <c r="BF5" s="2833"/>
      <c r="BG5" s="2833"/>
      <c r="BH5" s="2817" t="s">
        <v>12362</v>
      </c>
      <c r="BI5" s="2817" t="s">
        <v>12363</v>
      </c>
      <c r="BJ5" s="2820" t="s">
        <v>12364</v>
      </c>
    </row>
    <row r="6" spans="2:62" s="197" customFormat="1" ht="31.5" customHeight="1">
      <c r="B6" s="2856"/>
      <c r="C6" s="2857"/>
      <c r="D6" s="2834"/>
      <c r="E6" s="2857"/>
      <c r="F6" s="2857" t="s">
        <v>8160</v>
      </c>
      <c r="G6" s="2865" t="s">
        <v>9202</v>
      </c>
      <c r="H6" s="2865"/>
      <c r="I6" s="2865"/>
      <c r="J6" s="2865"/>
      <c r="K6" s="2865" t="s">
        <v>7445</v>
      </c>
      <c r="L6" s="2857" t="s">
        <v>8160</v>
      </c>
      <c r="M6" s="2828" t="s">
        <v>9202</v>
      </c>
      <c r="N6" s="2828"/>
      <c r="O6" s="2828"/>
      <c r="P6" s="2828"/>
      <c r="Q6" s="2857" t="s">
        <v>7445</v>
      </c>
      <c r="R6" s="2857"/>
      <c r="S6" s="2857"/>
      <c r="T6" s="2863"/>
      <c r="U6" s="242"/>
      <c r="V6" s="2861"/>
      <c r="X6" s="2791"/>
      <c r="Z6" s="1057"/>
      <c r="AB6" s="828"/>
      <c r="AR6" s="828"/>
      <c r="AT6" s="2856"/>
      <c r="AU6" s="2857"/>
      <c r="AV6" s="2857" t="s">
        <v>8160</v>
      </c>
      <c r="AW6" s="2865" t="s">
        <v>9202</v>
      </c>
      <c r="AX6" s="2865"/>
      <c r="AY6" s="2865"/>
      <c r="AZ6" s="2865"/>
      <c r="BA6" s="2865" t="s">
        <v>7445</v>
      </c>
      <c r="BB6" s="2857" t="s">
        <v>8160</v>
      </c>
      <c r="BC6" s="2828" t="s">
        <v>9202</v>
      </c>
      <c r="BD6" s="2828"/>
      <c r="BE6" s="2828"/>
      <c r="BF6" s="2828"/>
      <c r="BG6" s="2857" t="s">
        <v>7445</v>
      </c>
      <c r="BH6" s="2857"/>
      <c r="BI6" s="2857"/>
      <c r="BJ6" s="2863"/>
    </row>
    <row r="7" spans="2:62" s="197" customFormat="1" ht="29.25" customHeight="1" thickBot="1">
      <c r="B7" s="2858"/>
      <c r="C7" s="2818"/>
      <c r="D7" s="2816"/>
      <c r="E7" s="2818"/>
      <c r="F7" s="2818"/>
      <c r="G7" s="862" t="s">
        <v>11027</v>
      </c>
      <c r="H7" s="862" t="s">
        <v>11028</v>
      </c>
      <c r="I7" s="862" t="s">
        <v>11029</v>
      </c>
      <c r="J7" s="862" t="s">
        <v>11030</v>
      </c>
      <c r="K7" s="2866"/>
      <c r="L7" s="2864"/>
      <c r="M7" s="862" t="s">
        <v>11027</v>
      </c>
      <c r="N7" s="862" t="s">
        <v>11028</v>
      </c>
      <c r="O7" s="862" t="s">
        <v>11029</v>
      </c>
      <c r="P7" s="862" t="s">
        <v>11030</v>
      </c>
      <c r="Q7" s="2864"/>
      <c r="R7" s="862" t="s">
        <v>7445</v>
      </c>
      <c r="S7" s="862" t="s">
        <v>7445</v>
      </c>
      <c r="T7" s="1058" t="s">
        <v>7445</v>
      </c>
      <c r="U7" s="1059"/>
      <c r="V7" s="2862"/>
      <c r="X7" s="2792"/>
      <c r="Z7" s="1057"/>
      <c r="AA7" s="888"/>
      <c r="AB7" s="828"/>
      <c r="AR7" s="828"/>
      <c r="AT7" s="2858"/>
      <c r="AU7" s="2818"/>
      <c r="AV7" s="2818"/>
      <c r="AW7" s="862" t="s">
        <v>11027</v>
      </c>
      <c r="AX7" s="862" t="s">
        <v>11028</v>
      </c>
      <c r="AY7" s="862" t="s">
        <v>11029</v>
      </c>
      <c r="AZ7" s="862" t="s">
        <v>11030</v>
      </c>
      <c r="BA7" s="2866"/>
      <c r="BB7" s="2864"/>
      <c r="BC7" s="862" t="s">
        <v>11027</v>
      </c>
      <c r="BD7" s="862" t="s">
        <v>11028</v>
      </c>
      <c r="BE7" s="862" t="s">
        <v>11029</v>
      </c>
      <c r="BF7" s="862" t="s">
        <v>11030</v>
      </c>
      <c r="BG7" s="2864"/>
      <c r="BH7" s="862" t="s">
        <v>7445</v>
      </c>
      <c r="BI7" s="862" t="s">
        <v>7445</v>
      </c>
      <c r="BJ7" s="1058" t="s">
        <v>7445</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668" t="s">
        <v>7223</v>
      </c>
      <c r="AD8" s="2819"/>
      <c r="AE8" s="2819"/>
      <c r="AF8" s="2819"/>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12365</v>
      </c>
      <c r="C9" s="997"/>
      <c r="D9" s="997"/>
      <c r="E9" s="997"/>
      <c r="F9" s="997"/>
      <c r="G9" s="997"/>
      <c r="H9" s="997"/>
      <c r="I9" s="997"/>
      <c r="J9" s="997"/>
      <c r="K9" s="997"/>
      <c r="L9" s="997"/>
      <c r="M9" s="997"/>
      <c r="N9" s="997"/>
      <c r="O9" s="997"/>
      <c r="P9" s="997"/>
      <c r="Q9" s="997"/>
      <c r="R9" s="997"/>
      <c r="S9" s="997"/>
      <c r="T9" s="997"/>
      <c r="U9" s="1059"/>
      <c r="V9" s="997"/>
      <c r="Z9" s="1057"/>
      <c r="AB9" s="828"/>
      <c r="AC9" s="269" t="s">
        <v>7231</v>
      </c>
      <c r="AR9" s="828"/>
      <c r="AT9" s="1061" t="s">
        <v>12365</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12366</v>
      </c>
      <c r="C10" s="1063" t="s">
        <v>3630</v>
      </c>
      <c r="D10" s="277" t="s">
        <v>681</v>
      </c>
      <c r="E10" s="277">
        <v>3</v>
      </c>
      <c r="F10" s="694">
        <v>0</v>
      </c>
      <c r="G10" s="694">
        <v>0</v>
      </c>
      <c r="H10" s="694">
        <v>0</v>
      </c>
      <c r="I10" s="694">
        <v>0</v>
      </c>
      <c r="J10" s="694">
        <v>0</v>
      </c>
      <c r="K10" s="1595">
        <f>IFERROR(SUM(F10:J10), 0)</f>
        <v>0</v>
      </c>
      <c r="L10" s="1649"/>
      <c r="M10" s="1650"/>
      <c r="N10" s="1650"/>
      <c r="O10" s="1650"/>
      <c r="P10" s="1650"/>
      <c r="Q10" s="1650"/>
      <c r="R10" s="1650"/>
      <c r="S10" s="1650"/>
      <c r="T10" s="1651"/>
      <c r="U10" s="242"/>
      <c r="V10" s="1066" t="s">
        <v>12367</v>
      </c>
      <c r="X10" s="283"/>
      <c r="Z10" s="1057"/>
      <c r="AA10" s="284">
        <f t="shared" ref="AA10:AA27" si="0">IF( SUM( AC10:AQ10 ) = 0, 0, $AC$9 )</f>
        <v>0</v>
      </c>
      <c r="AB10" s="828"/>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8"/>
      <c r="AT10" s="1062" t="s">
        <v>12366</v>
      </c>
      <c r="AU10" s="1063" t="s">
        <v>3630</v>
      </c>
      <c r="AV10" s="694" t="s">
        <v>12368</v>
      </c>
      <c r="AW10" s="694" t="s">
        <v>12369</v>
      </c>
      <c r="AX10" s="694" t="s">
        <v>12370</v>
      </c>
      <c r="AY10" s="694" t="s">
        <v>12371</v>
      </c>
      <c r="AZ10" s="694" t="s">
        <v>12372</v>
      </c>
      <c r="BA10" s="675" t="s">
        <v>12373</v>
      </c>
      <c r="BB10" s="1064"/>
      <c r="BC10" s="409"/>
      <c r="BD10" s="409"/>
      <c r="BE10" s="409"/>
      <c r="BF10" s="409"/>
      <c r="BG10" s="409"/>
      <c r="BH10" s="409"/>
      <c r="BI10" s="409"/>
      <c r="BJ10" s="1065"/>
    </row>
    <row r="11" spans="2:62" s="197" customFormat="1" ht="15.75" customHeight="1">
      <c r="B11" s="1067" t="s">
        <v>12366</v>
      </c>
      <c r="C11" s="354" t="s">
        <v>3631</v>
      </c>
      <c r="D11" s="286" t="s">
        <v>681</v>
      </c>
      <c r="E11" s="286">
        <v>3</v>
      </c>
      <c r="F11" s="697">
        <v>0.121</v>
      </c>
      <c r="G11" s="697">
        <v>0</v>
      </c>
      <c r="H11" s="697">
        <v>0</v>
      </c>
      <c r="I11" s="697">
        <v>0</v>
      </c>
      <c r="J11" s="697">
        <v>0</v>
      </c>
      <c r="K11" s="1597">
        <f t="shared" ref="K11:K27" si="6">IFERROR(SUM(F11:J11), 0)</f>
        <v>0.121</v>
      </c>
      <c r="L11" s="1652"/>
      <c r="M11" s="1653"/>
      <c r="N11" s="1653"/>
      <c r="O11" s="1653"/>
      <c r="P11" s="1653"/>
      <c r="Q11" s="1653"/>
      <c r="R11" s="1653"/>
      <c r="S11" s="1653"/>
      <c r="T11" s="1654"/>
      <c r="U11" s="242"/>
      <c r="V11" s="1071" t="s">
        <v>12374</v>
      </c>
      <c r="X11" s="291"/>
      <c r="Z11" s="1057"/>
      <c r="AA11" s="284">
        <f t="shared" si="0"/>
        <v>0</v>
      </c>
      <c r="AB11" s="828"/>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8"/>
      <c r="AT11" s="1067" t="s">
        <v>12366</v>
      </c>
      <c r="AU11" s="354" t="s">
        <v>3631</v>
      </c>
      <c r="AV11" s="697" t="s">
        <v>12375</v>
      </c>
      <c r="AW11" s="697" t="s">
        <v>12376</v>
      </c>
      <c r="AX11" s="697" t="s">
        <v>12377</v>
      </c>
      <c r="AY11" s="697" t="s">
        <v>12378</v>
      </c>
      <c r="AZ11" s="697" t="s">
        <v>12379</v>
      </c>
      <c r="BA11" s="677" t="s">
        <v>12380</v>
      </c>
      <c r="BB11" s="1068"/>
      <c r="BC11" s="1069"/>
      <c r="BD11" s="1069"/>
      <c r="BE11" s="1069"/>
      <c r="BF11" s="1069"/>
      <c r="BG11" s="1069"/>
      <c r="BH11" s="1069"/>
      <c r="BI11" s="1069"/>
      <c r="BJ11" s="1070"/>
    </row>
    <row r="12" spans="2:62" s="197" customFormat="1" ht="15.75" customHeight="1">
      <c r="B12" s="1067" t="s">
        <v>12366</v>
      </c>
      <c r="C12" s="354" t="s">
        <v>3632</v>
      </c>
      <c r="D12" s="286" t="s">
        <v>681</v>
      </c>
      <c r="E12" s="286">
        <v>3</v>
      </c>
      <c r="F12" s="1597">
        <f>IFERROR(SUM(F10:F11), 0)</f>
        <v>0.121</v>
      </c>
      <c r="G12" s="1597">
        <f t="shared" ref="G12:J12" si="8">IFERROR(SUM(G10:G11), 0)</f>
        <v>0</v>
      </c>
      <c r="H12" s="1597">
        <f t="shared" si="8"/>
        <v>0</v>
      </c>
      <c r="I12" s="1597">
        <f>IFERROR(SUM(I10:I11), 0)</f>
        <v>0</v>
      </c>
      <c r="J12" s="1597">
        <f t="shared" si="8"/>
        <v>0</v>
      </c>
      <c r="K12" s="1597">
        <f t="shared" si="6"/>
        <v>0.121</v>
      </c>
      <c r="L12" s="1652"/>
      <c r="M12" s="1653"/>
      <c r="N12" s="1653"/>
      <c r="O12" s="1653"/>
      <c r="P12" s="1653"/>
      <c r="Q12" s="1653"/>
      <c r="R12" s="697">
        <v>0.498</v>
      </c>
      <c r="S12" s="697">
        <v>2.294</v>
      </c>
      <c r="T12" s="698">
        <v>2.8369999999999997</v>
      </c>
      <c r="U12" s="242"/>
      <c r="V12" s="1071" t="s">
        <v>12381</v>
      </c>
      <c r="X12" s="291"/>
      <c r="Z12" s="1057"/>
      <c r="AA12" s="284">
        <f t="shared" si="0"/>
        <v>0</v>
      </c>
      <c r="AB12" s="828"/>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8"/>
      <c r="AT12" s="1067" t="s">
        <v>12366</v>
      </c>
      <c r="AU12" s="354" t="s">
        <v>3632</v>
      </c>
      <c r="AV12" s="677" t="s">
        <v>12382</v>
      </c>
      <c r="AW12" s="677" t="s">
        <v>12383</v>
      </c>
      <c r="AX12" s="677" t="s">
        <v>12384</v>
      </c>
      <c r="AY12" s="677" t="s">
        <v>12385</v>
      </c>
      <c r="AZ12" s="677" t="s">
        <v>12386</v>
      </c>
      <c r="BA12" s="677" t="s">
        <v>12387</v>
      </c>
      <c r="BB12" s="1068"/>
      <c r="BC12" s="1069"/>
      <c r="BD12" s="1069"/>
      <c r="BE12" s="1069"/>
      <c r="BF12" s="1069"/>
      <c r="BG12" s="1069"/>
      <c r="BH12" s="1072" t="s">
        <v>12388</v>
      </c>
      <c r="BI12" s="1072" t="s">
        <v>12389</v>
      </c>
      <c r="BJ12" s="1073" t="s">
        <v>12390</v>
      </c>
    </row>
    <row r="13" spans="2:62" s="197" customFormat="1" ht="15.75" customHeight="1">
      <c r="B13" s="1067" t="s">
        <v>12391</v>
      </c>
      <c r="C13" s="354" t="s">
        <v>3630</v>
      </c>
      <c r="D13" s="286" t="s">
        <v>681</v>
      </c>
      <c r="E13" s="286">
        <v>3</v>
      </c>
      <c r="F13" s="697">
        <v>0.46300000000000002</v>
      </c>
      <c r="G13" s="697">
        <v>0</v>
      </c>
      <c r="H13" s="697">
        <v>0</v>
      </c>
      <c r="I13" s="697">
        <v>0</v>
      </c>
      <c r="J13" s="697">
        <v>0</v>
      </c>
      <c r="K13" s="1597">
        <f t="shared" si="6"/>
        <v>0.46300000000000002</v>
      </c>
      <c r="L13" s="1655"/>
      <c r="M13" s="1655"/>
      <c r="N13" s="1655"/>
      <c r="O13" s="1655"/>
      <c r="P13" s="1655"/>
      <c r="Q13" s="1655"/>
      <c r="R13" s="1655"/>
      <c r="S13" s="1655"/>
      <c r="T13" s="1656"/>
      <c r="U13" s="242"/>
      <c r="V13" s="1071" t="s">
        <v>12392</v>
      </c>
      <c r="X13" s="291"/>
      <c r="Z13" s="1057"/>
      <c r="AA13" s="284">
        <f t="shared" si="0"/>
        <v>0</v>
      </c>
      <c r="AB13" s="828"/>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8"/>
      <c r="AT13" s="1067" t="s">
        <v>12391</v>
      </c>
      <c r="AU13" s="354" t="s">
        <v>3630</v>
      </c>
      <c r="AV13" s="697" t="s">
        <v>12393</v>
      </c>
      <c r="AW13" s="697" t="s">
        <v>12394</v>
      </c>
      <c r="AX13" s="697" t="s">
        <v>12395</v>
      </c>
      <c r="AY13" s="697" t="s">
        <v>12396</v>
      </c>
      <c r="AZ13" s="697" t="s">
        <v>12397</v>
      </c>
      <c r="BA13" s="677" t="s">
        <v>12398</v>
      </c>
      <c r="BB13" s="1074"/>
      <c r="BC13" s="1074"/>
      <c r="BD13" s="1074"/>
      <c r="BE13" s="1074"/>
      <c r="BF13" s="1074"/>
      <c r="BG13" s="1074"/>
      <c r="BH13" s="1074"/>
      <c r="BI13" s="1074"/>
      <c r="BJ13" s="1075"/>
    </row>
    <row r="14" spans="2:62" s="197" customFormat="1" ht="15.75" customHeight="1">
      <c r="B14" s="1067" t="s">
        <v>12391</v>
      </c>
      <c r="C14" s="354" t="s">
        <v>3631</v>
      </c>
      <c r="D14" s="286" t="s">
        <v>681</v>
      </c>
      <c r="E14" s="286">
        <v>3</v>
      </c>
      <c r="F14" s="697">
        <v>2.1000000000000001E-2</v>
      </c>
      <c r="G14" s="697">
        <v>0</v>
      </c>
      <c r="H14" s="697">
        <v>0</v>
      </c>
      <c r="I14" s="697">
        <v>0</v>
      </c>
      <c r="J14" s="697">
        <v>0</v>
      </c>
      <c r="K14" s="1597">
        <f t="shared" si="6"/>
        <v>2.1000000000000001E-2</v>
      </c>
      <c r="L14" s="1655"/>
      <c r="M14" s="1655"/>
      <c r="N14" s="1655"/>
      <c r="O14" s="1655"/>
      <c r="P14" s="1655"/>
      <c r="Q14" s="1655"/>
      <c r="R14" s="1655"/>
      <c r="S14" s="1655"/>
      <c r="T14" s="1656"/>
      <c r="U14" s="242"/>
      <c r="V14" s="1071" t="s">
        <v>12399</v>
      </c>
      <c r="X14" s="291"/>
      <c r="Z14" s="1057"/>
      <c r="AA14" s="284">
        <f t="shared" si="0"/>
        <v>0</v>
      </c>
      <c r="AB14" s="828"/>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8"/>
      <c r="AT14" s="1067" t="s">
        <v>12391</v>
      </c>
      <c r="AU14" s="354" t="s">
        <v>3631</v>
      </c>
      <c r="AV14" s="697" t="s">
        <v>12400</v>
      </c>
      <c r="AW14" s="697" t="s">
        <v>12401</v>
      </c>
      <c r="AX14" s="697" t="s">
        <v>12402</v>
      </c>
      <c r="AY14" s="697" t="s">
        <v>12403</v>
      </c>
      <c r="AZ14" s="697" t="s">
        <v>12404</v>
      </c>
      <c r="BA14" s="677" t="s">
        <v>12405</v>
      </c>
      <c r="BB14" s="1074"/>
      <c r="BC14" s="1074"/>
      <c r="BD14" s="1074"/>
      <c r="BE14" s="1074"/>
      <c r="BF14" s="1074"/>
      <c r="BG14" s="1074"/>
      <c r="BH14" s="1074"/>
      <c r="BI14" s="1074"/>
      <c r="BJ14" s="1075"/>
    </row>
    <row r="15" spans="2:62" s="197" customFormat="1" ht="15.75" customHeight="1">
      <c r="B15" s="1067" t="s">
        <v>12391</v>
      </c>
      <c r="C15" s="354" t="s">
        <v>3632</v>
      </c>
      <c r="D15" s="286" t="s">
        <v>681</v>
      </c>
      <c r="E15" s="286">
        <v>3</v>
      </c>
      <c r="F15" s="1597">
        <f>IFERROR(SUM(F13:F14), 0)</f>
        <v>0.48400000000000004</v>
      </c>
      <c r="G15" s="1597">
        <f t="shared" ref="G15:J15" si="17">IFERROR(SUM(G13:G14), 0)</f>
        <v>0</v>
      </c>
      <c r="H15" s="1597">
        <f t="shared" si="17"/>
        <v>0</v>
      </c>
      <c r="I15" s="1597">
        <f t="shared" si="17"/>
        <v>0</v>
      </c>
      <c r="J15" s="1597">
        <f t="shared" si="17"/>
        <v>0</v>
      </c>
      <c r="K15" s="1597">
        <f t="shared" si="6"/>
        <v>0.48400000000000004</v>
      </c>
      <c r="L15" s="1655"/>
      <c r="M15" s="1657"/>
      <c r="N15" s="1657"/>
      <c r="O15" s="1657"/>
      <c r="P15" s="1657"/>
      <c r="Q15" s="1658"/>
      <c r="R15" s="697">
        <v>7.5069999999999997</v>
      </c>
      <c r="S15" s="697">
        <v>3.032</v>
      </c>
      <c r="T15" s="698">
        <v>3.75</v>
      </c>
      <c r="U15" s="242"/>
      <c r="V15" s="1071" t="s">
        <v>12406</v>
      </c>
      <c r="X15" s="291"/>
      <c r="Z15" s="1057"/>
      <c r="AA15" s="284">
        <f t="shared" si="0"/>
        <v>0</v>
      </c>
      <c r="AB15" s="828"/>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8"/>
      <c r="AT15" s="1067" t="s">
        <v>12391</v>
      </c>
      <c r="AU15" s="354" t="s">
        <v>3632</v>
      </c>
      <c r="AV15" s="677" t="s">
        <v>12407</v>
      </c>
      <c r="AW15" s="677" t="s">
        <v>12408</v>
      </c>
      <c r="AX15" s="677" t="s">
        <v>12409</v>
      </c>
      <c r="AY15" s="677" t="s">
        <v>12410</v>
      </c>
      <c r="AZ15" s="677" t="s">
        <v>12411</v>
      </c>
      <c r="BA15" s="677" t="s">
        <v>12412</v>
      </c>
      <c r="BB15" s="1074"/>
      <c r="BC15" s="1076"/>
      <c r="BD15" s="1076"/>
      <c r="BE15" s="1076"/>
      <c r="BF15" s="1076"/>
      <c r="BG15" s="1077"/>
      <c r="BH15" s="1072" t="s">
        <v>12413</v>
      </c>
      <c r="BI15" s="1072" t="s">
        <v>12414</v>
      </c>
      <c r="BJ15" s="1073" t="s">
        <v>12415</v>
      </c>
    </row>
    <row r="16" spans="2:62" s="197" customFormat="1" ht="15.75" customHeight="1">
      <c r="B16" s="1067" t="s">
        <v>12416</v>
      </c>
      <c r="C16" s="354" t="s">
        <v>3630</v>
      </c>
      <c r="D16" s="286" t="s">
        <v>681</v>
      </c>
      <c r="E16" s="286">
        <v>3</v>
      </c>
      <c r="F16" s="697">
        <v>1E-3</v>
      </c>
      <c r="G16" s="697">
        <v>0</v>
      </c>
      <c r="H16" s="697">
        <v>0</v>
      </c>
      <c r="I16" s="697">
        <v>0</v>
      </c>
      <c r="J16" s="697">
        <v>0</v>
      </c>
      <c r="K16" s="1597">
        <f t="shared" si="6"/>
        <v>1E-3</v>
      </c>
      <c r="L16" s="1655"/>
      <c r="M16" s="1657"/>
      <c r="N16" s="1657"/>
      <c r="O16" s="1657"/>
      <c r="P16" s="1657"/>
      <c r="Q16" s="1658"/>
      <c r="R16" s="1657"/>
      <c r="S16" s="1657"/>
      <c r="T16" s="1659"/>
      <c r="U16" s="242"/>
      <c r="V16" s="1071" t="s">
        <v>12417</v>
      </c>
      <c r="X16" s="291"/>
      <c r="Z16" s="1057"/>
      <c r="AA16" s="284">
        <f t="shared" si="0"/>
        <v>0</v>
      </c>
      <c r="AB16" s="828"/>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8"/>
      <c r="AT16" s="1067" t="s">
        <v>12416</v>
      </c>
      <c r="AU16" s="354" t="s">
        <v>3630</v>
      </c>
      <c r="AV16" s="697" t="s">
        <v>12418</v>
      </c>
      <c r="AW16" s="697" t="s">
        <v>12419</v>
      </c>
      <c r="AX16" s="697" t="s">
        <v>12420</v>
      </c>
      <c r="AY16" s="697" t="s">
        <v>12421</v>
      </c>
      <c r="AZ16" s="697" t="s">
        <v>12422</v>
      </c>
      <c r="BA16" s="677" t="s">
        <v>12423</v>
      </c>
      <c r="BB16" s="1074"/>
      <c r="BC16" s="1076"/>
      <c r="BD16" s="1076"/>
      <c r="BE16" s="1076"/>
      <c r="BF16" s="1076"/>
      <c r="BG16" s="1077"/>
      <c r="BH16" s="1076"/>
      <c r="BI16" s="1076"/>
      <c r="BJ16" s="1078"/>
    </row>
    <row r="17" spans="1:62" ht="15.75" customHeight="1">
      <c r="A17" s="197"/>
      <c r="B17" s="1067" t="s">
        <v>12416</v>
      </c>
      <c r="C17" s="354" t="s">
        <v>3631</v>
      </c>
      <c r="D17" s="286" t="s">
        <v>681</v>
      </c>
      <c r="E17" s="286">
        <v>3</v>
      </c>
      <c r="F17" s="697">
        <v>9.5000000000000001E-2</v>
      </c>
      <c r="G17" s="697">
        <v>0</v>
      </c>
      <c r="H17" s="697">
        <v>0</v>
      </c>
      <c r="I17" s="697">
        <v>0</v>
      </c>
      <c r="J17" s="697">
        <v>0</v>
      </c>
      <c r="K17" s="1597">
        <f t="shared" si="6"/>
        <v>9.5000000000000001E-2</v>
      </c>
      <c r="L17" s="1660"/>
      <c r="M17" s="1660"/>
      <c r="N17" s="1660"/>
      <c r="O17" s="1660"/>
      <c r="P17" s="1660"/>
      <c r="Q17" s="1658"/>
      <c r="R17" s="1660"/>
      <c r="S17" s="1660"/>
      <c r="T17" s="1659"/>
      <c r="U17" s="242"/>
      <c r="V17" s="1071" t="s">
        <v>12424</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7" t="s">
        <v>12416</v>
      </c>
      <c r="AU17" s="354" t="s">
        <v>3631</v>
      </c>
      <c r="AV17" s="697" t="s">
        <v>12425</v>
      </c>
      <c r="AW17" s="697" t="s">
        <v>12426</v>
      </c>
      <c r="AX17" s="697" t="s">
        <v>12427</v>
      </c>
      <c r="AY17" s="697" t="s">
        <v>12428</v>
      </c>
      <c r="AZ17" s="697" t="s">
        <v>12429</v>
      </c>
      <c r="BA17" s="677" t="s">
        <v>12430</v>
      </c>
      <c r="BB17" s="1079"/>
      <c r="BC17" s="1079"/>
      <c r="BD17" s="1079"/>
      <c r="BE17" s="1079"/>
      <c r="BF17" s="1079"/>
      <c r="BG17" s="1077"/>
      <c r="BH17" s="1079"/>
      <c r="BI17" s="1079"/>
      <c r="BJ17" s="1078"/>
    </row>
    <row r="18" spans="1:62" ht="15.75" customHeight="1">
      <c r="A18" s="197"/>
      <c r="B18" s="1067" t="s">
        <v>12416</v>
      </c>
      <c r="C18" s="354" t="s">
        <v>3632</v>
      </c>
      <c r="D18" s="286" t="s">
        <v>681</v>
      </c>
      <c r="E18" s="286">
        <v>3</v>
      </c>
      <c r="F18" s="1597">
        <f>IFERROR(SUM(F16:F17), 0)</f>
        <v>9.6000000000000002E-2</v>
      </c>
      <c r="G18" s="1597">
        <f t="shared" ref="G18:I18" si="26">IFERROR(SUM(G16:G17), 0)</f>
        <v>0</v>
      </c>
      <c r="H18" s="1597">
        <f t="shared" si="26"/>
        <v>0</v>
      </c>
      <c r="I18" s="1597">
        <f t="shared" si="26"/>
        <v>0</v>
      </c>
      <c r="J18" s="1597">
        <f>IFERROR(SUM(J16:J17), 0)</f>
        <v>0</v>
      </c>
      <c r="K18" s="1597">
        <f>IFERROR(SUM(F18:J18), 0)</f>
        <v>9.6000000000000002E-2</v>
      </c>
      <c r="L18" s="1655"/>
      <c r="M18" s="1660"/>
      <c r="N18" s="1660"/>
      <c r="O18" s="1660"/>
      <c r="P18" s="1660"/>
      <c r="Q18" s="1658"/>
      <c r="R18" s="697">
        <v>0.61699999999999999</v>
      </c>
      <c r="S18" s="697">
        <v>1.147</v>
      </c>
      <c r="T18" s="698">
        <v>1.4179999999999999</v>
      </c>
      <c r="U18" s="242"/>
      <c r="V18" s="1071" t="s">
        <v>12431</v>
      </c>
      <c r="W18" s="197"/>
      <c r="X18" s="291"/>
      <c r="Y18" s="197"/>
      <c r="Z18" s="345"/>
      <c r="AA18" s="284">
        <f t="shared" si="0"/>
        <v>0</v>
      </c>
      <c r="AB18" s="828"/>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7" t="s">
        <v>12416</v>
      </c>
      <c r="AU18" s="354" t="s">
        <v>3632</v>
      </c>
      <c r="AV18" s="677" t="s">
        <v>12432</v>
      </c>
      <c r="AW18" s="677" t="s">
        <v>12433</v>
      </c>
      <c r="AX18" s="677" t="s">
        <v>12434</v>
      </c>
      <c r="AY18" s="677" t="s">
        <v>12435</v>
      </c>
      <c r="AZ18" s="677" t="s">
        <v>12436</v>
      </c>
      <c r="BA18" s="677" t="s">
        <v>12437</v>
      </c>
      <c r="BB18" s="1074"/>
      <c r="BC18" s="1079"/>
      <c r="BD18" s="1079"/>
      <c r="BE18" s="1079"/>
      <c r="BF18" s="1079"/>
      <c r="BG18" s="1077"/>
      <c r="BH18" s="1072" t="s">
        <v>12438</v>
      </c>
      <c r="BI18" s="1072" t="s">
        <v>12439</v>
      </c>
      <c r="BJ18" s="1073" t="s">
        <v>12440</v>
      </c>
    </row>
    <row r="19" spans="1:62" ht="15.75" customHeight="1">
      <c r="A19" s="197"/>
      <c r="B19" s="1067" t="s">
        <v>12441</v>
      </c>
      <c r="C19" s="354" t="s">
        <v>3630</v>
      </c>
      <c r="D19" s="286" t="s">
        <v>681</v>
      </c>
      <c r="E19" s="286">
        <v>3</v>
      </c>
      <c r="F19" s="697">
        <v>0</v>
      </c>
      <c r="G19" s="697">
        <v>0</v>
      </c>
      <c r="H19" s="697">
        <v>0</v>
      </c>
      <c r="I19" s="697">
        <v>0</v>
      </c>
      <c r="J19" s="697">
        <v>0</v>
      </c>
      <c r="K19" s="1597">
        <f t="shared" si="6"/>
        <v>0</v>
      </c>
      <c r="L19" s="1655"/>
      <c r="M19" s="1660"/>
      <c r="N19" s="1660"/>
      <c r="O19" s="1660"/>
      <c r="P19" s="1660"/>
      <c r="Q19" s="1658"/>
      <c r="R19" s="1660"/>
      <c r="S19" s="1660"/>
      <c r="T19" s="1659"/>
      <c r="U19" s="242"/>
      <c r="V19" s="1071" t="s">
        <v>12442</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7" t="s">
        <v>12441</v>
      </c>
      <c r="AU19" s="354" t="s">
        <v>3630</v>
      </c>
      <c r="AV19" s="697" t="s">
        <v>12443</v>
      </c>
      <c r="AW19" s="697" t="s">
        <v>12444</v>
      </c>
      <c r="AX19" s="697" t="s">
        <v>12445</v>
      </c>
      <c r="AY19" s="697" t="s">
        <v>12446</v>
      </c>
      <c r="AZ19" s="697" t="s">
        <v>12447</v>
      </c>
      <c r="BA19" s="677" t="s">
        <v>12448</v>
      </c>
      <c r="BB19" s="1074"/>
      <c r="BC19" s="1079"/>
      <c r="BD19" s="1079"/>
      <c r="BE19" s="1079"/>
      <c r="BF19" s="1079"/>
      <c r="BG19" s="1077"/>
      <c r="BH19" s="1079"/>
      <c r="BI19" s="1079"/>
      <c r="BJ19" s="1078"/>
    </row>
    <row r="20" spans="1:62" ht="15.75" customHeight="1">
      <c r="A20" s="197"/>
      <c r="B20" s="1067" t="s">
        <v>12441</v>
      </c>
      <c r="C20" s="354" t="s">
        <v>3631</v>
      </c>
      <c r="D20" s="286" t="s">
        <v>681</v>
      </c>
      <c r="E20" s="286">
        <v>3</v>
      </c>
      <c r="F20" s="697">
        <v>0.26</v>
      </c>
      <c r="G20" s="697">
        <v>0</v>
      </c>
      <c r="H20" s="697">
        <v>0</v>
      </c>
      <c r="I20" s="697">
        <v>0</v>
      </c>
      <c r="J20" s="697">
        <v>0</v>
      </c>
      <c r="K20" s="1597">
        <f t="shared" si="6"/>
        <v>0.26</v>
      </c>
      <c r="L20" s="1655"/>
      <c r="M20" s="1660"/>
      <c r="N20" s="1660"/>
      <c r="O20" s="1660"/>
      <c r="P20" s="1660"/>
      <c r="Q20" s="1658"/>
      <c r="R20" s="1660"/>
      <c r="S20" s="1660"/>
      <c r="T20" s="1659"/>
      <c r="U20" s="242"/>
      <c r="V20" s="1071" t="s">
        <v>12449</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7" t="s">
        <v>12441</v>
      </c>
      <c r="AU20" s="354" t="s">
        <v>3631</v>
      </c>
      <c r="AV20" s="697" t="s">
        <v>12450</v>
      </c>
      <c r="AW20" s="697" t="s">
        <v>12451</v>
      </c>
      <c r="AX20" s="697" t="s">
        <v>12452</v>
      </c>
      <c r="AY20" s="697" t="s">
        <v>12453</v>
      </c>
      <c r="AZ20" s="697" t="s">
        <v>12454</v>
      </c>
      <c r="BA20" s="677" t="s">
        <v>12455</v>
      </c>
      <c r="BB20" s="1074"/>
      <c r="BC20" s="1079"/>
      <c r="BD20" s="1079"/>
      <c r="BE20" s="1079"/>
      <c r="BF20" s="1079"/>
      <c r="BG20" s="1077"/>
      <c r="BH20" s="1079"/>
      <c r="BI20" s="1079"/>
      <c r="BJ20" s="1078"/>
    </row>
    <row r="21" spans="1:62" ht="15.75" customHeight="1">
      <c r="A21" s="197"/>
      <c r="B21" s="1067" t="s">
        <v>12441</v>
      </c>
      <c r="C21" s="354" t="s">
        <v>3632</v>
      </c>
      <c r="D21" s="286" t="s">
        <v>681</v>
      </c>
      <c r="E21" s="286">
        <v>3</v>
      </c>
      <c r="F21" s="1597">
        <f>IFERROR(SUM(F19:F20), 0)</f>
        <v>0.26</v>
      </c>
      <c r="G21" s="1597">
        <f>IFERROR(SUM(G19:G20), 0)</f>
        <v>0</v>
      </c>
      <c r="H21" s="1597">
        <f>IFERROR(SUM(H19:H20), 0)</f>
        <v>0</v>
      </c>
      <c r="I21" s="1597">
        <f>IFERROR(SUM(I19:I20), 0)</f>
        <v>0</v>
      </c>
      <c r="J21" s="1597">
        <f>IFERROR(SUM(J19:J20), 0)</f>
        <v>0</v>
      </c>
      <c r="K21" s="1597">
        <f>IFERROR(SUM(F21:J21), 0)</f>
        <v>0.26</v>
      </c>
      <c r="L21" s="1655"/>
      <c r="M21" s="1655"/>
      <c r="N21" s="1655"/>
      <c r="O21" s="1655"/>
      <c r="P21" s="1655"/>
      <c r="Q21" s="1655"/>
      <c r="R21" s="697">
        <v>1.0710000000000002</v>
      </c>
      <c r="S21" s="697">
        <v>2.7700000000000005</v>
      </c>
      <c r="T21" s="698">
        <v>3.4260000000000006</v>
      </c>
      <c r="U21" s="242"/>
      <c r="V21" s="1071" t="s">
        <v>12456</v>
      </c>
      <c r="W21" s="197"/>
      <c r="X21" s="291"/>
      <c r="Y21" s="197"/>
      <c r="Z21" s="345"/>
      <c r="AA21" s="284">
        <f t="shared" si="0"/>
        <v>0</v>
      </c>
      <c r="AB21" s="828"/>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7" t="s">
        <v>12441</v>
      </c>
      <c r="AU21" s="354" t="s">
        <v>3632</v>
      </c>
      <c r="AV21" s="677" t="s">
        <v>12457</v>
      </c>
      <c r="AW21" s="677" t="s">
        <v>12458</v>
      </c>
      <c r="AX21" s="677" t="s">
        <v>12459</v>
      </c>
      <c r="AY21" s="677" t="s">
        <v>12460</v>
      </c>
      <c r="AZ21" s="677" t="s">
        <v>12461</v>
      </c>
      <c r="BA21" s="677" t="s">
        <v>12462</v>
      </c>
      <c r="BB21" s="1074"/>
      <c r="BC21" s="1074"/>
      <c r="BD21" s="1074"/>
      <c r="BE21" s="1074"/>
      <c r="BF21" s="1074"/>
      <c r="BG21" s="1074"/>
      <c r="BH21" s="1072" t="s">
        <v>12463</v>
      </c>
      <c r="BI21" s="1072" t="s">
        <v>12464</v>
      </c>
      <c r="BJ21" s="1073" t="s">
        <v>12465</v>
      </c>
    </row>
    <row r="22" spans="1:62" ht="15.75" customHeight="1">
      <c r="A22" s="197"/>
      <c r="B22" s="1067" t="s">
        <v>12466</v>
      </c>
      <c r="C22" s="354" t="s">
        <v>3630</v>
      </c>
      <c r="D22" s="286" t="s">
        <v>681</v>
      </c>
      <c r="E22" s="286">
        <v>3</v>
      </c>
      <c r="F22" s="697">
        <v>0</v>
      </c>
      <c r="G22" s="697">
        <v>0</v>
      </c>
      <c r="H22" s="697">
        <v>0</v>
      </c>
      <c r="I22" s="697">
        <v>1.6E-2</v>
      </c>
      <c r="J22" s="697">
        <v>0</v>
      </c>
      <c r="K22" s="1597">
        <f t="shared" si="6"/>
        <v>1.6E-2</v>
      </c>
      <c r="L22" s="1655"/>
      <c r="M22" s="1655"/>
      <c r="N22" s="1655"/>
      <c r="O22" s="1655"/>
      <c r="P22" s="1655"/>
      <c r="Q22" s="1655"/>
      <c r="R22" s="1655"/>
      <c r="S22" s="1655"/>
      <c r="T22" s="1656"/>
      <c r="U22" s="242"/>
      <c r="V22" s="1071" t="s">
        <v>12467</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7" t="s">
        <v>12468</v>
      </c>
      <c r="AU22" s="354" t="s">
        <v>3630</v>
      </c>
      <c r="AV22" s="697" t="s">
        <v>12469</v>
      </c>
      <c r="AW22" s="697" t="s">
        <v>12470</v>
      </c>
      <c r="AX22" s="697" t="s">
        <v>12471</v>
      </c>
      <c r="AY22" s="697" t="s">
        <v>12472</v>
      </c>
      <c r="AZ22" s="697" t="s">
        <v>12473</v>
      </c>
      <c r="BA22" s="677" t="s">
        <v>12474</v>
      </c>
      <c r="BB22" s="1074"/>
      <c r="BC22" s="1074"/>
      <c r="BD22" s="1074"/>
      <c r="BE22" s="1074"/>
      <c r="BF22" s="1074"/>
      <c r="BG22" s="1074"/>
      <c r="BH22" s="1074"/>
      <c r="BI22" s="1074"/>
      <c r="BJ22" s="1075"/>
    </row>
    <row r="23" spans="1:62" ht="15.75" customHeight="1">
      <c r="A23" s="197"/>
      <c r="B23" s="1067" t="s">
        <v>12466</v>
      </c>
      <c r="C23" s="354" t="s">
        <v>3631</v>
      </c>
      <c r="D23" s="286" t="s">
        <v>681</v>
      </c>
      <c r="E23" s="286">
        <v>3</v>
      </c>
      <c r="F23" s="697">
        <v>5.7000000000000002E-2</v>
      </c>
      <c r="G23" s="697">
        <v>0</v>
      </c>
      <c r="H23" s="697">
        <v>0</v>
      </c>
      <c r="I23" s="697">
        <v>0</v>
      </c>
      <c r="J23" s="697">
        <v>0</v>
      </c>
      <c r="K23" s="1597">
        <f t="shared" si="6"/>
        <v>5.7000000000000002E-2</v>
      </c>
      <c r="L23" s="1655"/>
      <c r="M23" s="1660"/>
      <c r="N23" s="1660"/>
      <c r="O23" s="1660"/>
      <c r="P23" s="1660"/>
      <c r="Q23" s="1658"/>
      <c r="R23" s="1660"/>
      <c r="S23" s="1660"/>
      <c r="T23" s="1659"/>
      <c r="U23" s="242"/>
      <c r="V23" s="1071" t="s">
        <v>12475</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7" t="s">
        <v>12468</v>
      </c>
      <c r="AU23" s="354" t="s">
        <v>3631</v>
      </c>
      <c r="AV23" s="697" t="s">
        <v>12476</v>
      </c>
      <c r="AW23" s="697" t="s">
        <v>12477</v>
      </c>
      <c r="AX23" s="697" t="s">
        <v>12478</v>
      </c>
      <c r="AY23" s="697" t="s">
        <v>12479</v>
      </c>
      <c r="AZ23" s="697" t="s">
        <v>12480</v>
      </c>
      <c r="BA23" s="677" t="s">
        <v>12481</v>
      </c>
      <c r="BB23" s="1074"/>
      <c r="BC23" s="1079"/>
      <c r="BD23" s="1079"/>
      <c r="BE23" s="1079"/>
      <c r="BF23" s="1079"/>
      <c r="BG23" s="1077"/>
      <c r="BH23" s="1079"/>
      <c r="BI23" s="1079"/>
      <c r="BJ23" s="1078"/>
    </row>
    <row r="24" spans="1:62" ht="15.75" customHeight="1">
      <c r="A24" s="197"/>
      <c r="B24" s="1067" t="s">
        <v>12466</v>
      </c>
      <c r="C24" s="354" t="s">
        <v>3632</v>
      </c>
      <c r="D24" s="286" t="s">
        <v>681</v>
      </c>
      <c r="E24" s="286">
        <v>3</v>
      </c>
      <c r="F24" s="1597">
        <f>IFERROR(SUM(F22:F23), 0)</f>
        <v>5.7000000000000002E-2</v>
      </c>
      <c r="G24" s="1597">
        <f>IFERROR(SUM(G22:G23), 0)</f>
        <v>0</v>
      </c>
      <c r="H24" s="1597">
        <f>IFERROR(SUM(H22:H23), 0)</f>
        <v>0</v>
      </c>
      <c r="I24" s="1597">
        <f>IFERROR(SUM(I22:I23), 0)</f>
        <v>1.6E-2</v>
      </c>
      <c r="J24" s="1597">
        <f>IFERROR(SUM(J22:J23), 0)</f>
        <v>0</v>
      </c>
      <c r="K24" s="1597">
        <f t="shared" si="6"/>
        <v>7.3000000000000009E-2</v>
      </c>
      <c r="L24" s="1655"/>
      <c r="M24" s="1660"/>
      <c r="N24" s="1660"/>
      <c r="O24" s="1660"/>
      <c r="P24" s="1660"/>
      <c r="Q24" s="1658"/>
      <c r="R24" s="697">
        <v>0.11400000000000002</v>
      </c>
      <c r="S24" s="697">
        <v>4.282</v>
      </c>
      <c r="T24" s="698">
        <v>5.2960000000000003</v>
      </c>
      <c r="U24" s="242"/>
      <c r="V24" s="1071" t="s">
        <v>12482</v>
      </c>
      <c r="W24" s="197"/>
      <c r="X24" s="291"/>
      <c r="Y24" s="197"/>
      <c r="Z24" s="345"/>
      <c r="AA24" s="284">
        <f t="shared" si="0"/>
        <v>0</v>
      </c>
      <c r="AB24" s="828"/>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7" t="s">
        <v>12468</v>
      </c>
      <c r="AU24" s="354" t="s">
        <v>3632</v>
      </c>
      <c r="AV24" s="677" t="s">
        <v>12483</v>
      </c>
      <c r="AW24" s="677" t="s">
        <v>12484</v>
      </c>
      <c r="AX24" s="677" t="s">
        <v>12485</v>
      </c>
      <c r="AY24" s="677" t="s">
        <v>12486</v>
      </c>
      <c r="AZ24" s="677" t="s">
        <v>12487</v>
      </c>
      <c r="BA24" s="677" t="s">
        <v>12488</v>
      </c>
      <c r="BB24" s="1074"/>
      <c r="BC24" s="1079"/>
      <c r="BD24" s="1079"/>
      <c r="BE24" s="1079"/>
      <c r="BF24" s="1079"/>
      <c r="BG24" s="1077"/>
      <c r="BH24" s="1072" t="s">
        <v>12489</v>
      </c>
      <c r="BI24" s="1072" t="s">
        <v>12490</v>
      </c>
      <c r="BJ24" s="1073" t="s">
        <v>12491</v>
      </c>
    </row>
    <row r="25" spans="1:62" ht="15.75" customHeight="1">
      <c r="A25" s="197"/>
      <c r="B25" s="1067" t="s">
        <v>12492</v>
      </c>
      <c r="C25" s="354" t="s">
        <v>3630</v>
      </c>
      <c r="D25" s="286" t="s">
        <v>681</v>
      </c>
      <c r="E25" s="286">
        <v>3</v>
      </c>
      <c r="F25" s="697">
        <v>0.19800000000000001</v>
      </c>
      <c r="G25" s="697">
        <v>0</v>
      </c>
      <c r="H25" s="697">
        <v>0</v>
      </c>
      <c r="I25" s="697">
        <v>0</v>
      </c>
      <c r="J25" s="697">
        <v>0</v>
      </c>
      <c r="K25" s="1597">
        <f>IFERROR(SUM(F25:J25), 0)</f>
        <v>0.19800000000000001</v>
      </c>
      <c r="L25" s="2362">
        <v>0.253</v>
      </c>
      <c r="M25" s="2362">
        <v>0</v>
      </c>
      <c r="N25" s="2362">
        <v>0</v>
      </c>
      <c r="O25" s="2362">
        <v>0</v>
      </c>
      <c r="P25" s="2362">
        <v>0</v>
      </c>
      <c r="Q25" s="2363">
        <f>IFERROR(SUM(L25:P25), 0)</f>
        <v>0.253</v>
      </c>
      <c r="R25" s="1660"/>
      <c r="S25" s="1660"/>
      <c r="T25" s="1659"/>
      <c r="U25" s="242"/>
      <c r="V25" s="1071" t="s">
        <v>12493</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7" t="s">
        <v>12492</v>
      </c>
      <c r="AU25" s="354" t="s">
        <v>3630</v>
      </c>
      <c r="AV25" s="697" t="s">
        <v>12494</v>
      </c>
      <c r="AW25" s="697" t="s">
        <v>12495</v>
      </c>
      <c r="AX25" s="697" t="s">
        <v>12496</v>
      </c>
      <c r="AY25" s="697" t="s">
        <v>12497</v>
      </c>
      <c r="AZ25" s="697" t="s">
        <v>12498</v>
      </c>
      <c r="BA25" s="677" t="s">
        <v>12499</v>
      </c>
      <c r="BB25" s="2362" t="s">
        <v>2556</v>
      </c>
      <c r="BC25" s="2362" t="s">
        <v>2558</v>
      </c>
      <c r="BD25" s="2362" t="s">
        <v>2560</v>
      </c>
      <c r="BE25" s="2362" t="s">
        <v>2562</v>
      </c>
      <c r="BF25" s="2362" t="s">
        <v>2564</v>
      </c>
      <c r="BG25" s="2363" t="s">
        <v>2566</v>
      </c>
      <c r="BH25" s="1079"/>
      <c r="BI25" s="1079"/>
      <c r="BJ25" s="1078"/>
    </row>
    <row r="26" spans="1:62" ht="15.75" customHeight="1">
      <c r="A26" s="197"/>
      <c r="B26" s="1067" t="s">
        <v>12492</v>
      </c>
      <c r="C26" s="354" t="s">
        <v>3631</v>
      </c>
      <c r="D26" s="286" t="s">
        <v>681</v>
      </c>
      <c r="E26" s="286">
        <v>3</v>
      </c>
      <c r="F26" s="697">
        <v>0.223</v>
      </c>
      <c r="G26" s="697">
        <v>0</v>
      </c>
      <c r="H26" s="697">
        <v>0</v>
      </c>
      <c r="I26" s="697">
        <v>0</v>
      </c>
      <c r="J26" s="697">
        <v>0</v>
      </c>
      <c r="K26" s="1597">
        <f t="shared" si="6"/>
        <v>0.223</v>
      </c>
      <c r="L26" s="2362">
        <v>0.874</v>
      </c>
      <c r="M26" s="2362">
        <v>0</v>
      </c>
      <c r="N26" s="2362">
        <v>0</v>
      </c>
      <c r="O26" s="2362">
        <v>0</v>
      </c>
      <c r="P26" s="2362">
        <v>0</v>
      </c>
      <c r="Q26" s="2363">
        <f>IFERROR(SUM(L26:P26), 0)</f>
        <v>0.874</v>
      </c>
      <c r="R26" s="1660"/>
      <c r="S26" s="1660"/>
      <c r="T26" s="1659"/>
      <c r="U26" s="242"/>
      <c r="V26" s="1071" t="s">
        <v>12500</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7" t="s">
        <v>12492</v>
      </c>
      <c r="AU26" s="354" t="s">
        <v>3631</v>
      </c>
      <c r="AV26" s="697" t="s">
        <v>12501</v>
      </c>
      <c r="AW26" s="697" t="s">
        <v>12502</v>
      </c>
      <c r="AX26" s="697" t="s">
        <v>12503</v>
      </c>
      <c r="AY26" s="697" t="s">
        <v>12504</v>
      </c>
      <c r="AZ26" s="697" t="s">
        <v>12505</v>
      </c>
      <c r="BA26" s="677" t="s">
        <v>12506</v>
      </c>
      <c r="BB26" s="2362" t="s">
        <v>2568</v>
      </c>
      <c r="BC26" s="2362" t="s">
        <v>2569</v>
      </c>
      <c r="BD26" s="2362" t="s">
        <v>2570</v>
      </c>
      <c r="BE26" s="2362" t="s">
        <v>2571</v>
      </c>
      <c r="BF26" s="2362" t="s">
        <v>2572</v>
      </c>
      <c r="BG26" s="2363" t="s">
        <v>2573</v>
      </c>
      <c r="BH26" s="1079"/>
      <c r="BI26" s="1079"/>
      <c r="BJ26" s="1078"/>
    </row>
    <row r="27" spans="1:62" ht="15.75" customHeight="1">
      <c r="A27" s="197"/>
      <c r="B27" s="1067" t="s">
        <v>12492</v>
      </c>
      <c r="C27" s="354" t="s">
        <v>3632</v>
      </c>
      <c r="D27" s="286" t="s">
        <v>681</v>
      </c>
      <c r="E27" s="286">
        <v>3</v>
      </c>
      <c r="F27" s="1597">
        <f>IFERROR(SUM(F25:F26), 0)</f>
        <v>0.42100000000000004</v>
      </c>
      <c r="G27" s="1597">
        <f>IFERROR(SUM(G25:G26), 0)</f>
        <v>0</v>
      </c>
      <c r="H27" s="1597">
        <f>IFERROR(SUM(H25:H26), 0)</f>
        <v>0</v>
      </c>
      <c r="I27" s="1597">
        <f>IFERROR(SUM(I25:I26), 0)</f>
        <v>0</v>
      </c>
      <c r="J27" s="1597">
        <f>IFERROR(SUM(J25:J26), 0)</f>
        <v>0</v>
      </c>
      <c r="K27" s="1597">
        <f t="shared" si="6"/>
        <v>0.42100000000000004</v>
      </c>
      <c r="L27" s="2364">
        <f>IFERROR(SUM(L25:L26), 0)</f>
        <v>1.127</v>
      </c>
      <c r="M27" s="2364">
        <f>IFERROR(SUM(M25:M26), 0)</f>
        <v>0</v>
      </c>
      <c r="N27" s="2364">
        <f t="shared" ref="N27:P27" si="51">IFERROR(SUM(N25:N26), 0)</f>
        <v>0</v>
      </c>
      <c r="O27" s="2364">
        <f t="shared" si="51"/>
        <v>0</v>
      </c>
      <c r="P27" s="2364">
        <f t="shared" si="51"/>
        <v>0</v>
      </c>
      <c r="Q27" s="2363">
        <f>IFERROR(SUM(L27:P27), 0)</f>
        <v>1.127</v>
      </c>
      <c r="R27" s="697">
        <v>0.74</v>
      </c>
      <c r="S27" s="697">
        <v>0</v>
      </c>
      <c r="T27" s="698">
        <v>0</v>
      </c>
      <c r="U27" s="242"/>
      <c r="V27" s="1071" t="s">
        <v>12507</v>
      </c>
      <c r="W27" s="197"/>
      <c r="X27" s="291"/>
      <c r="Y27" s="197"/>
      <c r="Z27" s="345"/>
      <c r="AA27" s="284">
        <f t="shared" si="0"/>
        <v>0</v>
      </c>
      <c r="AB27" s="828"/>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7" t="s">
        <v>12492</v>
      </c>
      <c r="AU27" s="354" t="s">
        <v>3632</v>
      </c>
      <c r="AV27" s="677" t="s">
        <v>12508</v>
      </c>
      <c r="AW27" s="677" t="s">
        <v>12509</v>
      </c>
      <c r="AX27" s="677" t="s">
        <v>12510</v>
      </c>
      <c r="AY27" s="677" t="s">
        <v>12511</v>
      </c>
      <c r="AZ27" s="677" t="s">
        <v>12512</v>
      </c>
      <c r="BA27" s="677" t="s">
        <v>12513</v>
      </c>
      <c r="BB27" s="2364" t="s">
        <v>2574</v>
      </c>
      <c r="BC27" s="2364" t="s">
        <v>2575</v>
      </c>
      <c r="BD27" s="2364" t="s">
        <v>2576</v>
      </c>
      <c r="BE27" s="2364" t="s">
        <v>2577</v>
      </c>
      <c r="BF27" s="2364" t="s">
        <v>2578</v>
      </c>
      <c r="BG27" s="2363" t="s">
        <v>2579</v>
      </c>
      <c r="BH27" s="1072" t="s">
        <v>12514</v>
      </c>
      <c r="BI27" s="1072" t="s">
        <v>12515</v>
      </c>
      <c r="BJ27" s="1073" t="s">
        <v>12516</v>
      </c>
    </row>
    <row r="28" spans="1:62" ht="15.75" customHeight="1" thickBot="1">
      <c r="A28" s="197"/>
      <c r="B28" s="1080" t="s">
        <v>12517</v>
      </c>
      <c r="C28" s="1081" t="s">
        <v>3632</v>
      </c>
      <c r="D28" s="355" t="s">
        <v>681</v>
      </c>
      <c r="E28" s="355">
        <v>3</v>
      </c>
      <c r="F28" s="1589">
        <f>IFERROR(SUM(F12,F15,F18,F21,F24,F27), 0)</f>
        <v>1.4390000000000001</v>
      </c>
      <c r="G28" s="1589">
        <f t="shared" ref="G28:I28" si="55">IFERROR(SUM(G12,G15,G18,G21,G24,G27), 0)</f>
        <v>0</v>
      </c>
      <c r="H28" s="1589">
        <f t="shared" si="55"/>
        <v>0</v>
      </c>
      <c r="I28" s="1589">
        <f t="shared" si="55"/>
        <v>1.6E-2</v>
      </c>
      <c r="J28" s="1589">
        <f>IFERROR(SUM(J12,J15,J18,J21,J24,J27), 0)</f>
        <v>0</v>
      </c>
      <c r="K28" s="1589">
        <f>IFERROR(SUM(F28:J28), 0)</f>
        <v>1.4550000000000001</v>
      </c>
      <c r="L28" s="1661"/>
      <c r="M28" s="1662"/>
      <c r="N28" s="1662"/>
      <c r="O28" s="1662"/>
      <c r="P28" s="1662"/>
      <c r="Q28" s="1663"/>
      <c r="R28" s="1664">
        <f>IFERROR(SUM(R27,R24,R21,R18,R15,R12), 0)</f>
        <v>10.546999999999999</v>
      </c>
      <c r="S28" s="1664">
        <f>IFERROR(SUM(S27,S24,S21,S18,S15,S12), 0)</f>
        <v>13.525</v>
      </c>
      <c r="T28" s="1665">
        <f>IFERROR(SUM(T27,T24,T21,T18,T15,T12), 0)</f>
        <v>16.727</v>
      </c>
      <c r="U28" s="242"/>
      <c r="V28" s="1085" t="s">
        <v>12518</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12517</v>
      </c>
      <c r="AU28" s="1081" t="s">
        <v>3632</v>
      </c>
      <c r="AV28" s="679" t="s">
        <v>12519</v>
      </c>
      <c r="AW28" s="679" t="s">
        <v>12520</v>
      </c>
      <c r="AX28" s="679" t="s">
        <v>12521</v>
      </c>
      <c r="AY28" s="679" t="s">
        <v>12522</v>
      </c>
      <c r="AZ28" s="679" t="s">
        <v>12523</v>
      </c>
      <c r="BA28" s="679" t="s">
        <v>12524</v>
      </c>
      <c r="BB28" s="2566"/>
      <c r="BC28" s="2566"/>
      <c r="BD28" s="2566"/>
      <c r="BE28" s="2566"/>
      <c r="BF28" s="2566"/>
      <c r="BG28" s="2567"/>
      <c r="BH28" s="1084" t="s">
        <v>12525</v>
      </c>
      <c r="BI28" s="1084" t="s">
        <v>12526</v>
      </c>
      <c r="BJ28" s="807" t="s">
        <v>12527</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12528</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12528</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3630</v>
      </c>
      <c r="D31" s="277" t="s">
        <v>681</v>
      </c>
      <c r="E31" s="277">
        <v>3</v>
      </c>
      <c r="F31" s="694">
        <v>0</v>
      </c>
      <c r="G31" s="694">
        <v>0</v>
      </c>
      <c r="H31" s="694">
        <v>0</v>
      </c>
      <c r="I31" s="694">
        <v>0</v>
      </c>
      <c r="J31" s="694">
        <v>0</v>
      </c>
      <c r="K31" s="1595">
        <f>IFERROR(SUM(F31:J31), 0)</f>
        <v>0</v>
      </c>
      <c r="L31" s="2557">
        <v>0</v>
      </c>
      <c r="M31" s="2557">
        <v>0</v>
      </c>
      <c r="N31" s="2557">
        <v>0</v>
      </c>
      <c r="O31" s="2557">
        <v>0</v>
      </c>
      <c r="P31" s="2557">
        <v>0</v>
      </c>
      <c r="Q31" s="2365">
        <f>IFERROR(SUM(L31:P31), 0)</f>
        <v>0</v>
      </c>
      <c r="R31" s="1668"/>
      <c r="S31" s="1668"/>
      <c r="T31" s="1669"/>
      <c r="U31" s="242"/>
      <c r="V31" s="1066" t="s">
        <v>12529</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2" t="s">
        <v>33</v>
      </c>
      <c r="AU31" s="1063" t="s">
        <v>3630</v>
      </c>
      <c r="AV31" s="694" t="s">
        <v>12530</v>
      </c>
      <c r="AW31" s="694" t="s">
        <v>12531</v>
      </c>
      <c r="AX31" s="694" t="s">
        <v>12532</v>
      </c>
      <c r="AY31" s="694" t="s">
        <v>12533</v>
      </c>
      <c r="AZ31" s="694" t="s">
        <v>12534</v>
      </c>
      <c r="BA31" s="675" t="s">
        <v>12535</v>
      </c>
      <c r="BB31" s="2557" t="s">
        <v>2580</v>
      </c>
      <c r="BC31" s="2557" t="s">
        <v>2582</v>
      </c>
      <c r="BD31" s="2557" t="s">
        <v>2584</v>
      </c>
      <c r="BE31" s="2557" t="s">
        <v>2586</v>
      </c>
      <c r="BF31" s="2557" t="s">
        <v>2588</v>
      </c>
      <c r="BG31" s="2365" t="s">
        <v>2590</v>
      </c>
      <c r="BH31" s="1088"/>
      <c r="BI31" s="1088"/>
      <c r="BJ31" s="1089"/>
    </row>
    <row r="32" spans="1:62" ht="32.25" customHeight="1">
      <c r="A32" s="197"/>
      <c r="B32" s="1067" t="s">
        <v>33</v>
      </c>
      <c r="C32" s="354" t="s">
        <v>3631</v>
      </c>
      <c r="D32" s="286" t="s">
        <v>681</v>
      </c>
      <c r="E32" s="286">
        <v>3</v>
      </c>
      <c r="F32" s="697">
        <v>0</v>
      </c>
      <c r="G32" s="697">
        <v>0</v>
      </c>
      <c r="H32" s="697">
        <v>0</v>
      </c>
      <c r="I32" s="697">
        <v>0</v>
      </c>
      <c r="J32" s="697">
        <v>0</v>
      </c>
      <c r="K32" s="1597">
        <f t="shared" ref="K32:K49" si="62">IFERROR(SUM(F32:J32), 0)</f>
        <v>0</v>
      </c>
      <c r="L32" s="2362">
        <v>0</v>
      </c>
      <c r="M32" s="2362">
        <v>0</v>
      </c>
      <c r="N32" s="2362">
        <v>0</v>
      </c>
      <c r="O32" s="2362">
        <v>0</v>
      </c>
      <c r="P32" s="2362">
        <v>0</v>
      </c>
      <c r="Q32" s="2363">
        <f>IFERROR(SUM(L32:P32), 0)</f>
        <v>0</v>
      </c>
      <c r="R32" s="1660"/>
      <c r="S32" s="1660"/>
      <c r="T32" s="1659"/>
      <c r="U32" s="242"/>
      <c r="V32" s="1071" t="s">
        <v>12536</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7" t="s">
        <v>33</v>
      </c>
      <c r="AU32" s="354" t="s">
        <v>3631</v>
      </c>
      <c r="AV32" s="697" t="s">
        <v>12537</v>
      </c>
      <c r="AW32" s="697" t="s">
        <v>12538</v>
      </c>
      <c r="AX32" s="697" t="s">
        <v>12539</v>
      </c>
      <c r="AY32" s="697" t="s">
        <v>12540</v>
      </c>
      <c r="AZ32" s="697" t="s">
        <v>12541</v>
      </c>
      <c r="BA32" s="677" t="s">
        <v>12542</v>
      </c>
      <c r="BB32" s="2362" t="s">
        <v>2592</v>
      </c>
      <c r="BC32" s="2362" t="s">
        <v>2593</v>
      </c>
      <c r="BD32" s="2362" t="s">
        <v>2594</v>
      </c>
      <c r="BE32" s="2362" t="s">
        <v>2595</v>
      </c>
      <c r="BF32" s="2362" t="s">
        <v>2596</v>
      </c>
      <c r="BG32" s="2363" t="s">
        <v>2597</v>
      </c>
      <c r="BH32" s="1079"/>
      <c r="BI32" s="1079"/>
      <c r="BJ32" s="1078"/>
    </row>
    <row r="33" spans="1:62" ht="32.25" customHeight="1">
      <c r="A33" s="197"/>
      <c r="B33" s="1067" t="s">
        <v>33</v>
      </c>
      <c r="C33" s="354" t="s">
        <v>3632</v>
      </c>
      <c r="D33" s="286" t="s">
        <v>681</v>
      </c>
      <c r="E33" s="286">
        <v>3</v>
      </c>
      <c r="F33" s="1597">
        <f>IFERROR(SUM(F31:F32), 0)</f>
        <v>0</v>
      </c>
      <c r="G33" s="1597">
        <f t="shared" ref="G33:I33" si="63">IFERROR(SUM(G31:G32), 0)</f>
        <v>0</v>
      </c>
      <c r="H33" s="1597">
        <f t="shared" si="63"/>
        <v>0</v>
      </c>
      <c r="I33" s="1597">
        <f t="shared" si="63"/>
        <v>0</v>
      </c>
      <c r="J33" s="1597">
        <f>IFERROR(SUM(J31:J32), 0)</f>
        <v>0</v>
      </c>
      <c r="K33" s="1597">
        <f>IFERROR(SUM(F33:J33), 0)</f>
        <v>0</v>
      </c>
      <c r="L33" s="2364">
        <f>IFERROR(SUM(L31:L32), 0)</f>
        <v>0</v>
      </c>
      <c r="M33" s="2364">
        <f>IFERROR(SUM(M31:M32), 0)</f>
        <v>0</v>
      </c>
      <c r="N33" s="2364">
        <f t="shared" ref="N33:P33" si="64">IFERROR(SUM(N31:N32), 0)</f>
        <v>0</v>
      </c>
      <c r="O33" s="2364">
        <f t="shared" si="64"/>
        <v>0</v>
      </c>
      <c r="P33" s="2364">
        <f t="shared" si="64"/>
        <v>0</v>
      </c>
      <c r="Q33" s="2363">
        <f>IFERROR(SUM(L33:P33), 0)</f>
        <v>0</v>
      </c>
      <c r="R33" s="697">
        <v>0.20599999999999999</v>
      </c>
      <c r="S33" s="697">
        <v>0</v>
      </c>
      <c r="T33" s="698">
        <v>0</v>
      </c>
      <c r="U33" s="242"/>
      <c r="V33" s="1071" t="s">
        <v>12543</v>
      </c>
      <c r="W33" s="197"/>
      <c r="X33" s="291"/>
      <c r="Y33" s="197"/>
      <c r="Z33" s="345"/>
      <c r="AA33" s="284">
        <f t="shared" si="56"/>
        <v>0</v>
      </c>
      <c r="AB33" s="828"/>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7" t="s">
        <v>33</v>
      </c>
      <c r="AU33" s="354" t="s">
        <v>3632</v>
      </c>
      <c r="AV33" s="677" t="s">
        <v>12544</v>
      </c>
      <c r="AW33" s="677" t="s">
        <v>12545</v>
      </c>
      <c r="AX33" s="677" t="s">
        <v>12546</v>
      </c>
      <c r="AY33" s="677" t="s">
        <v>12547</v>
      </c>
      <c r="AZ33" s="677" t="s">
        <v>12548</v>
      </c>
      <c r="BA33" s="677" t="s">
        <v>12549</v>
      </c>
      <c r="BB33" s="2364" t="s">
        <v>2598</v>
      </c>
      <c r="BC33" s="2364" t="s">
        <v>2599</v>
      </c>
      <c r="BD33" s="2364" t="s">
        <v>2600</v>
      </c>
      <c r="BE33" s="2364" t="s">
        <v>2601</v>
      </c>
      <c r="BF33" s="2364" t="s">
        <v>2602</v>
      </c>
      <c r="BG33" s="2363" t="s">
        <v>2603</v>
      </c>
      <c r="BH33" s="1072" t="s">
        <v>12550</v>
      </c>
      <c r="BI33" s="1072" t="s">
        <v>12551</v>
      </c>
      <c r="BJ33" s="1073" t="s">
        <v>12552</v>
      </c>
    </row>
    <row r="34" spans="1:62" ht="32.25" customHeight="1">
      <c r="A34" s="197"/>
      <c r="B34" s="1067" t="s">
        <v>49</v>
      </c>
      <c r="C34" s="354" t="s">
        <v>3630</v>
      </c>
      <c r="D34" s="286" t="s">
        <v>681</v>
      </c>
      <c r="E34" s="286">
        <v>3</v>
      </c>
      <c r="F34" s="697">
        <v>0</v>
      </c>
      <c r="G34" s="697">
        <v>0</v>
      </c>
      <c r="H34" s="697">
        <v>0</v>
      </c>
      <c r="I34" s="697">
        <v>0</v>
      </c>
      <c r="J34" s="697">
        <v>0</v>
      </c>
      <c r="K34" s="1597">
        <f t="shared" si="62"/>
        <v>0</v>
      </c>
      <c r="L34" s="1660"/>
      <c r="M34" s="1660"/>
      <c r="N34" s="1660"/>
      <c r="O34" s="1660"/>
      <c r="P34" s="1660"/>
      <c r="Q34" s="1658"/>
      <c r="R34" s="1660"/>
      <c r="S34" s="1660"/>
      <c r="T34" s="1659"/>
      <c r="U34" s="242"/>
      <c r="V34" s="1071" t="s">
        <v>12553</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7" t="s">
        <v>49</v>
      </c>
      <c r="AU34" s="354" t="s">
        <v>3630</v>
      </c>
      <c r="AV34" s="697" t="s">
        <v>12554</v>
      </c>
      <c r="AW34" s="697" t="s">
        <v>12555</v>
      </c>
      <c r="AX34" s="697" t="s">
        <v>12556</v>
      </c>
      <c r="AY34" s="697" t="s">
        <v>12557</v>
      </c>
      <c r="AZ34" s="697" t="s">
        <v>12558</v>
      </c>
      <c r="BA34" s="677" t="s">
        <v>12559</v>
      </c>
      <c r="BB34" s="1079"/>
      <c r="BC34" s="1079"/>
      <c r="BD34" s="1079"/>
      <c r="BE34" s="1079"/>
      <c r="BF34" s="1079"/>
      <c r="BG34" s="1077"/>
      <c r="BH34" s="1079"/>
      <c r="BI34" s="1079"/>
      <c r="BJ34" s="1078"/>
    </row>
    <row r="35" spans="1:62" ht="32.25" customHeight="1">
      <c r="A35" s="197"/>
      <c r="B35" s="1067" t="s">
        <v>49</v>
      </c>
      <c r="C35" s="354" t="s">
        <v>3631</v>
      </c>
      <c r="D35" s="286" t="s">
        <v>681</v>
      </c>
      <c r="E35" s="286">
        <v>3</v>
      </c>
      <c r="F35" s="697">
        <v>0.373</v>
      </c>
      <c r="G35" s="697">
        <v>0</v>
      </c>
      <c r="H35" s="697">
        <v>0</v>
      </c>
      <c r="I35" s="697">
        <v>0.373</v>
      </c>
      <c r="J35" s="697">
        <v>0.373</v>
      </c>
      <c r="K35" s="1597">
        <f t="shared" si="62"/>
        <v>1.119</v>
      </c>
      <c r="L35" s="1660"/>
      <c r="M35" s="1660"/>
      <c r="N35" s="1660"/>
      <c r="O35" s="1660"/>
      <c r="P35" s="1660"/>
      <c r="Q35" s="1658"/>
      <c r="R35" s="1660"/>
      <c r="S35" s="1660"/>
      <c r="T35" s="1659"/>
      <c r="U35" s="242"/>
      <c r="V35" s="1071" t="s">
        <v>12560</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7" t="s">
        <v>49</v>
      </c>
      <c r="AU35" s="354" t="s">
        <v>3631</v>
      </c>
      <c r="AV35" s="697" t="s">
        <v>12561</v>
      </c>
      <c r="AW35" s="697" t="s">
        <v>12562</v>
      </c>
      <c r="AX35" s="697" t="s">
        <v>12563</v>
      </c>
      <c r="AY35" s="697" t="s">
        <v>12564</v>
      </c>
      <c r="AZ35" s="697" t="s">
        <v>12565</v>
      </c>
      <c r="BA35" s="677" t="s">
        <v>12566</v>
      </c>
      <c r="BB35" s="1079"/>
      <c r="BC35" s="1079"/>
      <c r="BD35" s="1079"/>
      <c r="BE35" s="1079"/>
      <c r="BF35" s="1079"/>
      <c r="BG35" s="1077"/>
      <c r="BH35" s="1079"/>
      <c r="BI35" s="1079"/>
      <c r="BJ35" s="1078"/>
    </row>
    <row r="36" spans="1:62" ht="32.25" customHeight="1">
      <c r="A36" s="197"/>
      <c r="B36" s="1067" t="s">
        <v>49</v>
      </c>
      <c r="C36" s="354" t="s">
        <v>3632</v>
      </c>
      <c r="D36" s="286" t="s">
        <v>681</v>
      </c>
      <c r="E36" s="286">
        <v>3</v>
      </c>
      <c r="F36" s="1597">
        <f>IFERROR(SUM(F34:F35), 0)</f>
        <v>0.373</v>
      </c>
      <c r="G36" s="1597">
        <f t="shared" ref="G36:J36" si="73">IFERROR(SUM(G34:G35), 0)</f>
        <v>0</v>
      </c>
      <c r="H36" s="1597">
        <f t="shared" si="73"/>
        <v>0</v>
      </c>
      <c r="I36" s="1597">
        <f>IFERROR(SUM(I34:I35), 0)</f>
        <v>0.373</v>
      </c>
      <c r="J36" s="1597">
        <f t="shared" si="73"/>
        <v>0.373</v>
      </c>
      <c r="K36" s="1597">
        <f t="shared" si="62"/>
        <v>1.119</v>
      </c>
      <c r="L36" s="1660"/>
      <c r="M36" s="1660"/>
      <c r="N36" s="1660"/>
      <c r="O36" s="1660"/>
      <c r="P36" s="1660"/>
      <c r="Q36" s="1658"/>
      <c r="R36" s="697">
        <v>2.7829999999999999</v>
      </c>
      <c r="S36" s="697">
        <v>0</v>
      </c>
      <c r="T36" s="698">
        <v>0</v>
      </c>
      <c r="U36" s="242"/>
      <c r="V36" s="1071" t="s">
        <v>12567</v>
      </c>
      <c r="W36" s="197"/>
      <c r="X36" s="291"/>
      <c r="Y36" s="197"/>
      <c r="Z36" s="345"/>
      <c r="AA36" s="284">
        <f t="shared" si="56"/>
        <v>0</v>
      </c>
      <c r="AB36" s="828"/>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7" t="s">
        <v>49</v>
      </c>
      <c r="AU36" s="354" t="s">
        <v>3632</v>
      </c>
      <c r="AV36" s="677" t="s">
        <v>12568</v>
      </c>
      <c r="AW36" s="677" t="s">
        <v>12569</v>
      </c>
      <c r="AX36" s="677" t="s">
        <v>12570</v>
      </c>
      <c r="AY36" s="677" t="s">
        <v>12571</v>
      </c>
      <c r="AZ36" s="677" t="s">
        <v>12572</v>
      </c>
      <c r="BA36" s="677" t="s">
        <v>12573</v>
      </c>
      <c r="BB36" s="1079"/>
      <c r="BC36" s="1079"/>
      <c r="BD36" s="1079"/>
      <c r="BE36" s="1079"/>
      <c r="BF36" s="1079"/>
      <c r="BG36" s="1077"/>
      <c r="BH36" s="1072" t="s">
        <v>12574</v>
      </c>
      <c r="BI36" s="1072" t="s">
        <v>12575</v>
      </c>
      <c r="BJ36" s="1073" t="s">
        <v>12576</v>
      </c>
    </row>
    <row r="37" spans="1:62" ht="15.75" customHeight="1">
      <c r="A37" s="197"/>
      <c r="B37" s="1067" t="s">
        <v>12577</v>
      </c>
      <c r="C37" s="354" t="s">
        <v>3630</v>
      </c>
      <c r="D37" s="286" t="s">
        <v>681</v>
      </c>
      <c r="E37" s="286">
        <v>3</v>
      </c>
      <c r="F37" s="697">
        <v>0</v>
      </c>
      <c r="G37" s="697">
        <v>0</v>
      </c>
      <c r="H37" s="697">
        <v>0</v>
      </c>
      <c r="I37" s="697">
        <v>0</v>
      </c>
      <c r="J37" s="697">
        <v>0</v>
      </c>
      <c r="K37" s="1597">
        <f t="shared" si="62"/>
        <v>0</v>
      </c>
      <c r="L37" s="697">
        <v>0</v>
      </c>
      <c r="M37" s="697">
        <v>0</v>
      </c>
      <c r="N37" s="697">
        <v>0</v>
      </c>
      <c r="O37" s="697">
        <v>0</v>
      </c>
      <c r="P37" s="697">
        <v>0</v>
      </c>
      <c r="Q37" s="1670">
        <f>IFERROR(SUM(L37:P37), 0)</f>
        <v>0</v>
      </c>
      <c r="R37" s="1660"/>
      <c r="S37" s="1660"/>
      <c r="T37" s="1659"/>
      <c r="U37" s="242"/>
      <c r="V37" s="1071" t="s">
        <v>12578</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7" t="s">
        <v>12577</v>
      </c>
      <c r="AU37" s="354" t="s">
        <v>3630</v>
      </c>
      <c r="AV37" s="697" t="s">
        <v>12579</v>
      </c>
      <c r="AW37" s="697" t="s">
        <v>12580</v>
      </c>
      <c r="AX37" s="697" t="s">
        <v>12581</v>
      </c>
      <c r="AY37" s="697" t="s">
        <v>12582</v>
      </c>
      <c r="AZ37" s="697" t="s">
        <v>12583</v>
      </c>
      <c r="BA37" s="677" t="s">
        <v>12584</v>
      </c>
      <c r="BB37" s="697" t="s">
        <v>12585</v>
      </c>
      <c r="BC37" s="697" t="s">
        <v>12586</v>
      </c>
      <c r="BD37" s="697" t="s">
        <v>12587</v>
      </c>
      <c r="BE37" s="697" t="s">
        <v>12588</v>
      </c>
      <c r="BF37" s="697" t="s">
        <v>12589</v>
      </c>
      <c r="BG37" s="797" t="s">
        <v>12590</v>
      </c>
      <c r="BH37" s="1079"/>
      <c r="BI37" s="1079"/>
      <c r="BJ37" s="1078"/>
    </row>
    <row r="38" spans="1:62" ht="15.75" customHeight="1">
      <c r="A38" s="197"/>
      <c r="B38" s="1067" t="s">
        <v>12577</v>
      </c>
      <c r="C38" s="354" t="s">
        <v>3631</v>
      </c>
      <c r="D38" s="286" t="s">
        <v>681</v>
      </c>
      <c r="E38" s="286">
        <v>3</v>
      </c>
      <c r="F38" s="697">
        <v>0</v>
      </c>
      <c r="G38" s="697">
        <v>0</v>
      </c>
      <c r="H38" s="697">
        <v>0</v>
      </c>
      <c r="I38" s="697">
        <v>0</v>
      </c>
      <c r="J38" s="697">
        <v>0</v>
      </c>
      <c r="K38" s="1597">
        <f t="shared" si="62"/>
        <v>0</v>
      </c>
      <c r="L38" s="697">
        <v>0</v>
      </c>
      <c r="M38" s="697">
        <v>0</v>
      </c>
      <c r="N38" s="697">
        <v>0</v>
      </c>
      <c r="O38" s="697">
        <v>0</v>
      </c>
      <c r="P38" s="697">
        <v>0</v>
      </c>
      <c r="Q38" s="1670">
        <f>IFERROR(SUM(L38:P38), 0)</f>
        <v>0</v>
      </c>
      <c r="R38" s="1660"/>
      <c r="S38" s="1660"/>
      <c r="T38" s="1659"/>
      <c r="U38" s="242"/>
      <c r="V38" s="1071" t="s">
        <v>12591</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7" t="s">
        <v>12577</v>
      </c>
      <c r="AU38" s="354" t="s">
        <v>3631</v>
      </c>
      <c r="AV38" s="697" t="s">
        <v>12592</v>
      </c>
      <c r="AW38" s="697" t="s">
        <v>12593</v>
      </c>
      <c r="AX38" s="697" t="s">
        <v>12594</v>
      </c>
      <c r="AY38" s="697" t="s">
        <v>12595</v>
      </c>
      <c r="AZ38" s="697" t="s">
        <v>12596</v>
      </c>
      <c r="BA38" s="677" t="s">
        <v>12597</v>
      </c>
      <c r="BB38" s="697" t="s">
        <v>12598</v>
      </c>
      <c r="BC38" s="697" t="s">
        <v>12599</v>
      </c>
      <c r="BD38" s="697" t="s">
        <v>12600</v>
      </c>
      <c r="BE38" s="697" t="s">
        <v>12601</v>
      </c>
      <c r="BF38" s="697" t="s">
        <v>12602</v>
      </c>
      <c r="BG38" s="797" t="s">
        <v>12603</v>
      </c>
      <c r="BH38" s="1079"/>
      <c r="BI38" s="1079"/>
      <c r="BJ38" s="1078"/>
    </row>
    <row r="39" spans="1:62" ht="15.75" customHeight="1">
      <c r="A39" s="197"/>
      <c r="B39" s="1067" t="s">
        <v>12577</v>
      </c>
      <c r="C39" s="354" t="s">
        <v>3632</v>
      </c>
      <c r="D39" s="286" t="s">
        <v>681</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v>0</v>
      </c>
      <c r="S39" s="697">
        <v>0</v>
      </c>
      <c r="T39" s="698">
        <v>0</v>
      </c>
      <c r="U39" s="197"/>
      <c r="V39" s="1071" t="s">
        <v>12604</v>
      </c>
      <c r="W39" s="197"/>
      <c r="X39" s="291"/>
      <c r="Y39" s="197"/>
      <c r="Z39" s="345"/>
      <c r="AA39" s="284">
        <f t="shared" si="56"/>
        <v>0</v>
      </c>
      <c r="AB39" s="828"/>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7" t="s">
        <v>12577</v>
      </c>
      <c r="AU39" s="354" t="s">
        <v>3632</v>
      </c>
      <c r="AV39" s="677" t="s">
        <v>12605</v>
      </c>
      <c r="AW39" s="677" t="s">
        <v>12606</v>
      </c>
      <c r="AX39" s="677" t="s">
        <v>12607</v>
      </c>
      <c r="AY39" s="677" t="s">
        <v>12608</v>
      </c>
      <c r="AZ39" s="677" t="s">
        <v>12609</v>
      </c>
      <c r="BA39" s="677" t="s">
        <v>12610</v>
      </c>
      <c r="BB39" s="797" t="s">
        <v>12611</v>
      </c>
      <c r="BC39" s="797" t="s">
        <v>12612</v>
      </c>
      <c r="BD39" s="797" t="s">
        <v>12613</v>
      </c>
      <c r="BE39" s="797" t="s">
        <v>12614</v>
      </c>
      <c r="BF39" s="797" t="s">
        <v>12615</v>
      </c>
      <c r="BG39" s="797" t="s">
        <v>12616</v>
      </c>
      <c r="BH39" s="1072" t="s">
        <v>12617</v>
      </c>
      <c r="BI39" s="1072" t="s">
        <v>12618</v>
      </c>
      <c r="BJ39" s="1073" t="s">
        <v>12619</v>
      </c>
    </row>
    <row r="40" spans="1:62" ht="15.75" customHeight="1">
      <c r="A40" s="197"/>
      <c r="B40" s="1067" t="s">
        <v>64</v>
      </c>
      <c r="C40" s="354" t="s">
        <v>3630</v>
      </c>
      <c r="D40" s="286" t="s">
        <v>681</v>
      </c>
      <c r="E40" s="286">
        <v>3</v>
      </c>
      <c r="F40" s="697">
        <v>0</v>
      </c>
      <c r="G40" s="697">
        <v>0</v>
      </c>
      <c r="H40" s="697">
        <v>0</v>
      </c>
      <c r="I40" s="697">
        <v>0</v>
      </c>
      <c r="J40" s="697">
        <v>0</v>
      </c>
      <c r="K40" s="1597">
        <f>IFERROR(SUM(F40:J40), 0)</f>
        <v>0</v>
      </c>
      <c r="L40" s="1655"/>
      <c r="M40" s="1660"/>
      <c r="N40" s="1660"/>
      <c r="O40" s="1660"/>
      <c r="P40" s="1660"/>
      <c r="Q40" s="1657"/>
      <c r="R40" s="1660"/>
      <c r="S40" s="1660"/>
      <c r="T40" s="1671"/>
      <c r="U40" s="197"/>
      <c r="V40" s="1071" t="s">
        <v>12620</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7" t="s">
        <v>64</v>
      </c>
      <c r="AU40" s="354" t="s">
        <v>3630</v>
      </c>
      <c r="AV40" s="697" t="s">
        <v>12621</v>
      </c>
      <c r="AW40" s="697" t="s">
        <v>12622</v>
      </c>
      <c r="AX40" s="697" t="s">
        <v>12623</v>
      </c>
      <c r="AY40" s="697" t="s">
        <v>12624</v>
      </c>
      <c r="AZ40" s="697" t="s">
        <v>12625</v>
      </c>
      <c r="BA40" s="677" t="s">
        <v>12626</v>
      </c>
      <c r="BB40" s="1074"/>
      <c r="BC40" s="1079"/>
      <c r="BD40" s="1079"/>
      <c r="BE40" s="1079"/>
      <c r="BF40" s="1079"/>
      <c r="BG40" s="1076"/>
      <c r="BH40" s="1079"/>
      <c r="BI40" s="1079"/>
      <c r="BJ40" s="1090"/>
    </row>
    <row r="41" spans="1:62" ht="15.75" customHeight="1">
      <c r="A41" s="197"/>
      <c r="B41" s="1067" t="s">
        <v>64</v>
      </c>
      <c r="C41" s="354" t="s">
        <v>3631</v>
      </c>
      <c r="D41" s="286" t="s">
        <v>681</v>
      </c>
      <c r="E41" s="286">
        <v>3</v>
      </c>
      <c r="F41" s="697">
        <v>0</v>
      </c>
      <c r="G41" s="697">
        <v>0</v>
      </c>
      <c r="H41" s="697">
        <v>0</v>
      </c>
      <c r="I41" s="697">
        <v>0</v>
      </c>
      <c r="J41" s="697">
        <v>0</v>
      </c>
      <c r="K41" s="1597">
        <f t="shared" si="62"/>
        <v>0</v>
      </c>
      <c r="L41" s="1655"/>
      <c r="M41" s="1660"/>
      <c r="N41" s="1660"/>
      <c r="O41" s="1660"/>
      <c r="P41" s="1660"/>
      <c r="Q41" s="1657"/>
      <c r="R41" s="1660"/>
      <c r="S41" s="1660"/>
      <c r="T41" s="1671"/>
      <c r="U41" s="197"/>
      <c r="V41" s="1071" t="s">
        <v>12627</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7" t="s">
        <v>64</v>
      </c>
      <c r="AU41" s="354" t="s">
        <v>3631</v>
      </c>
      <c r="AV41" s="697" t="s">
        <v>12628</v>
      </c>
      <c r="AW41" s="697" t="s">
        <v>12629</v>
      </c>
      <c r="AX41" s="697" t="s">
        <v>12630</v>
      </c>
      <c r="AY41" s="697" t="s">
        <v>12631</v>
      </c>
      <c r="AZ41" s="697" t="s">
        <v>12632</v>
      </c>
      <c r="BA41" s="677" t="s">
        <v>12633</v>
      </c>
      <c r="BB41" s="1074"/>
      <c r="BC41" s="1079"/>
      <c r="BD41" s="1079"/>
      <c r="BE41" s="1079"/>
      <c r="BF41" s="1079"/>
      <c r="BG41" s="1076"/>
      <c r="BH41" s="1079"/>
      <c r="BI41" s="1079"/>
      <c r="BJ41" s="1090"/>
    </row>
    <row r="42" spans="1:62" ht="15.75" customHeight="1">
      <c r="A42" s="197"/>
      <c r="B42" s="1067" t="s">
        <v>64</v>
      </c>
      <c r="C42" s="354" t="s">
        <v>3632</v>
      </c>
      <c r="D42" s="286" t="s">
        <v>681</v>
      </c>
      <c r="E42" s="286">
        <v>3</v>
      </c>
      <c r="F42" s="1597">
        <f>IFERROR(SUM(F40:F41), 0)</f>
        <v>0</v>
      </c>
      <c r="G42" s="1597">
        <f>IFERROR(SUM(G40:G41), 0)</f>
        <v>0</v>
      </c>
      <c r="H42" s="1597">
        <f>IFERROR(SUM(H40:H41), 0)</f>
        <v>0</v>
      </c>
      <c r="I42" s="1597">
        <f>IFERROR(SUM(I40:I41), 0)</f>
        <v>0</v>
      </c>
      <c r="J42" s="1597">
        <f>IFERROR(SUM(J40:J41), 0)</f>
        <v>0</v>
      </c>
      <c r="K42" s="1597">
        <f>IFERROR(SUM(F42:J42), 0)</f>
        <v>0</v>
      </c>
      <c r="L42" s="1655"/>
      <c r="M42" s="1660"/>
      <c r="N42" s="1660"/>
      <c r="O42" s="1660"/>
      <c r="P42" s="1660"/>
      <c r="Q42" s="1660"/>
      <c r="R42" s="697">
        <v>0</v>
      </c>
      <c r="S42" s="697">
        <v>0</v>
      </c>
      <c r="T42" s="698">
        <v>0</v>
      </c>
      <c r="U42" s="197"/>
      <c r="V42" s="1071" t="s">
        <v>12634</v>
      </c>
      <c r="W42" s="197"/>
      <c r="X42" s="291"/>
      <c r="Y42" s="197"/>
      <c r="Z42" s="345"/>
      <c r="AA42" s="284">
        <f t="shared" si="56"/>
        <v>0</v>
      </c>
      <c r="AB42" s="828"/>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7" t="s">
        <v>64</v>
      </c>
      <c r="AU42" s="354" t="s">
        <v>3632</v>
      </c>
      <c r="AV42" s="677" t="s">
        <v>12635</v>
      </c>
      <c r="AW42" s="677" t="s">
        <v>12636</v>
      </c>
      <c r="AX42" s="677" t="s">
        <v>12637</v>
      </c>
      <c r="AY42" s="677" t="s">
        <v>12638</v>
      </c>
      <c r="AZ42" s="677" t="s">
        <v>12639</v>
      </c>
      <c r="BA42" s="677" t="s">
        <v>12640</v>
      </c>
      <c r="BB42" s="1074"/>
      <c r="BC42" s="1079"/>
      <c r="BD42" s="1079"/>
      <c r="BE42" s="1079"/>
      <c r="BF42" s="1079"/>
      <c r="BG42" s="1079"/>
      <c r="BH42" s="1072" t="s">
        <v>12641</v>
      </c>
      <c r="BI42" s="1072" t="s">
        <v>12642</v>
      </c>
      <c r="BJ42" s="1073" t="s">
        <v>12643</v>
      </c>
    </row>
    <row r="43" spans="1:62" ht="32.25" customHeight="1">
      <c r="A43" s="197"/>
      <c r="B43" s="1067" t="s">
        <v>12644</v>
      </c>
      <c r="C43" s="354" t="s">
        <v>3630</v>
      </c>
      <c r="D43" s="286" t="s">
        <v>681</v>
      </c>
      <c r="E43" s="286">
        <v>3</v>
      </c>
      <c r="F43" s="697">
        <v>0</v>
      </c>
      <c r="G43" s="697">
        <v>0</v>
      </c>
      <c r="H43" s="697">
        <v>0</v>
      </c>
      <c r="I43" s="697">
        <v>0</v>
      </c>
      <c r="J43" s="697">
        <v>0</v>
      </c>
      <c r="K43" s="1597">
        <f t="shared" si="62"/>
        <v>0</v>
      </c>
      <c r="L43" s="1655"/>
      <c r="M43" s="1660"/>
      <c r="N43" s="1660"/>
      <c r="O43" s="1660"/>
      <c r="P43" s="1660"/>
      <c r="Q43" s="1660"/>
      <c r="R43" s="1660"/>
      <c r="S43" s="1660"/>
      <c r="T43" s="1672"/>
      <c r="U43" s="197"/>
      <c r="V43" s="1071" t="s">
        <v>12645</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7" t="s">
        <v>12644</v>
      </c>
      <c r="AU43" s="354" t="s">
        <v>3630</v>
      </c>
      <c r="AV43" s="697" t="s">
        <v>12646</v>
      </c>
      <c r="AW43" s="697" t="s">
        <v>12647</v>
      </c>
      <c r="AX43" s="697" t="s">
        <v>12648</v>
      </c>
      <c r="AY43" s="697" t="s">
        <v>12649</v>
      </c>
      <c r="AZ43" s="697" t="s">
        <v>12650</v>
      </c>
      <c r="BA43" s="677" t="s">
        <v>12651</v>
      </c>
      <c r="BB43" s="1074"/>
      <c r="BC43" s="1079"/>
      <c r="BD43" s="1079"/>
      <c r="BE43" s="1079"/>
      <c r="BF43" s="1079"/>
      <c r="BG43" s="1079"/>
      <c r="BH43" s="1079"/>
      <c r="BI43" s="1079"/>
      <c r="BJ43" s="1091"/>
    </row>
    <row r="44" spans="1:62" ht="32.25" customHeight="1">
      <c r="A44" s="197"/>
      <c r="B44" s="1067" t="s">
        <v>12644</v>
      </c>
      <c r="C44" s="354" t="s">
        <v>3631</v>
      </c>
      <c r="D44" s="286" t="s">
        <v>681</v>
      </c>
      <c r="E44" s="286">
        <v>3</v>
      </c>
      <c r="F44" s="697">
        <v>0</v>
      </c>
      <c r="G44" s="697">
        <v>0</v>
      </c>
      <c r="H44" s="697">
        <v>0</v>
      </c>
      <c r="I44" s="697">
        <v>0</v>
      </c>
      <c r="J44" s="697">
        <v>0</v>
      </c>
      <c r="K44" s="1597">
        <f>IFERROR(SUM(F44:J44), 0)</f>
        <v>0</v>
      </c>
      <c r="L44" s="1655"/>
      <c r="M44" s="1660"/>
      <c r="N44" s="1660"/>
      <c r="O44" s="1660"/>
      <c r="P44" s="1660"/>
      <c r="Q44" s="1660"/>
      <c r="R44" s="1660"/>
      <c r="S44" s="1660"/>
      <c r="T44" s="1672"/>
      <c r="U44" s="197"/>
      <c r="V44" s="1071" t="s">
        <v>12652</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7" t="s">
        <v>12644</v>
      </c>
      <c r="AU44" s="354" t="s">
        <v>3631</v>
      </c>
      <c r="AV44" s="697" t="s">
        <v>12653</v>
      </c>
      <c r="AW44" s="697" t="s">
        <v>12654</v>
      </c>
      <c r="AX44" s="697" t="s">
        <v>12655</v>
      </c>
      <c r="AY44" s="697" t="s">
        <v>12656</v>
      </c>
      <c r="AZ44" s="697" t="s">
        <v>12657</v>
      </c>
      <c r="BA44" s="677" t="s">
        <v>12658</v>
      </c>
      <c r="BB44" s="1074"/>
      <c r="BC44" s="1079"/>
      <c r="BD44" s="1079"/>
      <c r="BE44" s="1079"/>
      <c r="BF44" s="1079"/>
      <c r="BG44" s="1079"/>
      <c r="BH44" s="1079"/>
      <c r="BI44" s="1079"/>
      <c r="BJ44" s="1091"/>
    </row>
    <row r="45" spans="1:62" ht="32.25" customHeight="1">
      <c r="A45" s="197"/>
      <c r="B45" s="1067" t="s">
        <v>12644</v>
      </c>
      <c r="C45" s="354" t="s">
        <v>3632</v>
      </c>
      <c r="D45" s="286" t="s">
        <v>681</v>
      </c>
      <c r="E45" s="286">
        <v>3</v>
      </c>
      <c r="F45" s="1597">
        <f>IFERROR(SUM(F43:F44), 0)</f>
        <v>0</v>
      </c>
      <c r="G45" s="1597">
        <f t="shared" ref="G45:J45" si="105">IFERROR(SUM(G43:G44), 0)</f>
        <v>0</v>
      </c>
      <c r="H45" s="1597">
        <f t="shared" si="105"/>
        <v>0</v>
      </c>
      <c r="I45" s="1597">
        <f t="shared" si="105"/>
        <v>0</v>
      </c>
      <c r="J45" s="1597">
        <f t="shared" si="105"/>
        <v>0</v>
      </c>
      <c r="K45" s="1597">
        <f t="shared" si="62"/>
        <v>0</v>
      </c>
      <c r="L45" s="1655"/>
      <c r="M45" s="1660"/>
      <c r="N45" s="1660"/>
      <c r="O45" s="1660"/>
      <c r="P45" s="1660"/>
      <c r="Q45" s="1660"/>
      <c r="R45" s="697">
        <v>0</v>
      </c>
      <c r="S45" s="697">
        <v>0</v>
      </c>
      <c r="T45" s="698">
        <v>0</v>
      </c>
      <c r="U45" s="197"/>
      <c r="V45" s="1071" t="s">
        <v>12659</v>
      </c>
      <c r="W45" s="197"/>
      <c r="X45" s="291"/>
      <c r="Y45" s="197"/>
      <c r="Z45" s="345"/>
      <c r="AA45" s="284">
        <f t="shared" si="56"/>
        <v>0</v>
      </c>
      <c r="AB45" s="828"/>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7" t="s">
        <v>12644</v>
      </c>
      <c r="AU45" s="354" t="s">
        <v>3632</v>
      </c>
      <c r="AV45" s="677" t="s">
        <v>12660</v>
      </c>
      <c r="AW45" s="677" t="s">
        <v>12661</v>
      </c>
      <c r="AX45" s="677" t="s">
        <v>12662</v>
      </c>
      <c r="AY45" s="677" t="s">
        <v>12663</v>
      </c>
      <c r="AZ45" s="677" t="s">
        <v>12664</v>
      </c>
      <c r="BA45" s="677" t="s">
        <v>12665</v>
      </c>
      <c r="BB45" s="1074"/>
      <c r="BC45" s="1079"/>
      <c r="BD45" s="1079"/>
      <c r="BE45" s="1079"/>
      <c r="BF45" s="1079"/>
      <c r="BG45" s="1079"/>
      <c r="BH45" s="1072" t="s">
        <v>12666</v>
      </c>
      <c r="BI45" s="1072" t="s">
        <v>12667</v>
      </c>
      <c r="BJ45" s="1073" t="s">
        <v>12668</v>
      </c>
    </row>
    <row r="46" spans="1:62" ht="15.75" customHeight="1">
      <c r="A46" s="197"/>
      <c r="B46" s="1067" t="s">
        <v>12669</v>
      </c>
      <c r="C46" s="354" t="s">
        <v>3630</v>
      </c>
      <c r="D46" s="286" t="s">
        <v>681</v>
      </c>
      <c r="E46" s="286">
        <v>3</v>
      </c>
      <c r="F46" s="697">
        <v>0</v>
      </c>
      <c r="G46" s="697">
        <v>0</v>
      </c>
      <c r="H46" s="697">
        <v>0</v>
      </c>
      <c r="I46" s="697">
        <v>0</v>
      </c>
      <c r="J46" s="697">
        <v>0</v>
      </c>
      <c r="K46" s="1597">
        <f t="shared" si="62"/>
        <v>0</v>
      </c>
      <c r="L46" s="1655"/>
      <c r="M46" s="1660"/>
      <c r="N46" s="1660"/>
      <c r="O46" s="1660"/>
      <c r="P46" s="1660"/>
      <c r="Q46" s="1660"/>
      <c r="R46" s="1660"/>
      <c r="S46" s="1660"/>
      <c r="T46" s="1672"/>
      <c r="U46" s="197"/>
      <c r="V46" s="1071" t="s">
        <v>12670</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7" t="s">
        <v>12669</v>
      </c>
      <c r="AU46" s="354" t="s">
        <v>3630</v>
      </c>
      <c r="AV46" s="697" t="s">
        <v>12671</v>
      </c>
      <c r="AW46" s="697" t="s">
        <v>12672</v>
      </c>
      <c r="AX46" s="697" t="s">
        <v>12673</v>
      </c>
      <c r="AY46" s="697" t="s">
        <v>12674</v>
      </c>
      <c r="AZ46" s="697" t="s">
        <v>12675</v>
      </c>
      <c r="BA46" s="677" t="s">
        <v>12676</v>
      </c>
      <c r="BB46" s="1074"/>
      <c r="BC46" s="1079"/>
      <c r="BD46" s="1079"/>
      <c r="BE46" s="1079"/>
      <c r="BF46" s="1079"/>
      <c r="BG46" s="1079"/>
      <c r="BH46" s="1079"/>
      <c r="BI46" s="1079"/>
      <c r="BJ46" s="1091"/>
    </row>
    <row r="47" spans="1:62" ht="15.75" customHeight="1">
      <c r="A47" s="197"/>
      <c r="B47" s="1067" t="s">
        <v>12669</v>
      </c>
      <c r="C47" s="354" t="s">
        <v>3631</v>
      </c>
      <c r="D47" s="286" t="s">
        <v>681</v>
      </c>
      <c r="E47" s="286">
        <v>3</v>
      </c>
      <c r="F47" s="697">
        <v>0</v>
      </c>
      <c r="G47" s="697">
        <v>0</v>
      </c>
      <c r="H47" s="697">
        <v>0</v>
      </c>
      <c r="I47" s="697">
        <v>0</v>
      </c>
      <c r="J47" s="697">
        <v>0</v>
      </c>
      <c r="K47" s="1597">
        <f t="shared" si="62"/>
        <v>0</v>
      </c>
      <c r="L47" s="1655"/>
      <c r="M47" s="1660"/>
      <c r="N47" s="1660"/>
      <c r="O47" s="1660"/>
      <c r="P47" s="1660"/>
      <c r="Q47" s="1660"/>
      <c r="R47" s="1660"/>
      <c r="S47" s="1660"/>
      <c r="T47" s="1672"/>
      <c r="U47" s="197"/>
      <c r="V47" s="1071" t="s">
        <v>12677</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7" t="s">
        <v>12669</v>
      </c>
      <c r="AU47" s="354" t="s">
        <v>3631</v>
      </c>
      <c r="AV47" s="697" t="s">
        <v>12678</v>
      </c>
      <c r="AW47" s="697" t="s">
        <v>12679</v>
      </c>
      <c r="AX47" s="697" t="s">
        <v>12680</v>
      </c>
      <c r="AY47" s="697" t="s">
        <v>12681</v>
      </c>
      <c r="AZ47" s="697" t="s">
        <v>12682</v>
      </c>
      <c r="BA47" s="677" t="s">
        <v>12683</v>
      </c>
      <c r="BB47" s="1074"/>
      <c r="BC47" s="1079"/>
      <c r="BD47" s="1079"/>
      <c r="BE47" s="1079"/>
      <c r="BF47" s="1079"/>
      <c r="BG47" s="1079"/>
      <c r="BH47" s="1079"/>
      <c r="BI47" s="1079"/>
      <c r="BJ47" s="1091"/>
    </row>
    <row r="48" spans="1:62" ht="15.75" customHeight="1">
      <c r="A48" s="197"/>
      <c r="B48" s="1067" t="s">
        <v>12669</v>
      </c>
      <c r="C48" s="354" t="s">
        <v>3632</v>
      </c>
      <c r="D48" s="286" t="s">
        <v>681</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v>0</v>
      </c>
      <c r="S48" s="697">
        <v>0</v>
      </c>
      <c r="T48" s="698">
        <v>0</v>
      </c>
      <c r="U48" s="197"/>
      <c r="V48" s="1071" t="s">
        <v>12684</v>
      </c>
      <c r="W48" s="197"/>
      <c r="X48" s="291"/>
      <c r="Y48" s="197"/>
      <c r="Z48" s="345"/>
      <c r="AA48" s="284">
        <f t="shared" si="56"/>
        <v>0</v>
      </c>
      <c r="AB48" s="828"/>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7" t="s">
        <v>12669</v>
      </c>
      <c r="AU48" s="354" t="s">
        <v>3632</v>
      </c>
      <c r="AV48" s="677" t="s">
        <v>12685</v>
      </c>
      <c r="AW48" s="677" t="s">
        <v>12686</v>
      </c>
      <c r="AX48" s="677" t="s">
        <v>12687</v>
      </c>
      <c r="AY48" s="677" t="s">
        <v>12688</v>
      </c>
      <c r="AZ48" s="677" t="s">
        <v>12689</v>
      </c>
      <c r="BA48" s="677" t="s">
        <v>12690</v>
      </c>
      <c r="BB48" s="1074"/>
      <c r="BC48" s="1079"/>
      <c r="BD48" s="1079"/>
      <c r="BE48" s="1079"/>
      <c r="BF48" s="1079"/>
      <c r="BG48" s="1079"/>
      <c r="BH48" s="1072" t="s">
        <v>12691</v>
      </c>
      <c r="BI48" s="1072" t="s">
        <v>12692</v>
      </c>
      <c r="BJ48" s="1073" t="s">
        <v>12693</v>
      </c>
    </row>
    <row r="49" spans="1:62" ht="15.75" customHeight="1" thickBot="1">
      <c r="A49" s="197"/>
      <c r="B49" s="1080" t="s">
        <v>12694</v>
      </c>
      <c r="C49" s="1081" t="s">
        <v>3632</v>
      </c>
      <c r="D49" s="355" t="s">
        <v>681</v>
      </c>
      <c r="E49" s="355">
        <v>3</v>
      </c>
      <c r="F49" s="1589">
        <f>IFERROR(SUM(F33,F36,F39,F42,F45,F48), 0)</f>
        <v>0.373</v>
      </c>
      <c r="G49" s="1589">
        <f>IFERROR(SUM(G33,G36,G39,G42,G45,G48), 0)</f>
        <v>0</v>
      </c>
      <c r="H49" s="1589">
        <f>IFERROR(SUM(H33,H36,H39,H42,H45,H48), 0)</f>
        <v>0</v>
      </c>
      <c r="I49" s="1589">
        <f>IFERROR(SUM(I33,I36,I39,I42,I45,I48), 0)</f>
        <v>0.373</v>
      </c>
      <c r="J49" s="1589">
        <f>IFERROR(SUM(J33,J36,J39,J42,J45,J48), 0)</f>
        <v>0.373</v>
      </c>
      <c r="K49" s="1589">
        <f t="shared" si="62"/>
        <v>1.119</v>
      </c>
      <c r="L49" s="1673"/>
      <c r="M49" s="1673"/>
      <c r="N49" s="1673"/>
      <c r="O49" s="1673"/>
      <c r="P49" s="1673"/>
      <c r="Q49" s="1662"/>
      <c r="R49" s="1589">
        <f>IFERROR(SUM(R48,R45,R42,R39,R36,R33), 0)</f>
        <v>2.9889999999999999</v>
      </c>
      <c r="S49" s="1589">
        <f>IFERROR(SUM(S48,S45,S42,S39,S36,S33), 0)</f>
        <v>0</v>
      </c>
      <c r="T49" s="1665">
        <f>IFERROR(SUM(T48,T45,T42,T39,T36,T33), 0)</f>
        <v>0</v>
      </c>
      <c r="U49" s="197"/>
      <c r="V49" s="1085" t="s">
        <v>12695</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12694</v>
      </c>
      <c r="AU49" s="1081" t="s">
        <v>3632</v>
      </c>
      <c r="AV49" s="679" t="s">
        <v>12696</v>
      </c>
      <c r="AW49" s="679" t="s">
        <v>12697</v>
      </c>
      <c r="AX49" s="679" t="s">
        <v>12698</v>
      </c>
      <c r="AY49" s="679" t="s">
        <v>12699</v>
      </c>
      <c r="AZ49" s="679" t="s">
        <v>12700</v>
      </c>
      <c r="BA49" s="679" t="s">
        <v>12701</v>
      </c>
      <c r="BB49" s="413"/>
      <c r="BC49" s="413"/>
      <c r="BD49" s="413"/>
      <c r="BE49" s="413"/>
      <c r="BF49" s="413"/>
      <c r="BG49" s="1083"/>
      <c r="BH49" s="679" t="s">
        <v>12702</v>
      </c>
      <c r="BI49" s="679" t="s">
        <v>12703</v>
      </c>
      <c r="BJ49" s="807" t="s">
        <v>12704</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12705</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12705</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12706</v>
      </c>
      <c r="C52" s="1063" t="s">
        <v>3630</v>
      </c>
      <c r="D52" s="277" t="s">
        <v>681</v>
      </c>
      <c r="E52" s="277">
        <v>3</v>
      </c>
      <c r="F52" s="1092"/>
      <c r="G52" s="1092"/>
      <c r="H52" s="1092"/>
      <c r="I52" s="1092"/>
      <c r="J52" s="694">
        <v>3.7250000000000001</v>
      </c>
      <c r="K52" s="1595">
        <f t="shared" ref="K52:K76" si="117">SUM(J52)</f>
        <v>3.7250000000000001</v>
      </c>
      <c r="L52" s="1674"/>
      <c r="M52" s="1675"/>
      <c r="N52" s="1675"/>
      <c r="O52" s="1675"/>
      <c r="P52" s="1675"/>
      <c r="Q52" s="1668"/>
      <c r="R52" s="1675"/>
      <c r="S52" s="1675"/>
      <c r="T52" s="1676"/>
      <c r="U52" s="197"/>
      <c r="V52" s="1066" t="s">
        <v>12707</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2" t="s">
        <v>12706</v>
      </c>
      <c r="AU52" s="1063" t="s">
        <v>3630</v>
      </c>
      <c r="AV52" s="1092"/>
      <c r="AW52" s="1092"/>
      <c r="AX52" s="1092"/>
      <c r="AY52" s="1092"/>
      <c r="AZ52" s="694" t="s">
        <v>12708</v>
      </c>
      <c r="BA52" s="675" t="s">
        <v>12709</v>
      </c>
      <c r="BB52" s="1093"/>
      <c r="BC52" s="1094"/>
      <c r="BD52" s="1094"/>
      <c r="BE52" s="1094"/>
      <c r="BF52" s="1094"/>
      <c r="BG52" s="1088"/>
      <c r="BH52" s="1094"/>
      <c r="BI52" s="1094"/>
      <c r="BJ52" s="1095"/>
    </row>
    <row r="53" spans="1:62" ht="15.75" customHeight="1">
      <c r="A53" s="197"/>
      <c r="B53" s="1067" t="s">
        <v>12706</v>
      </c>
      <c r="C53" s="354" t="s">
        <v>3631</v>
      </c>
      <c r="D53" s="286" t="s">
        <v>681</v>
      </c>
      <c r="E53" s="286">
        <v>3</v>
      </c>
      <c r="F53" s="1096"/>
      <c r="G53" s="1096"/>
      <c r="H53" s="1096"/>
      <c r="I53" s="1096"/>
      <c r="J53" s="697">
        <v>0</v>
      </c>
      <c r="K53" s="1597">
        <f t="shared" si="117"/>
        <v>0</v>
      </c>
      <c r="L53" s="1655"/>
      <c r="M53" s="1657"/>
      <c r="N53" s="1657"/>
      <c r="O53" s="1657"/>
      <c r="P53" s="1657"/>
      <c r="Q53" s="1660"/>
      <c r="R53" s="1657"/>
      <c r="S53" s="1657"/>
      <c r="T53" s="1672"/>
      <c r="U53" s="197"/>
      <c r="V53" s="1071" t="s">
        <v>12710</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7" t="s">
        <v>12706</v>
      </c>
      <c r="AU53" s="354" t="s">
        <v>3631</v>
      </c>
      <c r="AV53" s="1096"/>
      <c r="AW53" s="1096"/>
      <c r="AX53" s="1096"/>
      <c r="AY53" s="1096"/>
      <c r="AZ53" s="697" t="s">
        <v>12711</v>
      </c>
      <c r="BA53" s="677" t="s">
        <v>12712</v>
      </c>
      <c r="BB53" s="1074"/>
      <c r="BC53" s="1076"/>
      <c r="BD53" s="1076"/>
      <c r="BE53" s="1076"/>
      <c r="BF53" s="1076"/>
      <c r="BG53" s="1079"/>
      <c r="BH53" s="1076"/>
      <c r="BI53" s="1076"/>
      <c r="BJ53" s="1091"/>
    </row>
    <row r="54" spans="1:62" ht="15.75" customHeight="1">
      <c r="A54" s="197"/>
      <c r="B54" s="1067" t="s">
        <v>12706</v>
      </c>
      <c r="C54" s="354" t="s">
        <v>3632</v>
      </c>
      <c r="D54" s="286" t="s">
        <v>681</v>
      </c>
      <c r="E54" s="286">
        <v>3</v>
      </c>
      <c r="F54" s="1677"/>
      <c r="G54" s="1677"/>
      <c r="H54" s="1677"/>
      <c r="I54" s="1677"/>
      <c r="J54" s="1597">
        <f>IFERROR(SUM(J52:J53), 0)</f>
        <v>3.7250000000000001</v>
      </c>
      <c r="K54" s="1597">
        <f t="shared" si="117"/>
        <v>3.7250000000000001</v>
      </c>
      <c r="L54" s="1655"/>
      <c r="M54" s="1657"/>
      <c r="N54" s="1657"/>
      <c r="O54" s="1657"/>
      <c r="P54" s="1657"/>
      <c r="Q54" s="1660"/>
      <c r="R54" s="1660"/>
      <c r="S54" s="1660"/>
      <c r="T54" s="1672"/>
      <c r="U54" s="197"/>
      <c r="V54" s="1071" t="s">
        <v>12713</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12706</v>
      </c>
      <c r="AU54" s="354" t="s">
        <v>3632</v>
      </c>
      <c r="AV54" s="1097"/>
      <c r="AW54" s="1097"/>
      <c r="AX54" s="1097"/>
      <c r="AY54" s="1097"/>
      <c r="AZ54" s="677" t="s">
        <v>12714</v>
      </c>
      <c r="BA54" s="677" t="s">
        <v>12715</v>
      </c>
      <c r="BB54" s="1074"/>
      <c r="BC54" s="1076"/>
      <c r="BD54" s="1076"/>
      <c r="BE54" s="1076"/>
      <c r="BF54" s="1076"/>
      <c r="BG54" s="1079"/>
      <c r="BH54" s="1079"/>
      <c r="BI54" s="1079"/>
      <c r="BJ54" s="1091"/>
    </row>
    <row r="55" spans="1:62" ht="32.25" customHeight="1">
      <c r="A55" s="197"/>
      <c r="B55" s="1067" t="s">
        <v>12716</v>
      </c>
      <c r="C55" s="354" t="s">
        <v>3630</v>
      </c>
      <c r="D55" s="286" t="s">
        <v>681</v>
      </c>
      <c r="E55" s="286">
        <v>3</v>
      </c>
      <c r="F55" s="1096"/>
      <c r="G55" s="1096"/>
      <c r="H55" s="1096"/>
      <c r="I55" s="1096"/>
      <c r="J55" s="697">
        <v>1.0109999999999999</v>
      </c>
      <c r="K55" s="1597">
        <f t="shared" si="117"/>
        <v>1.0109999999999999</v>
      </c>
      <c r="L55" s="1655"/>
      <c r="M55" s="1660"/>
      <c r="N55" s="1660"/>
      <c r="O55" s="1660"/>
      <c r="P55" s="1660"/>
      <c r="Q55" s="1660"/>
      <c r="R55" s="1660"/>
      <c r="S55" s="1660"/>
      <c r="T55" s="1672"/>
      <c r="U55" s="197"/>
      <c r="V55" s="1071" t="s">
        <v>12717</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7" t="s">
        <v>12716</v>
      </c>
      <c r="AU55" s="354" t="s">
        <v>3630</v>
      </c>
      <c r="AV55" s="1096"/>
      <c r="AW55" s="1096"/>
      <c r="AX55" s="1096"/>
      <c r="AY55" s="1096"/>
      <c r="AZ55" s="697" t="s">
        <v>12718</v>
      </c>
      <c r="BA55" s="677" t="s">
        <v>12719</v>
      </c>
      <c r="BB55" s="1074"/>
      <c r="BC55" s="1079"/>
      <c r="BD55" s="1079"/>
      <c r="BE55" s="1079"/>
      <c r="BF55" s="1079"/>
      <c r="BG55" s="1079"/>
      <c r="BH55" s="1079"/>
      <c r="BI55" s="1079"/>
      <c r="BJ55" s="1091"/>
    </row>
    <row r="56" spans="1:62" ht="32.25" customHeight="1">
      <c r="A56" s="197"/>
      <c r="B56" s="1067" t="s">
        <v>12716</v>
      </c>
      <c r="C56" s="354" t="s">
        <v>3631</v>
      </c>
      <c r="D56" s="286" t="s">
        <v>681</v>
      </c>
      <c r="E56" s="286">
        <v>3</v>
      </c>
      <c r="F56" s="1096"/>
      <c r="G56" s="1096"/>
      <c r="H56" s="1096"/>
      <c r="I56" s="1096"/>
      <c r="J56" s="697">
        <v>0</v>
      </c>
      <c r="K56" s="1597">
        <f t="shared" si="117"/>
        <v>0</v>
      </c>
      <c r="L56" s="1655"/>
      <c r="M56" s="1660"/>
      <c r="N56" s="1660"/>
      <c r="O56" s="1660"/>
      <c r="P56" s="1660"/>
      <c r="Q56" s="1660"/>
      <c r="R56" s="1660"/>
      <c r="S56" s="1660"/>
      <c r="T56" s="1672"/>
      <c r="U56" s="197"/>
      <c r="V56" s="1071" t="s">
        <v>12720</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7" t="s">
        <v>12716</v>
      </c>
      <c r="AU56" s="354" t="s">
        <v>3631</v>
      </c>
      <c r="AV56" s="1096"/>
      <c r="AW56" s="1096"/>
      <c r="AX56" s="1096"/>
      <c r="AY56" s="1096"/>
      <c r="AZ56" s="697" t="s">
        <v>12721</v>
      </c>
      <c r="BA56" s="677" t="s">
        <v>12722</v>
      </c>
      <c r="BB56" s="1074"/>
      <c r="BC56" s="1079"/>
      <c r="BD56" s="1079"/>
      <c r="BE56" s="1079"/>
      <c r="BF56" s="1079"/>
      <c r="BG56" s="1079"/>
      <c r="BH56" s="1079"/>
      <c r="BI56" s="1079"/>
      <c r="BJ56" s="1091"/>
    </row>
    <row r="57" spans="1:62" ht="32.25" customHeight="1">
      <c r="A57" s="197"/>
      <c r="B57" s="1067" t="s">
        <v>12716</v>
      </c>
      <c r="C57" s="354" t="s">
        <v>3632</v>
      </c>
      <c r="D57" s="286" t="s">
        <v>681</v>
      </c>
      <c r="E57" s="286">
        <v>3</v>
      </c>
      <c r="F57" s="1677"/>
      <c r="G57" s="1677"/>
      <c r="H57" s="1677"/>
      <c r="I57" s="1677"/>
      <c r="J57" s="1597">
        <f>IFERROR(SUM(J55:J56), 0)</f>
        <v>1.0109999999999999</v>
      </c>
      <c r="K57" s="1597">
        <f t="shared" si="117"/>
        <v>1.0109999999999999</v>
      </c>
      <c r="L57" s="1655"/>
      <c r="M57" s="1660"/>
      <c r="N57" s="1660"/>
      <c r="O57" s="1660"/>
      <c r="P57" s="1660"/>
      <c r="Q57" s="1660"/>
      <c r="R57" s="1660"/>
      <c r="S57" s="1660"/>
      <c r="T57" s="1672"/>
      <c r="U57" s="197"/>
      <c r="V57" s="1071" t="s">
        <v>12723</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12716</v>
      </c>
      <c r="AU57" s="354" t="s">
        <v>3632</v>
      </c>
      <c r="AV57" s="1097"/>
      <c r="AW57" s="1097"/>
      <c r="AX57" s="1097"/>
      <c r="AY57" s="1097"/>
      <c r="AZ57" s="677" t="s">
        <v>12724</v>
      </c>
      <c r="BA57" s="677" t="s">
        <v>12725</v>
      </c>
      <c r="BB57" s="1074"/>
      <c r="BC57" s="1079"/>
      <c r="BD57" s="1079"/>
      <c r="BE57" s="1079"/>
      <c r="BF57" s="1079"/>
      <c r="BG57" s="1079"/>
      <c r="BH57" s="1079"/>
      <c r="BI57" s="1079"/>
      <c r="BJ57" s="1091"/>
    </row>
    <row r="58" spans="1:62" ht="15.75" customHeight="1">
      <c r="A58" s="197"/>
      <c r="B58" s="1067" t="s">
        <v>12726</v>
      </c>
      <c r="C58" s="354" t="s">
        <v>3630</v>
      </c>
      <c r="D58" s="286" t="s">
        <v>681</v>
      </c>
      <c r="E58" s="286">
        <v>3</v>
      </c>
      <c r="F58" s="1096"/>
      <c r="G58" s="1096"/>
      <c r="H58" s="1096"/>
      <c r="I58" s="1096"/>
      <c r="J58" s="697">
        <v>7.0000000000000001E-3</v>
      </c>
      <c r="K58" s="1597">
        <f t="shared" si="117"/>
        <v>7.0000000000000001E-3</v>
      </c>
      <c r="L58" s="1655"/>
      <c r="M58" s="1660"/>
      <c r="N58" s="1660"/>
      <c r="O58" s="1660"/>
      <c r="P58" s="1660"/>
      <c r="Q58" s="1660"/>
      <c r="R58" s="1660"/>
      <c r="S58" s="1660"/>
      <c r="T58" s="1672"/>
      <c r="U58" s="197"/>
      <c r="V58" s="1071" t="s">
        <v>12727</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7" t="s">
        <v>12726</v>
      </c>
      <c r="AU58" s="354" t="s">
        <v>3630</v>
      </c>
      <c r="AV58" s="1096"/>
      <c r="AW58" s="1096"/>
      <c r="AX58" s="1096"/>
      <c r="AY58" s="1096"/>
      <c r="AZ58" s="697" t="s">
        <v>12728</v>
      </c>
      <c r="BA58" s="677" t="s">
        <v>12729</v>
      </c>
      <c r="BB58" s="1074"/>
      <c r="BC58" s="1079"/>
      <c r="BD58" s="1079"/>
      <c r="BE58" s="1079"/>
      <c r="BF58" s="1079"/>
      <c r="BG58" s="1079"/>
      <c r="BH58" s="1079"/>
      <c r="BI58" s="1079"/>
      <c r="BJ58" s="1091"/>
    </row>
    <row r="59" spans="1:62" ht="15.75" customHeight="1">
      <c r="A59" s="197"/>
      <c r="B59" s="1067" t="s">
        <v>12726</v>
      </c>
      <c r="C59" s="354" t="s">
        <v>3631</v>
      </c>
      <c r="D59" s="286" t="s">
        <v>681</v>
      </c>
      <c r="E59" s="286">
        <v>3</v>
      </c>
      <c r="F59" s="1096"/>
      <c r="G59" s="1096"/>
      <c r="H59" s="1096"/>
      <c r="I59" s="1096"/>
      <c r="J59" s="697">
        <v>0</v>
      </c>
      <c r="K59" s="1597">
        <f t="shared" si="117"/>
        <v>0</v>
      </c>
      <c r="L59" s="1655"/>
      <c r="M59" s="1660"/>
      <c r="N59" s="1660"/>
      <c r="O59" s="1660"/>
      <c r="P59" s="1660"/>
      <c r="Q59" s="1660"/>
      <c r="R59" s="1660"/>
      <c r="S59" s="1660"/>
      <c r="T59" s="1672"/>
      <c r="U59" s="197"/>
      <c r="V59" s="1071" t="s">
        <v>12730</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7" t="s">
        <v>12726</v>
      </c>
      <c r="AU59" s="354" t="s">
        <v>3631</v>
      </c>
      <c r="AV59" s="1096"/>
      <c r="AW59" s="1096"/>
      <c r="AX59" s="1096"/>
      <c r="AY59" s="1096"/>
      <c r="AZ59" s="697" t="s">
        <v>12731</v>
      </c>
      <c r="BA59" s="677" t="s">
        <v>12732</v>
      </c>
      <c r="BB59" s="1074"/>
      <c r="BC59" s="1079"/>
      <c r="BD59" s="1079"/>
      <c r="BE59" s="1079"/>
      <c r="BF59" s="1079"/>
      <c r="BG59" s="1079"/>
      <c r="BH59" s="1079"/>
      <c r="BI59" s="1079"/>
      <c r="BJ59" s="1091"/>
    </row>
    <row r="60" spans="1:62" ht="15.75" customHeight="1">
      <c r="A60" s="197"/>
      <c r="B60" s="1098" t="s">
        <v>12726</v>
      </c>
      <c r="C60" s="354" t="s">
        <v>3632</v>
      </c>
      <c r="D60" s="286" t="s">
        <v>681</v>
      </c>
      <c r="E60" s="286">
        <v>3</v>
      </c>
      <c r="F60" s="1677"/>
      <c r="G60" s="1677"/>
      <c r="H60" s="1677"/>
      <c r="I60" s="1677"/>
      <c r="J60" s="1597">
        <f>IFERROR(SUM(J58:J59), 0)</f>
        <v>7.0000000000000001E-3</v>
      </c>
      <c r="K60" s="1597">
        <f t="shared" si="117"/>
        <v>7.0000000000000001E-3</v>
      </c>
      <c r="L60" s="1655"/>
      <c r="M60" s="1660"/>
      <c r="N60" s="1660"/>
      <c r="O60" s="1660"/>
      <c r="P60" s="1660"/>
      <c r="Q60" s="1660"/>
      <c r="R60" s="1660"/>
      <c r="S60" s="1660"/>
      <c r="T60" s="1672"/>
      <c r="U60" s="197"/>
      <c r="V60" s="1071" t="s">
        <v>12733</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12726</v>
      </c>
      <c r="AU60" s="354" t="s">
        <v>3632</v>
      </c>
      <c r="AV60" s="1097"/>
      <c r="AW60" s="1097"/>
      <c r="AX60" s="1097"/>
      <c r="AY60" s="1097"/>
      <c r="AZ60" s="677" t="s">
        <v>12734</v>
      </c>
      <c r="BA60" s="677" t="s">
        <v>12735</v>
      </c>
      <c r="BB60" s="1074"/>
      <c r="BC60" s="1079"/>
      <c r="BD60" s="1079"/>
      <c r="BE60" s="1079"/>
      <c r="BF60" s="1079"/>
      <c r="BG60" s="1079"/>
      <c r="BH60" s="1079"/>
      <c r="BI60" s="1079"/>
      <c r="BJ60" s="1091"/>
    </row>
    <row r="61" spans="1:62" ht="15.75" customHeight="1">
      <c r="A61" s="197"/>
      <c r="B61" s="1098" t="s">
        <v>12736</v>
      </c>
      <c r="C61" s="354" t="s">
        <v>3630</v>
      </c>
      <c r="D61" s="286" t="s">
        <v>681</v>
      </c>
      <c r="E61" s="286">
        <v>3</v>
      </c>
      <c r="F61" s="1677"/>
      <c r="G61" s="1677"/>
      <c r="H61" s="1677"/>
      <c r="I61" s="1677"/>
      <c r="J61" s="697">
        <v>0.35199999999999998</v>
      </c>
      <c r="K61" s="1597">
        <f t="shared" ref="K61:K69" si="122">SUM(J61)</f>
        <v>0.35199999999999998</v>
      </c>
      <c r="L61" s="1655"/>
      <c r="M61" s="1660"/>
      <c r="N61" s="1660"/>
      <c r="O61" s="1660"/>
      <c r="P61" s="1660"/>
      <c r="Q61" s="1660"/>
      <c r="R61" s="1660"/>
      <c r="S61" s="1660"/>
      <c r="T61" s="1672"/>
      <c r="U61" s="197"/>
      <c r="V61" s="1071" t="s">
        <v>12737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12738</v>
      </c>
      <c r="AU61" s="354"/>
      <c r="AV61" s="1097"/>
      <c r="AW61" s="1097"/>
      <c r="AX61" s="1097"/>
      <c r="AY61" s="1097"/>
      <c r="AZ61" s="677" t="s">
        <v>2596</v>
      </c>
      <c r="BA61" s="677" t="s">
        <v>2597</v>
      </c>
      <c r="BB61" s="1074"/>
      <c r="BC61" s="1079"/>
      <c r="BD61" s="1079"/>
      <c r="BE61" s="1079"/>
      <c r="BF61" s="1079"/>
      <c r="BG61" s="1079"/>
      <c r="BH61" s="1079"/>
      <c r="BI61" s="1079"/>
      <c r="BJ61" s="1091"/>
    </row>
    <row r="62" spans="1:62" ht="15.75" customHeight="1">
      <c r="A62" s="197"/>
      <c r="B62" s="1098" t="s">
        <v>12736</v>
      </c>
      <c r="C62" s="354" t="s">
        <v>3631</v>
      </c>
      <c r="D62" s="286" t="s">
        <v>681</v>
      </c>
      <c r="E62" s="286">
        <v>3</v>
      </c>
      <c r="F62" s="1677"/>
      <c r="G62" s="1677"/>
      <c r="H62" s="1677"/>
      <c r="I62" s="1677"/>
      <c r="J62" s="697">
        <v>0</v>
      </c>
      <c r="K62" s="1597">
        <f t="shared" si="122"/>
        <v>0</v>
      </c>
      <c r="L62" s="1655"/>
      <c r="M62" s="1660"/>
      <c r="N62" s="1660"/>
      <c r="O62" s="1660"/>
      <c r="P62" s="1660"/>
      <c r="Q62" s="1660"/>
      <c r="R62" s="1660"/>
      <c r="S62" s="1660"/>
      <c r="T62" s="1672"/>
      <c r="U62" s="197"/>
      <c r="V62" s="1071" t="s">
        <v>12739</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12738</v>
      </c>
      <c r="AU62" s="354"/>
      <c r="AV62" s="1097"/>
      <c r="AW62" s="1097"/>
      <c r="AX62" s="1097"/>
      <c r="AY62" s="1097"/>
      <c r="AZ62" s="677" t="s">
        <v>2602</v>
      </c>
      <c r="BA62" s="677" t="s">
        <v>2603</v>
      </c>
      <c r="BB62" s="1074"/>
      <c r="BC62" s="1079"/>
      <c r="BD62" s="1079"/>
      <c r="BE62" s="1079"/>
      <c r="BF62" s="1079"/>
      <c r="BG62" s="1079"/>
      <c r="BH62" s="1079"/>
      <c r="BI62" s="1079"/>
      <c r="BJ62" s="1091"/>
    </row>
    <row r="63" spans="1:62" ht="15.75" customHeight="1">
      <c r="A63" s="197"/>
      <c r="B63" s="1098" t="s">
        <v>12736</v>
      </c>
      <c r="C63" s="354" t="s">
        <v>3632</v>
      </c>
      <c r="D63" s="286" t="s">
        <v>681</v>
      </c>
      <c r="E63" s="286">
        <v>3</v>
      </c>
      <c r="F63" s="1677"/>
      <c r="G63" s="1677"/>
      <c r="H63" s="1677"/>
      <c r="I63" s="1677"/>
      <c r="J63" s="1597">
        <f>IFERROR(SUM(J61:J62), 0)</f>
        <v>0.35199999999999998</v>
      </c>
      <c r="K63" s="1597">
        <f t="shared" si="122"/>
        <v>0.35199999999999998</v>
      </c>
      <c r="L63" s="1655"/>
      <c r="M63" s="1660"/>
      <c r="N63" s="1660"/>
      <c r="O63" s="1660"/>
      <c r="P63" s="1660"/>
      <c r="Q63" s="1660"/>
      <c r="R63" s="1660"/>
      <c r="S63" s="1660"/>
      <c r="T63" s="1672"/>
      <c r="U63" s="197"/>
      <c r="V63" s="1071" t="s">
        <v>12740</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12738</v>
      </c>
      <c r="AU63" s="354"/>
      <c r="AV63" s="1097"/>
      <c r="AW63" s="1097"/>
      <c r="AX63" s="1097"/>
      <c r="AY63" s="1097"/>
      <c r="AZ63" s="677" t="s">
        <v>2604</v>
      </c>
      <c r="BA63" s="677" t="s">
        <v>2606</v>
      </c>
      <c r="BB63" s="1074"/>
      <c r="BC63" s="1079"/>
      <c r="BD63" s="1079"/>
      <c r="BE63" s="1079"/>
      <c r="BF63" s="1079"/>
      <c r="BG63" s="1079"/>
      <c r="BH63" s="1079"/>
      <c r="BI63" s="1079"/>
      <c r="BJ63" s="1091"/>
    </row>
    <row r="64" spans="1:62" ht="15.75" customHeight="1">
      <c r="A64" s="197"/>
      <c r="B64" s="1098" t="s">
        <v>12741</v>
      </c>
      <c r="C64" s="354" t="s">
        <v>3630</v>
      </c>
      <c r="D64" s="286" t="s">
        <v>681</v>
      </c>
      <c r="E64" s="286">
        <v>3</v>
      </c>
      <c r="F64" s="1677"/>
      <c r="G64" s="1677"/>
      <c r="H64" s="1677"/>
      <c r="I64" s="1677"/>
      <c r="J64" s="697">
        <v>2.5000000000000001E-2</v>
      </c>
      <c r="K64" s="1597">
        <f t="shared" si="122"/>
        <v>2.5000000000000001E-2</v>
      </c>
      <c r="L64" s="1655"/>
      <c r="M64" s="1660"/>
      <c r="N64" s="1660"/>
      <c r="O64" s="1660"/>
      <c r="P64" s="1660"/>
      <c r="Q64" s="1660"/>
      <c r="R64" s="1660"/>
      <c r="S64" s="1660"/>
      <c r="T64" s="1672"/>
      <c r="U64" s="197"/>
      <c r="V64" s="1071" t="s">
        <v>12742</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12738</v>
      </c>
      <c r="AU64" s="354"/>
      <c r="AV64" s="1097"/>
      <c r="AW64" s="1097"/>
      <c r="AX64" s="1097"/>
      <c r="AY64" s="1097"/>
      <c r="AZ64" s="677" t="s">
        <v>2608</v>
      </c>
      <c r="BA64" s="677" t="s">
        <v>2610</v>
      </c>
      <c r="BB64" s="1074"/>
      <c r="BC64" s="1079"/>
      <c r="BD64" s="1079"/>
      <c r="BE64" s="1079"/>
      <c r="BF64" s="1079"/>
      <c r="BG64" s="1079"/>
      <c r="BH64" s="1079"/>
      <c r="BI64" s="1079"/>
      <c r="BJ64" s="1091"/>
    </row>
    <row r="65" spans="1:62" ht="15.75" customHeight="1">
      <c r="A65" s="197"/>
      <c r="B65" s="1098" t="s">
        <v>12741</v>
      </c>
      <c r="C65" s="354" t="s">
        <v>3631</v>
      </c>
      <c r="D65" s="286" t="s">
        <v>681</v>
      </c>
      <c r="E65" s="286">
        <v>3</v>
      </c>
      <c r="F65" s="1677"/>
      <c r="G65" s="1677"/>
      <c r="H65" s="1677"/>
      <c r="I65" s="1677"/>
      <c r="J65" s="697">
        <v>0</v>
      </c>
      <c r="K65" s="1597">
        <f t="shared" si="122"/>
        <v>0</v>
      </c>
      <c r="L65" s="1655"/>
      <c r="M65" s="1660"/>
      <c r="N65" s="1660"/>
      <c r="O65" s="1660"/>
      <c r="P65" s="1660"/>
      <c r="Q65" s="1660"/>
      <c r="R65" s="1660"/>
      <c r="S65" s="1660"/>
      <c r="T65" s="1672"/>
      <c r="U65" s="197"/>
      <c r="V65" s="1071" t="s">
        <v>12743</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12738</v>
      </c>
      <c r="AU65" s="354"/>
      <c r="AV65" s="1097"/>
      <c r="AW65" s="1097"/>
      <c r="AX65" s="1097"/>
      <c r="AY65" s="1097"/>
      <c r="AZ65" s="677" t="s">
        <v>2612</v>
      </c>
      <c r="BA65" s="677" t="s">
        <v>2613</v>
      </c>
      <c r="BB65" s="1074"/>
      <c r="BC65" s="1079"/>
      <c r="BD65" s="1079"/>
      <c r="BE65" s="1079"/>
      <c r="BF65" s="1079"/>
      <c r="BG65" s="1079"/>
      <c r="BH65" s="1079"/>
      <c r="BI65" s="1079"/>
      <c r="BJ65" s="1091"/>
    </row>
    <row r="66" spans="1:62" ht="15.75" customHeight="1">
      <c r="A66" s="197"/>
      <c r="B66" s="1098" t="s">
        <v>12741</v>
      </c>
      <c r="C66" s="354" t="s">
        <v>3632</v>
      </c>
      <c r="D66" s="286" t="s">
        <v>681</v>
      </c>
      <c r="E66" s="286">
        <v>3</v>
      </c>
      <c r="F66" s="1677"/>
      <c r="G66" s="1677"/>
      <c r="H66" s="1677"/>
      <c r="I66" s="1677"/>
      <c r="J66" s="1597">
        <f>IFERROR(SUM(J64:J65), 0)</f>
        <v>2.5000000000000001E-2</v>
      </c>
      <c r="K66" s="1597">
        <f t="shared" si="122"/>
        <v>2.5000000000000001E-2</v>
      </c>
      <c r="L66" s="1655"/>
      <c r="M66" s="1660"/>
      <c r="N66" s="1660"/>
      <c r="O66" s="1660"/>
      <c r="P66" s="1660"/>
      <c r="Q66" s="1660"/>
      <c r="R66" s="1660"/>
      <c r="S66" s="1660"/>
      <c r="T66" s="1672"/>
      <c r="U66" s="197"/>
      <c r="V66" s="1071" t="s">
        <v>12744</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12738</v>
      </c>
      <c r="AU66" s="354"/>
      <c r="AV66" s="1097"/>
      <c r="AW66" s="1097"/>
      <c r="AX66" s="1097"/>
      <c r="AY66" s="1097"/>
      <c r="AZ66" s="677" t="s">
        <v>2614</v>
      </c>
      <c r="BA66" s="677" t="s">
        <v>2615</v>
      </c>
      <c r="BB66" s="1074"/>
      <c r="BC66" s="1079"/>
      <c r="BD66" s="1079"/>
      <c r="BE66" s="1079"/>
      <c r="BF66" s="1079"/>
      <c r="BG66" s="1079"/>
      <c r="BH66" s="1079"/>
      <c r="BI66" s="1079"/>
      <c r="BJ66" s="1091"/>
    </row>
    <row r="67" spans="1:62" ht="15.75" customHeight="1">
      <c r="A67" s="197"/>
      <c r="B67" s="1098" t="s">
        <v>12745</v>
      </c>
      <c r="C67" s="354" t="s">
        <v>3630</v>
      </c>
      <c r="D67" s="286" t="s">
        <v>681</v>
      </c>
      <c r="E67" s="286">
        <v>3</v>
      </c>
      <c r="F67" s="1096"/>
      <c r="G67" s="1096"/>
      <c r="H67" s="1096"/>
      <c r="I67" s="1677"/>
      <c r="J67" s="697">
        <v>2.3E-2</v>
      </c>
      <c r="K67" s="1597">
        <f t="shared" si="122"/>
        <v>2.3E-2</v>
      </c>
      <c r="L67" s="1655"/>
      <c r="M67" s="1660"/>
      <c r="N67" s="1660"/>
      <c r="O67" s="1660"/>
      <c r="P67" s="1660"/>
      <c r="Q67" s="1660"/>
      <c r="R67" s="1660"/>
      <c r="S67" s="1660"/>
      <c r="T67" s="1672"/>
      <c r="U67" s="197"/>
      <c r="V67" s="1071" t="s">
        <v>12746</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8" t="str">
        <f>B67</f>
        <v>Replacement of existing basic meters with AMR or AMI meters for business customers</v>
      </c>
      <c r="AU67" s="354" t="s">
        <v>3630</v>
      </c>
      <c r="AV67" s="1096"/>
      <c r="AW67" s="1096"/>
      <c r="AX67" s="1096"/>
      <c r="AY67" s="1097"/>
      <c r="AZ67" s="697" t="s">
        <v>12747</v>
      </c>
      <c r="BA67" s="677" t="s">
        <v>12748</v>
      </c>
      <c r="BB67" s="1074"/>
      <c r="BC67" s="1079"/>
      <c r="BD67" s="1079"/>
      <c r="BE67" s="1079"/>
      <c r="BF67" s="1079"/>
      <c r="BG67" s="1079"/>
      <c r="BH67" s="1079"/>
      <c r="BI67" s="1079"/>
      <c r="BJ67" s="1091"/>
    </row>
    <row r="68" spans="1:62" ht="15.75" customHeight="1">
      <c r="A68" s="197"/>
      <c r="B68" s="1098" t="s">
        <v>12745</v>
      </c>
      <c r="C68" s="354" t="s">
        <v>3631</v>
      </c>
      <c r="D68" s="286" t="s">
        <v>681</v>
      </c>
      <c r="E68" s="286">
        <v>3</v>
      </c>
      <c r="F68" s="1096"/>
      <c r="G68" s="1096"/>
      <c r="H68" s="1096"/>
      <c r="I68" s="1677"/>
      <c r="J68" s="697">
        <v>0</v>
      </c>
      <c r="K68" s="1597">
        <f t="shared" si="122"/>
        <v>0</v>
      </c>
      <c r="L68" s="1655"/>
      <c r="M68" s="1660"/>
      <c r="N68" s="1660"/>
      <c r="O68" s="1660"/>
      <c r="P68" s="1660"/>
      <c r="Q68" s="1660"/>
      <c r="R68" s="1660"/>
      <c r="S68" s="1660"/>
      <c r="T68" s="1672"/>
      <c r="U68" s="197"/>
      <c r="V68" s="1071" t="s">
        <v>12749</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8" t="s">
        <v>12738</v>
      </c>
      <c r="AU68" s="354" t="s">
        <v>3631</v>
      </c>
      <c r="AV68" s="1096"/>
      <c r="AW68" s="1096"/>
      <c r="AX68" s="1096"/>
      <c r="AY68" s="1097"/>
      <c r="AZ68" s="697" t="s">
        <v>12750</v>
      </c>
      <c r="BA68" s="677" t="s">
        <v>12751</v>
      </c>
      <c r="BB68" s="1074"/>
      <c r="BC68" s="1079"/>
      <c r="BD68" s="1079"/>
      <c r="BE68" s="1079"/>
      <c r="BF68" s="1079"/>
      <c r="BG68" s="1079"/>
      <c r="BH68" s="1079"/>
      <c r="BI68" s="1079"/>
      <c r="BJ68" s="1091"/>
    </row>
    <row r="69" spans="1:62" ht="15.75" customHeight="1">
      <c r="A69" s="197"/>
      <c r="B69" s="1098" t="s">
        <v>12745</v>
      </c>
      <c r="C69" s="354" t="s">
        <v>3632</v>
      </c>
      <c r="D69" s="286" t="s">
        <v>681</v>
      </c>
      <c r="E69" s="286">
        <v>3</v>
      </c>
      <c r="F69" s="1677"/>
      <c r="G69" s="1677"/>
      <c r="H69" s="1677"/>
      <c r="I69" s="1677"/>
      <c r="J69" s="1597">
        <f>IFERROR(SUM(J67:J68), 0)</f>
        <v>2.3E-2</v>
      </c>
      <c r="K69" s="1597">
        <f t="shared" si="122"/>
        <v>2.3E-2</v>
      </c>
      <c r="L69" s="1655"/>
      <c r="M69" s="1660"/>
      <c r="N69" s="1660"/>
      <c r="O69" s="1660"/>
      <c r="P69" s="1660"/>
      <c r="Q69" s="1660"/>
      <c r="R69" s="1660"/>
      <c r="S69" s="1660"/>
      <c r="T69" s="1672"/>
      <c r="U69" s="197"/>
      <c r="V69" s="1071" t="s">
        <v>12752</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12738</v>
      </c>
      <c r="AU69" s="354" t="s">
        <v>3632</v>
      </c>
      <c r="AV69" s="1097"/>
      <c r="AW69" s="1097"/>
      <c r="AX69" s="1097"/>
      <c r="AY69" s="1097"/>
      <c r="AZ69" s="677" t="s">
        <v>12753</v>
      </c>
      <c r="BA69" s="677" t="s">
        <v>12754</v>
      </c>
      <c r="BB69" s="1074"/>
      <c r="BC69" s="1079"/>
      <c r="BD69" s="1079"/>
      <c r="BE69" s="1079"/>
      <c r="BF69" s="1079"/>
      <c r="BG69" s="1079"/>
      <c r="BH69" s="1079"/>
      <c r="BI69" s="1079"/>
      <c r="BJ69" s="1091"/>
    </row>
    <row r="70" spans="1:62" ht="15.75" customHeight="1">
      <c r="A70" s="197"/>
      <c r="B70" s="1098" t="s">
        <v>12755</v>
      </c>
      <c r="C70" s="354" t="s">
        <v>3630</v>
      </c>
      <c r="D70" s="286" t="s">
        <v>681</v>
      </c>
      <c r="E70" s="286">
        <v>3</v>
      </c>
      <c r="F70" s="1677"/>
      <c r="G70" s="1677"/>
      <c r="H70" s="1677"/>
      <c r="I70" s="1677"/>
      <c r="J70" s="697">
        <v>0</v>
      </c>
      <c r="K70" s="1597">
        <f t="shared" ref="K70:K72" si="125">SUM(J70)</f>
        <v>0</v>
      </c>
      <c r="L70" s="1655"/>
      <c r="M70" s="1660"/>
      <c r="N70" s="1660"/>
      <c r="O70" s="1660"/>
      <c r="P70" s="1660"/>
      <c r="Q70" s="1660"/>
      <c r="R70" s="1660"/>
      <c r="S70" s="1660"/>
      <c r="T70" s="1672"/>
      <c r="U70" s="197"/>
      <c r="V70" s="1071" t="s">
        <v>12756</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12738</v>
      </c>
      <c r="AU70" s="354"/>
      <c r="AV70" s="1097"/>
      <c r="AW70" s="1097"/>
      <c r="AX70" s="1097"/>
      <c r="AY70" s="1097"/>
      <c r="AZ70" s="677" t="s">
        <v>2616</v>
      </c>
      <c r="BA70" s="677" t="s">
        <v>2618</v>
      </c>
      <c r="BB70" s="1074"/>
      <c r="BC70" s="1079"/>
      <c r="BD70" s="1079"/>
      <c r="BE70" s="1079"/>
      <c r="BF70" s="1079"/>
      <c r="BG70" s="1079"/>
      <c r="BH70" s="1079"/>
      <c r="BI70" s="1079"/>
      <c r="BJ70" s="1091"/>
    </row>
    <row r="71" spans="1:62" ht="15.75" customHeight="1">
      <c r="A71" s="197"/>
      <c r="B71" s="1098" t="s">
        <v>12755</v>
      </c>
      <c r="C71" s="354" t="s">
        <v>3631</v>
      </c>
      <c r="D71" s="286" t="s">
        <v>681</v>
      </c>
      <c r="E71" s="286">
        <v>3</v>
      </c>
      <c r="F71" s="1677"/>
      <c r="G71" s="1677"/>
      <c r="H71" s="1677"/>
      <c r="I71" s="1677"/>
      <c r="J71" s="697">
        <v>0</v>
      </c>
      <c r="K71" s="1597">
        <f t="shared" si="125"/>
        <v>0</v>
      </c>
      <c r="L71" s="1655"/>
      <c r="M71" s="1660"/>
      <c r="N71" s="1660"/>
      <c r="O71" s="1660"/>
      <c r="P71" s="1660"/>
      <c r="Q71" s="1660"/>
      <c r="R71" s="1660"/>
      <c r="S71" s="1660"/>
      <c r="T71" s="1672"/>
      <c r="U71" s="197"/>
      <c r="V71" s="1071" t="s">
        <v>12757</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12738</v>
      </c>
      <c r="AU71" s="354"/>
      <c r="AV71" s="1097"/>
      <c r="AW71" s="1097"/>
      <c r="AX71" s="1097"/>
      <c r="AY71" s="1097"/>
      <c r="AZ71" s="677" t="s">
        <v>2620</v>
      </c>
      <c r="BA71" s="677" t="s">
        <v>2621</v>
      </c>
      <c r="BB71" s="1074"/>
      <c r="BC71" s="1079"/>
      <c r="BD71" s="1079"/>
      <c r="BE71" s="1079"/>
      <c r="BF71" s="1079"/>
      <c r="BG71" s="1079"/>
      <c r="BH71" s="1079"/>
      <c r="BI71" s="1079"/>
      <c r="BJ71" s="1091"/>
    </row>
    <row r="72" spans="1:62" ht="15.75" customHeight="1">
      <c r="A72" s="197"/>
      <c r="B72" s="1098" t="s">
        <v>12755</v>
      </c>
      <c r="C72" s="354" t="s">
        <v>3632</v>
      </c>
      <c r="D72" s="286" t="s">
        <v>681</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12758</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12738</v>
      </c>
      <c r="AU72" s="354"/>
      <c r="AV72" s="1097"/>
      <c r="AW72" s="1097"/>
      <c r="AX72" s="1097"/>
      <c r="AY72" s="1097"/>
      <c r="AZ72" s="677" t="s">
        <v>2622</v>
      </c>
      <c r="BA72" s="677" t="s">
        <v>2623</v>
      </c>
      <c r="BB72" s="1074"/>
      <c r="BC72" s="1079"/>
      <c r="BD72" s="1079"/>
      <c r="BE72" s="1079"/>
      <c r="BF72" s="1079"/>
      <c r="BG72" s="1079"/>
      <c r="BH72" s="1079"/>
      <c r="BI72" s="1079"/>
      <c r="BJ72" s="1091"/>
    </row>
    <row r="73" spans="1:62" ht="15.75" customHeight="1">
      <c r="A73" s="197"/>
      <c r="B73" s="1098" t="s">
        <v>12759</v>
      </c>
      <c r="C73" s="354" t="s">
        <v>3630</v>
      </c>
      <c r="D73" s="286" t="s">
        <v>681</v>
      </c>
      <c r="E73" s="286">
        <v>3</v>
      </c>
      <c r="F73" s="1096"/>
      <c r="G73" s="1096"/>
      <c r="H73" s="1096"/>
      <c r="I73" s="1677"/>
      <c r="J73" s="697">
        <v>3.766</v>
      </c>
      <c r="K73" s="1597">
        <f>SUM(J73)</f>
        <v>3.766</v>
      </c>
      <c r="L73" s="1655"/>
      <c r="M73" s="1660"/>
      <c r="N73" s="1660"/>
      <c r="O73" s="1660"/>
      <c r="P73" s="1660"/>
      <c r="Q73" s="1660"/>
      <c r="R73" s="1660"/>
      <c r="S73" s="1660"/>
      <c r="T73" s="1672"/>
      <c r="U73" s="197"/>
      <c r="V73" s="1071" t="s">
        <v>12760</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8" t="s">
        <v>12759</v>
      </c>
      <c r="AU73" s="354" t="s">
        <v>3630</v>
      </c>
      <c r="AV73" s="1096"/>
      <c r="AW73" s="1096"/>
      <c r="AX73" s="1096"/>
      <c r="AY73" s="1097"/>
      <c r="AZ73" s="697" t="s">
        <v>12761</v>
      </c>
      <c r="BA73" s="677" t="s">
        <v>12762</v>
      </c>
      <c r="BB73" s="1074"/>
      <c r="BC73" s="1079"/>
      <c r="BD73" s="1079"/>
      <c r="BE73" s="1079"/>
      <c r="BF73" s="1079"/>
      <c r="BG73" s="1079"/>
      <c r="BH73" s="1079"/>
      <c r="BI73" s="1079"/>
      <c r="BJ73" s="1091"/>
    </row>
    <row r="74" spans="1:62" ht="15.75" customHeight="1">
      <c r="A74" s="197"/>
      <c r="B74" s="1098" t="s">
        <v>12759</v>
      </c>
      <c r="C74" s="354" t="s">
        <v>3631</v>
      </c>
      <c r="D74" s="286" t="s">
        <v>681</v>
      </c>
      <c r="E74" s="286">
        <v>3</v>
      </c>
      <c r="F74" s="1096"/>
      <c r="G74" s="1096"/>
      <c r="H74" s="1096"/>
      <c r="I74" s="1677"/>
      <c r="J74" s="697">
        <v>0</v>
      </c>
      <c r="K74" s="1597">
        <f t="shared" si="117"/>
        <v>0</v>
      </c>
      <c r="L74" s="1655"/>
      <c r="M74" s="1660"/>
      <c r="N74" s="1660"/>
      <c r="O74" s="1660"/>
      <c r="P74" s="1660"/>
      <c r="Q74" s="1660"/>
      <c r="R74" s="1660"/>
      <c r="S74" s="1660"/>
      <c r="T74" s="1672"/>
      <c r="U74" s="197"/>
      <c r="V74" s="1071" t="s">
        <v>12763</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8" t="s">
        <v>12759</v>
      </c>
      <c r="AU74" s="354" t="s">
        <v>3631</v>
      </c>
      <c r="AV74" s="1096"/>
      <c r="AW74" s="1096"/>
      <c r="AX74" s="1096"/>
      <c r="AY74" s="1097"/>
      <c r="AZ74" s="697" t="s">
        <v>12764</v>
      </c>
      <c r="BA74" s="677" t="s">
        <v>12765</v>
      </c>
      <c r="BB74" s="1074"/>
      <c r="BC74" s="1079"/>
      <c r="BD74" s="1079"/>
      <c r="BE74" s="1079"/>
      <c r="BF74" s="1079"/>
      <c r="BG74" s="1079"/>
      <c r="BH74" s="1079"/>
      <c r="BI74" s="1079"/>
      <c r="BJ74" s="1091"/>
    </row>
    <row r="75" spans="1:62" ht="15.75" customHeight="1">
      <c r="A75" s="197"/>
      <c r="B75" s="1098" t="s">
        <v>12759</v>
      </c>
      <c r="C75" s="354" t="s">
        <v>3632</v>
      </c>
      <c r="D75" s="286" t="s">
        <v>681</v>
      </c>
      <c r="E75" s="286">
        <v>3</v>
      </c>
      <c r="F75" s="1677"/>
      <c r="G75" s="1677"/>
      <c r="H75" s="1677"/>
      <c r="I75" s="1677"/>
      <c r="J75" s="1597">
        <f>IFERROR(SUM(J73:J74), 0)</f>
        <v>3.766</v>
      </c>
      <c r="K75" s="1597">
        <f t="shared" si="117"/>
        <v>3.766</v>
      </c>
      <c r="L75" s="1655"/>
      <c r="M75" s="1660"/>
      <c r="N75" s="1660"/>
      <c r="O75" s="1660"/>
      <c r="P75" s="1660"/>
      <c r="Q75" s="1660"/>
      <c r="R75" s="1660"/>
      <c r="S75" s="1660"/>
      <c r="T75" s="1672"/>
      <c r="U75" s="197"/>
      <c r="V75" s="1071" t="s">
        <v>12766</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12759</v>
      </c>
      <c r="AU75" s="354" t="s">
        <v>3632</v>
      </c>
      <c r="AV75" s="1097"/>
      <c r="AW75" s="1097"/>
      <c r="AX75" s="1097"/>
      <c r="AY75" s="1097"/>
      <c r="AZ75" s="677" t="s">
        <v>12767</v>
      </c>
      <c r="BA75" s="677" t="s">
        <v>12768</v>
      </c>
      <c r="BB75" s="1074"/>
      <c r="BC75" s="1079"/>
      <c r="BD75" s="1079"/>
      <c r="BE75" s="1079"/>
      <c r="BF75" s="1079"/>
      <c r="BG75" s="1079"/>
      <c r="BH75" s="1079"/>
      <c r="BI75" s="1079"/>
      <c r="BJ75" s="1091"/>
    </row>
    <row r="76" spans="1:62" ht="15.75" customHeight="1" thickBot="1">
      <c r="A76" s="197"/>
      <c r="B76" s="1080" t="s">
        <v>12769</v>
      </c>
      <c r="C76" s="1081" t="s">
        <v>3632</v>
      </c>
      <c r="D76" s="355" t="s">
        <v>681</v>
      </c>
      <c r="E76" s="355">
        <v>3</v>
      </c>
      <c r="F76" s="1678"/>
      <c r="G76" s="1678"/>
      <c r="H76" s="1678"/>
      <c r="I76" s="1678"/>
      <c r="J76" s="1589">
        <f>IFERROR(SUM(J75,J60,J57,J54,J63,J66,J69,J72,),0)</f>
        <v>8.9090000000000007</v>
      </c>
      <c r="K76" s="1589">
        <f t="shared" si="117"/>
        <v>8.9090000000000007</v>
      </c>
      <c r="L76" s="1661"/>
      <c r="M76" s="1662"/>
      <c r="N76" s="1662"/>
      <c r="O76" s="1662"/>
      <c r="P76" s="1662"/>
      <c r="Q76" s="1662"/>
      <c r="R76" s="2095">
        <v>20.623000000000001</v>
      </c>
      <c r="S76" s="2095">
        <v>38.185000000000002</v>
      </c>
      <c r="T76" s="2096">
        <v>49.734999999999999</v>
      </c>
      <c r="U76" s="197"/>
      <c r="V76" s="1085" t="s">
        <v>12770</v>
      </c>
      <c r="W76" s="197"/>
      <c r="X76" s="302"/>
      <c r="Y76" s="197"/>
      <c r="Z76" s="345"/>
      <c r="AA76" s="284">
        <f t="shared" ref="AA76" si="127">IF( SUM( AC76:AQ76 ) = 0, 0, $AC$9 )</f>
        <v>0</v>
      </c>
      <c r="AB76" s="828"/>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80" t="s">
        <v>12769</v>
      </c>
      <c r="AU76" s="1081" t="s">
        <v>3632</v>
      </c>
      <c r="AV76" s="1099"/>
      <c r="AW76" s="1099"/>
      <c r="AX76" s="1099"/>
      <c r="AY76" s="1099"/>
      <c r="AZ76" s="679" t="s">
        <v>12771</v>
      </c>
      <c r="BA76" s="679" t="s">
        <v>12772</v>
      </c>
      <c r="BB76" s="1082"/>
      <c r="BC76" s="1083"/>
      <c r="BD76" s="1083"/>
      <c r="BE76" s="1083"/>
      <c r="BF76" s="1083"/>
      <c r="BG76" s="1083"/>
      <c r="BH76" s="1100" t="s">
        <v>12773</v>
      </c>
      <c r="BI76" s="1100" t="s">
        <v>12774</v>
      </c>
      <c r="BJ76" s="1101" t="s">
        <v>12775</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12776</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12776</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12777</v>
      </c>
      <c r="C79" s="1063" t="s">
        <v>3630</v>
      </c>
      <c r="D79" s="277" t="s">
        <v>681</v>
      </c>
      <c r="E79" s="277">
        <v>3</v>
      </c>
      <c r="F79" s="694">
        <v>0</v>
      </c>
      <c r="G79" s="694">
        <v>0</v>
      </c>
      <c r="H79" s="694">
        <v>0</v>
      </c>
      <c r="I79" s="694">
        <v>0</v>
      </c>
      <c r="J79" s="694">
        <v>0</v>
      </c>
      <c r="K79" s="1595">
        <f>IFERROR(SUM(F79:J79), 0)</f>
        <v>0</v>
      </c>
      <c r="L79" s="1679"/>
      <c r="M79" s="1668"/>
      <c r="N79" s="1668"/>
      <c r="O79" s="1668"/>
      <c r="P79" s="1668"/>
      <c r="Q79" s="1668"/>
      <c r="R79" s="1675"/>
      <c r="S79" s="1675"/>
      <c r="T79" s="2373"/>
      <c r="U79" s="197"/>
      <c r="V79" s="1066" t="s">
        <v>12778</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2" t="s">
        <v>12779</v>
      </c>
      <c r="AU79" s="1063" t="s">
        <v>3630</v>
      </c>
      <c r="AV79" s="694" t="s">
        <v>12780</v>
      </c>
      <c r="AW79" s="694" t="s">
        <v>12781</v>
      </c>
      <c r="AX79" s="694" t="s">
        <v>12782</v>
      </c>
      <c r="AY79" s="694" t="s">
        <v>12783</v>
      </c>
      <c r="AZ79" s="694" t="s">
        <v>12784</v>
      </c>
      <c r="BA79" s="1595" t="s">
        <v>12785</v>
      </c>
      <c r="BB79" s="1679"/>
      <c r="BC79" s="1668"/>
      <c r="BD79" s="1668"/>
      <c r="BE79" s="1668"/>
      <c r="BF79" s="1668"/>
      <c r="BG79" s="1668"/>
      <c r="BH79" s="1675"/>
      <c r="BI79" s="1675"/>
      <c r="BJ79" s="2373"/>
    </row>
    <row r="80" spans="1:62" ht="15.75" customHeight="1">
      <c r="A80" s="197"/>
      <c r="B80" s="1067" t="s">
        <v>12777</v>
      </c>
      <c r="C80" s="354" t="s">
        <v>3631</v>
      </c>
      <c r="D80" s="286" t="s">
        <v>681</v>
      </c>
      <c r="E80" s="286">
        <v>3</v>
      </c>
      <c r="F80" s="697">
        <v>0</v>
      </c>
      <c r="G80" s="697">
        <v>0</v>
      </c>
      <c r="H80" s="697">
        <v>0</v>
      </c>
      <c r="I80" s="697">
        <v>0</v>
      </c>
      <c r="J80" s="697">
        <v>0</v>
      </c>
      <c r="K80" s="1597">
        <f t="shared" ref="K80:K124" si="135">IFERROR(SUM(F80:J80), 0)</f>
        <v>0</v>
      </c>
      <c r="L80" s="1655"/>
      <c r="M80" s="1660"/>
      <c r="N80" s="1660"/>
      <c r="O80" s="1660"/>
      <c r="P80" s="1660"/>
      <c r="Q80" s="1660"/>
      <c r="R80" s="1657"/>
      <c r="S80" s="1657"/>
      <c r="T80" s="1671"/>
      <c r="U80" s="197"/>
      <c r="V80" s="1071" t="s">
        <v>12786</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7" t="s">
        <v>12779</v>
      </c>
      <c r="AU80" s="354" t="s">
        <v>3631</v>
      </c>
      <c r="AV80" s="697" t="s">
        <v>12787</v>
      </c>
      <c r="AW80" s="697" t="s">
        <v>12788</v>
      </c>
      <c r="AX80" s="697" t="s">
        <v>12789</v>
      </c>
      <c r="AY80" s="697" t="s">
        <v>12790</v>
      </c>
      <c r="AZ80" s="697" t="s">
        <v>12791</v>
      </c>
      <c r="BA80" s="1597" t="s">
        <v>12792</v>
      </c>
      <c r="BB80" s="1655"/>
      <c r="BC80" s="1660"/>
      <c r="BD80" s="1660"/>
      <c r="BE80" s="1660"/>
      <c r="BF80" s="1660"/>
      <c r="BG80" s="1660"/>
      <c r="BH80" s="1657"/>
      <c r="BI80" s="1657"/>
      <c r="BJ80" s="1671"/>
    </row>
    <row r="81" spans="1:62" ht="15.75" customHeight="1">
      <c r="A81" s="197"/>
      <c r="B81" s="1067" t="s">
        <v>12777</v>
      </c>
      <c r="C81" s="354" t="s">
        <v>3632</v>
      </c>
      <c r="D81" s="286" t="s">
        <v>681</v>
      </c>
      <c r="E81" s="286">
        <v>3</v>
      </c>
      <c r="F81" s="1597">
        <f>IFERROR(SUM(F79:F80), 0)</f>
        <v>0</v>
      </c>
      <c r="G81" s="1597">
        <f t="shared" ref="G81:I81" si="136">IFERROR(SUM(G79:G80), 0)</f>
        <v>0</v>
      </c>
      <c r="H81" s="1597">
        <f t="shared" si="136"/>
        <v>0</v>
      </c>
      <c r="I81" s="1597">
        <f t="shared" si="136"/>
        <v>0</v>
      </c>
      <c r="J81" s="1597">
        <f>IFERROR(SUM(J79:J80), 0)</f>
        <v>0</v>
      </c>
      <c r="K81" s="1597">
        <f t="shared" si="135"/>
        <v>0</v>
      </c>
      <c r="L81" s="1655"/>
      <c r="M81" s="1660"/>
      <c r="N81" s="1660"/>
      <c r="O81" s="1660"/>
      <c r="P81" s="1660"/>
      <c r="Q81" s="1660"/>
      <c r="R81" s="2097">
        <v>0.20300000000000001</v>
      </c>
      <c r="S81" s="2097">
        <v>0</v>
      </c>
      <c r="T81" s="2374">
        <v>0</v>
      </c>
      <c r="U81" s="197"/>
      <c r="V81" s="1071" t="s">
        <v>12793</v>
      </c>
      <c r="W81" s="197"/>
      <c r="X81" s="291"/>
      <c r="Y81" s="197"/>
      <c r="Z81" s="345"/>
      <c r="AA81" s="284">
        <f t="shared" si="129"/>
        <v>0</v>
      </c>
      <c r="AB81" s="828"/>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7" t="s">
        <v>12779</v>
      </c>
      <c r="AU81" s="354" t="s">
        <v>3632</v>
      </c>
      <c r="AV81" s="1597" t="s">
        <v>12794</v>
      </c>
      <c r="AW81" s="1597" t="s">
        <v>12795</v>
      </c>
      <c r="AX81" s="1597" t="s">
        <v>12796</v>
      </c>
      <c r="AY81" s="1597" t="s">
        <v>12797</v>
      </c>
      <c r="AZ81" s="1597" t="s">
        <v>12798</v>
      </c>
      <c r="BA81" s="1597" t="s">
        <v>12799</v>
      </c>
      <c r="BB81" s="1655"/>
      <c r="BC81" s="1660"/>
      <c r="BD81" s="1660"/>
      <c r="BE81" s="1660"/>
      <c r="BF81" s="1660"/>
      <c r="BG81" s="1660"/>
      <c r="BH81" s="2097" t="s">
        <v>12800</v>
      </c>
      <c r="BI81" s="2097" t="s">
        <v>12801</v>
      </c>
      <c r="BJ81" s="2374" t="s">
        <v>12802</v>
      </c>
    </row>
    <row r="82" spans="1:62" ht="15.75" customHeight="1">
      <c r="A82" s="197"/>
      <c r="B82" s="1067" t="s">
        <v>12803</v>
      </c>
      <c r="C82" s="354" t="s">
        <v>3630</v>
      </c>
      <c r="D82" s="286" t="s">
        <v>681</v>
      </c>
      <c r="E82" s="286">
        <v>3</v>
      </c>
      <c r="F82" s="697">
        <v>0</v>
      </c>
      <c r="G82" s="697">
        <v>0</v>
      </c>
      <c r="H82" s="697">
        <v>0</v>
      </c>
      <c r="I82" s="697">
        <v>3.0310000000000001</v>
      </c>
      <c r="J82" s="697">
        <v>0</v>
      </c>
      <c r="K82" s="1597">
        <f>IFERROR(SUM(F82:J82), 0)</f>
        <v>3.0310000000000001</v>
      </c>
      <c r="L82" s="2362"/>
      <c r="M82" s="2362"/>
      <c r="N82" s="2362"/>
      <c r="O82" s="2362"/>
      <c r="P82" s="2362"/>
      <c r="Q82" s="2363">
        <f t="shared" ref="Q82:Q87" si="140">IFERROR(SUM(L82:P82), 0)</f>
        <v>0</v>
      </c>
      <c r="R82" s="1657"/>
      <c r="S82" s="1657"/>
      <c r="T82" s="1671"/>
      <c r="U82" s="197"/>
      <c r="V82" s="1071" t="s">
        <v>12804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76" t="s">
        <v>12805</v>
      </c>
      <c r="AU82" s="354" t="s">
        <v>3630</v>
      </c>
      <c r="AV82" s="697" t="s">
        <v>2624</v>
      </c>
      <c r="AW82" s="697" t="s">
        <v>2626</v>
      </c>
      <c r="AX82" s="697" t="s">
        <v>2628</v>
      </c>
      <c r="AY82" s="697" t="s">
        <v>2630</v>
      </c>
      <c r="AZ82" s="697" t="s">
        <v>2632</v>
      </c>
      <c r="BA82" s="1597" t="s">
        <v>12806</v>
      </c>
      <c r="BB82" s="2362" t="s">
        <v>2634</v>
      </c>
      <c r="BC82" s="2362" t="s">
        <v>2636</v>
      </c>
      <c r="BD82" s="2362" t="s">
        <v>2638</v>
      </c>
      <c r="BE82" s="2362" t="s">
        <v>2640</v>
      </c>
      <c r="BF82" s="2362" t="s">
        <v>2642</v>
      </c>
      <c r="BG82" s="2363" t="s">
        <v>2644</v>
      </c>
      <c r="BH82" s="1657"/>
      <c r="BI82" s="1657"/>
      <c r="BJ82" s="1671"/>
    </row>
    <row r="83" spans="1:62" ht="15.75" customHeight="1">
      <c r="A83" s="197"/>
      <c r="B83" s="1067" t="s">
        <v>12803</v>
      </c>
      <c r="C83" s="354" t="s">
        <v>3631</v>
      </c>
      <c r="D83" s="286" t="s">
        <v>681</v>
      </c>
      <c r="E83" s="286">
        <v>3</v>
      </c>
      <c r="F83" s="697">
        <v>0</v>
      </c>
      <c r="G83" s="697">
        <v>0</v>
      </c>
      <c r="H83" s="697">
        <v>0</v>
      </c>
      <c r="I83" s="697">
        <v>0</v>
      </c>
      <c r="J83" s="697">
        <v>0</v>
      </c>
      <c r="K83" s="1597">
        <f t="shared" ref="K83" si="147">IFERROR(SUM(F83:J83), 0)</f>
        <v>0</v>
      </c>
      <c r="L83" s="2362"/>
      <c r="M83" s="2362"/>
      <c r="N83" s="2362"/>
      <c r="O83" s="2362"/>
      <c r="P83" s="2362"/>
      <c r="Q83" s="2363">
        <f t="shared" si="140"/>
        <v>0</v>
      </c>
      <c r="R83" s="1657"/>
      <c r="S83" s="1657"/>
      <c r="T83" s="1671"/>
      <c r="U83" s="197"/>
      <c r="V83" s="1071" t="s">
        <v>12807</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76" t="s">
        <v>12805</v>
      </c>
      <c r="AU83" s="354" t="s">
        <v>3631</v>
      </c>
      <c r="AV83" s="697" t="s">
        <v>2646</v>
      </c>
      <c r="AW83" s="697" t="s">
        <v>2647</v>
      </c>
      <c r="AX83" s="697" t="s">
        <v>2648</v>
      </c>
      <c r="AY83" s="697" t="s">
        <v>2649</v>
      </c>
      <c r="AZ83" s="697" t="s">
        <v>2650</v>
      </c>
      <c r="BA83" s="1597" t="s">
        <v>12808</v>
      </c>
      <c r="BB83" s="2362" t="s">
        <v>2651</v>
      </c>
      <c r="BC83" s="2362" t="s">
        <v>2652</v>
      </c>
      <c r="BD83" s="2362" t="s">
        <v>2653</v>
      </c>
      <c r="BE83" s="2362" t="s">
        <v>2654</v>
      </c>
      <c r="BF83" s="2362" t="s">
        <v>2655</v>
      </c>
      <c r="BG83" s="2363" t="s">
        <v>2656</v>
      </c>
      <c r="BH83" s="1657"/>
      <c r="BI83" s="1657"/>
      <c r="BJ83" s="1671"/>
    </row>
    <row r="84" spans="1:62" ht="15.75" customHeight="1">
      <c r="A84" s="197"/>
      <c r="B84" s="1067" t="s">
        <v>12803</v>
      </c>
      <c r="C84" s="354" t="s">
        <v>3632</v>
      </c>
      <c r="D84" s="286" t="s">
        <v>681</v>
      </c>
      <c r="E84" s="286">
        <v>3</v>
      </c>
      <c r="F84" s="1597">
        <f>IFERROR(SUM(F82:F83), 0)</f>
        <v>0</v>
      </c>
      <c r="G84" s="1597">
        <f>IFERROR(SUM(G82:G83), 0)</f>
        <v>0</v>
      </c>
      <c r="H84" s="1597">
        <f t="shared" ref="H84:J84" si="148">IFERROR(SUM(H82:H83), 0)</f>
        <v>0</v>
      </c>
      <c r="I84" s="1597">
        <f t="shared" si="148"/>
        <v>3.0310000000000001</v>
      </c>
      <c r="J84" s="1597">
        <f t="shared" si="148"/>
        <v>0</v>
      </c>
      <c r="K84" s="1597">
        <f t="shared" ref="K84:K103" si="149">IFERROR(SUM(F84:J84), 0)</f>
        <v>3.0310000000000001</v>
      </c>
      <c r="L84" s="2364">
        <f>IFERROR(SUM(L82:L83), 0)</f>
        <v>0</v>
      </c>
      <c r="M84" s="2364">
        <f>IFERROR(SUM(M82:M83), 0)</f>
        <v>0</v>
      </c>
      <c r="N84" s="2364">
        <f t="shared" ref="N84:P84" si="150">IFERROR(SUM(N82:N83), 0)</f>
        <v>0</v>
      </c>
      <c r="O84" s="2364">
        <f t="shared" si="150"/>
        <v>0</v>
      </c>
      <c r="P84" s="2364">
        <f t="shared" si="150"/>
        <v>0</v>
      </c>
      <c r="Q84" s="2363">
        <f t="shared" si="140"/>
        <v>0</v>
      </c>
      <c r="R84" s="2097">
        <v>7.0310000000000006</v>
      </c>
      <c r="S84" s="2097">
        <v>24.174999999999997</v>
      </c>
      <c r="T84" s="2374">
        <v>31.486999999999998</v>
      </c>
      <c r="U84" s="197"/>
      <c r="V84" s="1071" t="s">
        <v>12809</v>
      </c>
      <c r="W84" s="197"/>
      <c r="X84" s="291"/>
      <c r="Y84" s="197"/>
      <c r="Z84" s="345"/>
      <c r="AA84" s="284">
        <f t="shared" si="141"/>
        <v>0</v>
      </c>
      <c r="AB84" s="828"/>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76" t="s">
        <v>12805</v>
      </c>
      <c r="AU84" s="354" t="s">
        <v>3632</v>
      </c>
      <c r="AV84" s="1597" t="s">
        <v>2657</v>
      </c>
      <c r="AW84" s="1597" t="s">
        <v>2658</v>
      </c>
      <c r="AX84" s="1597" t="s">
        <v>2659</v>
      </c>
      <c r="AY84" s="1597" t="s">
        <v>2660</v>
      </c>
      <c r="AZ84" s="1597" t="s">
        <v>2661</v>
      </c>
      <c r="BA84" s="1597" t="s">
        <v>12810</v>
      </c>
      <c r="BB84" s="2364" t="s">
        <v>2662</v>
      </c>
      <c r="BC84" s="2364" t="s">
        <v>2663</v>
      </c>
      <c r="BD84" s="2364" t="s">
        <v>2664</v>
      </c>
      <c r="BE84" s="2364" t="s">
        <v>2665</v>
      </c>
      <c r="BF84" s="2364" t="s">
        <v>2616</v>
      </c>
      <c r="BG84" s="2363" t="s">
        <v>2618</v>
      </c>
      <c r="BH84" s="2097" t="s">
        <v>12811</v>
      </c>
      <c r="BI84" s="2097" t="s">
        <v>12812</v>
      </c>
      <c r="BJ84" s="2374" t="s">
        <v>12813</v>
      </c>
    </row>
    <row r="85" spans="1:62" ht="15.75" customHeight="1">
      <c r="A85" s="197"/>
      <c r="B85" s="1067" t="s">
        <v>12814</v>
      </c>
      <c r="C85" s="354" t="s">
        <v>3630</v>
      </c>
      <c r="D85" s="286" t="s">
        <v>681</v>
      </c>
      <c r="E85" s="286">
        <v>3</v>
      </c>
      <c r="F85" s="697">
        <v>0</v>
      </c>
      <c r="G85" s="697">
        <v>0</v>
      </c>
      <c r="H85" s="697">
        <v>0</v>
      </c>
      <c r="I85" s="697">
        <v>0</v>
      </c>
      <c r="J85" s="697">
        <v>0</v>
      </c>
      <c r="K85" s="1597">
        <f t="shared" si="149"/>
        <v>0</v>
      </c>
      <c r="L85" s="2362"/>
      <c r="M85" s="2362"/>
      <c r="N85" s="2362"/>
      <c r="O85" s="2362"/>
      <c r="P85" s="2362"/>
      <c r="Q85" s="2363">
        <f t="shared" si="140"/>
        <v>0</v>
      </c>
      <c r="R85" s="1657"/>
      <c r="S85" s="1657"/>
      <c r="T85" s="1671"/>
      <c r="U85" s="197"/>
      <c r="V85" s="1071" t="s">
        <v>12815</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76" t="s">
        <v>12816</v>
      </c>
      <c r="AU85" s="354" t="s">
        <v>3630</v>
      </c>
      <c r="AV85" s="697" t="s">
        <v>2666</v>
      </c>
      <c r="AW85" s="697" t="s">
        <v>2668</v>
      </c>
      <c r="AX85" s="697" t="s">
        <v>2670</v>
      </c>
      <c r="AY85" s="697" t="s">
        <v>2672</v>
      </c>
      <c r="AZ85" s="697" t="s">
        <v>2674</v>
      </c>
      <c r="BA85" s="1597" t="s">
        <v>12817</v>
      </c>
      <c r="BB85" s="2362" t="s">
        <v>2676</v>
      </c>
      <c r="BC85" s="2362" t="s">
        <v>2678</v>
      </c>
      <c r="BD85" s="2362" t="s">
        <v>2680</v>
      </c>
      <c r="BE85" s="2362" t="s">
        <v>2682</v>
      </c>
      <c r="BF85" s="2362" t="s">
        <v>2620</v>
      </c>
      <c r="BG85" s="2363" t="s">
        <v>2621</v>
      </c>
      <c r="BH85" s="1657"/>
      <c r="BI85" s="1657"/>
      <c r="BJ85" s="1671"/>
    </row>
    <row r="86" spans="1:62" ht="15.75" customHeight="1">
      <c r="A86" s="197"/>
      <c r="B86" s="1067" t="s">
        <v>12814</v>
      </c>
      <c r="C86" s="354" t="s">
        <v>3631</v>
      </c>
      <c r="D86" s="286" t="s">
        <v>681</v>
      </c>
      <c r="E86" s="286">
        <v>3</v>
      </c>
      <c r="F86" s="697">
        <v>0</v>
      </c>
      <c r="G86" s="697">
        <v>0</v>
      </c>
      <c r="H86" s="697">
        <v>0</v>
      </c>
      <c r="I86" s="697">
        <v>0</v>
      </c>
      <c r="J86" s="697">
        <v>0</v>
      </c>
      <c r="K86" s="1597">
        <f t="shared" si="149"/>
        <v>0</v>
      </c>
      <c r="L86" s="2362"/>
      <c r="M86" s="2362"/>
      <c r="N86" s="2362"/>
      <c r="O86" s="2362"/>
      <c r="P86" s="2362"/>
      <c r="Q86" s="2363">
        <f t="shared" si="140"/>
        <v>0</v>
      </c>
      <c r="R86" s="1657"/>
      <c r="S86" s="1657"/>
      <c r="T86" s="1671"/>
      <c r="U86" s="197"/>
      <c r="V86" s="1071" t="s">
        <v>12818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76" t="s">
        <v>12816</v>
      </c>
      <c r="AU86" s="354" t="s">
        <v>3631</v>
      </c>
      <c r="AV86" s="697" t="s">
        <v>2684</v>
      </c>
      <c r="AW86" s="697" t="s">
        <v>2685</v>
      </c>
      <c r="AX86" s="697" t="s">
        <v>2686</v>
      </c>
      <c r="AY86" s="697" t="s">
        <v>2687</v>
      </c>
      <c r="AZ86" s="697" t="s">
        <v>2688</v>
      </c>
      <c r="BA86" s="1597" t="s">
        <v>12819</v>
      </c>
      <c r="BB86" s="2362" t="s">
        <v>2689</v>
      </c>
      <c r="BC86" s="2362" t="s">
        <v>2690</v>
      </c>
      <c r="BD86" s="2362" t="s">
        <v>2691</v>
      </c>
      <c r="BE86" s="2362" t="s">
        <v>2692</v>
      </c>
      <c r="BF86" s="2362" t="s">
        <v>2622</v>
      </c>
      <c r="BG86" s="2363" t="s">
        <v>2623</v>
      </c>
      <c r="BH86" s="1657"/>
      <c r="BI86" s="1657"/>
      <c r="BJ86" s="1671"/>
    </row>
    <row r="87" spans="1:62" ht="15.75" customHeight="1">
      <c r="A87" s="197"/>
      <c r="B87" s="1067" t="s">
        <v>12814</v>
      </c>
      <c r="C87" s="354" t="s">
        <v>3632</v>
      </c>
      <c r="D87" s="286" t="s">
        <v>681</v>
      </c>
      <c r="E87" s="286">
        <v>3</v>
      </c>
      <c r="F87" s="2372">
        <f>IFERROR(SUM(F85:F86), 0)</f>
        <v>0</v>
      </c>
      <c r="G87" s="2372">
        <f>IFERROR(SUM(G85:G86), 0)</f>
        <v>0</v>
      </c>
      <c r="H87" s="2372">
        <f t="shared" ref="H87:J87" si="160">IFERROR(SUM(H85:H86), 0)</f>
        <v>0</v>
      </c>
      <c r="I87" s="2372">
        <f t="shared" si="160"/>
        <v>0</v>
      </c>
      <c r="J87" s="2372">
        <f t="shared" si="160"/>
        <v>0</v>
      </c>
      <c r="K87" s="1597">
        <f t="shared" si="149"/>
        <v>0</v>
      </c>
      <c r="L87" s="2364">
        <f>IFERROR(SUM(L85:L86), 0)</f>
        <v>0</v>
      </c>
      <c r="M87" s="2364">
        <f>IFERROR(SUM(M85:M86), 0)</f>
        <v>0</v>
      </c>
      <c r="N87" s="2364">
        <f t="shared" ref="N87:P87" si="161">IFERROR(SUM(N85:N86), 0)</f>
        <v>0</v>
      </c>
      <c r="O87" s="2364">
        <f t="shared" si="161"/>
        <v>0</v>
      </c>
      <c r="P87" s="2364">
        <f t="shared" si="161"/>
        <v>0</v>
      </c>
      <c r="Q87" s="2363">
        <f t="shared" si="140"/>
        <v>0</v>
      </c>
      <c r="R87" s="2097">
        <v>0</v>
      </c>
      <c r="S87" s="2097">
        <v>0</v>
      </c>
      <c r="T87" s="2374">
        <v>0</v>
      </c>
      <c r="U87" s="197"/>
      <c r="V87" s="1071" t="s">
        <v>12820</v>
      </c>
      <c r="W87" s="197"/>
      <c r="X87" s="291"/>
      <c r="Y87" s="197"/>
      <c r="Z87" s="345"/>
      <c r="AA87" s="284">
        <f t="shared" si="154"/>
        <v>0</v>
      </c>
      <c r="AB87" s="828"/>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76" t="s">
        <v>12816</v>
      </c>
      <c r="AU87" s="354" t="s">
        <v>3632</v>
      </c>
      <c r="AV87" s="2372" t="s">
        <v>2693</v>
      </c>
      <c r="AW87" s="2372" t="s">
        <v>2694</v>
      </c>
      <c r="AX87" s="2372" t="s">
        <v>2695</v>
      </c>
      <c r="AY87" s="2372" t="s">
        <v>2696</v>
      </c>
      <c r="AZ87" s="2372" t="s">
        <v>2697</v>
      </c>
      <c r="BA87" s="1597" t="s">
        <v>12821</v>
      </c>
      <c r="BB87" s="2364" t="s">
        <v>2698</v>
      </c>
      <c r="BC87" s="2364" t="s">
        <v>2699</v>
      </c>
      <c r="BD87" s="2364" t="s">
        <v>2700</v>
      </c>
      <c r="BE87" s="2364" t="s">
        <v>2701</v>
      </c>
      <c r="BF87" s="2364" t="s">
        <v>2702</v>
      </c>
      <c r="BG87" s="2363" t="s">
        <v>2704</v>
      </c>
      <c r="BH87" s="2097" t="s">
        <v>12811</v>
      </c>
      <c r="BI87" s="2097" t="s">
        <v>12812</v>
      </c>
      <c r="BJ87" s="2374" t="s">
        <v>12813</v>
      </c>
    </row>
    <row r="88" spans="1:62" ht="15.75" customHeight="1">
      <c r="A88" s="197"/>
      <c r="B88" s="1067" t="s">
        <v>12822</v>
      </c>
      <c r="C88" s="354" t="s">
        <v>3630</v>
      </c>
      <c r="D88" s="286" t="s">
        <v>681</v>
      </c>
      <c r="E88" s="286">
        <v>3</v>
      </c>
      <c r="F88" s="2372">
        <f t="shared" ref="F88:J89" si="165">IFERROR(SUM(F82+F85), 0)</f>
        <v>0</v>
      </c>
      <c r="G88" s="2372">
        <f t="shared" si="165"/>
        <v>0</v>
      </c>
      <c r="H88" s="2372">
        <f t="shared" si="165"/>
        <v>0</v>
      </c>
      <c r="I88" s="2372">
        <f t="shared" si="165"/>
        <v>3.0310000000000001</v>
      </c>
      <c r="J88" s="2372">
        <f t="shared" si="165"/>
        <v>0</v>
      </c>
      <c r="K88" s="1597">
        <f t="shared" si="149"/>
        <v>3.0310000000000001</v>
      </c>
      <c r="L88" s="2362"/>
      <c r="M88" s="2362"/>
      <c r="N88" s="2362"/>
      <c r="O88" s="2362"/>
      <c r="P88" s="2362"/>
      <c r="Q88" s="2363">
        <f>IFERROR(SUM(L88:P88), 0)</f>
        <v>0</v>
      </c>
      <c r="R88" s="1657"/>
      <c r="S88" s="1657"/>
      <c r="T88" s="1671"/>
      <c r="U88" s="197"/>
      <c r="V88" s="1071" t="s">
        <v>12823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76" t="s">
        <v>12822</v>
      </c>
      <c r="AU88" s="354" t="s">
        <v>3630</v>
      </c>
      <c r="AV88" s="2372" t="s">
        <v>12824</v>
      </c>
      <c r="AW88" s="2372" t="s">
        <v>12825</v>
      </c>
      <c r="AX88" s="2372" t="s">
        <v>12826</v>
      </c>
      <c r="AY88" s="2372" t="s">
        <v>12827</v>
      </c>
      <c r="AZ88" s="2372" t="s">
        <v>12828</v>
      </c>
      <c r="BA88" s="1597" t="s">
        <v>12829</v>
      </c>
      <c r="BB88" s="2362" t="s">
        <v>2706</v>
      </c>
      <c r="BC88" s="2362" t="s">
        <v>2708</v>
      </c>
      <c r="BD88" s="2362" t="s">
        <v>2710</v>
      </c>
      <c r="BE88" s="2362" t="s">
        <v>2712</v>
      </c>
      <c r="BF88" s="2362" t="s">
        <v>2714</v>
      </c>
      <c r="BG88" s="2363" t="s">
        <v>2716</v>
      </c>
      <c r="BH88" s="1657"/>
      <c r="BI88" s="1657"/>
      <c r="BJ88" s="1671"/>
    </row>
    <row r="89" spans="1:62" ht="15.75" customHeight="1">
      <c r="A89" s="197"/>
      <c r="B89" s="1067" t="s">
        <v>12822</v>
      </c>
      <c r="C89" s="354" t="s">
        <v>3631</v>
      </c>
      <c r="D89" s="286" t="s">
        <v>681</v>
      </c>
      <c r="E89" s="286">
        <v>3</v>
      </c>
      <c r="F89" s="2372">
        <f t="shared" si="165"/>
        <v>0</v>
      </c>
      <c r="G89" s="2372">
        <f t="shared" si="165"/>
        <v>0</v>
      </c>
      <c r="H89" s="2372">
        <f t="shared" si="165"/>
        <v>0</v>
      </c>
      <c r="I89" s="2372">
        <f t="shared" si="165"/>
        <v>0</v>
      </c>
      <c r="J89" s="2372">
        <f t="shared" si="165"/>
        <v>0</v>
      </c>
      <c r="K89" s="1597">
        <f t="shared" si="149"/>
        <v>0</v>
      </c>
      <c r="L89" s="2362"/>
      <c r="M89" s="2362"/>
      <c r="N89" s="2362"/>
      <c r="O89" s="2362"/>
      <c r="P89" s="2362"/>
      <c r="Q89" s="2363">
        <f>IFERROR(SUM(L89:P89), 0)</f>
        <v>0</v>
      </c>
      <c r="R89" s="1657"/>
      <c r="S89" s="1657"/>
      <c r="T89" s="1671"/>
      <c r="U89" s="197"/>
      <c r="V89" s="1071" t="s">
        <v>12830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76" t="s">
        <v>12822</v>
      </c>
      <c r="AU89" s="354" t="s">
        <v>3631</v>
      </c>
      <c r="AV89" s="2372" t="s">
        <v>12831</v>
      </c>
      <c r="AW89" s="2372" t="s">
        <v>12832</v>
      </c>
      <c r="AX89" s="2372" t="s">
        <v>12833</v>
      </c>
      <c r="AY89" s="2372" t="s">
        <v>12834</v>
      </c>
      <c r="AZ89" s="2372" t="s">
        <v>12835</v>
      </c>
      <c r="BA89" s="1597" t="s">
        <v>12836</v>
      </c>
      <c r="BB89" s="2362" t="s">
        <v>2718</v>
      </c>
      <c r="BC89" s="2362" t="s">
        <v>2719</v>
      </c>
      <c r="BD89" s="2362" t="s">
        <v>2720</v>
      </c>
      <c r="BE89" s="2362" t="s">
        <v>2721</v>
      </c>
      <c r="BF89" s="2362" t="s">
        <v>2722</v>
      </c>
      <c r="BG89" s="2363" t="s">
        <v>2723</v>
      </c>
      <c r="BH89" s="1657"/>
      <c r="BI89" s="1657"/>
      <c r="BJ89" s="1671"/>
    </row>
    <row r="90" spans="1:62" ht="15.75" customHeight="1">
      <c r="A90" s="197"/>
      <c r="B90" s="1067" t="s">
        <v>12822</v>
      </c>
      <c r="C90" s="354" t="s">
        <v>3632</v>
      </c>
      <c r="D90" s="286" t="s">
        <v>681</v>
      </c>
      <c r="E90" s="286">
        <v>3</v>
      </c>
      <c r="F90" s="2372">
        <f>IFERROR(SUM(F88:F89), 0)</f>
        <v>0</v>
      </c>
      <c r="G90" s="2372">
        <f t="shared" ref="G90:J90" si="172">IFERROR(SUM(G88:G89), 0)</f>
        <v>0</v>
      </c>
      <c r="H90" s="2372">
        <f t="shared" si="172"/>
        <v>0</v>
      </c>
      <c r="I90" s="2372">
        <f t="shared" si="172"/>
        <v>3.0310000000000001</v>
      </c>
      <c r="J90" s="2372">
        <f t="shared" si="172"/>
        <v>0</v>
      </c>
      <c r="K90" s="1597">
        <f t="shared" si="149"/>
        <v>3.0310000000000001</v>
      </c>
      <c r="L90" s="2364">
        <f>IFERROR(SUM(L88:L89), 0)</f>
        <v>0</v>
      </c>
      <c r="M90" s="2364">
        <f>IFERROR(SUM(M88:M89), 0)</f>
        <v>0</v>
      </c>
      <c r="N90" s="2364">
        <f t="shared" ref="N90:P90" si="173">IFERROR(SUM(N88:N89), 0)</f>
        <v>0</v>
      </c>
      <c r="O90" s="2364">
        <f t="shared" si="173"/>
        <v>0</v>
      </c>
      <c r="P90" s="2364">
        <f t="shared" si="173"/>
        <v>0</v>
      </c>
      <c r="Q90" s="2363">
        <f>IFERROR(SUM(L90:P90), 0)</f>
        <v>0</v>
      </c>
      <c r="R90" s="2097">
        <v>7.0310000000000006</v>
      </c>
      <c r="S90" s="2097">
        <v>24.174999999999997</v>
      </c>
      <c r="T90" s="2374">
        <v>31.486999999999998</v>
      </c>
      <c r="U90" s="197"/>
      <c r="V90" s="1071" t="s">
        <v>12837</v>
      </c>
      <c r="W90" s="197"/>
      <c r="X90" s="291"/>
      <c r="Y90" s="197"/>
      <c r="Z90" s="345"/>
      <c r="AA90" s="284">
        <f t="shared" si="166"/>
        <v>0</v>
      </c>
      <c r="AB90" s="828"/>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76" t="s">
        <v>12822</v>
      </c>
      <c r="AU90" s="354" t="s">
        <v>3632</v>
      </c>
      <c r="AV90" s="2372" t="s">
        <v>12838</v>
      </c>
      <c r="AW90" s="2372" t="s">
        <v>12839</v>
      </c>
      <c r="AX90" s="2372" t="s">
        <v>12840</v>
      </c>
      <c r="AY90" s="2372" t="s">
        <v>12841</v>
      </c>
      <c r="AZ90" s="2372" t="s">
        <v>12842</v>
      </c>
      <c r="BA90" s="1597" t="s">
        <v>12843</v>
      </c>
      <c r="BB90" s="2364" t="s">
        <v>2724</v>
      </c>
      <c r="BC90" s="2364" t="s">
        <v>2725</v>
      </c>
      <c r="BD90" s="2364" t="s">
        <v>2726</v>
      </c>
      <c r="BE90" s="2364" t="s">
        <v>2727</v>
      </c>
      <c r="BF90" s="2364" t="s">
        <v>2728</v>
      </c>
      <c r="BG90" s="2363" t="s">
        <v>2729</v>
      </c>
      <c r="BH90" s="2097" t="s">
        <v>12811</v>
      </c>
      <c r="BI90" s="2097" t="s">
        <v>12812</v>
      </c>
      <c r="BJ90" s="2374" t="s">
        <v>12813</v>
      </c>
    </row>
    <row r="91" spans="1:62" ht="15.75" customHeight="1">
      <c r="A91" s="197"/>
      <c r="B91" s="1067" t="s">
        <v>12844</v>
      </c>
      <c r="C91" s="354" t="s">
        <v>3630</v>
      </c>
      <c r="D91" s="286" t="s">
        <v>681</v>
      </c>
      <c r="E91" s="286">
        <v>3</v>
      </c>
      <c r="F91" s="697">
        <v>0</v>
      </c>
      <c r="G91" s="697">
        <v>0</v>
      </c>
      <c r="H91" s="697">
        <v>0</v>
      </c>
      <c r="I91" s="697">
        <v>0</v>
      </c>
      <c r="J91" s="697">
        <v>0</v>
      </c>
      <c r="K91" s="1597">
        <f t="shared" si="149"/>
        <v>0</v>
      </c>
      <c r="L91" s="1655"/>
      <c r="M91" s="1660"/>
      <c r="N91" s="1660"/>
      <c r="O91" s="1660"/>
      <c r="P91" s="1660"/>
      <c r="Q91" s="1660"/>
      <c r="R91" s="1657"/>
      <c r="S91" s="1657"/>
      <c r="T91" s="1671"/>
      <c r="U91" s="197"/>
      <c r="V91" s="1071" t="s">
        <v>12845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7" t="s">
        <v>12844</v>
      </c>
      <c r="AU91" s="354" t="s">
        <v>3630</v>
      </c>
      <c r="AV91" s="697" t="s">
        <v>12846</v>
      </c>
      <c r="AW91" s="697" t="s">
        <v>12847</v>
      </c>
      <c r="AX91" s="697" t="s">
        <v>12848</v>
      </c>
      <c r="AY91" s="697" t="s">
        <v>12849</v>
      </c>
      <c r="AZ91" s="697" t="s">
        <v>12850</v>
      </c>
      <c r="BA91" s="1597" t="s">
        <v>12851</v>
      </c>
      <c r="BB91" s="1655"/>
      <c r="BC91" s="1660"/>
      <c r="BD91" s="1660"/>
      <c r="BE91" s="1660"/>
      <c r="BF91" s="1660"/>
      <c r="BG91" s="1660"/>
      <c r="BH91" s="1657"/>
      <c r="BI91" s="1657"/>
      <c r="BJ91" s="1671"/>
    </row>
    <row r="92" spans="1:62" ht="15.75" customHeight="1">
      <c r="A92" s="197"/>
      <c r="B92" s="1067" t="s">
        <v>12844</v>
      </c>
      <c r="C92" s="354" t="s">
        <v>3631</v>
      </c>
      <c r="D92" s="286" t="s">
        <v>681</v>
      </c>
      <c r="E92" s="286">
        <v>3</v>
      </c>
      <c r="F92" s="697">
        <v>0</v>
      </c>
      <c r="G92" s="697">
        <v>0</v>
      </c>
      <c r="H92" s="697">
        <v>0</v>
      </c>
      <c r="I92" s="697">
        <v>0</v>
      </c>
      <c r="J92" s="697">
        <v>0</v>
      </c>
      <c r="K92" s="1597">
        <f t="shared" si="149"/>
        <v>0</v>
      </c>
      <c r="L92" s="1655"/>
      <c r="M92" s="1660"/>
      <c r="N92" s="1660"/>
      <c r="O92" s="1660"/>
      <c r="P92" s="1660"/>
      <c r="Q92" s="1660"/>
      <c r="R92" s="1657"/>
      <c r="S92" s="1657"/>
      <c r="T92" s="1671"/>
      <c r="U92" s="197"/>
      <c r="V92" s="1071" t="s">
        <v>12852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7" t="s">
        <v>12844</v>
      </c>
      <c r="AU92" s="354" t="s">
        <v>3631</v>
      </c>
      <c r="AV92" s="697" t="s">
        <v>12853</v>
      </c>
      <c r="AW92" s="697" t="s">
        <v>12854</v>
      </c>
      <c r="AX92" s="697" t="s">
        <v>12855</v>
      </c>
      <c r="AY92" s="697" t="s">
        <v>12856</v>
      </c>
      <c r="AZ92" s="697" t="s">
        <v>12857</v>
      </c>
      <c r="BA92" s="1597" t="s">
        <v>12858</v>
      </c>
      <c r="BB92" s="1655"/>
      <c r="BC92" s="1660"/>
      <c r="BD92" s="1660"/>
      <c r="BE92" s="1660"/>
      <c r="BF92" s="1660"/>
      <c r="BG92" s="1660"/>
      <c r="BH92" s="1657"/>
      <c r="BI92" s="1657"/>
      <c r="BJ92" s="1671"/>
    </row>
    <row r="93" spans="1:62" ht="15.75" customHeight="1">
      <c r="A93" s="197"/>
      <c r="B93" s="1067" t="s">
        <v>12844</v>
      </c>
      <c r="C93" s="354" t="s">
        <v>3632</v>
      </c>
      <c r="D93" s="286" t="s">
        <v>681</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v>0</v>
      </c>
      <c r="S93" s="2097">
        <v>5.2999999999999999E-2</v>
      </c>
      <c r="T93" s="2374">
        <v>6.5000000000000002E-2</v>
      </c>
      <c r="U93" s="197"/>
      <c r="V93" s="1071" t="s">
        <v>12859</v>
      </c>
      <c r="W93" s="197"/>
      <c r="X93" s="291"/>
      <c r="Y93" s="197"/>
      <c r="Z93" s="345"/>
      <c r="AA93" s="284">
        <f t="shared" si="166"/>
        <v>0</v>
      </c>
      <c r="AB93" s="828"/>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7" t="s">
        <v>12844</v>
      </c>
      <c r="AU93" s="354" t="s">
        <v>3632</v>
      </c>
      <c r="AV93" s="1597" t="s">
        <v>12860</v>
      </c>
      <c r="AW93" s="1597" t="s">
        <v>12861</v>
      </c>
      <c r="AX93" s="1597" t="s">
        <v>12862</v>
      </c>
      <c r="AY93" s="1597" t="s">
        <v>12863</v>
      </c>
      <c r="AZ93" s="1597" t="s">
        <v>12864</v>
      </c>
      <c r="BA93" s="1597" t="s">
        <v>12865</v>
      </c>
      <c r="BB93" s="1655"/>
      <c r="BC93" s="1660"/>
      <c r="BD93" s="1660"/>
      <c r="BE93" s="1660"/>
      <c r="BF93" s="1660"/>
      <c r="BG93" s="1660"/>
      <c r="BH93" s="2097" t="s">
        <v>12866</v>
      </c>
      <c r="BI93" s="2097" t="s">
        <v>12867</v>
      </c>
      <c r="BJ93" s="2374" t="s">
        <v>12868</v>
      </c>
    </row>
    <row r="94" spans="1:62" ht="32.25" customHeight="1">
      <c r="A94" s="197"/>
      <c r="B94" s="1067" t="s">
        <v>12869</v>
      </c>
      <c r="C94" s="354" t="s">
        <v>3630</v>
      </c>
      <c r="D94" s="286" t="s">
        <v>681</v>
      </c>
      <c r="E94" s="286">
        <v>3</v>
      </c>
      <c r="F94" s="697">
        <v>1.732</v>
      </c>
      <c r="G94" s="697">
        <v>1.175</v>
      </c>
      <c r="H94" s="697">
        <v>0</v>
      </c>
      <c r="I94" s="697">
        <v>3.6999999999999998E-2</v>
      </c>
      <c r="J94" s="697">
        <v>5.2430000000000003</v>
      </c>
      <c r="K94" s="1597">
        <f t="shared" si="149"/>
        <v>8.1870000000000012</v>
      </c>
      <c r="L94" s="1655"/>
      <c r="M94" s="1660"/>
      <c r="N94" s="1660"/>
      <c r="O94" s="1660"/>
      <c r="P94" s="1660"/>
      <c r="Q94" s="1655"/>
      <c r="R94" s="1657"/>
      <c r="S94" s="1657"/>
      <c r="T94" s="1671"/>
      <c r="U94" s="197"/>
      <c r="V94" s="1071" t="s">
        <v>12870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7" t="s">
        <v>12869</v>
      </c>
      <c r="AU94" s="354" t="s">
        <v>3630</v>
      </c>
      <c r="AV94" s="697" t="s">
        <v>12871</v>
      </c>
      <c r="AW94" s="697" t="s">
        <v>12872</v>
      </c>
      <c r="AX94" s="697" t="s">
        <v>12873</v>
      </c>
      <c r="AY94" s="697" t="s">
        <v>12874</v>
      </c>
      <c r="AZ94" s="697" t="s">
        <v>12875</v>
      </c>
      <c r="BA94" s="1597" t="s">
        <v>12876</v>
      </c>
      <c r="BB94" s="1655"/>
      <c r="BC94" s="1660"/>
      <c r="BD94" s="1660"/>
      <c r="BE94" s="1660"/>
      <c r="BF94" s="1660"/>
      <c r="BG94" s="1655"/>
      <c r="BH94" s="1657"/>
      <c r="BI94" s="1657"/>
      <c r="BJ94" s="1671"/>
    </row>
    <row r="95" spans="1:62" ht="32.25" customHeight="1">
      <c r="A95" s="197"/>
      <c r="B95" s="1067" t="s">
        <v>12869</v>
      </c>
      <c r="C95" s="354" t="s">
        <v>3631</v>
      </c>
      <c r="D95" s="286" t="s">
        <v>681</v>
      </c>
      <c r="E95" s="286">
        <v>3</v>
      </c>
      <c r="F95" s="697">
        <v>0</v>
      </c>
      <c r="G95" s="697">
        <v>0</v>
      </c>
      <c r="H95" s="697">
        <v>0</v>
      </c>
      <c r="I95" s="697">
        <v>0</v>
      </c>
      <c r="J95" s="697">
        <v>1.7999999999999999E-2</v>
      </c>
      <c r="K95" s="1597">
        <f t="shared" si="149"/>
        <v>1.7999999999999999E-2</v>
      </c>
      <c r="L95" s="1655"/>
      <c r="M95" s="1660"/>
      <c r="N95" s="1660"/>
      <c r="O95" s="1660"/>
      <c r="P95" s="1660"/>
      <c r="Q95" s="1655"/>
      <c r="R95" s="1657"/>
      <c r="S95" s="1657"/>
      <c r="T95" s="1671"/>
      <c r="U95" s="197"/>
      <c r="V95" s="1071" t="s">
        <v>12877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7" t="s">
        <v>12869</v>
      </c>
      <c r="AU95" s="354" t="s">
        <v>3631</v>
      </c>
      <c r="AV95" s="697" t="s">
        <v>12878</v>
      </c>
      <c r="AW95" s="697" t="s">
        <v>12879</v>
      </c>
      <c r="AX95" s="697" t="s">
        <v>12880</v>
      </c>
      <c r="AY95" s="697" t="s">
        <v>12881</v>
      </c>
      <c r="AZ95" s="697" t="s">
        <v>12882</v>
      </c>
      <c r="BA95" s="1597" t="s">
        <v>12883</v>
      </c>
      <c r="BB95" s="1655"/>
      <c r="BC95" s="1660"/>
      <c r="BD95" s="1660"/>
      <c r="BE95" s="1660"/>
      <c r="BF95" s="1660"/>
      <c r="BG95" s="1655"/>
      <c r="BH95" s="1657"/>
      <c r="BI95" s="1657"/>
      <c r="BJ95" s="1671"/>
    </row>
    <row r="96" spans="1:62" ht="32.25" customHeight="1" thickBot="1">
      <c r="A96" s="197"/>
      <c r="B96" s="1067" t="s">
        <v>12869</v>
      </c>
      <c r="C96" s="354" t="s">
        <v>3632</v>
      </c>
      <c r="D96" s="286" t="s">
        <v>681</v>
      </c>
      <c r="E96" s="286">
        <v>3</v>
      </c>
      <c r="F96" s="1597">
        <f>IFERROR(SUM(F94:F95), 0)</f>
        <v>1.732</v>
      </c>
      <c r="G96" s="1597">
        <f t="shared" ref="G96:J96" si="191">IFERROR(SUM(G94:G95), 0)</f>
        <v>1.175</v>
      </c>
      <c r="H96" s="1597">
        <f t="shared" si="191"/>
        <v>0</v>
      </c>
      <c r="I96" s="1597">
        <f t="shared" si="191"/>
        <v>3.6999999999999998E-2</v>
      </c>
      <c r="J96" s="1597">
        <f t="shared" si="191"/>
        <v>5.2610000000000001</v>
      </c>
      <c r="K96" s="1597">
        <f t="shared" si="149"/>
        <v>8.2050000000000001</v>
      </c>
      <c r="L96" s="1655"/>
      <c r="M96" s="1660"/>
      <c r="N96" s="1660"/>
      <c r="O96" s="1660"/>
      <c r="P96" s="1660"/>
      <c r="Q96" s="1655"/>
      <c r="R96" s="2097">
        <v>12.654</v>
      </c>
      <c r="S96" s="2097">
        <v>69.725999999999999</v>
      </c>
      <c r="T96" s="2374">
        <v>90.816000000000003</v>
      </c>
      <c r="U96" s="197"/>
      <c r="V96" s="1071" t="s">
        <v>12884</v>
      </c>
      <c r="W96" s="197"/>
      <c r="X96" s="291"/>
      <c r="Y96" s="197"/>
      <c r="Z96" s="345"/>
      <c r="AA96" s="284">
        <f t="shared" si="166"/>
        <v>0</v>
      </c>
      <c r="AB96" s="828"/>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7" t="s">
        <v>12869</v>
      </c>
      <c r="AU96" s="354" t="s">
        <v>3632</v>
      </c>
      <c r="AV96" s="1597" t="s">
        <v>12885</v>
      </c>
      <c r="AW96" s="1597" t="s">
        <v>12886</v>
      </c>
      <c r="AX96" s="1597" t="s">
        <v>12887</v>
      </c>
      <c r="AY96" s="1597" t="s">
        <v>12888</v>
      </c>
      <c r="AZ96" s="1597" t="s">
        <v>12889</v>
      </c>
      <c r="BA96" s="1597" t="s">
        <v>12890</v>
      </c>
      <c r="BB96" s="1655"/>
      <c r="BC96" s="1660"/>
      <c r="BD96" s="1660"/>
      <c r="BE96" s="1660"/>
      <c r="BF96" s="1660"/>
      <c r="BG96" s="1655"/>
      <c r="BH96" s="2097" t="s">
        <v>12891</v>
      </c>
      <c r="BI96" s="2097" t="s">
        <v>12892</v>
      </c>
      <c r="BJ96" s="2374" t="s">
        <v>12893</v>
      </c>
    </row>
    <row r="97" spans="1:62" ht="30.75" thickTop="1">
      <c r="A97" s="197"/>
      <c r="B97" s="2375" t="s">
        <v>12894</v>
      </c>
      <c r="C97" s="2367" t="s">
        <v>3630</v>
      </c>
      <c r="D97" s="2368" t="s">
        <v>681</v>
      </c>
      <c r="E97" s="2368">
        <v>3</v>
      </c>
      <c r="F97" s="697">
        <v>0</v>
      </c>
      <c r="G97" s="697">
        <v>0</v>
      </c>
      <c r="H97" s="697">
        <v>0</v>
      </c>
      <c r="I97" s="697">
        <v>0</v>
      </c>
      <c r="J97" s="697">
        <v>0</v>
      </c>
      <c r="K97" s="1597">
        <f t="shared" si="149"/>
        <v>0</v>
      </c>
      <c r="L97" s="1655"/>
      <c r="M97" s="1660"/>
      <c r="N97" s="1660"/>
      <c r="O97" s="1660"/>
      <c r="P97" s="1660"/>
      <c r="Q97" s="1660"/>
      <c r="R97" s="2558"/>
      <c r="S97" s="2558"/>
      <c r="T97" s="2559"/>
      <c r="U97" s="197"/>
      <c r="V97" s="1071" t="s">
        <v>12895</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66" t="s">
        <v>12894</v>
      </c>
      <c r="AU97" s="2377" t="s">
        <v>3630</v>
      </c>
      <c r="AV97" s="697" t="s">
        <v>2730</v>
      </c>
      <c r="AW97" s="697" t="s">
        <v>2732</v>
      </c>
      <c r="AX97" s="697" t="s">
        <v>2734</v>
      </c>
      <c r="AY97" s="697" t="s">
        <v>2736</v>
      </c>
      <c r="AZ97" s="697" t="s">
        <v>2738</v>
      </c>
      <c r="BA97" s="1597" t="s">
        <v>12896</v>
      </c>
      <c r="BB97" s="1655"/>
      <c r="BC97" s="1660"/>
      <c r="BD97" s="1660"/>
      <c r="BE97" s="1660"/>
      <c r="BF97" s="1660"/>
      <c r="BG97" s="1660"/>
      <c r="BH97" s="2558"/>
      <c r="BI97" s="2558"/>
      <c r="BJ97" s="2559"/>
    </row>
    <row r="98" spans="1:62" ht="30">
      <c r="A98" s="197"/>
      <c r="B98" s="2375" t="s">
        <v>12894</v>
      </c>
      <c r="C98" s="2367" t="s">
        <v>3631</v>
      </c>
      <c r="D98" s="2368" t="s">
        <v>681</v>
      </c>
      <c r="E98" s="2368">
        <v>3</v>
      </c>
      <c r="F98" s="697">
        <v>0</v>
      </c>
      <c r="G98" s="697">
        <v>0</v>
      </c>
      <c r="H98" s="697">
        <v>0</v>
      </c>
      <c r="I98" s="697">
        <v>0</v>
      </c>
      <c r="J98" s="697">
        <v>0</v>
      </c>
      <c r="K98" s="1597">
        <f t="shared" si="149"/>
        <v>0</v>
      </c>
      <c r="L98" s="1655"/>
      <c r="M98" s="1660"/>
      <c r="N98" s="1660"/>
      <c r="O98" s="1660"/>
      <c r="P98" s="1660"/>
      <c r="Q98" s="1660"/>
      <c r="R98" s="2558"/>
      <c r="S98" s="2558"/>
      <c r="T98" s="2559"/>
      <c r="U98" s="197"/>
      <c r="V98" s="1071" t="s">
        <v>12897</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66" t="s">
        <v>12894</v>
      </c>
      <c r="AU98" s="2367" t="s">
        <v>3631</v>
      </c>
      <c r="AV98" s="697" t="s">
        <v>2740</v>
      </c>
      <c r="AW98" s="697" t="s">
        <v>2741</v>
      </c>
      <c r="AX98" s="697" t="s">
        <v>2742</v>
      </c>
      <c r="AY98" s="697" t="s">
        <v>2743</v>
      </c>
      <c r="AZ98" s="697" t="s">
        <v>2744</v>
      </c>
      <c r="BA98" s="1597" t="s">
        <v>12898</v>
      </c>
      <c r="BB98" s="1655"/>
      <c r="BC98" s="1660"/>
      <c r="BD98" s="1660"/>
      <c r="BE98" s="1660"/>
      <c r="BF98" s="1660"/>
      <c r="BG98" s="1660"/>
      <c r="BH98" s="2558"/>
      <c r="BI98" s="2558"/>
      <c r="BJ98" s="2559"/>
    </row>
    <row r="99" spans="1:62" ht="30">
      <c r="A99" s="197"/>
      <c r="B99" s="2375" t="s">
        <v>12894</v>
      </c>
      <c r="C99" s="2367" t="s">
        <v>3632</v>
      </c>
      <c r="D99" s="2368" t="s">
        <v>681</v>
      </c>
      <c r="E99" s="2368">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097">
        <v>0</v>
      </c>
      <c r="S99" s="2097">
        <v>0</v>
      </c>
      <c r="T99" s="2374">
        <v>0</v>
      </c>
      <c r="U99" s="197"/>
      <c r="V99" s="1071" t="s">
        <v>12899</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66" t="s">
        <v>12894</v>
      </c>
      <c r="AU99" s="2367" t="s">
        <v>3632</v>
      </c>
      <c r="AV99" s="1597" t="s">
        <v>2745</v>
      </c>
      <c r="AW99" s="1597" t="s">
        <v>2746</v>
      </c>
      <c r="AX99" s="1597" t="s">
        <v>2747</v>
      </c>
      <c r="AY99" s="1597" t="s">
        <v>2748</v>
      </c>
      <c r="AZ99" s="1597" t="s">
        <v>2749</v>
      </c>
      <c r="BA99" s="1597" t="s">
        <v>12900</v>
      </c>
      <c r="BB99" s="1655"/>
      <c r="BC99" s="1660"/>
      <c r="BD99" s="1660"/>
      <c r="BE99" s="1660"/>
      <c r="BF99" s="1660"/>
      <c r="BG99" s="1660"/>
      <c r="BH99" s="2097" t="s">
        <v>2750</v>
      </c>
      <c r="BI99" s="2097" t="s">
        <v>2752</v>
      </c>
      <c r="BJ99" s="2097" t="s">
        <v>2754</v>
      </c>
    </row>
    <row r="100" spans="1:62" ht="30">
      <c r="A100" s="197"/>
      <c r="B100" s="2375" t="s">
        <v>12901</v>
      </c>
      <c r="C100" s="2367" t="s">
        <v>3630</v>
      </c>
      <c r="D100" s="2368" t="s">
        <v>681</v>
      </c>
      <c r="E100" s="2368">
        <v>3</v>
      </c>
      <c r="F100" s="697">
        <v>0</v>
      </c>
      <c r="G100" s="697">
        <v>0</v>
      </c>
      <c r="H100" s="697">
        <v>0</v>
      </c>
      <c r="I100" s="697">
        <v>0</v>
      </c>
      <c r="J100" s="2610">
        <v>0.245</v>
      </c>
      <c r="K100" s="1597">
        <f t="shared" si="149"/>
        <v>0.245</v>
      </c>
      <c r="L100" s="1655"/>
      <c r="M100" s="1660"/>
      <c r="N100" s="1660"/>
      <c r="O100" s="1660"/>
      <c r="P100" s="1660"/>
      <c r="Q100" s="1660"/>
      <c r="R100" s="2558"/>
      <c r="S100" s="2558"/>
      <c r="T100" s="2559"/>
      <c r="U100" s="197"/>
      <c r="V100" s="1071" t="s">
        <v>12902</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69" t="s">
        <v>12901</v>
      </c>
      <c r="AU100" s="2367" t="s">
        <v>3630</v>
      </c>
      <c r="AV100" s="697" t="s">
        <v>2756</v>
      </c>
      <c r="AW100" s="697" t="s">
        <v>2758</v>
      </c>
      <c r="AX100" s="697" t="s">
        <v>2760</v>
      </c>
      <c r="AY100" s="697" t="s">
        <v>2762</v>
      </c>
      <c r="AZ100" s="697" t="s">
        <v>2764</v>
      </c>
      <c r="BA100" s="1597" t="s">
        <v>12903</v>
      </c>
      <c r="BB100" s="1655"/>
      <c r="BC100" s="1660"/>
      <c r="BD100" s="1660"/>
      <c r="BE100" s="1660"/>
      <c r="BF100" s="1660"/>
      <c r="BG100" s="1660"/>
      <c r="BH100" s="2558"/>
      <c r="BI100" s="2558"/>
      <c r="BJ100" s="2559"/>
    </row>
    <row r="101" spans="1:62" ht="30" customHeight="1">
      <c r="A101" s="197"/>
      <c r="B101" s="2375" t="s">
        <v>12901</v>
      </c>
      <c r="C101" s="2367" t="s">
        <v>3631</v>
      </c>
      <c r="D101" s="2368" t="s">
        <v>681</v>
      </c>
      <c r="E101" s="2368">
        <v>3</v>
      </c>
      <c r="F101" s="697">
        <v>0</v>
      </c>
      <c r="G101" s="697">
        <v>0</v>
      </c>
      <c r="H101" s="697">
        <v>0</v>
      </c>
      <c r="I101" s="697">
        <v>0</v>
      </c>
      <c r="J101" s="697">
        <v>0</v>
      </c>
      <c r="K101" s="1597">
        <f t="shared" si="149"/>
        <v>0</v>
      </c>
      <c r="L101" s="1655"/>
      <c r="M101" s="1660"/>
      <c r="N101" s="1660"/>
      <c r="O101" s="1660"/>
      <c r="P101" s="1660"/>
      <c r="Q101" s="1660"/>
      <c r="R101" s="2558"/>
      <c r="S101" s="2558"/>
      <c r="T101" s="2559"/>
      <c r="U101" s="197"/>
      <c r="V101" s="1071" t="s">
        <v>12904</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69" t="s">
        <v>12901</v>
      </c>
      <c r="AU101" s="2367" t="s">
        <v>3631</v>
      </c>
      <c r="AV101" s="697" t="s">
        <v>2766</v>
      </c>
      <c r="AW101" s="697" t="s">
        <v>2767</v>
      </c>
      <c r="AX101" s="697" t="s">
        <v>2768</v>
      </c>
      <c r="AY101" s="697" t="s">
        <v>2769</v>
      </c>
      <c r="AZ101" s="697" t="s">
        <v>2770</v>
      </c>
      <c r="BA101" s="1597" t="s">
        <v>12905</v>
      </c>
      <c r="BB101" s="1655"/>
      <c r="BC101" s="1660"/>
      <c r="BD101" s="1660"/>
      <c r="BE101" s="1660"/>
      <c r="BF101" s="1660"/>
      <c r="BG101" s="1660"/>
      <c r="BH101" s="2558"/>
      <c r="BI101" s="2558"/>
      <c r="BJ101" s="2559"/>
    </row>
    <row r="102" spans="1:62" ht="34.5" customHeight="1">
      <c r="A102" s="197"/>
      <c r="B102" s="2375" t="s">
        <v>12901</v>
      </c>
      <c r="C102" s="2367" t="s">
        <v>3632</v>
      </c>
      <c r="D102" s="2368" t="s">
        <v>681</v>
      </c>
      <c r="E102" s="2368">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0.245</v>
      </c>
      <c r="K102" s="1597">
        <f t="shared" si="149"/>
        <v>0.245</v>
      </c>
      <c r="L102" s="1655"/>
      <c r="M102" s="1660"/>
      <c r="N102" s="1660"/>
      <c r="O102" s="1660"/>
      <c r="P102" s="1660"/>
      <c r="Q102" s="1660"/>
      <c r="R102" s="2097">
        <v>2.903</v>
      </c>
      <c r="S102" s="2097">
        <v>0</v>
      </c>
      <c r="T102" s="2374">
        <v>0</v>
      </c>
      <c r="U102" s="197"/>
      <c r="V102" s="1071" t="s">
        <v>12906</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69" t="s">
        <v>12901</v>
      </c>
      <c r="AU102" s="2367" t="s">
        <v>3632</v>
      </c>
      <c r="AV102" s="1597" t="s">
        <v>2771</v>
      </c>
      <c r="AW102" s="1597" t="s">
        <v>2772</v>
      </c>
      <c r="AX102" s="1597" t="s">
        <v>2773</v>
      </c>
      <c r="AY102" s="1597" t="s">
        <v>2774</v>
      </c>
      <c r="AZ102" s="1597" t="s">
        <v>2775</v>
      </c>
      <c r="BA102" s="1597" t="s">
        <v>12907</v>
      </c>
      <c r="BB102" s="1655"/>
      <c r="BC102" s="1660"/>
      <c r="BD102" s="1660"/>
      <c r="BE102" s="1660"/>
      <c r="BF102" s="1660"/>
      <c r="BG102" s="1660"/>
      <c r="BH102" s="2097" t="s">
        <v>2776</v>
      </c>
      <c r="BI102" s="2097" t="s">
        <v>2778</v>
      </c>
      <c r="BJ102" s="2374" t="s">
        <v>2780</v>
      </c>
    </row>
    <row r="103" spans="1:62" ht="15.75" customHeight="1">
      <c r="A103" s="197"/>
      <c r="B103" s="2375" t="s">
        <v>12908</v>
      </c>
      <c r="C103" s="2367" t="s">
        <v>3630</v>
      </c>
      <c r="D103" s="2368" t="s">
        <v>681</v>
      </c>
      <c r="E103" s="2368">
        <v>3</v>
      </c>
      <c r="F103" s="697">
        <v>0</v>
      </c>
      <c r="G103" s="697">
        <v>0</v>
      </c>
      <c r="H103" s="697">
        <v>0</v>
      </c>
      <c r="I103" s="697">
        <v>0</v>
      </c>
      <c r="J103" s="2610">
        <v>2.6579999999999999</v>
      </c>
      <c r="K103" s="1597">
        <f t="shared" si="149"/>
        <v>2.6579999999999999</v>
      </c>
      <c r="L103" s="1655"/>
      <c r="M103" s="1660"/>
      <c r="N103" s="1660"/>
      <c r="O103" s="1660"/>
      <c r="P103" s="1660"/>
      <c r="Q103" s="1660"/>
      <c r="R103" s="1657"/>
      <c r="S103" s="1657"/>
      <c r="T103" s="1671"/>
      <c r="U103" s="197"/>
      <c r="V103" s="1071" t="s">
        <v>12909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69" t="s">
        <v>12908</v>
      </c>
      <c r="AU103" s="2367" t="s">
        <v>3630</v>
      </c>
      <c r="AV103" s="697" t="s">
        <v>2782</v>
      </c>
      <c r="AW103" s="697" t="s">
        <v>2784</v>
      </c>
      <c r="AX103" s="697" t="s">
        <v>2786</v>
      </c>
      <c r="AY103" s="697" t="s">
        <v>2788</v>
      </c>
      <c r="AZ103" s="697" t="s">
        <v>2790</v>
      </c>
      <c r="BA103" s="1597" t="s">
        <v>12910</v>
      </c>
      <c r="BB103" s="1655"/>
      <c r="BC103" s="1660"/>
      <c r="BD103" s="1660"/>
      <c r="BE103" s="1660"/>
      <c r="BF103" s="1660"/>
      <c r="BG103" s="1660"/>
      <c r="BH103" s="1657"/>
      <c r="BI103" s="1657"/>
      <c r="BJ103" s="1671"/>
    </row>
    <row r="104" spans="1:62" ht="15.75" customHeight="1">
      <c r="A104" s="197"/>
      <c r="B104" s="2375" t="s">
        <v>12908</v>
      </c>
      <c r="C104" s="2367" t="s">
        <v>3631</v>
      </c>
      <c r="D104" s="2368" t="s">
        <v>681</v>
      </c>
      <c r="E104" s="2368">
        <v>3</v>
      </c>
      <c r="F104" s="697">
        <v>0</v>
      </c>
      <c r="G104" s="697">
        <v>0</v>
      </c>
      <c r="H104" s="697">
        <v>0</v>
      </c>
      <c r="I104" s="697">
        <v>0</v>
      </c>
      <c r="J104" s="697">
        <v>0</v>
      </c>
      <c r="K104" s="1597">
        <f t="shared" ref="K104:K105" si="205">IFERROR(SUM(F104:J104), 0)</f>
        <v>0</v>
      </c>
      <c r="L104" s="1655"/>
      <c r="M104" s="1660"/>
      <c r="N104" s="1660"/>
      <c r="O104" s="1660"/>
      <c r="P104" s="1660"/>
      <c r="Q104" s="1660"/>
      <c r="R104" s="1657"/>
      <c r="S104" s="1657"/>
      <c r="T104" s="1671"/>
      <c r="U104" s="197"/>
      <c r="V104" s="1071" t="s">
        <v>12911</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69" t="s">
        <v>12908</v>
      </c>
      <c r="AU104" s="2367" t="s">
        <v>3631</v>
      </c>
      <c r="AV104" s="697" t="s">
        <v>2792</v>
      </c>
      <c r="AW104" s="697" t="s">
        <v>2793</v>
      </c>
      <c r="AX104" s="697" t="s">
        <v>2794</v>
      </c>
      <c r="AY104" s="697" t="s">
        <v>2795</v>
      </c>
      <c r="AZ104" s="697" t="s">
        <v>2796</v>
      </c>
      <c r="BA104" s="1597" t="s">
        <v>12912</v>
      </c>
      <c r="BB104" s="1655"/>
      <c r="BC104" s="1660"/>
      <c r="BD104" s="1660"/>
      <c r="BE104" s="1660"/>
      <c r="BF104" s="1660"/>
      <c r="BG104" s="1660"/>
      <c r="BH104" s="1657"/>
      <c r="BI104" s="1657"/>
      <c r="BJ104" s="1671"/>
    </row>
    <row r="105" spans="1:62" ht="15.75" customHeight="1">
      <c r="A105" s="197"/>
      <c r="B105" s="2375" t="s">
        <v>12908</v>
      </c>
      <c r="C105" s="2367" t="s">
        <v>3632</v>
      </c>
      <c r="D105" s="2368" t="s">
        <v>681</v>
      </c>
      <c r="E105" s="2368">
        <v>3</v>
      </c>
      <c r="F105" s="1597">
        <f>IFERROR(SUM(F103:F104), 0)</f>
        <v>0</v>
      </c>
      <c r="G105" s="1597">
        <f t="shared" ref="G105:I105" si="206">IFERROR(SUM(G103:G104), 0)</f>
        <v>0</v>
      </c>
      <c r="H105" s="1597">
        <f t="shared" si="206"/>
        <v>0</v>
      </c>
      <c r="I105" s="1597">
        <f t="shared" si="206"/>
        <v>0</v>
      </c>
      <c r="J105" s="1597">
        <f>IFERROR(SUM(J103:J104), 0)</f>
        <v>2.6579999999999999</v>
      </c>
      <c r="K105" s="1597">
        <f t="shared" si="205"/>
        <v>2.6579999999999999</v>
      </c>
      <c r="L105" s="1655"/>
      <c r="M105" s="1660"/>
      <c r="N105" s="1660"/>
      <c r="O105" s="1660"/>
      <c r="P105" s="1660"/>
      <c r="Q105" s="1660"/>
      <c r="R105" s="2097">
        <v>0</v>
      </c>
      <c r="S105" s="2097">
        <v>0</v>
      </c>
      <c r="T105" s="2374">
        <v>0</v>
      </c>
      <c r="U105" s="197"/>
      <c r="V105" s="1071" t="s">
        <v>12913</v>
      </c>
      <c r="W105" s="197"/>
      <c r="X105" s="291"/>
      <c r="Y105" s="197"/>
      <c r="Z105" s="345"/>
      <c r="AA105" s="284">
        <f>IF( SUM( AC105:AQ105 ) = 0, 0, $AC$9 )</f>
        <v>0</v>
      </c>
      <c r="AB105" s="828"/>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0" t="s">
        <v>12908</v>
      </c>
      <c r="AU105" s="2371" t="s">
        <v>3632</v>
      </c>
      <c r="AV105" s="1597" t="s">
        <v>2797</v>
      </c>
      <c r="AW105" s="1597" t="s">
        <v>2798</v>
      </c>
      <c r="AX105" s="1597" t="s">
        <v>2799</v>
      </c>
      <c r="AY105" s="1597" t="s">
        <v>2800</v>
      </c>
      <c r="AZ105" s="1597" t="s">
        <v>2801</v>
      </c>
      <c r="BA105" s="1597" t="s">
        <v>12914</v>
      </c>
      <c r="BB105" s="1655"/>
      <c r="BC105" s="1660"/>
      <c r="BD105" s="1660"/>
      <c r="BE105" s="1660"/>
      <c r="BF105" s="1660"/>
      <c r="BG105" s="1660"/>
      <c r="BH105" s="2097" t="s">
        <v>2802</v>
      </c>
      <c r="BI105" s="2097" t="s">
        <v>2804</v>
      </c>
      <c r="BJ105" s="2374" t="s">
        <v>2806</v>
      </c>
    </row>
    <row r="106" spans="1:62" ht="15.75" customHeight="1">
      <c r="A106" s="197"/>
      <c r="B106" s="1067" t="s">
        <v>12915</v>
      </c>
      <c r="C106" s="354" t="s">
        <v>3630</v>
      </c>
      <c r="D106" s="286" t="s">
        <v>681</v>
      </c>
      <c r="E106" s="286">
        <v>3</v>
      </c>
      <c r="F106" s="1597">
        <f t="shared" ref="F106:J107" si="210">IFERROR(SUM(F97,F100,F103), 0)</f>
        <v>0</v>
      </c>
      <c r="G106" s="1597">
        <f t="shared" si="210"/>
        <v>0</v>
      </c>
      <c r="H106" s="1597">
        <f t="shared" si="210"/>
        <v>0</v>
      </c>
      <c r="I106" s="1597">
        <f t="shared" si="210"/>
        <v>0</v>
      </c>
      <c r="J106" s="1597">
        <f t="shared" si="210"/>
        <v>2.903</v>
      </c>
      <c r="K106" s="1597">
        <f>IFERROR(SUM(F106:J106), 0)</f>
        <v>2.903</v>
      </c>
      <c r="L106" s="1655"/>
      <c r="M106" s="1660"/>
      <c r="N106" s="1660"/>
      <c r="O106" s="1660"/>
      <c r="P106" s="1660"/>
      <c r="Q106" s="1660"/>
      <c r="R106" s="1657"/>
      <c r="S106" s="1657"/>
      <c r="T106" s="1671"/>
      <c r="U106" s="197"/>
      <c r="V106" s="1071" t="s">
        <v>12916</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12915</v>
      </c>
      <c r="AU106" s="354" t="s">
        <v>3630</v>
      </c>
      <c r="AV106" s="1597" t="s">
        <v>12917</v>
      </c>
      <c r="AW106" s="1597" t="s">
        <v>12918</v>
      </c>
      <c r="AX106" s="1597" t="s">
        <v>12919</v>
      </c>
      <c r="AY106" s="1597" t="s">
        <v>12920</v>
      </c>
      <c r="AZ106" s="1597" t="s">
        <v>12921</v>
      </c>
      <c r="BA106" s="1597" t="s">
        <v>12922</v>
      </c>
      <c r="BB106" s="1655"/>
      <c r="BC106" s="1660"/>
      <c r="BD106" s="1660"/>
      <c r="BE106" s="1660"/>
      <c r="BF106" s="1660"/>
      <c r="BG106" s="1660"/>
      <c r="BH106" s="1657"/>
      <c r="BI106" s="1657"/>
      <c r="BJ106" s="1671"/>
    </row>
    <row r="107" spans="1:62" ht="15.75" customHeight="1">
      <c r="A107" s="197"/>
      <c r="B107" s="1067" t="s">
        <v>12915</v>
      </c>
      <c r="C107" s="354" t="s">
        <v>3631</v>
      </c>
      <c r="D107" s="286" t="s">
        <v>681</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12923</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12915</v>
      </c>
      <c r="AU107" s="354" t="s">
        <v>3631</v>
      </c>
      <c r="AV107" s="1597" t="s">
        <v>12924</v>
      </c>
      <c r="AW107" s="1597" t="s">
        <v>12925</v>
      </c>
      <c r="AX107" s="1597" t="s">
        <v>12926</v>
      </c>
      <c r="AY107" s="1597" t="s">
        <v>12927</v>
      </c>
      <c r="AZ107" s="1597" t="s">
        <v>12928</v>
      </c>
      <c r="BA107" s="1597" t="s">
        <v>12929</v>
      </c>
      <c r="BB107" s="1655"/>
      <c r="BC107" s="1660"/>
      <c r="BD107" s="1660"/>
      <c r="BE107" s="1660"/>
      <c r="BF107" s="1660"/>
      <c r="BG107" s="1660"/>
      <c r="BH107" s="1657"/>
      <c r="BI107" s="1657"/>
      <c r="BJ107" s="1671"/>
    </row>
    <row r="108" spans="1:62" ht="15.75" customHeight="1">
      <c r="A108" s="197"/>
      <c r="B108" s="1067" t="s">
        <v>12915</v>
      </c>
      <c r="C108" s="354" t="s">
        <v>3632</v>
      </c>
      <c r="D108" s="286" t="s">
        <v>681</v>
      </c>
      <c r="E108" s="286">
        <v>3</v>
      </c>
      <c r="F108" s="1597">
        <f>IFERROR(SUM(F106:F107), 0)</f>
        <v>0</v>
      </c>
      <c r="G108" s="1597">
        <f t="shared" ref="G108:I108" si="216">IFERROR(SUM(G106:G107), 0)</f>
        <v>0</v>
      </c>
      <c r="H108" s="1597">
        <f t="shared" si="216"/>
        <v>0</v>
      </c>
      <c r="I108" s="1597">
        <f t="shared" si="216"/>
        <v>0</v>
      </c>
      <c r="J108" s="1597">
        <f>IFERROR(SUM(J106:J107), 0)</f>
        <v>2.903</v>
      </c>
      <c r="K108" s="1597">
        <f t="shared" si="135"/>
        <v>2.903</v>
      </c>
      <c r="L108" s="1655"/>
      <c r="M108" s="1660"/>
      <c r="N108" s="1660"/>
      <c r="O108" s="1660"/>
      <c r="P108" s="1660"/>
      <c r="Q108" s="1660"/>
      <c r="R108" s="2097">
        <v>6.5750000000000002</v>
      </c>
      <c r="S108" s="2097">
        <v>9.1029999999999998</v>
      </c>
      <c r="T108" s="2374">
        <v>11.857000000000001</v>
      </c>
      <c r="U108" s="197"/>
      <c r="V108" s="1071" t="s">
        <v>12930</v>
      </c>
      <c r="W108" s="197"/>
      <c r="X108" s="291"/>
      <c r="Y108" s="197"/>
      <c r="Z108" s="345"/>
      <c r="AA108" s="284">
        <f t="shared" si="129"/>
        <v>0</v>
      </c>
      <c r="AB108" s="828"/>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7" t="s">
        <v>12915</v>
      </c>
      <c r="AU108" s="354" t="s">
        <v>3632</v>
      </c>
      <c r="AV108" s="1597" t="s">
        <v>12931</v>
      </c>
      <c r="AW108" s="1597" t="s">
        <v>12932</v>
      </c>
      <c r="AX108" s="1597" t="s">
        <v>12933</v>
      </c>
      <c r="AY108" s="1597" t="s">
        <v>12934</v>
      </c>
      <c r="AZ108" s="1597" t="s">
        <v>12935</v>
      </c>
      <c r="BA108" s="1597" t="s">
        <v>12936</v>
      </c>
      <c r="BB108" s="1655"/>
      <c r="BC108" s="1660"/>
      <c r="BD108" s="1660"/>
      <c r="BE108" s="1660"/>
      <c r="BF108" s="1660"/>
      <c r="BG108" s="1660"/>
      <c r="BH108" s="2097" t="s">
        <v>12937</v>
      </c>
      <c r="BI108" s="2097" t="s">
        <v>12938</v>
      </c>
      <c r="BJ108" s="2374" t="s">
        <v>12939</v>
      </c>
    </row>
    <row r="109" spans="1:62" ht="15.75" customHeight="1">
      <c r="A109" s="197"/>
      <c r="B109" s="1067" t="s">
        <v>12940</v>
      </c>
      <c r="C109" s="354" t="s">
        <v>3630</v>
      </c>
      <c r="D109" s="286" t="s">
        <v>681</v>
      </c>
      <c r="E109" s="286">
        <v>3</v>
      </c>
      <c r="F109" s="697">
        <v>3.0000000000000001E-3</v>
      </c>
      <c r="G109" s="697">
        <v>0</v>
      </c>
      <c r="H109" s="697">
        <v>0</v>
      </c>
      <c r="I109" s="697">
        <v>0.34200000000000003</v>
      </c>
      <c r="J109" s="697">
        <v>0.22500000000000001</v>
      </c>
      <c r="K109" s="1597">
        <f t="shared" si="135"/>
        <v>0.57000000000000006</v>
      </c>
      <c r="L109" s="1655"/>
      <c r="M109" s="1660"/>
      <c r="N109" s="1660"/>
      <c r="O109" s="1660"/>
      <c r="P109" s="1660"/>
      <c r="Q109" s="1655"/>
      <c r="R109" s="1657"/>
      <c r="S109" s="1657"/>
      <c r="T109" s="1671"/>
      <c r="U109" s="197"/>
      <c r="V109" s="1071" t="s">
        <v>12941</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7" t="s">
        <v>12940</v>
      </c>
      <c r="AU109" s="354" t="s">
        <v>3630</v>
      </c>
      <c r="AV109" s="697" t="s">
        <v>12942</v>
      </c>
      <c r="AW109" s="697" t="s">
        <v>12943</v>
      </c>
      <c r="AX109" s="697" t="s">
        <v>12944</v>
      </c>
      <c r="AY109" s="697" t="s">
        <v>12945</v>
      </c>
      <c r="AZ109" s="697" t="s">
        <v>12946</v>
      </c>
      <c r="BA109" s="1597" t="s">
        <v>12947</v>
      </c>
      <c r="BB109" s="1655"/>
      <c r="BC109" s="1660"/>
      <c r="BD109" s="1660"/>
      <c r="BE109" s="1660"/>
      <c r="BF109" s="1660"/>
      <c r="BG109" s="1655"/>
      <c r="BH109" s="1657"/>
      <c r="BI109" s="1657"/>
      <c r="BJ109" s="1671"/>
    </row>
    <row r="110" spans="1:62" ht="15.75" customHeight="1">
      <c r="A110" s="197"/>
      <c r="B110" s="1067" t="s">
        <v>12940</v>
      </c>
      <c r="C110" s="354" t="s">
        <v>3631</v>
      </c>
      <c r="D110" s="286" t="s">
        <v>681</v>
      </c>
      <c r="E110" s="286">
        <v>3</v>
      </c>
      <c r="F110" s="697">
        <v>0</v>
      </c>
      <c r="G110" s="697">
        <v>0</v>
      </c>
      <c r="H110" s="697">
        <v>0</v>
      </c>
      <c r="I110" s="697">
        <v>0</v>
      </c>
      <c r="J110" s="697">
        <v>0</v>
      </c>
      <c r="K110" s="1597">
        <f t="shared" si="135"/>
        <v>0</v>
      </c>
      <c r="L110" s="1655"/>
      <c r="M110" s="1660"/>
      <c r="N110" s="1660"/>
      <c r="O110" s="1660"/>
      <c r="P110" s="1660"/>
      <c r="Q110" s="1655"/>
      <c r="R110" s="1657"/>
      <c r="S110" s="1657"/>
      <c r="T110" s="1671"/>
      <c r="U110" s="197"/>
      <c r="V110" s="1071" t="s">
        <v>12948</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7" t="s">
        <v>12940</v>
      </c>
      <c r="AU110" s="354" t="s">
        <v>3631</v>
      </c>
      <c r="AV110" s="697" t="s">
        <v>12949</v>
      </c>
      <c r="AW110" s="697" t="s">
        <v>12950</v>
      </c>
      <c r="AX110" s="697" t="s">
        <v>12951</v>
      </c>
      <c r="AY110" s="697" t="s">
        <v>12952</v>
      </c>
      <c r="AZ110" s="697" t="s">
        <v>12953</v>
      </c>
      <c r="BA110" s="1597" t="s">
        <v>12954</v>
      </c>
      <c r="BB110" s="1655"/>
      <c r="BC110" s="1660"/>
      <c r="BD110" s="1660"/>
      <c r="BE110" s="1660"/>
      <c r="BF110" s="1660"/>
      <c r="BG110" s="1655"/>
      <c r="BH110" s="1657"/>
      <c r="BI110" s="1657"/>
      <c r="BJ110" s="1671"/>
    </row>
    <row r="111" spans="1:62" ht="15.75" customHeight="1">
      <c r="A111" s="197"/>
      <c r="B111" s="1067" t="s">
        <v>12940</v>
      </c>
      <c r="C111" s="354" t="s">
        <v>3632</v>
      </c>
      <c r="D111" s="286" t="s">
        <v>681</v>
      </c>
      <c r="E111" s="286">
        <v>3</v>
      </c>
      <c r="F111" s="1597">
        <f>IFERROR(SUM(F109:F110), 0)</f>
        <v>3.0000000000000001E-3</v>
      </c>
      <c r="G111" s="1597">
        <f>IFERROR(SUM(G109:G110), 0)</f>
        <v>0</v>
      </c>
      <c r="H111" s="1597">
        <f t="shared" ref="H111:J111" si="225">IFERROR(SUM(H109:H110), 0)</f>
        <v>0</v>
      </c>
      <c r="I111" s="1597">
        <f t="shared" si="225"/>
        <v>0.34200000000000003</v>
      </c>
      <c r="J111" s="1597">
        <f t="shared" si="225"/>
        <v>0.22500000000000001</v>
      </c>
      <c r="K111" s="1597">
        <f t="shared" si="135"/>
        <v>0.57000000000000006</v>
      </c>
      <c r="L111" s="1655"/>
      <c r="M111" s="1660"/>
      <c r="N111" s="1660"/>
      <c r="O111" s="1660"/>
      <c r="P111" s="1660"/>
      <c r="Q111" s="1655"/>
      <c r="R111" s="2097">
        <v>16.8</v>
      </c>
      <c r="S111" s="2097">
        <v>8.2189999999999994</v>
      </c>
      <c r="T111" s="2374">
        <v>10.704000000000001</v>
      </c>
      <c r="U111" s="197"/>
      <c r="V111" s="1071" t="s">
        <v>12955</v>
      </c>
      <c r="W111" s="197"/>
      <c r="X111" s="291"/>
      <c r="Y111" s="197"/>
      <c r="Z111" s="345"/>
      <c r="AA111" s="284">
        <f t="shared" si="129"/>
        <v>0</v>
      </c>
      <c r="AB111" s="828"/>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7" t="s">
        <v>12940</v>
      </c>
      <c r="AU111" s="354" t="s">
        <v>3632</v>
      </c>
      <c r="AV111" s="1597" t="s">
        <v>12956</v>
      </c>
      <c r="AW111" s="1597" t="s">
        <v>12957</v>
      </c>
      <c r="AX111" s="1597" t="s">
        <v>12958</v>
      </c>
      <c r="AY111" s="1597" t="s">
        <v>12959</v>
      </c>
      <c r="AZ111" s="1597" t="s">
        <v>12960</v>
      </c>
      <c r="BA111" s="1597" t="s">
        <v>12961</v>
      </c>
      <c r="BB111" s="1655"/>
      <c r="BC111" s="1660"/>
      <c r="BD111" s="1660"/>
      <c r="BE111" s="1660"/>
      <c r="BF111" s="1660"/>
      <c r="BG111" s="1655"/>
      <c r="BH111" s="2097" t="s">
        <v>12962</v>
      </c>
      <c r="BI111" s="2097" t="s">
        <v>12963</v>
      </c>
      <c r="BJ111" s="2374" t="s">
        <v>12964</v>
      </c>
    </row>
    <row r="112" spans="1:62" ht="15.75" customHeight="1">
      <c r="A112" s="197"/>
      <c r="B112" s="1067" t="s">
        <v>12965</v>
      </c>
      <c r="C112" s="354" t="s">
        <v>3630</v>
      </c>
      <c r="D112" s="286" t="s">
        <v>681</v>
      </c>
      <c r="E112" s="286">
        <v>3</v>
      </c>
      <c r="F112" s="697">
        <v>0</v>
      </c>
      <c r="G112" s="697">
        <v>0</v>
      </c>
      <c r="H112" s="697">
        <v>0</v>
      </c>
      <c r="I112" s="697">
        <v>0</v>
      </c>
      <c r="J112" s="697">
        <v>0.16900000000000001</v>
      </c>
      <c r="K112" s="1597">
        <f t="shared" si="135"/>
        <v>0.16900000000000001</v>
      </c>
      <c r="L112" s="1655"/>
      <c r="M112" s="1660"/>
      <c r="N112" s="1660"/>
      <c r="O112" s="1660"/>
      <c r="P112" s="1660"/>
      <c r="Q112" s="1655"/>
      <c r="R112" s="1657"/>
      <c r="S112" s="1657"/>
      <c r="T112" s="1671"/>
      <c r="U112" s="197"/>
      <c r="V112" s="1071" t="s">
        <v>12966</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7" t="s">
        <v>12965</v>
      </c>
      <c r="AU112" s="354" t="s">
        <v>3630</v>
      </c>
      <c r="AV112" s="697" t="s">
        <v>12967</v>
      </c>
      <c r="AW112" s="697" t="s">
        <v>12968</v>
      </c>
      <c r="AX112" s="697" t="s">
        <v>12969</v>
      </c>
      <c r="AY112" s="697" t="s">
        <v>12970</v>
      </c>
      <c r="AZ112" s="697" t="s">
        <v>12971</v>
      </c>
      <c r="BA112" s="1597" t="s">
        <v>12972</v>
      </c>
      <c r="BB112" s="1655"/>
      <c r="BC112" s="1660"/>
      <c r="BD112" s="1660"/>
      <c r="BE112" s="1660"/>
      <c r="BF112" s="1660"/>
      <c r="BG112" s="1655"/>
      <c r="BH112" s="1657"/>
      <c r="BI112" s="1657"/>
      <c r="BJ112" s="1671"/>
    </row>
    <row r="113" spans="1:62" ht="15.75" customHeight="1">
      <c r="A113" s="197"/>
      <c r="B113" s="1067" t="s">
        <v>12965</v>
      </c>
      <c r="C113" s="354" t="s">
        <v>3631</v>
      </c>
      <c r="D113" s="286" t="s">
        <v>681</v>
      </c>
      <c r="E113" s="286">
        <v>3</v>
      </c>
      <c r="F113" s="697">
        <v>8.0000000000000002E-3</v>
      </c>
      <c r="G113" s="697">
        <v>1E-3</v>
      </c>
      <c r="H113" s="697">
        <v>0</v>
      </c>
      <c r="I113" s="697">
        <v>4.3999999999999997E-2</v>
      </c>
      <c r="J113" s="697">
        <v>0.11899999999999999</v>
      </c>
      <c r="K113" s="1597">
        <f t="shared" si="135"/>
        <v>0.17199999999999999</v>
      </c>
      <c r="L113" s="1655"/>
      <c r="M113" s="1660"/>
      <c r="N113" s="1660"/>
      <c r="O113" s="1660"/>
      <c r="P113" s="1660"/>
      <c r="Q113" s="1655"/>
      <c r="R113" s="1657"/>
      <c r="S113" s="1657"/>
      <c r="T113" s="1671"/>
      <c r="U113" s="197"/>
      <c r="V113" s="1071" t="s">
        <v>12973</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7" t="s">
        <v>12965</v>
      </c>
      <c r="AU113" s="354" t="s">
        <v>3631</v>
      </c>
      <c r="AV113" s="697" t="s">
        <v>12974</v>
      </c>
      <c r="AW113" s="697" t="s">
        <v>12975</v>
      </c>
      <c r="AX113" s="697" t="s">
        <v>12976</v>
      </c>
      <c r="AY113" s="697" t="s">
        <v>12977</v>
      </c>
      <c r="AZ113" s="697" t="s">
        <v>12978</v>
      </c>
      <c r="BA113" s="1597" t="s">
        <v>12979</v>
      </c>
      <c r="BB113" s="1655"/>
      <c r="BC113" s="1660"/>
      <c r="BD113" s="1660"/>
      <c r="BE113" s="1660"/>
      <c r="BF113" s="1660"/>
      <c r="BG113" s="1655"/>
      <c r="BH113" s="1657"/>
      <c r="BI113" s="1657"/>
      <c r="BJ113" s="1671"/>
    </row>
    <row r="114" spans="1:62" ht="15.75" customHeight="1">
      <c r="A114" s="197"/>
      <c r="B114" s="1067" t="s">
        <v>12965</v>
      </c>
      <c r="C114" s="354" t="s">
        <v>3632</v>
      </c>
      <c r="D114" s="286" t="s">
        <v>681</v>
      </c>
      <c r="E114" s="286">
        <v>3</v>
      </c>
      <c r="F114" s="1597">
        <f>IFERROR(SUM(F112:F113), 0)</f>
        <v>8.0000000000000002E-3</v>
      </c>
      <c r="G114" s="1597">
        <f t="shared" ref="G114:J114" si="234">IFERROR(SUM(G112:G113), 0)</f>
        <v>1E-3</v>
      </c>
      <c r="H114" s="1597">
        <f t="shared" si="234"/>
        <v>0</v>
      </c>
      <c r="I114" s="1597">
        <f>IFERROR(SUM(I112:I113), 0)</f>
        <v>4.3999999999999997E-2</v>
      </c>
      <c r="J114" s="1597">
        <f t="shared" si="234"/>
        <v>0.28800000000000003</v>
      </c>
      <c r="K114" s="1597">
        <f t="shared" si="135"/>
        <v>0.34100000000000003</v>
      </c>
      <c r="L114" s="1655"/>
      <c r="M114" s="1660"/>
      <c r="N114" s="1660"/>
      <c r="O114" s="1660"/>
      <c r="P114" s="1660"/>
      <c r="Q114" s="1655"/>
      <c r="R114" s="2097">
        <v>1.7549999999999999</v>
      </c>
      <c r="S114" s="2097">
        <v>0</v>
      </c>
      <c r="T114" s="2374">
        <v>0</v>
      </c>
      <c r="U114" s="197"/>
      <c r="V114" s="1071" t="s">
        <v>12980</v>
      </c>
      <c r="W114" s="197"/>
      <c r="X114" s="291"/>
      <c r="Y114" s="197"/>
      <c r="Z114" s="345"/>
      <c r="AA114" s="284">
        <f t="shared" si="129"/>
        <v>0</v>
      </c>
      <c r="AB114" s="828"/>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7" t="s">
        <v>12965</v>
      </c>
      <c r="AU114" s="354" t="s">
        <v>3632</v>
      </c>
      <c r="AV114" s="1597" t="s">
        <v>12981</v>
      </c>
      <c r="AW114" s="1597" t="s">
        <v>12982</v>
      </c>
      <c r="AX114" s="1597" t="s">
        <v>12983</v>
      </c>
      <c r="AY114" s="1597" t="s">
        <v>12984</v>
      </c>
      <c r="AZ114" s="1597" t="s">
        <v>12985</v>
      </c>
      <c r="BA114" s="1597" t="s">
        <v>12986</v>
      </c>
      <c r="BB114" s="1655"/>
      <c r="BC114" s="1660"/>
      <c r="BD114" s="1660"/>
      <c r="BE114" s="1660"/>
      <c r="BF114" s="1660"/>
      <c r="BG114" s="1655"/>
      <c r="BH114" s="2097" t="s">
        <v>12987</v>
      </c>
      <c r="BI114" s="2097" t="s">
        <v>12988</v>
      </c>
      <c r="BJ114" s="2374" t="s">
        <v>12989</v>
      </c>
    </row>
    <row r="115" spans="1:62" ht="15.75" customHeight="1">
      <c r="A115" s="197"/>
      <c r="B115" s="1102" t="s">
        <v>12990</v>
      </c>
      <c r="C115" s="354" t="s">
        <v>3630</v>
      </c>
      <c r="D115" s="286" t="s">
        <v>681</v>
      </c>
      <c r="E115" s="286">
        <v>3</v>
      </c>
      <c r="F115" s="697">
        <v>0</v>
      </c>
      <c r="G115" s="697">
        <v>0</v>
      </c>
      <c r="H115" s="697">
        <v>0</v>
      </c>
      <c r="I115" s="697">
        <v>0</v>
      </c>
      <c r="J115" s="697">
        <v>0</v>
      </c>
      <c r="K115" s="1597">
        <f>IFERROR(SUM(F115:J115), 0)</f>
        <v>0</v>
      </c>
      <c r="L115" s="1655"/>
      <c r="M115" s="1660"/>
      <c r="N115" s="1660"/>
      <c r="O115" s="1660"/>
      <c r="P115" s="1660"/>
      <c r="Q115" s="1655"/>
      <c r="R115" s="2097">
        <v>0</v>
      </c>
      <c r="S115" s="2097">
        <v>0</v>
      </c>
      <c r="T115" s="2374">
        <v>0</v>
      </c>
      <c r="U115" s="197"/>
      <c r="V115" s="1071" t="s">
        <v>12991</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2" t="s">
        <v>12990</v>
      </c>
      <c r="AU115" s="354" t="s">
        <v>3630</v>
      </c>
      <c r="AV115" s="697" t="s">
        <v>12992</v>
      </c>
      <c r="AW115" s="697" t="s">
        <v>12993</v>
      </c>
      <c r="AX115" s="697" t="s">
        <v>12994</v>
      </c>
      <c r="AY115" s="697" t="s">
        <v>12995</v>
      </c>
      <c r="AZ115" s="697" t="s">
        <v>12996</v>
      </c>
      <c r="BA115" s="1597" t="s">
        <v>12997</v>
      </c>
      <c r="BB115" s="1655"/>
      <c r="BC115" s="1660"/>
      <c r="BD115" s="1660"/>
      <c r="BE115" s="1660"/>
      <c r="BF115" s="1660"/>
      <c r="BG115" s="1655"/>
      <c r="BH115" s="2097" t="s">
        <v>12998</v>
      </c>
      <c r="BI115" s="2097" t="s">
        <v>12999</v>
      </c>
      <c r="BJ115" s="2374" t="s">
        <v>13000</v>
      </c>
    </row>
    <row r="116" spans="1:62" ht="15.75" customHeight="1">
      <c r="A116" s="197"/>
      <c r="B116" s="1102" t="s">
        <v>12990</v>
      </c>
      <c r="C116" s="354" t="s">
        <v>3631</v>
      </c>
      <c r="D116" s="286" t="s">
        <v>681</v>
      </c>
      <c r="E116" s="286">
        <v>3</v>
      </c>
      <c r="F116" s="697">
        <v>0</v>
      </c>
      <c r="G116" s="697">
        <v>0</v>
      </c>
      <c r="H116" s="697">
        <v>0</v>
      </c>
      <c r="I116" s="697">
        <v>0</v>
      </c>
      <c r="J116" s="697">
        <v>0</v>
      </c>
      <c r="K116" s="1597">
        <f t="shared" si="135"/>
        <v>0</v>
      </c>
      <c r="L116" s="1655"/>
      <c r="M116" s="1660"/>
      <c r="N116" s="1660"/>
      <c r="O116" s="1660"/>
      <c r="P116" s="1660"/>
      <c r="Q116" s="1655"/>
      <c r="R116" s="2097">
        <v>0</v>
      </c>
      <c r="S116" s="2097">
        <v>0</v>
      </c>
      <c r="T116" s="2374">
        <v>0</v>
      </c>
      <c r="U116" s="197"/>
      <c r="V116" s="1071" t="s">
        <v>13001</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2" t="s">
        <v>12990</v>
      </c>
      <c r="AU116" s="354" t="s">
        <v>3631</v>
      </c>
      <c r="AV116" s="697" t="s">
        <v>13002</v>
      </c>
      <c r="AW116" s="697" t="s">
        <v>13003</v>
      </c>
      <c r="AX116" s="697" t="s">
        <v>13004</v>
      </c>
      <c r="AY116" s="697" t="s">
        <v>13005</v>
      </c>
      <c r="AZ116" s="697" t="s">
        <v>13006</v>
      </c>
      <c r="BA116" s="1597" t="s">
        <v>13007</v>
      </c>
      <c r="BB116" s="1655"/>
      <c r="BC116" s="1660"/>
      <c r="BD116" s="1660"/>
      <c r="BE116" s="1660"/>
      <c r="BF116" s="1660"/>
      <c r="BG116" s="1655"/>
      <c r="BH116" s="2097" t="s">
        <v>13008</v>
      </c>
      <c r="BI116" s="2097" t="s">
        <v>13009</v>
      </c>
      <c r="BJ116" s="2374" t="s">
        <v>13010</v>
      </c>
    </row>
    <row r="117" spans="1:62" ht="15.75" customHeight="1">
      <c r="A117" s="197"/>
      <c r="B117" s="1102" t="s">
        <v>13011</v>
      </c>
      <c r="C117" s="354" t="s">
        <v>3630</v>
      </c>
      <c r="D117" s="286" t="s">
        <v>681</v>
      </c>
      <c r="E117" s="286">
        <v>3</v>
      </c>
      <c r="F117" s="697">
        <v>0</v>
      </c>
      <c r="G117" s="697">
        <v>0</v>
      </c>
      <c r="H117" s="697">
        <v>0</v>
      </c>
      <c r="I117" s="697">
        <v>0</v>
      </c>
      <c r="J117" s="697">
        <v>0</v>
      </c>
      <c r="K117" s="1597">
        <f t="shared" si="135"/>
        <v>0</v>
      </c>
      <c r="L117" s="1655"/>
      <c r="M117" s="1655"/>
      <c r="N117" s="1655"/>
      <c r="O117" s="1655"/>
      <c r="P117" s="1655"/>
      <c r="Q117" s="1655"/>
      <c r="R117" s="2097">
        <v>0</v>
      </c>
      <c r="S117" s="2097">
        <v>0</v>
      </c>
      <c r="T117" s="2374">
        <v>0</v>
      </c>
      <c r="U117" s="197"/>
      <c r="V117" s="1071" t="s">
        <v>13012</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2" t="s">
        <v>13011</v>
      </c>
      <c r="AU117" s="354" t="s">
        <v>3630</v>
      </c>
      <c r="AV117" s="697" t="s">
        <v>13013</v>
      </c>
      <c r="AW117" s="697" t="s">
        <v>13014</v>
      </c>
      <c r="AX117" s="697" t="s">
        <v>13015</v>
      </c>
      <c r="AY117" s="697" t="s">
        <v>13016</v>
      </c>
      <c r="AZ117" s="697" t="s">
        <v>13017</v>
      </c>
      <c r="BA117" s="1597" t="s">
        <v>13018</v>
      </c>
      <c r="BB117" s="1655"/>
      <c r="BC117" s="1655"/>
      <c r="BD117" s="1655"/>
      <c r="BE117" s="1655"/>
      <c r="BF117" s="1655"/>
      <c r="BG117" s="1655"/>
      <c r="BH117" s="2097" t="s">
        <v>13019</v>
      </c>
      <c r="BI117" s="2097" t="s">
        <v>13020</v>
      </c>
      <c r="BJ117" s="2374" t="s">
        <v>13021</v>
      </c>
    </row>
    <row r="118" spans="1:62" ht="15.75" customHeight="1">
      <c r="A118" s="197"/>
      <c r="B118" s="1102" t="s">
        <v>13011</v>
      </c>
      <c r="C118" s="354" t="s">
        <v>3631</v>
      </c>
      <c r="D118" s="286" t="s">
        <v>681</v>
      </c>
      <c r="E118" s="286">
        <v>3</v>
      </c>
      <c r="F118" s="697">
        <v>0</v>
      </c>
      <c r="G118" s="697">
        <v>0</v>
      </c>
      <c r="H118" s="697">
        <v>0</v>
      </c>
      <c r="I118" s="697">
        <v>0</v>
      </c>
      <c r="J118" s="697">
        <v>0</v>
      </c>
      <c r="K118" s="1597">
        <f t="shared" si="135"/>
        <v>0</v>
      </c>
      <c r="L118" s="1655"/>
      <c r="M118" s="1655"/>
      <c r="N118" s="1655"/>
      <c r="O118" s="1655"/>
      <c r="P118" s="1655"/>
      <c r="Q118" s="1655"/>
      <c r="R118" s="2097">
        <v>0</v>
      </c>
      <c r="S118" s="2097">
        <v>0</v>
      </c>
      <c r="T118" s="2374">
        <v>0</v>
      </c>
      <c r="U118" s="197"/>
      <c r="V118" s="1071" t="s">
        <v>13022</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2" t="s">
        <v>13011</v>
      </c>
      <c r="AU118" s="354" t="s">
        <v>3631</v>
      </c>
      <c r="AV118" s="697" t="s">
        <v>13023</v>
      </c>
      <c r="AW118" s="697" t="s">
        <v>13024</v>
      </c>
      <c r="AX118" s="697" t="s">
        <v>13025</v>
      </c>
      <c r="AY118" s="697" t="s">
        <v>13026</v>
      </c>
      <c r="AZ118" s="697" t="s">
        <v>13027</v>
      </c>
      <c r="BA118" s="1597" t="s">
        <v>13028</v>
      </c>
      <c r="BB118" s="1655"/>
      <c r="BC118" s="1655"/>
      <c r="BD118" s="1655"/>
      <c r="BE118" s="1655"/>
      <c r="BF118" s="1655"/>
      <c r="BG118" s="1655"/>
      <c r="BH118" s="2097" t="s">
        <v>13029</v>
      </c>
      <c r="BI118" s="2097" t="s">
        <v>13030</v>
      </c>
      <c r="BJ118" s="2374" t="s">
        <v>13031</v>
      </c>
    </row>
    <row r="119" spans="1:62" ht="15.75" customHeight="1">
      <c r="A119" s="197"/>
      <c r="B119" s="1102" t="s">
        <v>13032</v>
      </c>
      <c r="C119" s="354" t="s">
        <v>3630</v>
      </c>
      <c r="D119" s="286" t="s">
        <v>681</v>
      </c>
      <c r="E119" s="286">
        <v>3</v>
      </c>
      <c r="F119" s="697">
        <v>0</v>
      </c>
      <c r="G119" s="697">
        <v>0</v>
      </c>
      <c r="H119" s="697">
        <v>0</v>
      </c>
      <c r="I119" s="697">
        <v>0</v>
      </c>
      <c r="J119" s="697">
        <v>0</v>
      </c>
      <c r="K119" s="1597">
        <f t="shared" si="135"/>
        <v>0</v>
      </c>
      <c r="L119" s="1655"/>
      <c r="M119" s="1655"/>
      <c r="N119" s="1655"/>
      <c r="O119" s="1655"/>
      <c r="P119" s="1655"/>
      <c r="Q119" s="1655"/>
      <c r="R119" s="2097">
        <v>0</v>
      </c>
      <c r="S119" s="2097">
        <v>0</v>
      </c>
      <c r="T119" s="2374">
        <v>0</v>
      </c>
      <c r="U119" s="197"/>
      <c r="V119" s="1071" t="s">
        <v>13033</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2" t="s">
        <v>13032</v>
      </c>
      <c r="AU119" s="354" t="s">
        <v>3630</v>
      </c>
      <c r="AV119" s="697" t="s">
        <v>13034</v>
      </c>
      <c r="AW119" s="697" t="s">
        <v>13035</v>
      </c>
      <c r="AX119" s="697" t="s">
        <v>13036</v>
      </c>
      <c r="AY119" s="697" t="s">
        <v>13037</v>
      </c>
      <c r="AZ119" s="697" t="s">
        <v>13038</v>
      </c>
      <c r="BA119" s="1597" t="s">
        <v>13039</v>
      </c>
      <c r="BB119" s="1655"/>
      <c r="BC119" s="1655"/>
      <c r="BD119" s="1655"/>
      <c r="BE119" s="1655"/>
      <c r="BF119" s="1655"/>
      <c r="BG119" s="1655"/>
      <c r="BH119" s="2097" t="s">
        <v>13040</v>
      </c>
      <c r="BI119" s="2097" t="s">
        <v>13041</v>
      </c>
      <c r="BJ119" s="2374" t="s">
        <v>13042</v>
      </c>
    </row>
    <row r="120" spans="1:62" ht="15.75" customHeight="1">
      <c r="A120" s="197"/>
      <c r="B120" s="1102" t="s">
        <v>13032</v>
      </c>
      <c r="C120" s="354" t="s">
        <v>3631</v>
      </c>
      <c r="D120" s="286" t="s">
        <v>681</v>
      </c>
      <c r="E120" s="286">
        <v>3</v>
      </c>
      <c r="F120" s="697">
        <v>0</v>
      </c>
      <c r="G120" s="697">
        <v>0</v>
      </c>
      <c r="H120" s="697">
        <v>0</v>
      </c>
      <c r="I120" s="697">
        <v>0</v>
      </c>
      <c r="J120" s="697">
        <v>0</v>
      </c>
      <c r="K120" s="1597">
        <f t="shared" si="135"/>
        <v>0</v>
      </c>
      <c r="L120" s="1655"/>
      <c r="M120" s="1655"/>
      <c r="N120" s="1655"/>
      <c r="O120" s="1655"/>
      <c r="P120" s="1655"/>
      <c r="Q120" s="1655"/>
      <c r="R120" s="2097">
        <v>0</v>
      </c>
      <c r="S120" s="2097">
        <v>0</v>
      </c>
      <c r="T120" s="2374">
        <v>0</v>
      </c>
      <c r="U120" s="197"/>
      <c r="V120" s="1071" t="s">
        <v>13043</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2" t="s">
        <v>13032</v>
      </c>
      <c r="AU120" s="354" t="s">
        <v>3631</v>
      </c>
      <c r="AV120" s="697" t="s">
        <v>13044</v>
      </c>
      <c r="AW120" s="697" t="s">
        <v>13045</v>
      </c>
      <c r="AX120" s="697" t="s">
        <v>13046</v>
      </c>
      <c r="AY120" s="697" t="s">
        <v>13047</v>
      </c>
      <c r="AZ120" s="697" t="s">
        <v>13048</v>
      </c>
      <c r="BA120" s="1597" t="s">
        <v>13049</v>
      </c>
      <c r="BB120" s="1655"/>
      <c r="BC120" s="1655"/>
      <c r="BD120" s="1655"/>
      <c r="BE120" s="1655"/>
      <c r="BF120" s="1655"/>
      <c r="BG120" s="1655"/>
      <c r="BH120" s="2097" t="s">
        <v>13050</v>
      </c>
      <c r="BI120" s="2097" t="s">
        <v>13051</v>
      </c>
      <c r="BJ120" s="2374" t="s">
        <v>13052</v>
      </c>
    </row>
    <row r="121" spans="1:62" ht="15.75" customHeight="1">
      <c r="A121" s="197"/>
      <c r="B121" s="1102" t="s">
        <v>13053</v>
      </c>
      <c r="C121" s="354" t="s">
        <v>3630</v>
      </c>
      <c r="D121" s="286" t="s">
        <v>681</v>
      </c>
      <c r="E121" s="286">
        <v>3</v>
      </c>
      <c r="F121" s="697">
        <v>0</v>
      </c>
      <c r="G121" s="697">
        <v>0</v>
      </c>
      <c r="H121" s="697">
        <v>0</v>
      </c>
      <c r="I121" s="697">
        <v>0</v>
      </c>
      <c r="J121" s="697">
        <v>0</v>
      </c>
      <c r="K121" s="1597">
        <f t="shared" si="135"/>
        <v>0</v>
      </c>
      <c r="L121" s="1655"/>
      <c r="M121" s="1655"/>
      <c r="N121" s="1655"/>
      <c r="O121" s="1655"/>
      <c r="P121" s="1655"/>
      <c r="Q121" s="1655"/>
      <c r="R121" s="2097">
        <v>0</v>
      </c>
      <c r="S121" s="2097">
        <v>0</v>
      </c>
      <c r="T121" s="2374">
        <v>0</v>
      </c>
      <c r="U121" s="197"/>
      <c r="V121" s="1071" t="s">
        <v>13054</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2" t="s">
        <v>13053</v>
      </c>
      <c r="AU121" s="354" t="s">
        <v>3630</v>
      </c>
      <c r="AV121" s="697" t="s">
        <v>13055</v>
      </c>
      <c r="AW121" s="697" t="s">
        <v>13056</v>
      </c>
      <c r="AX121" s="697" t="s">
        <v>13057</v>
      </c>
      <c r="AY121" s="697" t="s">
        <v>13058</v>
      </c>
      <c r="AZ121" s="697" t="s">
        <v>13059</v>
      </c>
      <c r="BA121" s="1597" t="s">
        <v>13060</v>
      </c>
      <c r="BB121" s="1655"/>
      <c r="BC121" s="1655"/>
      <c r="BD121" s="1655"/>
      <c r="BE121" s="1655"/>
      <c r="BF121" s="1655"/>
      <c r="BG121" s="1655"/>
      <c r="BH121" s="2097" t="s">
        <v>13061</v>
      </c>
      <c r="BI121" s="2097" t="s">
        <v>13062</v>
      </c>
      <c r="BJ121" s="2374" t="s">
        <v>13063</v>
      </c>
    </row>
    <row r="122" spans="1:62" ht="15.75" customHeight="1">
      <c r="A122" s="197"/>
      <c r="B122" s="1102" t="s">
        <v>13053</v>
      </c>
      <c r="C122" s="354" t="s">
        <v>3631</v>
      </c>
      <c r="D122" s="286" t="s">
        <v>681</v>
      </c>
      <c r="E122" s="286">
        <v>3</v>
      </c>
      <c r="F122" s="697">
        <v>0</v>
      </c>
      <c r="G122" s="697">
        <v>0</v>
      </c>
      <c r="H122" s="697">
        <v>0</v>
      </c>
      <c r="I122" s="697">
        <v>0</v>
      </c>
      <c r="J122" s="697">
        <v>0</v>
      </c>
      <c r="K122" s="1597">
        <f t="shared" si="135"/>
        <v>0</v>
      </c>
      <c r="L122" s="1655"/>
      <c r="M122" s="1655"/>
      <c r="N122" s="1655"/>
      <c r="O122" s="1655"/>
      <c r="P122" s="1655"/>
      <c r="Q122" s="1655"/>
      <c r="R122" s="2097">
        <v>0</v>
      </c>
      <c r="S122" s="2097">
        <v>0</v>
      </c>
      <c r="T122" s="2374">
        <v>0</v>
      </c>
      <c r="U122" s="197"/>
      <c r="V122" s="1071" t="s">
        <v>13064</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2" t="s">
        <v>13053</v>
      </c>
      <c r="AU122" s="354" t="s">
        <v>3631</v>
      </c>
      <c r="AV122" s="697" t="s">
        <v>13065</v>
      </c>
      <c r="AW122" s="697" t="s">
        <v>13066</v>
      </c>
      <c r="AX122" s="697" t="s">
        <v>13067</v>
      </c>
      <c r="AY122" s="697" t="s">
        <v>13068</v>
      </c>
      <c r="AZ122" s="697" t="s">
        <v>13069</v>
      </c>
      <c r="BA122" s="1597" t="s">
        <v>13070</v>
      </c>
      <c r="BB122" s="1655"/>
      <c r="BC122" s="1655"/>
      <c r="BD122" s="1655"/>
      <c r="BE122" s="1655"/>
      <c r="BF122" s="1655"/>
      <c r="BG122" s="1655"/>
      <c r="BH122" s="2097" t="s">
        <v>13071</v>
      </c>
      <c r="BI122" s="2097" t="s">
        <v>13072</v>
      </c>
      <c r="BJ122" s="2374" t="s">
        <v>13073</v>
      </c>
    </row>
    <row r="123" spans="1:62" ht="15.75" customHeight="1">
      <c r="A123" s="197"/>
      <c r="B123" s="1102" t="s">
        <v>13074</v>
      </c>
      <c r="C123" s="354" t="s">
        <v>3630</v>
      </c>
      <c r="D123" s="286" t="s">
        <v>681</v>
      </c>
      <c r="E123" s="286">
        <v>3</v>
      </c>
      <c r="F123" s="697">
        <v>0</v>
      </c>
      <c r="G123" s="697">
        <v>0</v>
      </c>
      <c r="H123" s="697">
        <v>0</v>
      </c>
      <c r="I123" s="697">
        <v>0</v>
      </c>
      <c r="J123" s="697">
        <v>0</v>
      </c>
      <c r="K123" s="1597">
        <f t="shared" si="135"/>
        <v>0</v>
      </c>
      <c r="L123" s="1655"/>
      <c r="M123" s="1655"/>
      <c r="N123" s="1655"/>
      <c r="O123" s="1655"/>
      <c r="P123" s="1655"/>
      <c r="Q123" s="1655"/>
      <c r="R123" s="2097">
        <v>0</v>
      </c>
      <c r="S123" s="2097">
        <v>0</v>
      </c>
      <c r="T123" s="2374">
        <v>0</v>
      </c>
      <c r="U123" s="197"/>
      <c r="V123" s="1071" t="s">
        <v>13075</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2" t="s">
        <v>13074</v>
      </c>
      <c r="AU123" s="354" t="s">
        <v>3630</v>
      </c>
      <c r="AV123" s="697" t="s">
        <v>13076</v>
      </c>
      <c r="AW123" s="697" t="s">
        <v>13077</v>
      </c>
      <c r="AX123" s="697" t="s">
        <v>13078</v>
      </c>
      <c r="AY123" s="697" t="s">
        <v>13079</v>
      </c>
      <c r="AZ123" s="697" t="s">
        <v>13080</v>
      </c>
      <c r="BA123" s="1597" t="s">
        <v>13081</v>
      </c>
      <c r="BB123" s="1655"/>
      <c r="BC123" s="1655"/>
      <c r="BD123" s="1655"/>
      <c r="BE123" s="1655"/>
      <c r="BF123" s="1655"/>
      <c r="BG123" s="1655"/>
      <c r="BH123" s="2097" t="s">
        <v>13082</v>
      </c>
      <c r="BI123" s="2097" t="s">
        <v>13083</v>
      </c>
      <c r="BJ123" s="2374" t="s">
        <v>13084</v>
      </c>
    </row>
    <row r="124" spans="1:62" ht="15.75" customHeight="1">
      <c r="A124" s="197"/>
      <c r="B124" s="1102" t="s">
        <v>13074</v>
      </c>
      <c r="C124" s="354" t="s">
        <v>3631</v>
      </c>
      <c r="D124" s="286" t="s">
        <v>681</v>
      </c>
      <c r="E124" s="286">
        <v>3</v>
      </c>
      <c r="F124" s="697">
        <v>0</v>
      </c>
      <c r="G124" s="697">
        <v>0</v>
      </c>
      <c r="H124" s="697">
        <v>0</v>
      </c>
      <c r="I124" s="697">
        <v>0</v>
      </c>
      <c r="J124" s="697">
        <v>0</v>
      </c>
      <c r="K124" s="1597">
        <f t="shared" si="135"/>
        <v>0</v>
      </c>
      <c r="L124" s="1655"/>
      <c r="M124" s="1655"/>
      <c r="N124" s="1655"/>
      <c r="O124" s="1655"/>
      <c r="P124" s="1655"/>
      <c r="Q124" s="1655"/>
      <c r="R124" s="2097">
        <v>0</v>
      </c>
      <c r="S124" s="2097">
        <v>0</v>
      </c>
      <c r="T124" s="2374">
        <v>0</v>
      </c>
      <c r="U124" s="197"/>
      <c r="V124" s="1071" t="s">
        <v>13085</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2" t="s">
        <v>13074</v>
      </c>
      <c r="AU124" s="354" t="s">
        <v>3631</v>
      </c>
      <c r="AV124" s="697" t="s">
        <v>13086</v>
      </c>
      <c r="AW124" s="697" t="s">
        <v>13087</v>
      </c>
      <c r="AX124" s="697" t="s">
        <v>13088</v>
      </c>
      <c r="AY124" s="697" t="s">
        <v>13089</v>
      </c>
      <c r="AZ124" s="697" t="s">
        <v>13090</v>
      </c>
      <c r="BA124" s="1597" t="s">
        <v>13091</v>
      </c>
      <c r="BB124" s="1655"/>
      <c r="BC124" s="1655"/>
      <c r="BD124" s="1655"/>
      <c r="BE124" s="1655"/>
      <c r="BF124" s="1655"/>
      <c r="BG124" s="1655"/>
      <c r="BH124" s="2097" t="s">
        <v>13092</v>
      </c>
      <c r="BI124" s="2097" t="s">
        <v>13093</v>
      </c>
      <c r="BJ124" s="2374" t="s">
        <v>13094</v>
      </c>
    </row>
    <row r="125" spans="1:62" ht="15.75" customHeight="1" thickBot="1">
      <c r="A125" s="197"/>
      <c r="B125" s="1080" t="s">
        <v>13095</v>
      </c>
      <c r="C125" s="1081" t="s">
        <v>3632</v>
      </c>
      <c r="D125" s="355" t="s">
        <v>681</v>
      </c>
      <c r="E125" s="355">
        <v>3</v>
      </c>
      <c r="F125" s="1589">
        <f t="shared" ref="F125:K125" si="243">IFERROR(SUM(F81,F108,F90,F93,F96,F111,F114,F115:F124), 0)</f>
        <v>1.7429999999999999</v>
      </c>
      <c r="G125" s="1589">
        <f t="shared" si="243"/>
        <v>1.1759999999999999</v>
      </c>
      <c r="H125" s="1589">
        <f t="shared" si="243"/>
        <v>0</v>
      </c>
      <c r="I125" s="1589">
        <f t="shared" si="243"/>
        <v>3.4540000000000002</v>
      </c>
      <c r="J125" s="1589">
        <f>IFERROR(SUM(J81,J108,J90,J93,J96,J111,J114,J115:J124), 0)</f>
        <v>8.6769999999999996</v>
      </c>
      <c r="K125" s="1589">
        <f t="shared" si="243"/>
        <v>15.049999999999999</v>
      </c>
      <c r="L125" s="1661"/>
      <c r="M125" s="1661"/>
      <c r="N125" s="1661"/>
      <c r="O125" s="1661"/>
      <c r="P125" s="1661"/>
      <c r="Q125" s="1661"/>
      <c r="R125" s="1589">
        <f>IFERROR(SUM(R81,R108,R90,R93,R96,R111,R114,R115:R124), 0)</f>
        <v>45.018000000000008</v>
      </c>
      <c r="S125" s="1589">
        <f>IFERROR(SUM(S81,S108,S90,S93,S96,S111,S114,S115:S124), 0)</f>
        <v>111.27599999999998</v>
      </c>
      <c r="T125" s="1599">
        <f>IFERROR(SUM(T81,T108,T90,T93,T96,T111,T114,T115:T124), 0)</f>
        <v>144.929</v>
      </c>
      <c r="U125" s="197"/>
      <c r="V125" s="1085" t="s">
        <v>13096</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13095</v>
      </c>
      <c r="AU125" s="1081" t="s">
        <v>3632</v>
      </c>
      <c r="AV125" s="1589" t="s">
        <v>13097</v>
      </c>
      <c r="AW125" s="1589" t="s">
        <v>13098</v>
      </c>
      <c r="AX125" s="1589" t="s">
        <v>13099</v>
      </c>
      <c r="AY125" s="1589" t="s">
        <v>13100</v>
      </c>
      <c r="AZ125" s="1589" t="s">
        <v>13101</v>
      </c>
      <c r="BA125" s="1589" t="s">
        <v>13102</v>
      </c>
      <c r="BB125" s="1661"/>
      <c r="BC125" s="1661"/>
      <c r="BD125" s="1661"/>
      <c r="BE125" s="1661"/>
      <c r="BF125" s="1661"/>
      <c r="BG125" s="1661"/>
      <c r="BH125" s="1589" t="s">
        <v>13103</v>
      </c>
      <c r="BI125" s="1589" t="s">
        <v>13104</v>
      </c>
      <c r="BJ125" s="1599" t="s">
        <v>13105</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13106</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13106</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13107</v>
      </c>
      <c r="C128" s="1063" t="s">
        <v>3630</v>
      </c>
      <c r="D128" s="277" t="s">
        <v>681</v>
      </c>
      <c r="E128" s="277">
        <v>3</v>
      </c>
      <c r="F128" s="1595">
        <f t="shared" ref="F128:I129" si="244">IFERROR(SUM(F10,F13,F16,F19,F22,F25,F31,F34,F37,F40,F43,F46,F79,F106,F88,F91,F94,F109,F112,F115,F117,F119,F121,F123), 0)</f>
        <v>2.3970000000000002</v>
      </c>
      <c r="G128" s="1595">
        <f t="shared" si="244"/>
        <v>1.175</v>
      </c>
      <c r="H128" s="1595">
        <f t="shared" si="244"/>
        <v>0</v>
      </c>
      <c r="I128" s="1595">
        <f t="shared" si="244"/>
        <v>3.4260000000000002</v>
      </c>
      <c r="J128" s="1595">
        <f>IFERROR(SUM(J10,J13,J16,J19,J22,J25,J31,J34,J37,J40,J43,J46,J79,J106,J88,J91,J94,J109,J112,J115,J117,J119,J121,J123,J52,J55,J58,J61,J64,J67,J70,J73), 0)</f>
        <v>17.448999999999998</v>
      </c>
      <c r="K128" s="1595">
        <f>IFERROR(SUM(F128:J128), 0)</f>
        <v>24.446999999999999</v>
      </c>
      <c r="L128" s="1679"/>
      <c r="M128" s="1679"/>
      <c r="N128" s="1679"/>
      <c r="O128" s="1679"/>
      <c r="P128" s="1679"/>
      <c r="Q128" s="1679"/>
      <c r="R128" s="1679"/>
      <c r="S128" s="1679"/>
      <c r="T128" s="1680"/>
      <c r="U128" s="197"/>
      <c r="V128" s="1066" t="s">
        <v>13108</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13107</v>
      </c>
      <c r="AU128" s="1063" t="s">
        <v>3630</v>
      </c>
      <c r="AV128" s="1595" t="s">
        <v>8395</v>
      </c>
      <c r="AW128" s="1595" t="s">
        <v>11085</v>
      </c>
      <c r="AX128" s="1595" t="s">
        <v>11086</v>
      </c>
      <c r="AY128" s="1595" t="s">
        <v>11087</v>
      </c>
      <c r="AZ128" s="1595" t="s">
        <v>11088</v>
      </c>
      <c r="BA128" s="1595" t="s">
        <v>13109</v>
      </c>
      <c r="BB128" s="1679"/>
      <c r="BC128" s="1679"/>
      <c r="BD128" s="1679"/>
      <c r="BE128" s="1679"/>
      <c r="BF128" s="1679"/>
      <c r="BG128" s="1679"/>
      <c r="BH128" s="1679"/>
      <c r="BI128" s="1679"/>
      <c r="BJ128" s="1680"/>
    </row>
    <row r="129" spans="1:62" ht="15.75" customHeight="1">
      <c r="A129" s="197"/>
      <c r="B129" s="1067" t="s">
        <v>13107</v>
      </c>
      <c r="C129" s="354" t="s">
        <v>3631</v>
      </c>
      <c r="D129" s="286" t="s">
        <v>681</v>
      </c>
      <c r="E129" s="286">
        <v>3</v>
      </c>
      <c r="F129" s="1597">
        <f t="shared" si="244"/>
        <v>1.1579999999999999</v>
      </c>
      <c r="G129" s="1597">
        <f t="shared" si="244"/>
        <v>1E-3</v>
      </c>
      <c r="H129" s="1597">
        <f t="shared" si="244"/>
        <v>0</v>
      </c>
      <c r="I129" s="1597">
        <f t="shared" si="244"/>
        <v>0.41699999999999998</v>
      </c>
      <c r="J129" s="1597">
        <f>IFERROR(SUM(J11,J14,J17,J20,J23,J26,J32,J35,J38,J41,J44,J47,J80,J107,J89,J92,J95,J110,J113,J116,J118,J120,J122,J124,J53,J56,J59,J62,J65,J68,J71,J74), 0)</f>
        <v>0.51</v>
      </c>
      <c r="K129" s="1597">
        <f>IFERROR(SUM(F129:J129), 0)</f>
        <v>2.0859999999999999</v>
      </c>
      <c r="L129" s="1655"/>
      <c r="M129" s="1655"/>
      <c r="N129" s="1655"/>
      <c r="O129" s="1655"/>
      <c r="P129" s="1655"/>
      <c r="Q129" s="1655"/>
      <c r="R129" s="1655"/>
      <c r="S129" s="1655"/>
      <c r="T129" s="1656"/>
      <c r="U129" s="197"/>
      <c r="V129" s="1071" t="s">
        <v>13110</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13107</v>
      </c>
      <c r="AU129" s="354" t="s">
        <v>3631</v>
      </c>
      <c r="AV129" s="1597" t="s">
        <v>8338</v>
      </c>
      <c r="AW129" s="1597" t="s">
        <v>11039</v>
      </c>
      <c r="AX129" s="1597" t="s">
        <v>11040</v>
      </c>
      <c r="AY129" s="1597" t="s">
        <v>11041</v>
      </c>
      <c r="AZ129" s="1597" t="s">
        <v>11042</v>
      </c>
      <c r="BA129" s="1597" t="s">
        <v>13111</v>
      </c>
      <c r="BB129" s="1655"/>
      <c r="BC129" s="1655"/>
      <c r="BD129" s="1655"/>
      <c r="BE129" s="1655"/>
      <c r="BF129" s="1655"/>
      <c r="BG129" s="1655"/>
      <c r="BH129" s="1655"/>
      <c r="BI129" s="1655"/>
      <c r="BJ129" s="1656"/>
    </row>
    <row r="130" spans="1:62" ht="15.75" customHeight="1" thickBot="1">
      <c r="A130" s="197"/>
      <c r="B130" s="1080" t="s">
        <v>13107</v>
      </c>
      <c r="C130" s="1081" t="s">
        <v>3632</v>
      </c>
      <c r="D130" s="355" t="s">
        <v>681</v>
      </c>
      <c r="E130" s="355">
        <v>3</v>
      </c>
      <c r="F130" s="1589">
        <f>IFERROR(F128 + F129, 0)</f>
        <v>3.5550000000000002</v>
      </c>
      <c r="G130" s="1589">
        <f t="shared" ref="G130:I130" si="245">IFERROR(G128 + G129, 0)</f>
        <v>1.1759999999999999</v>
      </c>
      <c r="H130" s="1589">
        <f t="shared" si="245"/>
        <v>0</v>
      </c>
      <c r="I130" s="1589">
        <f t="shared" si="245"/>
        <v>3.843</v>
      </c>
      <c r="J130" s="1589">
        <f>IFERROR(J128 + J129, 0)</f>
        <v>17.959</v>
      </c>
      <c r="K130" s="1589">
        <f>IFERROR(SUM(F130:J130), 0)</f>
        <v>26.533000000000001</v>
      </c>
      <c r="L130" s="1661"/>
      <c r="M130" s="1661"/>
      <c r="N130" s="1661"/>
      <c r="O130" s="1661"/>
      <c r="P130" s="1661"/>
      <c r="Q130" s="1661"/>
      <c r="R130" s="1589">
        <f>IFERROR(SUM(R125,R76,R49,R28), 0)</f>
        <v>79.177000000000007</v>
      </c>
      <c r="S130" s="1589">
        <f>IFERROR(SUM(S125,S76,S49,S28), 0)</f>
        <v>162.98599999999999</v>
      </c>
      <c r="T130" s="1599">
        <f>IFERROR(SUM(T125,T76,T49,T28), 0)</f>
        <v>211.39099999999999</v>
      </c>
      <c r="U130" s="197"/>
      <c r="V130" s="1085" t="s">
        <v>13112</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13107</v>
      </c>
      <c r="AU130" s="1081" t="s">
        <v>3632</v>
      </c>
      <c r="AV130" s="1589" t="s">
        <v>13113</v>
      </c>
      <c r="AW130" s="1589" t="s">
        <v>13114</v>
      </c>
      <c r="AX130" s="1589" t="s">
        <v>13115</v>
      </c>
      <c r="AY130" s="1589" t="s">
        <v>13116</v>
      </c>
      <c r="AZ130" s="1589" t="s">
        <v>13117</v>
      </c>
      <c r="BA130" s="1589" t="s">
        <v>13118</v>
      </c>
      <c r="BB130" s="1661"/>
      <c r="BC130" s="1661"/>
      <c r="BD130" s="1661"/>
      <c r="BE130" s="1661"/>
      <c r="BF130" s="1661"/>
      <c r="BG130" s="1661"/>
      <c r="BH130" s="1589" t="s">
        <v>13119</v>
      </c>
      <c r="BI130" s="1589" t="s">
        <v>13120</v>
      </c>
      <c r="BJ130" s="1599" t="s">
        <v>13121</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6"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tabColor rgb="FF00B050"/>
    <pageSetUpPr fitToPage="1"/>
  </sheetPr>
  <dimension ref="A1:CB108"/>
  <sheetViews>
    <sheetView showGridLines="0" topLeftCell="M76" zoomScale="50" zoomScaleNormal="50" zoomScaleSheetLayoutView="100" workbookViewId="0">
      <selection activeCell="M104" sqref="M104"/>
    </sheetView>
  </sheetViews>
  <sheetFormatPr defaultColWidth="9" defaultRowHeight="24" customHeight="1"/>
  <cols>
    <col min="1" max="1" width="1.625" style="224" customWidth="1"/>
    <col min="2" max="2" width="42.125" style="247" customWidth="1"/>
    <col min="3" max="3" width="7.25" style="224" customWidth="1"/>
    <col min="4" max="4" width="7" style="224" customWidth="1"/>
    <col min="5" max="5" width="5.5" style="224" customWidth="1"/>
    <col min="6" max="6" width="6.125" style="472" bestFit="1" customWidth="1"/>
    <col min="7" max="8" width="8.875" style="472" customWidth="1"/>
    <col min="9" max="10" width="12.375" style="472" customWidth="1"/>
    <col min="11" max="11" width="8.875" style="472" customWidth="1"/>
    <col min="12" max="12" width="9.375" style="472" customWidth="1"/>
    <col min="13" max="13" width="12.5" style="472" customWidth="1"/>
    <col min="14" max="14" width="10.375" style="472" customWidth="1"/>
    <col min="15" max="15" width="6.125" style="472" customWidth="1"/>
    <col min="16" max="17" width="8.875" style="472" customWidth="1"/>
    <col min="18" max="19" width="12.375" style="472" customWidth="1"/>
    <col min="20" max="20" width="8.875" style="472" customWidth="1"/>
    <col min="21" max="21" width="9.375" style="472" customWidth="1"/>
    <col min="22" max="22" width="8.375" style="472" customWidth="1"/>
    <col min="23" max="23" width="10.375" style="472" customWidth="1"/>
    <col min="24" max="26" width="19.25" style="472"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875" style="224" bestFit="1" customWidth="1"/>
    <col min="60" max="77" width="17.625" style="224" customWidth="1"/>
    <col min="78" max="80" width="12.625" style="472" customWidth="1"/>
    <col min="81" max="16384" width="9" style="224"/>
  </cols>
  <sheetData>
    <row r="1" spans="2:80" s="389" customFormat="1" ht="29.25" customHeight="1">
      <c r="B1" s="561" t="s">
        <v>13122</v>
      </c>
      <c r="C1" s="561"/>
      <c r="D1" s="561"/>
      <c r="E1" s="561"/>
      <c r="F1" s="587"/>
      <c r="G1" s="587"/>
      <c r="H1" s="587"/>
      <c r="I1" s="587"/>
      <c r="J1" s="587"/>
      <c r="K1" s="587"/>
      <c r="L1" s="587"/>
      <c r="M1" s="587"/>
      <c r="N1" s="587"/>
      <c r="O1" s="587"/>
      <c r="P1" s="587"/>
      <c r="Q1" s="587"/>
      <c r="R1" s="587"/>
      <c r="S1" s="587"/>
      <c r="T1" s="587"/>
      <c r="U1" s="587"/>
      <c r="V1" s="587"/>
      <c r="W1" s="587"/>
      <c r="X1" s="587"/>
      <c r="Y1" s="587"/>
      <c r="Z1" s="587"/>
      <c r="AA1" s="2661"/>
      <c r="AB1" s="2661"/>
      <c r="AC1" s="224"/>
      <c r="AD1" s="224"/>
      <c r="AE1" s="224"/>
      <c r="AF1" s="345"/>
      <c r="AG1" s="1103"/>
      <c r="AH1" s="1054"/>
      <c r="BD1" s="825"/>
      <c r="BF1" s="561" t="s">
        <v>7220</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Northumbrian Water</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07" t="s">
        <v>13123</v>
      </c>
      <c r="C3" s="2807"/>
      <c r="D3" s="2807"/>
      <c r="E3" s="2807"/>
      <c r="F3" s="2807"/>
      <c r="G3" s="2807"/>
      <c r="H3" s="2807"/>
      <c r="I3" s="2807"/>
      <c r="J3" s="2807"/>
      <c r="K3" s="2807"/>
      <c r="L3" s="2807"/>
      <c r="M3" s="2807"/>
      <c r="N3" s="2807"/>
      <c r="O3" s="2807"/>
      <c r="P3" s="2807"/>
      <c r="Q3" s="2807"/>
      <c r="R3" s="2807"/>
      <c r="S3" s="2807"/>
      <c r="T3" s="2807"/>
      <c r="U3" s="2807"/>
      <c r="V3" s="2807"/>
      <c r="W3" s="2807"/>
      <c r="X3" s="2807"/>
      <c r="Y3" s="2807"/>
      <c r="Z3" s="2807"/>
      <c r="AA3" s="2807"/>
      <c r="AB3" s="2807"/>
      <c r="AC3" s="2807"/>
      <c r="AD3" s="2807"/>
      <c r="AE3" s="260"/>
      <c r="AF3" s="1105"/>
      <c r="AG3" s="267"/>
      <c r="AH3" s="345"/>
      <c r="BD3" s="363"/>
      <c r="BF3" s="2807" t="s">
        <v>13123</v>
      </c>
      <c r="BG3" s="2807"/>
      <c r="BH3" s="2807"/>
      <c r="BI3" s="2807"/>
      <c r="BJ3" s="2807"/>
      <c r="BK3" s="2807"/>
      <c r="BL3" s="2807"/>
      <c r="BM3" s="2807"/>
      <c r="BN3" s="2807"/>
      <c r="BO3" s="2807"/>
      <c r="BP3" s="2807"/>
      <c r="BQ3" s="2807"/>
      <c r="BR3" s="2807"/>
      <c r="BS3" s="2807"/>
      <c r="BT3" s="2807"/>
      <c r="BU3" s="2807"/>
      <c r="BV3" s="2807"/>
      <c r="BW3" s="2807"/>
      <c r="BX3" s="2807"/>
      <c r="BY3" s="2807"/>
      <c r="BZ3" s="2807"/>
      <c r="CA3" s="2807"/>
      <c r="CB3" s="2807"/>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85" customHeight="1" thickTop="1">
      <c r="B5" s="2855" t="s">
        <v>12360</v>
      </c>
      <c r="C5" s="2855"/>
      <c r="D5" s="2817" t="s">
        <v>7225</v>
      </c>
      <c r="E5" s="2817" t="s">
        <v>670</v>
      </c>
      <c r="F5" s="2868" t="s">
        <v>12178</v>
      </c>
      <c r="G5" s="2868"/>
      <c r="H5" s="2868"/>
      <c r="I5" s="2868"/>
      <c r="J5" s="2868"/>
      <c r="K5" s="2868"/>
      <c r="L5" s="2868"/>
      <c r="M5" s="2868"/>
      <c r="N5" s="2868"/>
      <c r="O5" s="2868" t="s">
        <v>12361</v>
      </c>
      <c r="P5" s="2868"/>
      <c r="Q5" s="2868"/>
      <c r="R5" s="2868"/>
      <c r="S5" s="2868"/>
      <c r="T5" s="2868"/>
      <c r="U5" s="2868"/>
      <c r="V5" s="2868"/>
      <c r="W5" s="2868"/>
      <c r="X5" s="2868" t="s">
        <v>12362</v>
      </c>
      <c r="Y5" s="2868" t="s">
        <v>12363</v>
      </c>
      <c r="Z5" s="2869" t="s">
        <v>12364</v>
      </c>
      <c r="AA5" s="731"/>
      <c r="AB5" s="2790" t="s">
        <v>7229</v>
      </c>
      <c r="AC5" s="260"/>
      <c r="AD5" s="2790" t="s">
        <v>7230</v>
      </c>
      <c r="AE5" s="260"/>
      <c r="AF5" s="1105"/>
      <c r="AG5" s="272"/>
      <c r="AH5" s="1057"/>
      <c r="BD5" s="828"/>
      <c r="BF5" s="2855" t="s">
        <v>12360</v>
      </c>
      <c r="BG5" s="2855"/>
      <c r="BH5" s="2868" t="s">
        <v>12178</v>
      </c>
      <c r="BI5" s="2868"/>
      <c r="BJ5" s="2868"/>
      <c r="BK5" s="2868"/>
      <c r="BL5" s="2868"/>
      <c r="BM5" s="2868"/>
      <c r="BN5" s="2868"/>
      <c r="BO5" s="2868"/>
      <c r="BP5" s="2868"/>
      <c r="BQ5" s="2868" t="s">
        <v>12361</v>
      </c>
      <c r="BR5" s="2868"/>
      <c r="BS5" s="2868"/>
      <c r="BT5" s="2868"/>
      <c r="BU5" s="2868"/>
      <c r="BV5" s="2868"/>
      <c r="BW5" s="2868"/>
      <c r="BX5" s="2868"/>
      <c r="BY5" s="2868"/>
      <c r="BZ5" s="2868" t="s">
        <v>12362</v>
      </c>
      <c r="CA5" s="2868" t="s">
        <v>12363</v>
      </c>
      <c r="CB5" s="2869" t="s">
        <v>12364</v>
      </c>
    </row>
    <row r="6" spans="2:80" s="197" customFormat="1" ht="42" customHeight="1">
      <c r="B6" s="2855"/>
      <c r="C6" s="2855"/>
      <c r="D6" s="2817"/>
      <c r="E6" s="2817"/>
      <c r="F6" s="2871" t="s">
        <v>12179</v>
      </c>
      <c r="G6" s="2871"/>
      <c r="H6" s="2871"/>
      <c r="I6" s="2871"/>
      <c r="J6" s="2871"/>
      <c r="K6" s="2870" t="s">
        <v>8163</v>
      </c>
      <c r="L6" s="2870"/>
      <c r="M6" s="2870"/>
      <c r="N6" s="2870" t="s">
        <v>7445</v>
      </c>
      <c r="O6" s="2871" t="s">
        <v>12179</v>
      </c>
      <c r="P6" s="2871"/>
      <c r="Q6" s="2871"/>
      <c r="R6" s="2871"/>
      <c r="S6" s="2871"/>
      <c r="T6" s="2870" t="s">
        <v>8163</v>
      </c>
      <c r="U6" s="2870"/>
      <c r="V6" s="2870"/>
      <c r="W6" s="2870" t="s">
        <v>7445</v>
      </c>
      <c r="X6" s="2868"/>
      <c r="Y6" s="2868"/>
      <c r="Z6" s="2869"/>
      <c r="AA6" s="106"/>
      <c r="AB6" s="2790"/>
      <c r="AC6" s="582"/>
      <c r="AD6" s="2790"/>
      <c r="AE6" s="582"/>
      <c r="AF6" s="1107"/>
      <c r="AG6" s="272"/>
      <c r="AH6" s="1057"/>
      <c r="BD6" s="828"/>
      <c r="BF6" s="2855"/>
      <c r="BG6" s="2855"/>
      <c r="BH6" s="2871" t="s">
        <v>12179</v>
      </c>
      <c r="BI6" s="2871"/>
      <c r="BJ6" s="2871"/>
      <c r="BK6" s="2871"/>
      <c r="BL6" s="2871"/>
      <c r="BM6" s="2870" t="s">
        <v>8163</v>
      </c>
      <c r="BN6" s="2870"/>
      <c r="BO6" s="2870"/>
      <c r="BP6" s="2870" t="s">
        <v>7445</v>
      </c>
      <c r="BQ6" s="2871" t="s">
        <v>12179</v>
      </c>
      <c r="BR6" s="2871"/>
      <c r="BS6" s="2871"/>
      <c r="BT6" s="2871"/>
      <c r="BU6" s="2871"/>
      <c r="BV6" s="2870" t="s">
        <v>8163</v>
      </c>
      <c r="BW6" s="2870"/>
      <c r="BX6" s="2870"/>
      <c r="BY6" s="2870" t="s">
        <v>7445</v>
      </c>
      <c r="BZ6" s="2868"/>
      <c r="CA6" s="2868"/>
      <c r="CB6" s="2869"/>
    </row>
    <row r="7" spans="2:80" s="197" customFormat="1" ht="51.75" customHeight="1" thickBot="1">
      <c r="B7" s="2855"/>
      <c r="C7" s="2855"/>
      <c r="D7" s="2817"/>
      <c r="E7" s="2817"/>
      <c r="F7" s="1108" t="s">
        <v>11204</v>
      </c>
      <c r="G7" s="1108" t="s">
        <v>11205</v>
      </c>
      <c r="H7" s="1108" t="s">
        <v>11206</v>
      </c>
      <c r="I7" s="1108" t="s">
        <v>11207</v>
      </c>
      <c r="J7" s="1108" t="s">
        <v>11509</v>
      </c>
      <c r="K7" s="1108" t="s">
        <v>11209</v>
      </c>
      <c r="L7" s="1108" t="s">
        <v>11210</v>
      </c>
      <c r="M7" s="1108" t="s">
        <v>11211</v>
      </c>
      <c r="N7" s="2870"/>
      <c r="O7" s="1108" t="s">
        <v>11204</v>
      </c>
      <c r="P7" s="1108" t="s">
        <v>11205</v>
      </c>
      <c r="Q7" s="1108" t="s">
        <v>11206</v>
      </c>
      <c r="R7" s="1108" t="s">
        <v>11207</v>
      </c>
      <c r="S7" s="1108" t="s">
        <v>11509</v>
      </c>
      <c r="T7" s="1108" t="s">
        <v>11209</v>
      </c>
      <c r="U7" s="1108" t="s">
        <v>11210</v>
      </c>
      <c r="V7" s="1108" t="s">
        <v>11211</v>
      </c>
      <c r="W7" s="2870"/>
      <c r="X7" s="1108" t="s">
        <v>7445</v>
      </c>
      <c r="Y7" s="1108" t="s">
        <v>7445</v>
      </c>
      <c r="Z7" s="1109" t="s">
        <v>7445</v>
      </c>
      <c r="AA7" s="106"/>
      <c r="AB7" s="2790"/>
      <c r="AC7" s="1110"/>
      <c r="AD7" s="2790"/>
      <c r="AE7" s="1110"/>
      <c r="AF7" s="1111"/>
      <c r="AG7" s="2208" t="s">
        <v>7222</v>
      </c>
      <c r="AH7" s="1057"/>
      <c r="BD7" s="828"/>
      <c r="BF7" s="2855"/>
      <c r="BG7" s="2855"/>
      <c r="BH7" s="1108" t="s">
        <v>11204</v>
      </c>
      <c r="BI7" s="1108" t="s">
        <v>11205</v>
      </c>
      <c r="BJ7" s="1108" t="s">
        <v>11206</v>
      </c>
      <c r="BK7" s="1108" t="s">
        <v>11207</v>
      </c>
      <c r="BL7" s="1108" t="s">
        <v>11509</v>
      </c>
      <c r="BM7" s="1108" t="s">
        <v>11209</v>
      </c>
      <c r="BN7" s="1108" t="s">
        <v>11210</v>
      </c>
      <c r="BO7" s="1108" t="s">
        <v>11211</v>
      </c>
      <c r="BP7" s="2870"/>
      <c r="BQ7" s="1108" t="s">
        <v>11204</v>
      </c>
      <c r="BR7" s="1108" t="s">
        <v>11205</v>
      </c>
      <c r="BS7" s="1108" t="s">
        <v>11206</v>
      </c>
      <c r="BT7" s="1108" t="s">
        <v>11207</v>
      </c>
      <c r="BU7" s="1108" t="s">
        <v>11509</v>
      </c>
      <c r="BV7" s="1108" t="s">
        <v>11209</v>
      </c>
      <c r="BW7" s="1108" t="s">
        <v>11210</v>
      </c>
      <c r="BX7" s="1108" t="s">
        <v>11211</v>
      </c>
      <c r="BY7" s="2870"/>
      <c r="BZ7" s="1108" t="s">
        <v>7445</v>
      </c>
      <c r="CA7" s="1108" t="s">
        <v>7445</v>
      </c>
      <c r="CB7" s="1109" t="s">
        <v>7445</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668" t="s">
        <v>7223</v>
      </c>
      <c r="AJ8" s="2668"/>
      <c r="AK8" s="2668"/>
      <c r="AL8" s="2668"/>
      <c r="AM8" s="2668"/>
      <c r="AN8" s="2668"/>
      <c r="AO8" s="2668"/>
      <c r="AP8" s="2668"/>
      <c r="AQ8" s="2668"/>
      <c r="AR8" s="2668"/>
      <c r="AS8" s="2668"/>
      <c r="AT8" s="2668"/>
      <c r="AU8" s="2668"/>
      <c r="AV8" s="2668"/>
      <c r="AW8" s="2668"/>
      <c r="AX8" s="2668"/>
      <c r="AY8" s="2668"/>
      <c r="AZ8" s="2668"/>
      <c r="BA8" s="2668"/>
      <c r="BB8" s="2668"/>
      <c r="BC8" s="2668"/>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12365</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7231</v>
      </c>
      <c r="AR9" s="269"/>
      <c r="BD9" s="828"/>
      <c r="BF9" s="393" t="s">
        <v>12365</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13124</v>
      </c>
      <c r="C10" s="2354" t="s">
        <v>3630</v>
      </c>
      <c r="D10" s="318" t="s">
        <v>681</v>
      </c>
      <c r="E10" s="318">
        <v>3</v>
      </c>
      <c r="F10" s="748">
        <v>0</v>
      </c>
      <c r="G10" s="748">
        <v>0</v>
      </c>
      <c r="H10" s="748">
        <v>0</v>
      </c>
      <c r="I10" s="748">
        <v>0</v>
      </c>
      <c r="J10" s="748">
        <v>0</v>
      </c>
      <c r="K10" s="748">
        <v>0</v>
      </c>
      <c r="L10" s="748">
        <v>0</v>
      </c>
      <c r="M10" s="748">
        <v>0</v>
      </c>
      <c r="N10" s="2378">
        <f>IFERROR(SUM(F10:M10), 0)</f>
        <v>0</v>
      </c>
      <c r="O10" s="2379"/>
      <c r="P10" s="2379"/>
      <c r="Q10" s="2379"/>
      <c r="R10" s="2379"/>
      <c r="S10" s="2379"/>
      <c r="T10" s="2379"/>
      <c r="U10" s="2379"/>
      <c r="V10" s="2379"/>
      <c r="W10" s="2379"/>
      <c r="X10" s="2380"/>
      <c r="Y10" s="2380"/>
      <c r="Z10" s="2381"/>
      <c r="AA10" s="997"/>
      <c r="AB10" s="791" t="s">
        <v>13125</v>
      </c>
      <c r="AC10" s="1114"/>
      <c r="AD10" s="283"/>
      <c r="AE10" s="1114"/>
      <c r="AF10" s="1115"/>
      <c r="AG10" s="284">
        <f>IF( SUM( AI10:BC10 ) = 0, 0, $AI$9 )</f>
        <v>0</v>
      </c>
      <c r="AH10" s="1116"/>
      <c r="AI10" s="285">
        <f xml:space="preserve"> IF( ISNUMBER(F10), 0, 1 )</f>
        <v>0</v>
      </c>
      <c r="AJ10" s="285">
        <f t="shared" ref="AJ10:AJ11" si="0" xml:space="preserve"> IF( ISNUMBER(G10), 0, 1 )</f>
        <v>0</v>
      </c>
      <c r="AK10" s="285">
        <f t="shared" ref="AK10:AK11" si="1" xml:space="preserve"> IF( ISNUMBER(H10), 0, 1 )</f>
        <v>0</v>
      </c>
      <c r="AL10" s="285">
        <f t="shared" ref="AL10:AL11" si="2" xml:space="preserve"> IF( ISNUMBER(I10), 0, 1 )</f>
        <v>0</v>
      </c>
      <c r="AM10" s="285">
        <f t="shared" ref="AM10:AM11" si="3" xml:space="preserve"> IF( ISNUMBER(J10), 0, 1 )</f>
        <v>0</v>
      </c>
      <c r="AN10" s="285">
        <f t="shared" ref="AN10:AN11" si="4" xml:space="preserve"> IF( ISNUMBER(K10), 0, 1 )</f>
        <v>0</v>
      </c>
      <c r="AO10" s="285">
        <f t="shared" ref="AO10:AO11" si="5" xml:space="preserve"> IF( ISNUMBER(L10), 0, 1 )</f>
        <v>0</v>
      </c>
      <c r="AP10" s="285">
        <f t="shared" ref="AP10:AP11" si="6" xml:space="preserve"> IF( ISNUMBER(M10), 0, 1 )</f>
        <v>0</v>
      </c>
      <c r="BD10" s="935"/>
      <c r="BF10" s="451" t="s">
        <v>13124</v>
      </c>
      <c r="BG10" s="1063" t="s">
        <v>3630</v>
      </c>
      <c r="BH10" s="278" t="s">
        <v>13126</v>
      </c>
      <c r="BI10" s="278" t="s">
        <v>13127</v>
      </c>
      <c r="BJ10" s="278" t="s">
        <v>13128</v>
      </c>
      <c r="BK10" s="278" t="s">
        <v>13129</v>
      </c>
      <c r="BL10" s="278" t="s">
        <v>13130</v>
      </c>
      <c r="BM10" s="278" t="s">
        <v>13131</v>
      </c>
      <c r="BN10" s="278" t="s">
        <v>13132</v>
      </c>
      <c r="BO10" s="278" t="s">
        <v>13133</v>
      </c>
      <c r="BP10" s="279" t="s">
        <v>13134</v>
      </c>
      <c r="BQ10" s="662"/>
      <c r="BR10" s="662"/>
      <c r="BS10" s="662"/>
      <c r="BT10" s="662"/>
      <c r="BU10" s="662"/>
      <c r="BV10" s="662"/>
      <c r="BW10" s="662"/>
      <c r="BX10" s="662"/>
      <c r="BY10" s="662"/>
      <c r="BZ10" s="667"/>
      <c r="CA10" s="667"/>
      <c r="CB10" s="743"/>
    </row>
    <row r="11" spans="2:80" s="200" customFormat="1" ht="15.75" customHeight="1">
      <c r="B11" s="792" t="s">
        <v>13124</v>
      </c>
      <c r="C11" s="2355" t="s">
        <v>3631</v>
      </c>
      <c r="D11" s="325" t="s">
        <v>681</v>
      </c>
      <c r="E11" s="325">
        <v>3</v>
      </c>
      <c r="F11" s="751">
        <v>0</v>
      </c>
      <c r="G11" s="751">
        <v>0</v>
      </c>
      <c r="H11" s="751">
        <v>0</v>
      </c>
      <c r="I11" s="751">
        <v>0</v>
      </c>
      <c r="J11" s="751">
        <v>0</v>
      </c>
      <c r="K11" s="751">
        <v>0</v>
      </c>
      <c r="L11" s="751">
        <v>0</v>
      </c>
      <c r="M11" s="751">
        <v>0</v>
      </c>
      <c r="N11" s="312">
        <f t="shared" ref="N11:N55" si="7">IFERROR(SUM(F11:M11), 0)</f>
        <v>0</v>
      </c>
      <c r="O11" s="2382"/>
      <c r="P11" s="2382"/>
      <c r="Q11" s="2382"/>
      <c r="R11" s="2382"/>
      <c r="S11" s="2382"/>
      <c r="T11" s="2382"/>
      <c r="U11" s="2382"/>
      <c r="V11" s="2382"/>
      <c r="W11" s="2382"/>
      <c r="X11" s="2383"/>
      <c r="Y11" s="2383"/>
      <c r="Z11" s="2384"/>
      <c r="AA11" s="997"/>
      <c r="AB11" s="795" t="s">
        <v>13135</v>
      </c>
      <c r="AC11" s="1114"/>
      <c r="AD11" s="291"/>
      <c r="AE11" s="1114"/>
      <c r="AF11" s="1115"/>
      <c r="AG11" s="284">
        <f t="shared" ref="AG11:AG55" si="8">IF( SUM( AI11:BC11 ) = 0, 0, $AI$9 )</f>
        <v>0</v>
      </c>
      <c r="AH11" s="1116"/>
      <c r="AI11" s="285">
        <f t="shared" ref="AI11" si="9" xml:space="preserve"> IF( ISNUMBER(F11), 0, 1 )</f>
        <v>0</v>
      </c>
      <c r="AJ11" s="285">
        <f t="shared" si="0"/>
        <v>0</v>
      </c>
      <c r="AK11" s="285">
        <f t="shared" si="1"/>
        <v>0</v>
      </c>
      <c r="AL11" s="285">
        <f t="shared" si="2"/>
        <v>0</v>
      </c>
      <c r="AM11" s="285">
        <f t="shared" si="3"/>
        <v>0</v>
      </c>
      <c r="AN11" s="285">
        <f t="shared" si="4"/>
        <v>0</v>
      </c>
      <c r="AO11" s="285">
        <f t="shared" si="5"/>
        <v>0</v>
      </c>
      <c r="AP11" s="285">
        <f t="shared" si="6"/>
        <v>0</v>
      </c>
      <c r="BD11" s="935"/>
      <c r="BF11" s="460" t="s">
        <v>13124</v>
      </c>
      <c r="BG11" s="354" t="s">
        <v>3631</v>
      </c>
      <c r="BH11" s="287" t="s">
        <v>13136</v>
      </c>
      <c r="BI11" s="287" t="s">
        <v>13137</v>
      </c>
      <c r="BJ11" s="287" t="s">
        <v>13138</v>
      </c>
      <c r="BK11" s="287" t="s">
        <v>13139</v>
      </c>
      <c r="BL11" s="287" t="s">
        <v>13140</v>
      </c>
      <c r="BM11" s="287" t="s">
        <v>13141</v>
      </c>
      <c r="BN11" s="287" t="s">
        <v>13142</v>
      </c>
      <c r="BO11" s="287" t="s">
        <v>13143</v>
      </c>
      <c r="BP11" s="288" t="s">
        <v>13144</v>
      </c>
      <c r="BQ11" s="399"/>
      <c r="BR11" s="399"/>
      <c r="BS11" s="399"/>
      <c r="BT11" s="399"/>
      <c r="BU11" s="399"/>
      <c r="BV11" s="399"/>
      <c r="BW11" s="399"/>
      <c r="BX11" s="399"/>
      <c r="BY11" s="399"/>
      <c r="BZ11" s="744"/>
      <c r="CA11" s="744"/>
      <c r="CB11" s="745"/>
    </row>
    <row r="12" spans="2:80" s="200" customFormat="1" ht="15.75" customHeight="1">
      <c r="B12" s="792" t="s">
        <v>13124</v>
      </c>
      <c r="C12" s="2355" t="s">
        <v>3632</v>
      </c>
      <c r="D12" s="325" t="s">
        <v>681</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2"/>
      <c r="P12" s="2382"/>
      <c r="Q12" s="2382"/>
      <c r="R12" s="2382"/>
      <c r="S12" s="2382"/>
      <c r="T12" s="2382"/>
      <c r="U12" s="2382"/>
      <c r="V12" s="2382"/>
      <c r="W12" s="2382"/>
      <c r="X12" s="751">
        <v>0</v>
      </c>
      <c r="Y12" s="751">
        <v>0</v>
      </c>
      <c r="Z12" s="796">
        <v>0</v>
      </c>
      <c r="AA12" s="997"/>
      <c r="AB12" s="795" t="s">
        <v>13145</v>
      </c>
      <c r="AC12" s="1114"/>
      <c r="AD12" s="291"/>
      <c r="AE12" s="1114"/>
      <c r="AF12" s="1115"/>
      <c r="AG12" s="284">
        <f t="shared" si="8"/>
        <v>0</v>
      </c>
      <c r="AH12" s="1116"/>
      <c r="BA12" s="285">
        <f t="shared" ref="BA12" si="11" xml:space="preserve"> IF( ISNUMBER(X12), 0, 1 )</f>
        <v>0</v>
      </c>
      <c r="BB12" s="285">
        <f t="shared" ref="BB12" si="12" xml:space="preserve"> IF( ISNUMBER(Y12), 0, 1 )</f>
        <v>0</v>
      </c>
      <c r="BC12" s="285">
        <f t="shared" ref="BC12" si="13" xml:space="preserve"> IF( ISNUMBER(Z12), 0, 1 )</f>
        <v>0</v>
      </c>
      <c r="BD12" s="935"/>
      <c r="BF12" s="460" t="s">
        <v>13124</v>
      </c>
      <c r="BG12" s="354" t="s">
        <v>3632</v>
      </c>
      <c r="BH12" s="288" t="s">
        <v>13146</v>
      </c>
      <c r="BI12" s="288" t="s">
        <v>13147</v>
      </c>
      <c r="BJ12" s="288" t="s">
        <v>13148</v>
      </c>
      <c r="BK12" s="288" t="s">
        <v>13149</v>
      </c>
      <c r="BL12" s="288" t="s">
        <v>13150</v>
      </c>
      <c r="BM12" s="288" t="s">
        <v>13151</v>
      </c>
      <c r="BN12" s="288" t="s">
        <v>13152</v>
      </c>
      <c r="BO12" s="288" t="s">
        <v>13153</v>
      </c>
      <c r="BP12" s="288" t="s">
        <v>13154</v>
      </c>
      <c r="BQ12" s="399"/>
      <c r="BR12" s="399"/>
      <c r="BS12" s="399"/>
      <c r="BT12" s="399"/>
      <c r="BU12" s="399"/>
      <c r="BV12" s="399"/>
      <c r="BW12" s="399"/>
      <c r="BX12" s="399"/>
      <c r="BY12" s="399"/>
      <c r="BZ12" s="740" t="s">
        <v>13155</v>
      </c>
      <c r="CA12" s="740" t="s">
        <v>13156</v>
      </c>
      <c r="CB12" s="1117" t="s">
        <v>13157</v>
      </c>
    </row>
    <row r="13" spans="2:80" s="200" customFormat="1" ht="33" customHeight="1">
      <c r="B13" s="792" t="s">
        <v>13158</v>
      </c>
      <c r="C13" s="2355" t="s">
        <v>3630</v>
      </c>
      <c r="D13" s="325" t="s">
        <v>681</v>
      </c>
      <c r="E13" s="325">
        <v>3</v>
      </c>
      <c r="F13" s="751">
        <v>0</v>
      </c>
      <c r="G13" s="751">
        <v>0</v>
      </c>
      <c r="H13" s="751">
        <v>0</v>
      </c>
      <c r="I13" s="751">
        <v>0.42099999999999999</v>
      </c>
      <c r="J13" s="751">
        <v>0</v>
      </c>
      <c r="K13" s="751">
        <v>0</v>
      </c>
      <c r="L13" s="751">
        <v>0</v>
      </c>
      <c r="M13" s="751">
        <v>0</v>
      </c>
      <c r="N13" s="312">
        <f t="shared" si="7"/>
        <v>0.42099999999999999</v>
      </c>
      <c r="O13" s="2382"/>
      <c r="P13" s="2382"/>
      <c r="Q13" s="2382"/>
      <c r="R13" s="2382"/>
      <c r="S13" s="2382"/>
      <c r="T13" s="2382"/>
      <c r="U13" s="2382"/>
      <c r="V13" s="2382"/>
      <c r="W13" s="2382"/>
      <c r="X13" s="2383"/>
      <c r="Y13" s="2383"/>
      <c r="Z13" s="2384"/>
      <c r="AA13" s="997"/>
      <c r="AB13" s="795" t="s">
        <v>13159</v>
      </c>
      <c r="AC13" s="1114"/>
      <c r="AD13" s="291"/>
      <c r="AE13" s="1114"/>
      <c r="AF13" s="1115"/>
      <c r="AG13" s="284">
        <f t="shared" si="8"/>
        <v>0</v>
      </c>
      <c r="AH13" s="1116"/>
      <c r="AI13" s="285">
        <f xml:space="preserve"> IF( ISNUMBER(F13), 0, 1 )</f>
        <v>0</v>
      </c>
      <c r="AJ13" s="285">
        <f t="shared" ref="AJ13:AJ14" si="14" xml:space="preserve"> IF( ISNUMBER(G13), 0, 1 )</f>
        <v>0</v>
      </c>
      <c r="AK13" s="285">
        <f t="shared" ref="AK13:AK14" si="15" xml:space="preserve"> IF( ISNUMBER(H13), 0, 1 )</f>
        <v>0</v>
      </c>
      <c r="AL13" s="285">
        <f t="shared" ref="AL13:AL14" si="16" xml:space="preserve"> IF( ISNUMBER(I13), 0, 1 )</f>
        <v>0</v>
      </c>
      <c r="AM13" s="285">
        <f t="shared" ref="AM13:AM14" si="17" xml:space="preserve"> IF( ISNUMBER(J13), 0, 1 )</f>
        <v>0</v>
      </c>
      <c r="AN13" s="285">
        <f t="shared" ref="AN13:AN14" si="18" xml:space="preserve"> IF( ISNUMBER(K13), 0, 1 )</f>
        <v>0</v>
      </c>
      <c r="AO13" s="285">
        <f t="shared" ref="AO13:AO14" si="19" xml:space="preserve"> IF( ISNUMBER(L13), 0, 1 )</f>
        <v>0</v>
      </c>
      <c r="AP13" s="285">
        <f t="shared" ref="AP13:AP14" si="20" xml:space="preserve"> IF( ISNUMBER(M13), 0, 1 )</f>
        <v>0</v>
      </c>
      <c r="BD13" s="935"/>
      <c r="BF13" s="460" t="s">
        <v>13158</v>
      </c>
      <c r="BG13" s="354" t="s">
        <v>3630</v>
      </c>
      <c r="BH13" s="287" t="s">
        <v>13160</v>
      </c>
      <c r="BI13" s="287" t="s">
        <v>13161</v>
      </c>
      <c r="BJ13" s="287" t="s">
        <v>13162</v>
      </c>
      <c r="BK13" s="287" t="s">
        <v>13163</v>
      </c>
      <c r="BL13" s="287" t="s">
        <v>13164</v>
      </c>
      <c r="BM13" s="287" t="s">
        <v>13165</v>
      </c>
      <c r="BN13" s="287" t="s">
        <v>13166</v>
      </c>
      <c r="BO13" s="287" t="s">
        <v>13167</v>
      </c>
      <c r="BP13" s="288" t="s">
        <v>13168</v>
      </c>
      <c r="BQ13" s="399"/>
      <c r="BR13" s="399"/>
      <c r="BS13" s="399"/>
      <c r="BT13" s="399"/>
      <c r="BU13" s="399"/>
      <c r="BV13" s="399"/>
      <c r="BW13" s="399"/>
      <c r="BX13" s="399"/>
      <c r="BY13" s="399"/>
      <c r="BZ13" s="744"/>
      <c r="CA13" s="744"/>
      <c r="CB13" s="745"/>
    </row>
    <row r="14" spans="2:80" s="200" customFormat="1" ht="33" customHeight="1">
      <c r="B14" s="792" t="s">
        <v>13158</v>
      </c>
      <c r="C14" s="2355" t="s">
        <v>3631</v>
      </c>
      <c r="D14" s="325" t="s">
        <v>681</v>
      </c>
      <c r="E14" s="325">
        <v>3</v>
      </c>
      <c r="F14" s="751">
        <v>8.0000000000000002E-3</v>
      </c>
      <c r="G14" s="751">
        <v>1.2E-2</v>
      </c>
      <c r="H14" s="751">
        <v>7.0000000000000001E-3</v>
      </c>
      <c r="I14" s="751">
        <v>2.5999999999999999E-2</v>
      </c>
      <c r="J14" s="751">
        <v>0</v>
      </c>
      <c r="K14" s="751">
        <v>0</v>
      </c>
      <c r="L14" s="751">
        <v>0</v>
      </c>
      <c r="M14" s="751">
        <v>0</v>
      </c>
      <c r="N14" s="312">
        <f t="shared" si="7"/>
        <v>5.2999999999999999E-2</v>
      </c>
      <c r="O14" s="2382"/>
      <c r="P14" s="2382"/>
      <c r="Q14" s="2382"/>
      <c r="R14" s="2382"/>
      <c r="S14" s="2382"/>
      <c r="T14" s="2382"/>
      <c r="U14" s="2382"/>
      <c r="V14" s="2382"/>
      <c r="W14" s="2382"/>
      <c r="X14" s="2383"/>
      <c r="Y14" s="2383"/>
      <c r="Z14" s="2384"/>
      <c r="AA14" s="997"/>
      <c r="AB14" s="795" t="s">
        <v>13169</v>
      </c>
      <c r="AC14" s="1114"/>
      <c r="AD14" s="291"/>
      <c r="AE14" s="1114"/>
      <c r="AF14" s="1115"/>
      <c r="AG14" s="284">
        <f t="shared" si="8"/>
        <v>0</v>
      </c>
      <c r="AH14" s="1116"/>
      <c r="AI14" s="285">
        <f t="shared" ref="AI14" si="21" xml:space="preserve"> IF( ISNUMBER(F14), 0, 1 )</f>
        <v>0</v>
      </c>
      <c r="AJ14" s="285">
        <f t="shared" si="14"/>
        <v>0</v>
      </c>
      <c r="AK14" s="285">
        <f t="shared" si="15"/>
        <v>0</v>
      </c>
      <c r="AL14" s="285">
        <f t="shared" si="16"/>
        <v>0</v>
      </c>
      <c r="AM14" s="285">
        <f t="shared" si="17"/>
        <v>0</v>
      </c>
      <c r="AN14" s="285">
        <f t="shared" si="18"/>
        <v>0</v>
      </c>
      <c r="AO14" s="285">
        <f t="shared" si="19"/>
        <v>0</v>
      </c>
      <c r="AP14" s="285">
        <f t="shared" si="20"/>
        <v>0</v>
      </c>
      <c r="BD14" s="935"/>
      <c r="BF14" s="460" t="s">
        <v>13158</v>
      </c>
      <c r="BG14" s="354" t="s">
        <v>3631</v>
      </c>
      <c r="BH14" s="287" t="s">
        <v>13170</v>
      </c>
      <c r="BI14" s="287" t="s">
        <v>13171</v>
      </c>
      <c r="BJ14" s="287" t="s">
        <v>13172</v>
      </c>
      <c r="BK14" s="287" t="s">
        <v>13173</v>
      </c>
      <c r="BL14" s="287" t="s">
        <v>13174</v>
      </c>
      <c r="BM14" s="287" t="s">
        <v>13175</v>
      </c>
      <c r="BN14" s="287" t="s">
        <v>13176</v>
      </c>
      <c r="BO14" s="287" t="s">
        <v>13177</v>
      </c>
      <c r="BP14" s="288" t="s">
        <v>13178</v>
      </c>
      <c r="BQ14" s="399"/>
      <c r="BR14" s="399"/>
      <c r="BS14" s="399"/>
      <c r="BT14" s="399"/>
      <c r="BU14" s="399"/>
      <c r="BV14" s="399"/>
      <c r="BW14" s="399"/>
      <c r="BX14" s="399"/>
      <c r="BY14" s="399"/>
      <c r="BZ14" s="744"/>
      <c r="CA14" s="744"/>
      <c r="CB14" s="745"/>
    </row>
    <row r="15" spans="2:80" s="200" customFormat="1" ht="33" customHeight="1">
      <c r="B15" s="792" t="s">
        <v>13158</v>
      </c>
      <c r="C15" s="2355" t="s">
        <v>3632</v>
      </c>
      <c r="D15" s="325" t="s">
        <v>681</v>
      </c>
      <c r="E15" s="325">
        <v>3</v>
      </c>
      <c r="F15" s="312">
        <f>IFERROR(SUM(F13:F14), 0)</f>
        <v>8.0000000000000002E-3</v>
      </c>
      <c r="G15" s="312">
        <f t="shared" ref="G15:M15" si="22">IFERROR(SUM(G13:G14), 0)</f>
        <v>1.2E-2</v>
      </c>
      <c r="H15" s="312">
        <f t="shared" si="22"/>
        <v>7.0000000000000001E-3</v>
      </c>
      <c r="I15" s="312">
        <f t="shared" si="22"/>
        <v>0.44700000000000001</v>
      </c>
      <c r="J15" s="312">
        <f t="shared" si="22"/>
        <v>0</v>
      </c>
      <c r="K15" s="312">
        <f t="shared" si="22"/>
        <v>0</v>
      </c>
      <c r="L15" s="312">
        <f t="shared" si="22"/>
        <v>0</v>
      </c>
      <c r="M15" s="312">
        <f t="shared" si="22"/>
        <v>0</v>
      </c>
      <c r="N15" s="312">
        <f t="shared" si="7"/>
        <v>0.47400000000000003</v>
      </c>
      <c r="O15" s="2382"/>
      <c r="P15" s="2382"/>
      <c r="Q15" s="2382"/>
      <c r="R15" s="2382"/>
      <c r="S15" s="2382"/>
      <c r="T15" s="2382"/>
      <c r="U15" s="2382"/>
      <c r="V15" s="2382"/>
      <c r="W15" s="2382"/>
      <c r="X15" s="751">
        <v>3.68</v>
      </c>
      <c r="Y15" s="751">
        <v>0.92900000000000005</v>
      </c>
      <c r="Z15" s="796">
        <v>2.2200000000000002</v>
      </c>
      <c r="AA15" s="997"/>
      <c r="AB15" s="795" t="s">
        <v>13179</v>
      </c>
      <c r="AC15" s="1114"/>
      <c r="AD15" s="291"/>
      <c r="AE15" s="1114"/>
      <c r="AF15" s="1115"/>
      <c r="AG15" s="284">
        <f t="shared" si="8"/>
        <v>0</v>
      </c>
      <c r="AH15" s="1116"/>
      <c r="BA15" s="285">
        <f t="shared" ref="BA15" si="23" xml:space="preserve"> IF( ISNUMBER(X15), 0, 1 )</f>
        <v>0</v>
      </c>
      <c r="BB15" s="285">
        <f t="shared" ref="BB15" si="24" xml:space="preserve"> IF( ISNUMBER(Y15), 0, 1 )</f>
        <v>0</v>
      </c>
      <c r="BC15" s="285">
        <f t="shared" ref="BC15" si="25" xml:space="preserve"> IF( ISNUMBER(Z15), 0, 1 )</f>
        <v>0</v>
      </c>
      <c r="BD15" s="935"/>
      <c r="BF15" s="460" t="s">
        <v>13158</v>
      </c>
      <c r="BG15" s="354" t="s">
        <v>3632</v>
      </c>
      <c r="BH15" s="288" t="s">
        <v>13180</v>
      </c>
      <c r="BI15" s="288" t="s">
        <v>13181</v>
      </c>
      <c r="BJ15" s="288" t="s">
        <v>13182</v>
      </c>
      <c r="BK15" s="288" t="s">
        <v>13183</v>
      </c>
      <c r="BL15" s="288" t="s">
        <v>13184</v>
      </c>
      <c r="BM15" s="288" t="s">
        <v>13185</v>
      </c>
      <c r="BN15" s="288" t="s">
        <v>13186</v>
      </c>
      <c r="BO15" s="288" t="s">
        <v>13187</v>
      </c>
      <c r="BP15" s="288" t="s">
        <v>13188</v>
      </c>
      <c r="BQ15" s="399"/>
      <c r="BR15" s="399"/>
      <c r="BS15" s="399"/>
      <c r="BT15" s="399"/>
      <c r="BU15" s="399"/>
      <c r="BV15" s="399"/>
      <c r="BW15" s="399"/>
      <c r="BX15" s="399"/>
      <c r="BY15" s="399"/>
      <c r="BZ15" s="740" t="s">
        <v>13189</v>
      </c>
      <c r="CA15" s="740" t="s">
        <v>13190</v>
      </c>
      <c r="CB15" s="1117" t="s">
        <v>13191</v>
      </c>
    </row>
    <row r="16" spans="2:80" s="200" customFormat="1" ht="15.75" customHeight="1">
      <c r="B16" s="792" t="s">
        <v>13192</v>
      </c>
      <c r="C16" s="2355" t="s">
        <v>3630</v>
      </c>
      <c r="D16" s="325" t="s">
        <v>681</v>
      </c>
      <c r="E16" s="325">
        <v>3</v>
      </c>
      <c r="F16" s="751">
        <v>0</v>
      </c>
      <c r="G16" s="751">
        <v>0</v>
      </c>
      <c r="H16" s="751">
        <v>0</v>
      </c>
      <c r="I16" s="751">
        <v>1.554</v>
      </c>
      <c r="J16" s="751">
        <v>0</v>
      </c>
      <c r="K16" s="751">
        <v>0</v>
      </c>
      <c r="L16" s="751">
        <v>0</v>
      </c>
      <c r="M16" s="751">
        <v>0</v>
      </c>
      <c r="N16" s="312">
        <f t="shared" si="7"/>
        <v>1.554</v>
      </c>
      <c r="O16" s="2382"/>
      <c r="P16" s="2382"/>
      <c r="Q16" s="2382"/>
      <c r="R16" s="2382"/>
      <c r="S16" s="2382"/>
      <c r="T16" s="2382"/>
      <c r="U16" s="2382"/>
      <c r="V16" s="2382"/>
      <c r="W16" s="2382"/>
      <c r="X16" s="2383"/>
      <c r="Y16" s="2383"/>
      <c r="Z16" s="2384"/>
      <c r="AA16" s="997"/>
      <c r="AB16" s="795" t="s">
        <v>13193</v>
      </c>
      <c r="AC16" s="1114"/>
      <c r="AD16" s="291"/>
      <c r="AE16" s="1114"/>
      <c r="AF16" s="1115"/>
      <c r="AG16" s="284">
        <f t="shared" si="8"/>
        <v>0</v>
      </c>
      <c r="AH16" s="1116"/>
      <c r="AI16" s="285">
        <f xml:space="preserve"> IF( ISNUMBER(F16), 0, 1 )</f>
        <v>0</v>
      </c>
      <c r="AJ16" s="285">
        <f t="shared" ref="AJ16:AJ17" si="26" xml:space="preserve"> IF( ISNUMBER(G16), 0, 1 )</f>
        <v>0</v>
      </c>
      <c r="AK16" s="285">
        <f t="shared" ref="AK16:AK17" si="27" xml:space="preserve"> IF( ISNUMBER(H16), 0, 1 )</f>
        <v>0</v>
      </c>
      <c r="AL16" s="285">
        <f t="shared" ref="AL16:AL17" si="28" xml:space="preserve"> IF( ISNUMBER(I16), 0, 1 )</f>
        <v>0</v>
      </c>
      <c r="AM16" s="285">
        <f t="shared" ref="AM16:AM17" si="29" xml:space="preserve"> IF( ISNUMBER(J16), 0, 1 )</f>
        <v>0</v>
      </c>
      <c r="AN16" s="285">
        <f t="shared" ref="AN16:AN17" si="30" xml:space="preserve"> IF( ISNUMBER(K16), 0, 1 )</f>
        <v>0</v>
      </c>
      <c r="AO16" s="285">
        <f t="shared" ref="AO16:AO17" si="31" xml:space="preserve"> IF( ISNUMBER(L16), 0, 1 )</f>
        <v>0</v>
      </c>
      <c r="AP16" s="285">
        <f t="shared" ref="AP16:AP17" si="32" xml:space="preserve"> IF( ISNUMBER(M16), 0, 1 )</f>
        <v>0</v>
      </c>
      <c r="BD16" s="935"/>
      <c r="BF16" s="460" t="s">
        <v>13192</v>
      </c>
      <c r="BG16" s="354" t="s">
        <v>3630</v>
      </c>
      <c r="BH16" s="287" t="s">
        <v>13194</v>
      </c>
      <c r="BI16" s="287" t="s">
        <v>13195</v>
      </c>
      <c r="BJ16" s="287" t="s">
        <v>13196</v>
      </c>
      <c r="BK16" s="287" t="s">
        <v>13197</v>
      </c>
      <c r="BL16" s="287" t="s">
        <v>13198</v>
      </c>
      <c r="BM16" s="287" t="s">
        <v>13199</v>
      </c>
      <c r="BN16" s="287" t="s">
        <v>13200</v>
      </c>
      <c r="BO16" s="287" t="s">
        <v>13201</v>
      </c>
      <c r="BP16" s="288" t="s">
        <v>13202</v>
      </c>
      <c r="BQ16" s="399"/>
      <c r="BR16" s="399"/>
      <c r="BS16" s="399"/>
      <c r="BT16" s="399"/>
      <c r="BU16" s="399"/>
      <c r="BV16" s="399"/>
      <c r="BW16" s="399"/>
      <c r="BX16" s="399"/>
      <c r="BY16" s="399"/>
      <c r="BZ16" s="744"/>
      <c r="CA16" s="744"/>
      <c r="CB16" s="745"/>
    </row>
    <row r="17" spans="2:80" s="200" customFormat="1" ht="15.75" customHeight="1">
      <c r="B17" s="792" t="s">
        <v>13192</v>
      </c>
      <c r="C17" s="2355" t="s">
        <v>3631</v>
      </c>
      <c r="D17" s="325" t="s">
        <v>681</v>
      </c>
      <c r="E17" s="325">
        <v>3</v>
      </c>
      <c r="F17" s="751">
        <v>0</v>
      </c>
      <c r="G17" s="751">
        <v>0</v>
      </c>
      <c r="H17" s="751">
        <v>0</v>
      </c>
      <c r="I17" s="751">
        <v>0</v>
      </c>
      <c r="J17" s="751">
        <v>0</v>
      </c>
      <c r="K17" s="751">
        <v>0</v>
      </c>
      <c r="L17" s="751">
        <v>0</v>
      </c>
      <c r="M17" s="751">
        <v>0</v>
      </c>
      <c r="N17" s="312">
        <f t="shared" si="7"/>
        <v>0</v>
      </c>
      <c r="O17" s="2382"/>
      <c r="P17" s="2382"/>
      <c r="Q17" s="2382"/>
      <c r="R17" s="2382"/>
      <c r="S17" s="2382"/>
      <c r="T17" s="2382"/>
      <c r="U17" s="2382"/>
      <c r="V17" s="2382"/>
      <c r="W17" s="2382"/>
      <c r="X17" s="2383"/>
      <c r="Y17" s="2383"/>
      <c r="Z17" s="2384"/>
      <c r="AA17" s="997"/>
      <c r="AB17" s="795" t="s">
        <v>13203</v>
      </c>
      <c r="AC17" s="1114"/>
      <c r="AD17" s="291"/>
      <c r="AE17" s="1114"/>
      <c r="AF17" s="1115"/>
      <c r="AG17" s="284">
        <f t="shared" si="8"/>
        <v>0</v>
      </c>
      <c r="AH17" s="1116"/>
      <c r="AI17" s="285">
        <f t="shared" ref="AI17" si="33" xml:space="preserve"> IF( ISNUMBER(F17), 0, 1 )</f>
        <v>0</v>
      </c>
      <c r="AJ17" s="285">
        <f t="shared" si="26"/>
        <v>0</v>
      </c>
      <c r="AK17" s="285">
        <f t="shared" si="27"/>
        <v>0</v>
      </c>
      <c r="AL17" s="285">
        <f t="shared" si="28"/>
        <v>0</v>
      </c>
      <c r="AM17" s="285">
        <f t="shared" si="29"/>
        <v>0</v>
      </c>
      <c r="AN17" s="285">
        <f t="shared" si="30"/>
        <v>0</v>
      </c>
      <c r="AO17" s="285">
        <f t="shared" si="31"/>
        <v>0</v>
      </c>
      <c r="AP17" s="285">
        <f t="shared" si="32"/>
        <v>0</v>
      </c>
      <c r="BD17" s="935"/>
      <c r="BF17" s="460" t="s">
        <v>13192</v>
      </c>
      <c r="BG17" s="354" t="s">
        <v>3631</v>
      </c>
      <c r="BH17" s="287" t="s">
        <v>13204</v>
      </c>
      <c r="BI17" s="287" t="s">
        <v>13205</v>
      </c>
      <c r="BJ17" s="287" t="s">
        <v>13206</v>
      </c>
      <c r="BK17" s="287" t="s">
        <v>13207</v>
      </c>
      <c r="BL17" s="287" t="s">
        <v>13208</v>
      </c>
      <c r="BM17" s="287" t="s">
        <v>13209</v>
      </c>
      <c r="BN17" s="287" t="s">
        <v>13210</v>
      </c>
      <c r="BO17" s="287" t="s">
        <v>13211</v>
      </c>
      <c r="BP17" s="288" t="s">
        <v>13212</v>
      </c>
      <c r="BQ17" s="399"/>
      <c r="BR17" s="399"/>
      <c r="BS17" s="399"/>
      <c r="BT17" s="399"/>
      <c r="BU17" s="399"/>
      <c r="BV17" s="399"/>
      <c r="BW17" s="399"/>
      <c r="BX17" s="399"/>
      <c r="BY17" s="399"/>
      <c r="BZ17" s="744"/>
      <c r="CA17" s="744"/>
      <c r="CB17" s="745"/>
    </row>
    <row r="18" spans="2:80" s="200" customFormat="1" ht="15.75" customHeight="1">
      <c r="B18" s="792" t="s">
        <v>13192</v>
      </c>
      <c r="C18" s="2355" t="s">
        <v>3632</v>
      </c>
      <c r="D18" s="325" t="s">
        <v>681</v>
      </c>
      <c r="E18" s="325">
        <v>3</v>
      </c>
      <c r="F18" s="312">
        <f>IFERROR(SUM(F16:F17), 0)</f>
        <v>0</v>
      </c>
      <c r="G18" s="312">
        <f t="shared" ref="G18:M18" si="34">IFERROR(SUM(G16:G17), 0)</f>
        <v>0</v>
      </c>
      <c r="H18" s="312">
        <f t="shared" si="34"/>
        <v>0</v>
      </c>
      <c r="I18" s="312">
        <f t="shared" si="34"/>
        <v>1.554</v>
      </c>
      <c r="J18" s="312">
        <f t="shared" si="34"/>
        <v>0</v>
      </c>
      <c r="K18" s="312">
        <f t="shared" si="34"/>
        <v>0</v>
      </c>
      <c r="L18" s="312">
        <f t="shared" si="34"/>
        <v>0</v>
      </c>
      <c r="M18" s="312">
        <f t="shared" si="34"/>
        <v>0</v>
      </c>
      <c r="N18" s="312">
        <f t="shared" si="7"/>
        <v>1.554</v>
      </c>
      <c r="O18" s="2382"/>
      <c r="P18" s="2382"/>
      <c r="Q18" s="2382"/>
      <c r="R18" s="2382"/>
      <c r="S18" s="2382"/>
      <c r="T18" s="2382"/>
      <c r="U18" s="2382"/>
      <c r="V18" s="2382"/>
      <c r="W18" s="2382"/>
      <c r="X18" s="751">
        <v>2.5940000000000003</v>
      </c>
      <c r="Y18" s="751">
        <v>1.89</v>
      </c>
      <c r="Z18" s="796">
        <v>4.5209999999999999</v>
      </c>
      <c r="AA18" s="997"/>
      <c r="AB18" s="795" t="s">
        <v>13213</v>
      </c>
      <c r="AC18" s="1114"/>
      <c r="AD18" s="291"/>
      <c r="AE18" s="1114"/>
      <c r="AF18" s="1115"/>
      <c r="AG18" s="284">
        <f t="shared" si="8"/>
        <v>0</v>
      </c>
      <c r="AH18" s="1116"/>
      <c r="BA18" s="285">
        <f t="shared" ref="BA18" si="35" xml:space="preserve"> IF( ISNUMBER(X18), 0, 1 )</f>
        <v>0</v>
      </c>
      <c r="BB18" s="285">
        <f t="shared" ref="BB18" si="36" xml:space="preserve"> IF( ISNUMBER(Y18), 0, 1 )</f>
        <v>0</v>
      </c>
      <c r="BC18" s="285">
        <f t="shared" ref="BC18" si="37" xml:space="preserve"> IF( ISNUMBER(Z18), 0, 1 )</f>
        <v>0</v>
      </c>
      <c r="BD18" s="935"/>
      <c r="BF18" s="460" t="s">
        <v>13192</v>
      </c>
      <c r="BG18" s="354" t="s">
        <v>3632</v>
      </c>
      <c r="BH18" s="288" t="s">
        <v>13214</v>
      </c>
      <c r="BI18" s="288" t="s">
        <v>13215</v>
      </c>
      <c r="BJ18" s="288" t="s">
        <v>13216</v>
      </c>
      <c r="BK18" s="288" t="s">
        <v>13217</v>
      </c>
      <c r="BL18" s="288" t="s">
        <v>13218</v>
      </c>
      <c r="BM18" s="288" t="s">
        <v>13219</v>
      </c>
      <c r="BN18" s="288" t="s">
        <v>13220</v>
      </c>
      <c r="BO18" s="288" t="s">
        <v>13221</v>
      </c>
      <c r="BP18" s="288" t="s">
        <v>13222</v>
      </c>
      <c r="BQ18" s="399"/>
      <c r="BR18" s="399"/>
      <c r="BS18" s="399"/>
      <c r="BT18" s="399"/>
      <c r="BU18" s="399"/>
      <c r="BV18" s="399"/>
      <c r="BW18" s="399"/>
      <c r="BX18" s="399"/>
      <c r="BY18" s="399"/>
      <c r="BZ18" s="740" t="s">
        <v>13223</v>
      </c>
      <c r="CA18" s="740" t="s">
        <v>13224</v>
      </c>
      <c r="CB18" s="1117" t="s">
        <v>13225</v>
      </c>
    </row>
    <row r="19" spans="2:80" s="200" customFormat="1" ht="15.75" customHeight="1">
      <c r="B19" s="792" t="s">
        <v>13226</v>
      </c>
      <c r="C19" s="2355" t="s">
        <v>3630</v>
      </c>
      <c r="D19" s="325" t="s">
        <v>681</v>
      </c>
      <c r="E19" s="325">
        <v>3</v>
      </c>
      <c r="F19" s="751">
        <v>0</v>
      </c>
      <c r="G19" s="751">
        <v>0</v>
      </c>
      <c r="H19" s="751">
        <v>0</v>
      </c>
      <c r="I19" s="751">
        <v>3.1389999999999998</v>
      </c>
      <c r="J19" s="751">
        <v>0</v>
      </c>
      <c r="K19" s="751">
        <v>0</v>
      </c>
      <c r="L19" s="751">
        <v>0</v>
      </c>
      <c r="M19" s="751">
        <v>0</v>
      </c>
      <c r="N19" s="312">
        <f t="shared" si="7"/>
        <v>3.1389999999999998</v>
      </c>
      <c r="O19" s="751">
        <v>0</v>
      </c>
      <c r="P19" s="751">
        <v>0</v>
      </c>
      <c r="Q19" s="751">
        <v>0</v>
      </c>
      <c r="R19" s="751">
        <v>2.6970000000000001</v>
      </c>
      <c r="S19" s="751">
        <v>0</v>
      </c>
      <c r="T19" s="751">
        <v>0</v>
      </c>
      <c r="U19" s="751">
        <v>0</v>
      </c>
      <c r="V19" s="751">
        <v>0</v>
      </c>
      <c r="W19" s="312">
        <f>IFERROR(SUM(O19:V19), 0)</f>
        <v>2.6970000000000001</v>
      </c>
      <c r="X19" s="2383"/>
      <c r="Y19" s="2383"/>
      <c r="Z19" s="2384"/>
      <c r="AA19" s="997"/>
      <c r="AB19" s="795" t="s">
        <v>13227</v>
      </c>
      <c r="AC19" s="1114"/>
      <c r="AD19" s="291"/>
      <c r="AE19" s="1114"/>
      <c r="AF19" s="1115"/>
      <c r="AG19" s="284">
        <f t="shared" si="8"/>
        <v>0</v>
      </c>
      <c r="AH19" s="1116"/>
      <c r="AI19" s="285">
        <f xml:space="preserve"> IF( ISNUMBER(F19), 0, 1 )</f>
        <v>0</v>
      </c>
      <c r="AJ19" s="285">
        <f t="shared" ref="AJ19:AJ20" si="38" xml:space="preserve"> IF( ISNUMBER(G19), 0, 1 )</f>
        <v>0</v>
      </c>
      <c r="AK19" s="285">
        <f t="shared" ref="AK19:AK20" si="39" xml:space="preserve"> IF( ISNUMBER(H19), 0, 1 )</f>
        <v>0</v>
      </c>
      <c r="AL19" s="285">
        <f t="shared" ref="AL19:AL20" si="40" xml:space="preserve"> IF( ISNUMBER(I19), 0, 1 )</f>
        <v>0</v>
      </c>
      <c r="AM19" s="285">
        <f t="shared" ref="AM19:AM20" si="41" xml:space="preserve"> IF( ISNUMBER(J19), 0, 1 )</f>
        <v>0</v>
      </c>
      <c r="AN19" s="285">
        <f t="shared" ref="AN19:AN20" si="42" xml:space="preserve"> IF( ISNUMBER(K19), 0, 1 )</f>
        <v>0</v>
      </c>
      <c r="AO19" s="285">
        <f t="shared" ref="AO19:AO20" si="43" xml:space="preserve"> IF( ISNUMBER(L19), 0, 1 )</f>
        <v>0</v>
      </c>
      <c r="AP19" s="285">
        <f t="shared" ref="AP19:AP20" si="44" xml:space="preserve"> IF( ISNUMBER(M19), 0, 1 )</f>
        <v>0</v>
      </c>
      <c r="AR19" s="285">
        <f xml:space="preserve"> IF( ISNUMBER(O19), 0, 1 )</f>
        <v>0</v>
      </c>
      <c r="AS19" s="285">
        <f t="shared" ref="AS19:AS20" si="45" xml:space="preserve"> IF( ISNUMBER(P19), 0, 1 )</f>
        <v>0</v>
      </c>
      <c r="AT19" s="285">
        <f t="shared" ref="AT19:AT20" si="46" xml:space="preserve"> IF( ISNUMBER(Q19), 0, 1 )</f>
        <v>0</v>
      </c>
      <c r="AU19" s="285">
        <f t="shared" ref="AU19:AU20" si="47" xml:space="preserve"> IF( ISNUMBER(R19), 0, 1 )</f>
        <v>0</v>
      </c>
      <c r="AV19" s="285">
        <f t="shared" ref="AV19:AV20" si="48" xml:space="preserve"> IF( ISNUMBER(S19), 0, 1 )</f>
        <v>0</v>
      </c>
      <c r="AW19" s="285">
        <f t="shared" ref="AW19:AW20" si="49" xml:space="preserve"> IF( ISNUMBER(T19), 0, 1 )</f>
        <v>0</v>
      </c>
      <c r="AX19" s="285">
        <f t="shared" ref="AX19:AX20" si="50" xml:space="preserve"> IF( ISNUMBER(U19), 0, 1 )</f>
        <v>0</v>
      </c>
      <c r="AY19" s="285">
        <f t="shared" ref="AY19:AY20" si="51" xml:space="preserve"> IF( ISNUMBER(V19), 0, 1 )</f>
        <v>0</v>
      </c>
      <c r="BD19" s="935"/>
      <c r="BF19" s="460" t="s">
        <v>13226</v>
      </c>
      <c r="BG19" s="354" t="s">
        <v>3630</v>
      </c>
      <c r="BH19" s="287" t="s">
        <v>13228</v>
      </c>
      <c r="BI19" s="287" t="s">
        <v>13229</v>
      </c>
      <c r="BJ19" s="287" t="s">
        <v>13230</v>
      </c>
      <c r="BK19" s="287" t="s">
        <v>13231</v>
      </c>
      <c r="BL19" s="287" t="s">
        <v>13232</v>
      </c>
      <c r="BM19" s="287" t="s">
        <v>13233</v>
      </c>
      <c r="BN19" s="287" t="s">
        <v>13234</v>
      </c>
      <c r="BO19" s="287" t="s">
        <v>13235</v>
      </c>
      <c r="BP19" s="288" t="s">
        <v>13236</v>
      </c>
      <c r="BQ19" s="287" t="s">
        <v>13237</v>
      </c>
      <c r="BR19" s="287" t="s">
        <v>13238</v>
      </c>
      <c r="BS19" s="287" t="s">
        <v>13239</v>
      </c>
      <c r="BT19" s="287" t="s">
        <v>13240</v>
      </c>
      <c r="BU19" s="287" t="s">
        <v>13241</v>
      </c>
      <c r="BV19" s="287" t="s">
        <v>13242</v>
      </c>
      <c r="BW19" s="287" t="s">
        <v>13243</v>
      </c>
      <c r="BX19" s="287" t="s">
        <v>13244</v>
      </c>
      <c r="BY19" s="288" t="s">
        <v>13245</v>
      </c>
      <c r="BZ19" s="744"/>
      <c r="CA19" s="744"/>
      <c r="CB19" s="745"/>
    </row>
    <row r="20" spans="2:80" s="197" customFormat="1" ht="15.75" customHeight="1">
      <c r="B20" s="792" t="s">
        <v>13226</v>
      </c>
      <c r="C20" s="2355" t="s">
        <v>3631</v>
      </c>
      <c r="D20" s="325" t="s">
        <v>681</v>
      </c>
      <c r="E20" s="325">
        <v>3</v>
      </c>
      <c r="F20" s="751">
        <v>0</v>
      </c>
      <c r="G20" s="751">
        <v>0</v>
      </c>
      <c r="H20" s="751">
        <v>0</v>
      </c>
      <c r="I20" s="751">
        <v>8.9999999999999993E-3</v>
      </c>
      <c r="J20" s="751">
        <v>0</v>
      </c>
      <c r="K20" s="751">
        <v>0</v>
      </c>
      <c r="L20" s="751">
        <v>0</v>
      </c>
      <c r="M20" s="751">
        <v>0</v>
      </c>
      <c r="N20" s="312">
        <f t="shared" si="7"/>
        <v>8.9999999999999993E-3</v>
      </c>
      <c r="O20" s="751">
        <v>0</v>
      </c>
      <c r="P20" s="751">
        <v>0</v>
      </c>
      <c r="Q20" s="751">
        <v>0</v>
      </c>
      <c r="R20" s="751">
        <v>8.9999999999999993E-3</v>
      </c>
      <c r="S20" s="751">
        <v>0</v>
      </c>
      <c r="T20" s="751">
        <v>0</v>
      </c>
      <c r="U20" s="751">
        <v>0</v>
      </c>
      <c r="V20" s="751">
        <v>0</v>
      </c>
      <c r="W20" s="312">
        <f t="shared" ref="W20:W37" si="52">IFERROR(SUM(O20:V20), 0)</f>
        <v>8.9999999999999993E-3</v>
      </c>
      <c r="X20" s="2383"/>
      <c r="Y20" s="2383"/>
      <c r="Z20" s="2384"/>
      <c r="AA20" s="997"/>
      <c r="AB20" s="795" t="s">
        <v>13246</v>
      </c>
      <c r="AC20" s="1118"/>
      <c r="AD20" s="291"/>
      <c r="AE20" s="1118"/>
      <c r="AF20" s="1115"/>
      <c r="AG20" s="284">
        <f t="shared" si="8"/>
        <v>0</v>
      </c>
      <c r="AH20" s="1057"/>
      <c r="AI20" s="285">
        <f t="shared" ref="AI20" si="53" xml:space="preserve"> IF( ISNUMBER(F20), 0, 1 )</f>
        <v>0</v>
      </c>
      <c r="AJ20" s="285">
        <f t="shared" si="38"/>
        <v>0</v>
      </c>
      <c r="AK20" s="285">
        <f t="shared" si="39"/>
        <v>0</v>
      </c>
      <c r="AL20" s="285">
        <f t="shared" si="40"/>
        <v>0</v>
      </c>
      <c r="AM20" s="285">
        <f t="shared" si="41"/>
        <v>0</v>
      </c>
      <c r="AN20" s="285">
        <f t="shared" si="42"/>
        <v>0</v>
      </c>
      <c r="AO20" s="285">
        <f t="shared" si="43"/>
        <v>0</v>
      </c>
      <c r="AP20" s="285">
        <f t="shared" si="44"/>
        <v>0</v>
      </c>
      <c r="AQ20" s="200"/>
      <c r="AR20" s="285">
        <f t="shared" ref="AR20" si="54" xml:space="preserve"> IF( ISNUMBER(O20), 0, 1 )</f>
        <v>0</v>
      </c>
      <c r="AS20" s="285">
        <f t="shared" si="45"/>
        <v>0</v>
      </c>
      <c r="AT20" s="285">
        <f t="shared" si="46"/>
        <v>0</v>
      </c>
      <c r="AU20" s="285">
        <f t="shared" si="47"/>
        <v>0</v>
      </c>
      <c r="AV20" s="285">
        <f t="shared" si="48"/>
        <v>0</v>
      </c>
      <c r="AW20" s="285">
        <f t="shared" si="49"/>
        <v>0</v>
      </c>
      <c r="AX20" s="285">
        <f t="shared" si="50"/>
        <v>0</v>
      </c>
      <c r="AY20" s="285">
        <f t="shared" si="51"/>
        <v>0</v>
      </c>
      <c r="AZ20" s="200"/>
      <c r="BA20" s="200"/>
      <c r="BB20" s="200"/>
      <c r="BC20" s="200"/>
      <c r="BD20" s="828"/>
      <c r="BF20" s="460" t="s">
        <v>13226</v>
      </c>
      <c r="BG20" s="354" t="s">
        <v>3631</v>
      </c>
      <c r="BH20" s="287" t="s">
        <v>13247</v>
      </c>
      <c r="BI20" s="287" t="s">
        <v>13248</v>
      </c>
      <c r="BJ20" s="287" t="s">
        <v>13249</v>
      </c>
      <c r="BK20" s="287" t="s">
        <v>13250</v>
      </c>
      <c r="BL20" s="287" t="s">
        <v>13251</v>
      </c>
      <c r="BM20" s="287" t="s">
        <v>13252</v>
      </c>
      <c r="BN20" s="287" t="s">
        <v>13253</v>
      </c>
      <c r="BO20" s="287" t="s">
        <v>13254</v>
      </c>
      <c r="BP20" s="288" t="s">
        <v>13255</v>
      </c>
      <c r="BQ20" s="287" t="s">
        <v>13256</v>
      </c>
      <c r="BR20" s="287" t="s">
        <v>13257</v>
      </c>
      <c r="BS20" s="287" t="s">
        <v>13258</v>
      </c>
      <c r="BT20" s="287" t="s">
        <v>13259</v>
      </c>
      <c r="BU20" s="287" t="s">
        <v>13260</v>
      </c>
      <c r="BV20" s="287" t="s">
        <v>13261</v>
      </c>
      <c r="BW20" s="287" t="s">
        <v>13262</v>
      </c>
      <c r="BX20" s="287" t="s">
        <v>13263</v>
      </c>
      <c r="BY20" s="288" t="s">
        <v>13264</v>
      </c>
      <c r="BZ20" s="744"/>
      <c r="CA20" s="744"/>
      <c r="CB20" s="745"/>
    </row>
    <row r="21" spans="2:80" s="197" customFormat="1" ht="15.75" customHeight="1">
      <c r="B21" s="792" t="s">
        <v>13226</v>
      </c>
      <c r="C21" s="2355" t="s">
        <v>3632</v>
      </c>
      <c r="D21" s="325" t="s">
        <v>681</v>
      </c>
      <c r="E21" s="325">
        <v>3</v>
      </c>
      <c r="F21" s="312">
        <f>IFERROR(SUM(F19:F20), 0)</f>
        <v>0</v>
      </c>
      <c r="G21" s="312">
        <f t="shared" ref="G21:M21" si="55">IFERROR(SUM(G19:G20), 0)</f>
        <v>0</v>
      </c>
      <c r="H21" s="312">
        <f t="shared" si="55"/>
        <v>0</v>
      </c>
      <c r="I21" s="312">
        <f t="shared" si="55"/>
        <v>3.1479999999999997</v>
      </c>
      <c r="J21" s="312">
        <f t="shared" si="55"/>
        <v>0</v>
      </c>
      <c r="K21" s="312">
        <f t="shared" si="55"/>
        <v>0</v>
      </c>
      <c r="L21" s="312">
        <f t="shared" si="55"/>
        <v>0</v>
      </c>
      <c r="M21" s="312">
        <f t="shared" si="55"/>
        <v>0</v>
      </c>
      <c r="N21" s="312">
        <f t="shared" si="7"/>
        <v>3.1479999999999997</v>
      </c>
      <c r="O21" s="312">
        <f>IFERROR(SUM(O19:O20), 0)</f>
        <v>0</v>
      </c>
      <c r="P21" s="312">
        <f t="shared" ref="P21:V21" si="56">IFERROR(SUM(P19:P20), 0)</f>
        <v>0</v>
      </c>
      <c r="Q21" s="312">
        <f t="shared" si="56"/>
        <v>0</v>
      </c>
      <c r="R21" s="312">
        <f t="shared" si="56"/>
        <v>2.706</v>
      </c>
      <c r="S21" s="312">
        <f t="shared" si="56"/>
        <v>0</v>
      </c>
      <c r="T21" s="312">
        <f t="shared" si="56"/>
        <v>0</v>
      </c>
      <c r="U21" s="312">
        <f t="shared" si="56"/>
        <v>0</v>
      </c>
      <c r="V21" s="312">
        <f t="shared" si="56"/>
        <v>0</v>
      </c>
      <c r="W21" s="312">
        <f t="shared" si="52"/>
        <v>2.706</v>
      </c>
      <c r="X21" s="751">
        <v>7.7399999999999993</v>
      </c>
      <c r="Y21" s="751">
        <v>16.428000000000001</v>
      </c>
      <c r="Z21" s="796">
        <v>39.286999999999999</v>
      </c>
      <c r="AA21" s="997"/>
      <c r="AB21" s="795" t="s">
        <v>13265</v>
      </c>
      <c r="AC21" s="1118"/>
      <c r="AD21" s="291"/>
      <c r="AE21" s="1118"/>
      <c r="AF21" s="1115"/>
      <c r="AG21" s="284">
        <f t="shared" si="8"/>
        <v>0</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0</v>
      </c>
      <c r="BB21" s="285">
        <f t="shared" ref="BB21" si="58" xml:space="preserve"> IF( ISNUMBER(Y21), 0, 1 )</f>
        <v>0</v>
      </c>
      <c r="BC21" s="285">
        <f t="shared" ref="BC21" si="59" xml:space="preserve"> IF( ISNUMBER(Z21), 0, 1 )</f>
        <v>0</v>
      </c>
      <c r="BD21" s="828"/>
      <c r="BF21" s="460" t="s">
        <v>13226</v>
      </c>
      <c r="BG21" s="354" t="s">
        <v>3632</v>
      </c>
      <c r="BH21" s="288" t="s">
        <v>13266</v>
      </c>
      <c r="BI21" s="288" t="s">
        <v>13267</v>
      </c>
      <c r="BJ21" s="288" t="s">
        <v>13268</v>
      </c>
      <c r="BK21" s="288" t="s">
        <v>13269</v>
      </c>
      <c r="BL21" s="288" t="s">
        <v>13270</v>
      </c>
      <c r="BM21" s="288" t="s">
        <v>13271</v>
      </c>
      <c r="BN21" s="288" t="s">
        <v>13272</v>
      </c>
      <c r="BO21" s="288" t="s">
        <v>13273</v>
      </c>
      <c r="BP21" s="288" t="s">
        <v>13274</v>
      </c>
      <c r="BQ21" s="288" t="s">
        <v>13275</v>
      </c>
      <c r="BR21" s="288" t="s">
        <v>13276</v>
      </c>
      <c r="BS21" s="288" t="s">
        <v>13277</v>
      </c>
      <c r="BT21" s="288" t="s">
        <v>13278</v>
      </c>
      <c r="BU21" s="288" t="s">
        <v>13279</v>
      </c>
      <c r="BV21" s="288" t="s">
        <v>13280</v>
      </c>
      <c r="BW21" s="288" t="s">
        <v>13281</v>
      </c>
      <c r="BX21" s="288" t="s">
        <v>13282</v>
      </c>
      <c r="BY21" s="288" t="s">
        <v>13283</v>
      </c>
      <c r="BZ21" s="740" t="s">
        <v>13284</v>
      </c>
      <c r="CA21" s="740" t="s">
        <v>13285</v>
      </c>
      <c r="CB21" s="1117" t="s">
        <v>13286</v>
      </c>
    </row>
    <row r="22" spans="2:80" s="197" customFormat="1" ht="15.75" customHeight="1">
      <c r="B22" s="792" t="s">
        <v>13287</v>
      </c>
      <c r="C22" s="2355" t="s">
        <v>3630</v>
      </c>
      <c r="D22" s="325" t="s">
        <v>681</v>
      </c>
      <c r="E22" s="325">
        <v>3</v>
      </c>
      <c r="F22" s="751">
        <v>0</v>
      </c>
      <c r="G22" s="751">
        <v>0</v>
      </c>
      <c r="H22" s="751">
        <v>0</v>
      </c>
      <c r="I22" s="751">
        <v>0.55600000000000005</v>
      </c>
      <c r="J22" s="751">
        <v>0</v>
      </c>
      <c r="K22" s="751">
        <v>0</v>
      </c>
      <c r="L22" s="751">
        <v>0</v>
      </c>
      <c r="M22" s="751">
        <v>0</v>
      </c>
      <c r="N22" s="312">
        <f t="shared" si="7"/>
        <v>0.55600000000000005</v>
      </c>
      <c r="O22" s="751">
        <v>0</v>
      </c>
      <c r="P22" s="751">
        <v>0</v>
      </c>
      <c r="Q22" s="751">
        <v>0</v>
      </c>
      <c r="R22" s="751">
        <v>0.496</v>
      </c>
      <c r="S22" s="751">
        <v>0</v>
      </c>
      <c r="T22" s="751">
        <v>0</v>
      </c>
      <c r="U22" s="751">
        <v>0</v>
      </c>
      <c r="V22" s="751">
        <v>0</v>
      </c>
      <c r="W22" s="312">
        <f t="shared" si="52"/>
        <v>0.496</v>
      </c>
      <c r="X22" s="2383"/>
      <c r="Y22" s="2383"/>
      <c r="Z22" s="2384"/>
      <c r="AA22" s="997"/>
      <c r="AB22" s="795" t="s">
        <v>13288</v>
      </c>
      <c r="AC22" s="1118"/>
      <c r="AD22" s="291"/>
      <c r="AE22" s="1118"/>
      <c r="AF22" s="1115"/>
      <c r="AG22" s="284">
        <f t="shared" si="8"/>
        <v>0</v>
      </c>
      <c r="AH22" s="1116"/>
      <c r="AI22" s="285">
        <f xml:space="preserve"> IF( ISNUMBER(F22), 0, 1 )</f>
        <v>0</v>
      </c>
      <c r="AJ22" s="285">
        <f t="shared" ref="AJ22:AJ23" si="60" xml:space="preserve"> IF( ISNUMBER(G22), 0, 1 )</f>
        <v>0</v>
      </c>
      <c r="AK22" s="285">
        <f t="shared" ref="AK22:AK23" si="61" xml:space="preserve"> IF( ISNUMBER(H22), 0, 1 )</f>
        <v>0</v>
      </c>
      <c r="AL22" s="285">
        <f t="shared" ref="AL22:AL23" si="62" xml:space="preserve"> IF( ISNUMBER(I22), 0, 1 )</f>
        <v>0</v>
      </c>
      <c r="AM22" s="285">
        <f t="shared" ref="AM22:AM23" si="63" xml:space="preserve"> IF( ISNUMBER(J22), 0, 1 )</f>
        <v>0</v>
      </c>
      <c r="AN22" s="285">
        <f t="shared" ref="AN22:AN23" si="64" xml:space="preserve"> IF( ISNUMBER(K22), 0, 1 )</f>
        <v>0</v>
      </c>
      <c r="AO22" s="285">
        <f t="shared" ref="AO22:AO23" si="65" xml:space="preserve"> IF( ISNUMBER(L22), 0, 1 )</f>
        <v>0</v>
      </c>
      <c r="AP22" s="285">
        <f t="shared" ref="AP22:AP23" si="66" xml:space="preserve"> IF( ISNUMBER(M22), 0, 1 )</f>
        <v>0</v>
      </c>
      <c r="AQ22" s="200"/>
      <c r="AR22" s="285">
        <f xml:space="preserve"> IF( ISNUMBER(O22), 0, 1 )</f>
        <v>0</v>
      </c>
      <c r="AS22" s="285">
        <f t="shared" ref="AS22:AS23" si="67" xml:space="preserve"> IF( ISNUMBER(P22), 0, 1 )</f>
        <v>0</v>
      </c>
      <c r="AT22" s="285">
        <f t="shared" ref="AT22:AT23" si="68" xml:space="preserve"> IF( ISNUMBER(Q22), 0, 1 )</f>
        <v>0</v>
      </c>
      <c r="AU22" s="285">
        <f t="shared" ref="AU22:AU23" si="69" xml:space="preserve"> IF( ISNUMBER(R22), 0, 1 )</f>
        <v>0</v>
      </c>
      <c r="AV22" s="285">
        <f t="shared" ref="AV22:AV23" si="70" xml:space="preserve"> IF( ISNUMBER(S22), 0, 1 )</f>
        <v>0</v>
      </c>
      <c r="AW22" s="285">
        <f t="shared" ref="AW22:AW23" si="71" xml:space="preserve"> IF( ISNUMBER(T22), 0, 1 )</f>
        <v>0</v>
      </c>
      <c r="AX22" s="285">
        <f t="shared" ref="AX22:AX23" si="72" xml:space="preserve"> IF( ISNUMBER(U22), 0, 1 )</f>
        <v>0</v>
      </c>
      <c r="AY22" s="285">
        <f t="shared" ref="AY22:AY23" si="73" xml:space="preserve"> IF( ISNUMBER(V22), 0, 1 )</f>
        <v>0</v>
      </c>
      <c r="AZ22" s="200"/>
      <c r="BA22" s="200"/>
      <c r="BB22" s="200"/>
      <c r="BC22" s="200"/>
      <c r="BD22" s="828"/>
      <c r="BF22" s="792" t="s">
        <v>13287</v>
      </c>
      <c r="BG22" s="354" t="s">
        <v>3630</v>
      </c>
      <c r="BH22" s="287" t="s">
        <v>13289</v>
      </c>
      <c r="BI22" s="287" t="s">
        <v>13290</v>
      </c>
      <c r="BJ22" s="287" t="s">
        <v>13291</v>
      </c>
      <c r="BK22" s="287" t="s">
        <v>13292</v>
      </c>
      <c r="BL22" s="287" t="s">
        <v>13293</v>
      </c>
      <c r="BM22" s="287" t="s">
        <v>13294</v>
      </c>
      <c r="BN22" s="287" t="s">
        <v>13295</v>
      </c>
      <c r="BO22" s="287" t="s">
        <v>13296</v>
      </c>
      <c r="BP22" s="288" t="s">
        <v>13297</v>
      </c>
      <c r="BQ22" s="287" t="s">
        <v>13298</v>
      </c>
      <c r="BR22" s="287" t="s">
        <v>13299</v>
      </c>
      <c r="BS22" s="287" t="s">
        <v>13300</v>
      </c>
      <c r="BT22" s="287" t="s">
        <v>13301</v>
      </c>
      <c r="BU22" s="287" t="s">
        <v>13302</v>
      </c>
      <c r="BV22" s="287" t="s">
        <v>13303</v>
      </c>
      <c r="BW22" s="287" t="s">
        <v>13304</v>
      </c>
      <c r="BX22" s="287" t="s">
        <v>13305</v>
      </c>
      <c r="BY22" s="288" t="s">
        <v>13306</v>
      </c>
      <c r="BZ22" s="744"/>
      <c r="CA22" s="744"/>
      <c r="CB22" s="745"/>
    </row>
    <row r="23" spans="2:80" s="197" customFormat="1" ht="15.75" customHeight="1">
      <c r="B23" s="792" t="s">
        <v>13287</v>
      </c>
      <c r="C23" s="2355" t="s">
        <v>3631</v>
      </c>
      <c r="D23" s="325" t="s">
        <v>681</v>
      </c>
      <c r="E23" s="325">
        <v>3</v>
      </c>
      <c r="F23" s="751">
        <v>0</v>
      </c>
      <c r="G23" s="751">
        <v>0</v>
      </c>
      <c r="H23" s="751">
        <v>0</v>
      </c>
      <c r="I23" s="751">
        <v>0</v>
      </c>
      <c r="J23" s="751">
        <v>0</v>
      </c>
      <c r="K23" s="751">
        <v>0</v>
      </c>
      <c r="L23" s="751">
        <v>0</v>
      </c>
      <c r="M23" s="751">
        <v>0</v>
      </c>
      <c r="N23" s="312">
        <f t="shared" si="7"/>
        <v>0</v>
      </c>
      <c r="O23" s="751">
        <v>0</v>
      </c>
      <c r="P23" s="751">
        <v>0</v>
      </c>
      <c r="Q23" s="751">
        <v>0</v>
      </c>
      <c r="R23" s="751">
        <v>0</v>
      </c>
      <c r="S23" s="751">
        <v>0</v>
      </c>
      <c r="T23" s="751">
        <v>0</v>
      </c>
      <c r="U23" s="751">
        <v>0</v>
      </c>
      <c r="V23" s="751">
        <v>0</v>
      </c>
      <c r="W23" s="312">
        <f t="shared" si="52"/>
        <v>0</v>
      </c>
      <c r="X23" s="2383"/>
      <c r="Y23" s="2383"/>
      <c r="Z23" s="2384"/>
      <c r="AA23" s="997"/>
      <c r="AB23" s="795" t="s">
        <v>13307</v>
      </c>
      <c r="AC23" s="1118"/>
      <c r="AD23" s="291"/>
      <c r="AE23" s="1118"/>
      <c r="AF23" s="1115"/>
      <c r="AG23" s="284">
        <f t="shared" si="8"/>
        <v>0</v>
      </c>
      <c r="AH23" s="1057"/>
      <c r="AI23" s="285">
        <f t="shared" ref="AI23" si="74" xml:space="preserve"> IF( ISNUMBER(F23), 0, 1 )</f>
        <v>0</v>
      </c>
      <c r="AJ23" s="285">
        <f t="shared" si="60"/>
        <v>0</v>
      </c>
      <c r="AK23" s="285">
        <f t="shared" si="61"/>
        <v>0</v>
      </c>
      <c r="AL23" s="285">
        <f t="shared" si="62"/>
        <v>0</v>
      </c>
      <c r="AM23" s="285">
        <f t="shared" si="63"/>
        <v>0</v>
      </c>
      <c r="AN23" s="285">
        <f t="shared" si="64"/>
        <v>0</v>
      </c>
      <c r="AO23" s="285">
        <f t="shared" si="65"/>
        <v>0</v>
      </c>
      <c r="AP23" s="285">
        <f t="shared" si="66"/>
        <v>0</v>
      </c>
      <c r="AQ23" s="200"/>
      <c r="AR23" s="285">
        <f t="shared" ref="AR23" si="75" xml:space="preserve"> IF( ISNUMBER(O23), 0, 1 )</f>
        <v>0</v>
      </c>
      <c r="AS23" s="285">
        <f t="shared" si="67"/>
        <v>0</v>
      </c>
      <c r="AT23" s="285">
        <f t="shared" si="68"/>
        <v>0</v>
      </c>
      <c r="AU23" s="285">
        <f t="shared" si="69"/>
        <v>0</v>
      </c>
      <c r="AV23" s="285">
        <f t="shared" si="70"/>
        <v>0</v>
      </c>
      <c r="AW23" s="285">
        <f t="shared" si="71"/>
        <v>0</v>
      </c>
      <c r="AX23" s="285">
        <f t="shared" si="72"/>
        <v>0</v>
      </c>
      <c r="AY23" s="285">
        <f t="shared" si="73"/>
        <v>0</v>
      </c>
      <c r="AZ23" s="200"/>
      <c r="BA23" s="200"/>
      <c r="BB23" s="200"/>
      <c r="BC23" s="200"/>
      <c r="BD23" s="828"/>
      <c r="BF23" s="792" t="s">
        <v>13287</v>
      </c>
      <c r="BG23" s="354" t="s">
        <v>3631</v>
      </c>
      <c r="BH23" s="287" t="s">
        <v>13308</v>
      </c>
      <c r="BI23" s="287" t="s">
        <v>13309</v>
      </c>
      <c r="BJ23" s="287" t="s">
        <v>13310</v>
      </c>
      <c r="BK23" s="287" t="s">
        <v>13311</v>
      </c>
      <c r="BL23" s="287" t="s">
        <v>13312</v>
      </c>
      <c r="BM23" s="287" t="s">
        <v>13313</v>
      </c>
      <c r="BN23" s="287" t="s">
        <v>13314</v>
      </c>
      <c r="BO23" s="287" t="s">
        <v>13315</v>
      </c>
      <c r="BP23" s="288" t="s">
        <v>13316</v>
      </c>
      <c r="BQ23" s="287" t="s">
        <v>13317</v>
      </c>
      <c r="BR23" s="287" t="s">
        <v>13318</v>
      </c>
      <c r="BS23" s="287" t="s">
        <v>13319</v>
      </c>
      <c r="BT23" s="287" t="s">
        <v>13320</v>
      </c>
      <c r="BU23" s="287" t="s">
        <v>13321</v>
      </c>
      <c r="BV23" s="287" t="s">
        <v>13322</v>
      </c>
      <c r="BW23" s="287" t="s">
        <v>13323</v>
      </c>
      <c r="BX23" s="287" t="s">
        <v>13324</v>
      </c>
      <c r="BY23" s="288" t="s">
        <v>13325</v>
      </c>
      <c r="BZ23" s="744"/>
      <c r="CA23" s="744"/>
      <c r="CB23" s="745"/>
    </row>
    <row r="24" spans="2:80" s="197" customFormat="1" ht="15.75" customHeight="1">
      <c r="B24" s="792" t="s">
        <v>13287</v>
      </c>
      <c r="C24" s="2355" t="s">
        <v>3632</v>
      </c>
      <c r="D24" s="325" t="s">
        <v>681</v>
      </c>
      <c r="E24" s="325">
        <v>3</v>
      </c>
      <c r="F24" s="312">
        <f>IFERROR(SUM(F22:F23), 0)</f>
        <v>0</v>
      </c>
      <c r="G24" s="312">
        <f t="shared" ref="G24:M24" si="76">IFERROR(SUM(G22:G23), 0)</f>
        <v>0</v>
      </c>
      <c r="H24" s="312">
        <f t="shared" si="76"/>
        <v>0</v>
      </c>
      <c r="I24" s="312">
        <f t="shared" si="76"/>
        <v>0.55600000000000005</v>
      </c>
      <c r="J24" s="312">
        <f t="shared" si="76"/>
        <v>0</v>
      </c>
      <c r="K24" s="312">
        <f t="shared" si="76"/>
        <v>0</v>
      </c>
      <c r="L24" s="312">
        <f t="shared" si="76"/>
        <v>0</v>
      </c>
      <c r="M24" s="312">
        <f t="shared" si="76"/>
        <v>0</v>
      </c>
      <c r="N24" s="312">
        <f t="shared" si="7"/>
        <v>0.55600000000000005</v>
      </c>
      <c r="O24" s="312">
        <f>IFERROR(SUM(O22:O23), 0)</f>
        <v>0</v>
      </c>
      <c r="P24" s="312">
        <f t="shared" ref="P24:V24" si="77">IFERROR(SUM(P22:P23), 0)</f>
        <v>0</v>
      </c>
      <c r="Q24" s="312">
        <f t="shared" si="77"/>
        <v>0</v>
      </c>
      <c r="R24" s="312">
        <f t="shared" si="77"/>
        <v>0.496</v>
      </c>
      <c r="S24" s="312">
        <f t="shared" si="77"/>
        <v>0</v>
      </c>
      <c r="T24" s="312">
        <f t="shared" si="77"/>
        <v>0</v>
      </c>
      <c r="U24" s="312">
        <f t="shared" si="77"/>
        <v>0</v>
      </c>
      <c r="V24" s="312">
        <f t="shared" si="77"/>
        <v>0</v>
      </c>
      <c r="W24" s="312">
        <f t="shared" si="52"/>
        <v>0.496</v>
      </c>
      <c r="X24" s="751">
        <v>0.55600000000000005</v>
      </c>
      <c r="Y24" s="751">
        <v>0.36699999999999999</v>
      </c>
      <c r="Z24" s="796">
        <v>0.879</v>
      </c>
      <c r="AA24" s="997"/>
      <c r="AB24" s="795" t="s">
        <v>13326</v>
      </c>
      <c r="AC24" s="1118"/>
      <c r="AD24" s="291"/>
      <c r="AE24" s="1118"/>
      <c r="AF24" s="1115"/>
      <c r="AG24" s="284">
        <f t="shared" si="8"/>
        <v>0</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0</v>
      </c>
      <c r="BB24" s="285">
        <f t="shared" ref="BB24" si="79" xml:space="preserve"> IF( ISNUMBER(Y24), 0, 1 )</f>
        <v>0</v>
      </c>
      <c r="BC24" s="285">
        <f t="shared" ref="BC24" si="80" xml:space="preserve"> IF( ISNUMBER(Z24), 0, 1 )</f>
        <v>0</v>
      </c>
      <c r="BD24" s="828"/>
      <c r="BF24" s="792" t="s">
        <v>13287</v>
      </c>
      <c r="BG24" s="354" t="s">
        <v>3632</v>
      </c>
      <c r="BH24" s="288" t="s">
        <v>13327</v>
      </c>
      <c r="BI24" s="288" t="s">
        <v>13328</v>
      </c>
      <c r="BJ24" s="288" t="s">
        <v>13329</v>
      </c>
      <c r="BK24" s="288" t="s">
        <v>13330</v>
      </c>
      <c r="BL24" s="288" t="s">
        <v>13331</v>
      </c>
      <c r="BM24" s="288" t="s">
        <v>13332</v>
      </c>
      <c r="BN24" s="288" t="s">
        <v>13333</v>
      </c>
      <c r="BO24" s="288" t="s">
        <v>13334</v>
      </c>
      <c r="BP24" s="288" t="s">
        <v>13335</v>
      </c>
      <c r="BQ24" s="288" t="s">
        <v>13336</v>
      </c>
      <c r="BR24" s="288" t="s">
        <v>13337</v>
      </c>
      <c r="BS24" s="288" t="s">
        <v>13338</v>
      </c>
      <c r="BT24" s="288" t="s">
        <v>13339</v>
      </c>
      <c r="BU24" s="288" t="s">
        <v>13340</v>
      </c>
      <c r="BV24" s="288" t="s">
        <v>13341</v>
      </c>
      <c r="BW24" s="288" t="s">
        <v>13342</v>
      </c>
      <c r="BX24" s="288" t="s">
        <v>13343</v>
      </c>
      <c r="BY24" s="288" t="s">
        <v>13344</v>
      </c>
      <c r="BZ24" s="740" t="s">
        <v>13345</v>
      </c>
      <c r="CA24" s="740" t="s">
        <v>13346</v>
      </c>
      <c r="CB24" s="1117" t="s">
        <v>13347</v>
      </c>
    </row>
    <row r="25" spans="2:80" s="197" customFormat="1" ht="45" customHeight="1">
      <c r="B25" s="792" t="s">
        <v>13348</v>
      </c>
      <c r="C25" s="2355" t="s">
        <v>3630</v>
      </c>
      <c r="D25" s="325" t="s">
        <v>681</v>
      </c>
      <c r="E25" s="325">
        <v>3</v>
      </c>
      <c r="F25" s="2385">
        <v>0</v>
      </c>
      <c r="G25" s="2385">
        <v>0</v>
      </c>
      <c r="H25" s="2385">
        <v>0</v>
      </c>
      <c r="I25" s="2385">
        <v>0</v>
      </c>
      <c r="J25" s="2385">
        <v>0</v>
      </c>
      <c r="K25" s="2385">
        <v>0</v>
      </c>
      <c r="L25" s="2385">
        <v>0</v>
      </c>
      <c r="M25" s="2385">
        <v>0</v>
      </c>
      <c r="N25" s="2386">
        <f t="shared" ref="N25" si="81">IFERROR(SUM(F25:M25), 0)</f>
        <v>0</v>
      </c>
      <c r="O25" s="2385">
        <v>0</v>
      </c>
      <c r="P25" s="2385">
        <v>0</v>
      </c>
      <c r="Q25" s="2385">
        <v>0</v>
      </c>
      <c r="R25" s="2385">
        <v>0</v>
      </c>
      <c r="S25" s="2385">
        <v>0</v>
      </c>
      <c r="T25" s="2385">
        <v>0</v>
      </c>
      <c r="U25" s="2385">
        <v>0</v>
      </c>
      <c r="V25" s="2385">
        <v>0</v>
      </c>
      <c r="W25" s="2386">
        <f t="shared" ref="W25:W27" si="82">IFERROR(SUM(O25:V25), 0)</f>
        <v>0</v>
      </c>
      <c r="X25" s="2387"/>
      <c r="Y25" s="2387"/>
      <c r="Z25" s="2388"/>
      <c r="AA25" s="997"/>
      <c r="AB25" s="803" t="s">
        <v>13349</v>
      </c>
      <c r="AC25" s="1118"/>
      <c r="AD25" s="291"/>
      <c r="AE25" s="1118"/>
      <c r="AF25" s="1115"/>
      <c r="AG25" s="284">
        <f t="shared" si="8"/>
        <v>0</v>
      </c>
      <c r="AH25" s="1116"/>
      <c r="AI25" s="285">
        <f xml:space="preserve"> IF( ISNUMBER(F25), 0, 1 )</f>
        <v>0</v>
      </c>
      <c r="AJ25" s="285">
        <f t="shared" ref="AJ25:AJ26" si="83" xml:space="preserve"> IF( ISNUMBER(G25), 0, 1 )</f>
        <v>0</v>
      </c>
      <c r="AK25" s="285">
        <f t="shared" ref="AK25:AK26" si="84" xml:space="preserve"> IF( ISNUMBER(H25), 0, 1 )</f>
        <v>0</v>
      </c>
      <c r="AL25" s="285">
        <f t="shared" ref="AL25:AL26" si="85" xml:space="preserve"> IF( ISNUMBER(I25), 0, 1 )</f>
        <v>0</v>
      </c>
      <c r="AM25" s="285">
        <f t="shared" ref="AM25:AM26" si="86" xml:space="preserve"> IF( ISNUMBER(J25), 0, 1 )</f>
        <v>0</v>
      </c>
      <c r="AN25" s="285">
        <f t="shared" ref="AN25:AN26" si="87" xml:space="preserve"> IF( ISNUMBER(K25), 0, 1 )</f>
        <v>0</v>
      </c>
      <c r="AO25" s="285">
        <f t="shared" ref="AO25:AO26" si="88" xml:space="preserve"> IF( ISNUMBER(L25), 0, 1 )</f>
        <v>0</v>
      </c>
      <c r="AP25" s="285">
        <f t="shared" ref="AP25:AP26" si="89" xml:space="preserve"> IF( ISNUMBER(M25), 0, 1 )</f>
        <v>0</v>
      </c>
      <c r="AQ25" s="200"/>
      <c r="AR25" s="285">
        <f xml:space="preserve"> IF( ISNUMBER(O25), 0, 1 )</f>
        <v>0</v>
      </c>
      <c r="AS25" s="285">
        <f t="shared" ref="AS25:AS26" si="90" xml:space="preserve"> IF( ISNUMBER(P25), 0, 1 )</f>
        <v>0</v>
      </c>
      <c r="AT25" s="285">
        <f t="shared" ref="AT25:AT26" si="91" xml:space="preserve"> IF( ISNUMBER(Q25), 0, 1 )</f>
        <v>0</v>
      </c>
      <c r="AU25" s="285">
        <f t="shared" ref="AU25:AU26" si="92" xml:space="preserve"> IF( ISNUMBER(R25), 0, 1 )</f>
        <v>0</v>
      </c>
      <c r="AV25" s="285">
        <f t="shared" ref="AV25:AV26" si="93" xml:space="preserve"> IF( ISNUMBER(S25), 0, 1 )</f>
        <v>0</v>
      </c>
      <c r="AW25" s="285">
        <f t="shared" ref="AW25:AW26" si="94" xml:space="preserve"> IF( ISNUMBER(T25), 0, 1 )</f>
        <v>0</v>
      </c>
      <c r="AX25" s="285">
        <f t="shared" ref="AX25:AX26" si="95" xml:space="preserve"> IF( ISNUMBER(U25), 0, 1 )</f>
        <v>0</v>
      </c>
      <c r="AY25" s="285">
        <f t="shared" ref="AY25:AY26" si="96" xml:space="preserve"> IF( ISNUMBER(V25), 0, 1 )</f>
        <v>0</v>
      </c>
      <c r="AZ25" s="200"/>
      <c r="BA25" s="270"/>
      <c r="BB25" s="270"/>
      <c r="BC25" s="270"/>
      <c r="BD25" s="828"/>
      <c r="BF25" s="792" t="s">
        <v>13348</v>
      </c>
      <c r="BG25" s="354" t="s">
        <v>3630</v>
      </c>
      <c r="BH25" s="2385" t="s">
        <v>2808</v>
      </c>
      <c r="BI25" s="2385" t="s">
        <v>2810</v>
      </c>
      <c r="BJ25" s="2385" t="s">
        <v>2812</v>
      </c>
      <c r="BK25" s="2385" t="s">
        <v>2814</v>
      </c>
      <c r="BL25" s="2385" t="s">
        <v>2816</v>
      </c>
      <c r="BM25" s="2385" t="s">
        <v>2818</v>
      </c>
      <c r="BN25" s="2385" t="s">
        <v>2820</v>
      </c>
      <c r="BO25" s="2385" t="s">
        <v>2822</v>
      </c>
      <c r="BP25" s="2386" t="s">
        <v>2824</v>
      </c>
      <c r="BQ25" s="2385" t="s">
        <v>2826</v>
      </c>
      <c r="BR25" s="2385" t="s">
        <v>2828</v>
      </c>
      <c r="BS25" s="2385" t="s">
        <v>2830</v>
      </c>
      <c r="BT25" s="2385" t="s">
        <v>2832</v>
      </c>
      <c r="BU25" s="2385" t="s">
        <v>2835</v>
      </c>
      <c r="BV25" s="2385" t="s">
        <v>2837</v>
      </c>
      <c r="BW25" s="2385" t="s">
        <v>2839</v>
      </c>
      <c r="BX25" s="2385" t="s">
        <v>2841</v>
      </c>
      <c r="BY25" s="2386" t="s">
        <v>2843</v>
      </c>
      <c r="BZ25" s="2387"/>
      <c r="CA25" s="2387"/>
      <c r="CB25" s="2388"/>
    </row>
    <row r="26" spans="2:80" s="197" customFormat="1" ht="45" customHeight="1">
      <c r="B26" s="792" t="s">
        <v>13348</v>
      </c>
      <c r="C26" s="2355" t="s">
        <v>3631</v>
      </c>
      <c r="D26" s="325" t="s">
        <v>681</v>
      </c>
      <c r="E26" s="325">
        <v>3</v>
      </c>
      <c r="F26" s="2385">
        <v>0</v>
      </c>
      <c r="G26" s="2385">
        <v>0</v>
      </c>
      <c r="H26" s="2385">
        <v>0</v>
      </c>
      <c r="I26" s="2385">
        <v>1E-3</v>
      </c>
      <c r="J26" s="2385">
        <v>0</v>
      </c>
      <c r="K26" s="2385">
        <v>0</v>
      </c>
      <c r="L26" s="2385">
        <v>0</v>
      </c>
      <c r="M26" s="2385">
        <v>0</v>
      </c>
      <c r="N26" s="2386">
        <f>IFERROR(SUM(F26:M26), 0)</f>
        <v>1E-3</v>
      </c>
      <c r="O26" s="2385">
        <v>0</v>
      </c>
      <c r="P26" s="2385">
        <v>0</v>
      </c>
      <c r="Q26" s="2385">
        <v>0</v>
      </c>
      <c r="R26" s="2385">
        <v>0</v>
      </c>
      <c r="S26" s="2385">
        <v>0</v>
      </c>
      <c r="T26" s="2385">
        <v>0</v>
      </c>
      <c r="U26" s="2385">
        <v>0</v>
      </c>
      <c r="V26" s="2385">
        <v>0</v>
      </c>
      <c r="W26" s="2386">
        <f>IFERROR(SUM(O26:V26), 0)</f>
        <v>0</v>
      </c>
      <c r="X26" s="2387"/>
      <c r="Y26" s="2387"/>
      <c r="Z26" s="2388"/>
      <c r="AA26" s="997"/>
      <c r="AB26" s="803" t="s">
        <v>13350</v>
      </c>
      <c r="AC26" s="1118"/>
      <c r="AD26" s="291"/>
      <c r="AE26" s="1118"/>
      <c r="AF26" s="1115"/>
      <c r="AG26" s="284">
        <f t="shared" si="8"/>
        <v>0</v>
      </c>
      <c r="AH26" s="1116"/>
      <c r="AI26" s="285">
        <f t="shared" ref="AI26" si="97" xml:space="preserve"> IF( ISNUMBER(F26), 0, 1 )</f>
        <v>0</v>
      </c>
      <c r="AJ26" s="285">
        <f t="shared" si="83"/>
        <v>0</v>
      </c>
      <c r="AK26" s="285">
        <f t="shared" si="84"/>
        <v>0</v>
      </c>
      <c r="AL26" s="285">
        <f t="shared" si="85"/>
        <v>0</v>
      </c>
      <c r="AM26" s="285">
        <f t="shared" si="86"/>
        <v>0</v>
      </c>
      <c r="AN26" s="285">
        <f t="shared" si="87"/>
        <v>0</v>
      </c>
      <c r="AO26" s="285">
        <f t="shared" si="88"/>
        <v>0</v>
      </c>
      <c r="AP26" s="285">
        <f t="shared" si="89"/>
        <v>0</v>
      </c>
      <c r="AQ26" s="200"/>
      <c r="AR26" s="285">
        <f t="shared" ref="AR26" si="98" xml:space="preserve"> IF( ISNUMBER(O26), 0, 1 )</f>
        <v>0</v>
      </c>
      <c r="AS26" s="285">
        <f t="shared" si="90"/>
        <v>0</v>
      </c>
      <c r="AT26" s="285">
        <f t="shared" si="91"/>
        <v>0</v>
      </c>
      <c r="AU26" s="285">
        <f t="shared" si="92"/>
        <v>0</v>
      </c>
      <c r="AV26" s="285">
        <f t="shared" si="93"/>
        <v>0</v>
      </c>
      <c r="AW26" s="285">
        <f t="shared" si="94"/>
        <v>0</v>
      </c>
      <c r="AX26" s="285">
        <f t="shared" si="95"/>
        <v>0</v>
      </c>
      <c r="AY26" s="285">
        <f t="shared" si="96"/>
        <v>0</v>
      </c>
      <c r="AZ26" s="200"/>
      <c r="BA26" s="270"/>
      <c r="BB26" s="270"/>
      <c r="BC26" s="270"/>
      <c r="BD26" s="828"/>
      <c r="BF26" s="792" t="s">
        <v>13348</v>
      </c>
      <c r="BG26" s="354" t="s">
        <v>3631</v>
      </c>
      <c r="BH26" s="2385" t="s">
        <v>2845</v>
      </c>
      <c r="BI26" s="2385" t="s">
        <v>2846</v>
      </c>
      <c r="BJ26" s="2385" t="s">
        <v>2847</v>
      </c>
      <c r="BK26" s="2385" t="s">
        <v>2848</v>
      </c>
      <c r="BL26" s="2385" t="s">
        <v>2849</v>
      </c>
      <c r="BM26" s="2385" t="s">
        <v>2850</v>
      </c>
      <c r="BN26" s="2385" t="s">
        <v>2851</v>
      </c>
      <c r="BO26" s="2385" t="s">
        <v>2852</v>
      </c>
      <c r="BP26" s="2386" t="s">
        <v>2853</v>
      </c>
      <c r="BQ26" s="2385" t="s">
        <v>2854</v>
      </c>
      <c r="BR26" s="2385" t="s">
        <v>2855</v>
      </c>
      <c r="BS26" s="2385" t="s">
        <v>2856</v>
      </c>
      <c r="BT26" s="2385" t="s">
        <v>2857</v>
      </c>
      <c r="BU26" s="2385" t="s">
        <v>2858</v>
      </c>
      <c r="BV26" s="2385" t="s">
        <v>2859</v>
      </c>
      <c r="BW26" s="2385" t="s">
        <v>2860</v>
      </c>
      <c r="BX26" s="2385" t="s">
        <v>2861</v>
      </c>
      <c r="BY26" s="2386" t="s">
        <v>2862</v>
      </c>
      <c r="BZ26" s="2387"/>
      <c r="CA26" s="2387"/>
      <c r="CB26" s="2388"/>
    </row>
    <row r="27" spans="2:80" s="197" customFormat="1" ht="45" customHeight="1">
      <c r="B27" s="792" t="s">
        <v>13348</v>
      </c>
      <c r="C27" s="2355" t="s">
        <v>3632</v>
      </c>
      <c r="D27" s="325" t="s">
        <v>681</v>
      </c>
      <c r="E27" s="325">
        <v>3</v>
      </c>
      <c r="F27" s="2386">
        <f>IFERROR(SUM(F25:F26), 0)</f>
        <v>0</v>
      </c>
      <c r="G27" s="2386">
        <f t="shared" ref="G27:M27" si="99">IFERROR(SUM(G25:G26), 0)</f>
        <v>0</v>
      </c>
      <c r="H27" s="2386">
        <f t="shared" si="99"/>
        <v>0</v>
      </c>
      <c r="I27" s="2386">
        <f t="shared" si="99"/>
        <v>1E-3</v>
      </c>
      <c r="J27" s="2386">
        <f t="shared" si="99"/>
        <v>0</v>
      </c>
      <c r="K27" s="2386">
        <f t="shared" si="99"/>
        <v>0</v>
      </c>
      <c r="L27" s="2386">
        <f t="shared" si="99"/>
        <v>0</v>
      </c>
      <c r="M27" s="2386">
        <f t="shared" si="99"/>
        <v>0</v>
      </c>
      <c r="N27" s="2386">
        <f>IFERROR(SUM(F27:M27), 0)</f>
        <v>1E-3</v>
      </c>
      <c r="O27" s="2386">
        <f>IFERROR(SUM(O25:O26), 0)</f>
        <v>0</v>
      </c>
      <c r="P27" s="2386">
        <f t="shared" ref="P27:V27" si="100">IFERROR(SUM(P25:P26), 0)</f>
        <v>0</v>
      </c>
      <c r="Q27" s="2386">
        <f t="shared" si="100"/>
        <v>0</v>
      </c>
      <c r="R27" s="2386">
        <f t="shared" si="100"/>
        <v>0</v>
      </c>
      <c r="S27" s="2386">
        <f t="shared" si="100"/>
        <v>0</v>
      </c>
      <c r="T27" s="2386">
        <f t="shared" si="100"/>
        <v>0</v>
      </c>
      <c r="U27" s="2386">
        <f t="shared" si="100"/>
        <v>0</v>
      </c>
      <c r="V27" s="2386">
        <f t="shared" si="100"/>
        <v>0</v>
      </c>
      <c r="W27" s="2386">
        <f t="shared" si="82"/>
        <v>0</v>
      </c>
      <c r="X27" s="2387"/>
      <c r="Y27" s="2387"/>
      <c r="Z27" s="2388"/>
      <c r="AA27" s="997"/>
      <c r="AB27" s="803" t="s">
        <v>13351</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13348</v>
      </c>
      <c r="BG27" s="354" t="s">
        <v>3632</v>
      </c>
      <c r="BH27" s="2386" t="s">
        <v>2863</v>
      </c>
      <c r="BI27" s="2386" t="s">
        <v>2864</v>
      </c>
      <c r="BJ27" s="2386" t="s">
        <v>2865</v>
      </c>
      <c r="BK27" s="2386" t="s">
        <v>2866</v>
      </c>
      <c r="BL27" s="2386" t="s">
        <v>2867</v>
      </c>
      <c r="BM27" s="2386" t="s">
        <v>2868</v>
      </c>
      <c r="BN27" s="2386" t="s">
        <v>2869</v>
      </c>
      <c r="BO27" s="2386" t="s">
        <v>2870</v>
      </c>
      <c r="BP27" s="2386" t="s">
        <v>2871</v>
      </c>
      <c r="BQ27" s="2386" t="s">
        <v>2872</v>
      </c>
      <c r="BR27" s="2386" t="s">
        <v>2873</v>
      </c>
      <c r="BS27" s="2386" t="s">
        <v>2874</v>
      </c>
      <c r="BT27" s="2386" t="s">
        <v>2875</v>
      </c>
      <c r="BU27" s="2386" t="s">
        <v>2876</v>
      </c>
      <c r="BV27" s="2386" t="s">
        <v>2877</v>
      </c>
      <c r="BW27" s="2386" t="s">
        <v>2878</v>
      </c>
      <c r="BX27" s="2386" t="s">
        <v>2879</v>
      </c>
      <c r="BY27" s="2386" t="s">
        <v>2880</v>
      </c>
      <c r="BZ27" s="2387"/>
      <c r="CA27" s="2387"/>
      <c r="CB27" s="2388"/>
    </row>
    <row r="28" spans="2:80" s="197" customFormat="1" ht="45" customHeight="1">
      <c r="B28" s="792" t="s">
        <v>13352</v>
      </c>
      <c r="C28" s="2355" t="s">
        <v>3630</v>
      </c>
      <c r="D28" s="325" t="s">
        <v>681</v>
      </c>
      <c r="E28" s="325">
        <v>3</v>
      </c>
      <c r="F28" s="2385">
        <v>0</v>
      </c>
      <c r="G28" s="2385">
        <v>0</v>
      </c>
      <c r="H28" s="2385">
        <v>0</v>
      </c>
      <c r="I28" s="2385">
        <v>0</v>
      </c>
      <c r="J28" s="2385">
        <v>0</v>
      </c>
      <c r="K28" s="2385">
        <v>0</v>
      </c>
      <c r="L28" s="2385">
        <v>0</v>
      </c>
      <c r="M28" s="2385">
        <v>0</v>
      </c>
      <c r="N28" s="2386">
        <f t="shared" ref="N28" si="101">IFERROR(SUM(F28:M28), 0)</f>
        <v>0</v>
      </c>
      <c r="O28" s="2385">
        <v>0</v>
      </c>
      <c r="P28" s="2385">
        <v>0</v>
      </c>
      <c r="Q28" s="2385">
        <v>0</v>
      </c>
      <c r="R28" s="2385">
        <v>0</v>
      </c>
      <c r="S28" s="2385">
        <v>0</v>
      </c>
      <c r="T28" s="2385">
        <v>0</v>
      </c>
      <c r="U28" s="2385">
        <v>0</v>
      </c>
      <c r="V28" s="2385">
        <v>0</v>
      </c>
      <c r="W28" s="2386">
        <f t="shared" ref="W28" si="102">IFERROR(SUM(O28:V28), 0)</f>
        <v>0</v>
      </c>
      <c r="X28" s="2387"/>
      <c r="Y28" s="2387"/>
      <c r="Z28" s="2388"/>
      <c r="AA28" s="997"/>
      <c r="AB28" s="803" t="s">
        <v>13353</v>
      </c>
      <c r="AC28" s="1118"/>
      <c r="AD28" s="291"/>
      <c r="AE28" s="1118"/>
      <c r="AF28" s="1115"/>
      <c r="AG28" s="284">
        <f t="shared" si="8"/>
        <v>0</v>
      </c>
      <c r="AH28" s="1116"/>
      <c r="AI28" s="285">
        <f xml:space="preserve"> IF( ISNUMBER(F28), 0, 1 )</f>
        <v>0</v>
      </c>
      <c r="AJ28" s="285">
        <f t="shared" ref="AJ28:AJ31" si="103" xml:space="preserve"> IF( ISNUMBER(G28), 0, 1 )</f>
        <v>0</v>
      </c>
      <c r="AK28" s="285">
        <f t="shared" ref="AK28:AK31" si="104" xml:space="preserve"> IF( ISNUMBER(H28), 0, 1 )</f>
        <v>0</v>
      </c>
      <c r="AL28" s="285">
        <f t="shared" ref="AL28:AL31" si="105" xml:space="preserve"> IF( ISNUMBER(I28), 0, 1 )</f>
        <v>0</v>
      </c>
      <c r="AM28" s="285">
        <f t="shared" ref="AM28:AM31" si="106" xml:space="preserve"> IF( ISNUMBER(J28), 0, 1 )</f>
        <v>0</v>
      </c>
      <c r="AN28" s="285">
        <f t="shared" ref="AN28:AN31" si="107" xml:space="preserve"> IF( ISNUMBER(K28), 0, 1 )</f>
        <v>0</v>
      </c>
      <c r="AO28" s="285">
        <f t="shared" ref="AO28:AO31" si="108" xml:space="preserve"> IF( ISNUMBER(L28), 0, 1 )</f>
        <v>0</v>
      </c>
      <c r="AP28" s="285">
        <f t="shared" ref="AP28:AP31" si="109" xml:space="preserve"> IF( ISNUMBER(M28), 0, 1 )</f>
        <v>0</v>
      </c>
      <c r="AQ28" s="200"/>
      <c r="AR28" s="285">
        <f xml:space="preserve"> IF( ISNUMBER(O28), 0, 1 )</f>
        <v>0</v>
      </c>
      <c r="AS28" s="285">
        <f t="shared" ref="AS28:AS31" si="110" xml:space="preserve"> IF( ISNUMBER(P28), 0, 1 )</f>
        <v>0</v>
      </c>
      <c r="AT28" s="285">
        <f t="shared" ref="AT28:AT31" si="111" xml:space="preserve"> IF( ISNUMBER(Q28), 0, 1 )</f>
        <v>0</v>
      </c>
      <c r="AU28" s="285">
        <f t="shared" ref="AU28:AU31" si="112" xml:space="preserve"> IF( ISNUMBER(R28), 0, 1 )</f>
        <v>0</v>
      </c>
      <c r="AV28" s="285">
        <f t="shared" ref="AV28:AV31" si="113" xml:space="preserve"> IF( ISNUMBER(S28), 0, 1 )</f>
        <v>0</v>
      </c>
      <c r="AW28" s="285">
        <f t="shared" ref="AW28:AW31" si="114" xml:space="preserve"> IF( ISNUMBER(T28), 0, 1 )</f>
        <v>0</v>
      </c>
      <c r="AX28" s="285">
        <f t="shared" ref="AX28:AX31" si="115" xml:space="preserve"> IF( ISNUMBER(U28), 0, 1 )</f>
        <v>0</v>
      </c>
      <c r="AY28" s="285">
        <f t="shared" ref="AY28:AY31" si="116" xml:space="preserve"> IF( ISNUMBER(V28), 0, 1 )</f>
        <v>0</v>
      </c>
      <c r="AZ28" s="200"/>
      <c r="BA28" s="285"/>
      <c r="BB28" s="285"/>
      <c r="BC28" s="285"/>
      <c r="BD28" s="828"/>
      <c r="BF28" s="792" t="s">
        <v>13354</v>
      </c>
      <c r="BG28" s="354" t="s">
        <v>3630</v>
      </c>
      <c r="BH28" s="2385" t="s">
        <v>2881</v>
      </c>
      <c r="BI28" s="2385" t="s">
        <v>2883</v>
      </c>
      <c r="BJ28" s="2385" t="s">
        <v>2885</v>
      </c>
      <c r="BK28" s="2385" t="s">
        <v>2887</v>
      </c>
      <c r="BL28" s="2385" t="s">
        <v>2889</v>
      </c>
      <c r="BM28" s="2385" t="s">
        <v>2891</v>
      </c>
      <c r="BN28" s="2385" t="s">
        <v>2893</v>
      </c>
      <c r="BO28" s="2385" t="s">
        <v>2895</v>
      </c>
      <c r="BP28" s="2386" t="s">
        <v>2897</v>
      </c>
      <c r="BQ28" s="2385" t="s">
        <v>2899</v>
      </c>
      <c r="BR28" s="2385" t="s">
        <v>2901</v>
      </c>
      <c r="BS28" s="2385" t="s">
        <v>2903</v>
      </c>
      <c r="BT28" s="2385" t="s">
        <v>2905</v>
      </c>
      <c r="BU28" s="2385" t="s">
        <v>2907</v>
      </c>
      <c r="BV28" s="2385" t="s">
        <v>2909</v>
      </c>
      <c r="BW28" s="2385" t="s">
        <v>2911</v>
      </c>
      <c r="BX28" s="2385" t="s">
        <v>2913</v>
      </c>
      <c r="BY28" s="2386" t="s">
        <v>2915</v>
      </c>
      <c r="BZ28" s="2387"/>
      <c r="CA28" s="2387"/>
      <c r="CB28" s="2388"/>
    </row>
    <row r="29" spans="2:80" s="197" customFormat="1" ht="45" customHeight="1">
      <c r="B29" s="792" t="s">
        <v>13352</v>
      </c>
      <c r="C29" s="2355" t="s">
        <v>3631</v>
      </c>
      <c r="D29" s="325" t="s">
        <v>681</v>
      </c>
      <c r="E29" s="325">
        <v>3</v>
      </c>
      <c r="F29" s="2385">
        <v>0</v>
      </c>
      <c r="G29" s="2385">
        <v>0</v>
      </c>
      <c r="H29" s="2385">
        <v>0</v>
      </c>
      <c r="I29" s="2385">
        <v>0</v>
      </c>
      <c r="J29" s="2385">
        <v>0</v>
      </c>
      <c r="K29" s="2385">
        <v>0</v>
      </c>
      <c r="L29" s="2385">
        <v>0</v>
      </c>
      <c r="M29" s="2385">
        <v>0</v>
      </c>
      <c r="N29" s="2386">
        <f t="shared" ref="N29:N34" si="117">IFERROR(SUM(F29:M29), 0)</f>
        <v>0</v>
      </c>
      <c r="O29" s="2385">
        <v>0</v>
      </c>
      <c r="P29" s="2385">
        <v>0</v>
      </c>
      <c r="Q29" s="2385">
        <v>0</v>
      </c>
      <c r="R29" s="2385">
        <v>0</v>
      </c>
      <c r="S29" s="2385">
        <v>0</v>
      </c>
      <c r="T29" s="2385">
        <v>0</v>
      </c>
      <c r="U29" s="2385">
        <v>0</v>
      </c>
      <c r="V29" s="2385">
        <v>0</v>
      </c>
      <c r="W29" s="2386"/>
      <c r="X29" s="2387"/>
      <c r="Y29" s="2387"/>
      <c r="Z29" s="2388"/>
      <c r="AA29" s="997"/>
      <c r="AB29" s="803" t="s">
        <v>13355</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13352</v>
      </c>
      <c r="BG29" s="354" t="s">
        <v>3631</v>
      </c>
      <c r="BH29" s="2385" t="s">
        <v>2881</v>
      </c>
      <c r="BI29" s="2385" t="s">
        <v>2883</v>
      </c>
      <c r="BJ29" s="2385" t="s">
        <v>2885</v>
      </c>
      <c r="BK29" s="2385" t="s">
        <v>2887</v>
      </c>
      <c r="BL29" s="2385" t="s">
        <v>2889</v>
      </c>
      <c r="BM29" s="2385" t="s">
        <v>2891</v>
      </c>
      <c r="BN29" s="2385" t="s">
        <v>2893</v>
      </c>
      <c r="BO29" s="2385" t="s">
        <v>2895</v>
      </c>
      <c r="BP29" s="2386" t="s">
        <v>2897</v>
      </c>
      <c r="BQ29" s="2385" t="s">
        <v>2899</v>
      </c>
      <c r="BR29" s="2385" t="s">
        <v>2901</v>
      </c>
      <c r="BS29" s="2385" t="s">
        <v>2903</v>
      </c>
      <c r="BT29" s="2385" t="s">
        <v>2905</v>
      </c>
      <c r="BU29" s="2385" t="s">
        <v>2907</v>
      </c>
      <c r="BV29" s="2385" t="s">
        <v>2909</v>
      </c>
      <c r="BW29" s="2385" t="s">
        <v>2911</v>
      </c>
      <c r="BX29" s="2385" t="s">
        <v>2913</v>
      </c>
      <c r="BY29" s="2386" t="s">
        <v>2915</v>
      </c>
      <c r="BZ29" s="2387"/>
      <c r="CA29" s="2387"/>
      <c r="CB29" s="2388"/>
    </row>
    <row r="30" spans="2:80" s="197" customFormat="1" ht="45" customHeight="1">
      <c r="B30" s="792" t="s">
        <v>13352</v>
      </c>
      <c r="C30" s="2355" t="s">
        <v>3632</v>
      </c>
      <c r="D30" s="325" t="s">
        <v>681</v>
      </c>
      <c r="E30" s="325">
        <v>3</v>
      </c>
      <c r="F30" s="2386">
        <f t="shared" ref="F30:M30" si="118">IFERROR(SUM(F28:F29), 0)</f>
        <v>0</v>
      </c>
      <c r="G30" s="2386">
        <f t="shared" si="118"/>
        <v>0</v>
      </c>
      <c r="H30" s="2386">
        <f t="shared" si="118"/>
        <v>0</v>
      </c>
      <c r="I30" s="2386">
        <f t="shared" si="118"/>
        <v>0</v>
      </c>
      <c r="J30" s="2386">
        <f t="shared" si="118"/>
        <v>0</v>
      </c>
      <c r="K30" s="2386">
        <f t="shared" si="118"/>
        <v>0</v>
      </c>
      <c r="L30" s="2386">
        <f t="shared" si="118"/>
        <v>0</v>
      </c>
      <c r="M30" s="2386">
        <f t="shared" si="118"/>
        <v>0</v>
      </c>
      <c r="N30" s="2386">
        <f t="shared" si="117"/>
        <v>0</v>
      </c>
      <c r="O30" s="2386">
        <f t="shared" ref="O30:V30" si="119">IFERROR(SUM(O28:O29), 0)</f>
        <v>0</v>
      </c>
      <c r="P30" s="2386">
        <f t="shared" si="119"/>
        <v>0</v>
      </c>
      <c r="Q30" s="2386">
        <f t="shared" si="119"/>
        <v>0</v>
      </c>
      <c r="R30" s="2386">
        <f t="shared" si="119"/>
        <v>0</v>
      </c>
      <c r="S30" s="2386">
        <f t="shared" si="119"/>
        <v>0</v>
      </c>
      <c r="T30" s="2386">
        <f t="shared" si="119"/>
        <v>0</v>
      </c>
      <c r="U30" s="2386">
        <f t="shared" si="119"/>
        <v>0</v>
      </c>
      <c r="V30" s="2386">
        <f t="shared" si="119"/>
        <v>0</v>
      </c>
      <c r="W30" s="2386">
        <f>IFERROR(SUM(O30:V30), 0)</f>
        <v>0</v>
      </c>
      <c r="X30" s="2387"/>
      <c r="Y30" s="2387"/>
      <c r="Z30" s="2388"/>
      <c r="AA30" s="997"/>
      <c r="AB30" s="803" t="s">
        <v>13356</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13352</v>
      </c>
      <c r="BG30" s="354" t="s">
        <v>3632</v>
      </c>
      <c r="BH30" s="2386" t="s">
        <v>2881</v>
      </c>
      <c r="BI30" s="2386" t="s">
        <v>2883</v>
      </c>
      <c r="BJ30" s="2386" t="s">
        <v>2885</v>
      </c>
      <c r="BK30" s="2386" t="s">
        <v>2887</v>
      </c>
      <c r="BL30" s="2386" t="s">
        <v>2889</v>
      </c>
      <c r="BM30" s="2386" t="s">
        <v>2891</v>
      </c>
      <c r="BN30" s="2386" t="s">
        <v>2893</v>
      </c>
      <c r="BO30" s="2386" t="s">
        <v>2895</v>
      </c>
      <c r="BP30" s="2386" t="s">
        <v>2897</v>
      </c>
      <c r="BQ30" s="2386" t="s">
        <v>2899</v>
      </c>
      <c r="BR30" s="2386" t="s">
        <v>2901</v>
      </c>
      <c r="BS30" s="2386" t="s">
        <v>2903</v>
      </c>
      <c r="BT30" s="2386" t="s">
        <v>2905</v>
      </c>
      <c r="BU30" s="2386" t="s">
        <v>2907</v>
      </c>
      <c r="BV30" s="2386" t="s">
        <v>2909</v>
      </c>
      <c r="BW30" s="2386" t="s">
        <v>2911</v>
      </c>
      <c r="BX30" s="2386" t="s">
        <v>2913</v>
      </c>
      <c r="BY30" s="2386" t="s">
        <v>2915</v>
      </c>
      <c r="BZ30" s="2387"/>
      <c r="CA30" s="2387"/>
      <c r="CB30" s="2388"/>
    </row>
    <row r="31" spans="2:80" s="197" customFormat="1" ht="45" customHeight="1">
      <c r="B31" s="792" t="s">
        <v>13357</v>
      </c>
      <c r="C31" s="2355" t="s">
        <v>3630</v>
      </c>
      <c r="D31" s="325" t="s">
        <v>681</v>
      </c>
      <c r="E31" s="325">
        <v>3</v>
      </c>
      <c r="F31" s="2385">
        <v>0</v>
      </c>
      <c r="G31" s="2385">
        <v>0</v>
      </c>
      <c r="H31" s="2385">
        <v>0</v>
      </c>
      <c r="I31" s="2385">
        <v>0</v>
      </c>
      <c r="J31" s="2385">
        <v>0</v>
      </c>
      <c r="K31" s="2385">
        <v>0</v>
      </c>
      <c r="L31" s="2385">
        <v>0</v>
      </c>
      <c r="M31" s="2385">
        <v>0</v>
      </c>
      <c r="N31" s="2386">
        <f t="shared" si="117"/>
        <v>0</v>
      </c>
      <c r="O31" s="2385">
        <v>0</v>
      </c>
      <c r="P31" s="2385">
        <v>0</v>
      </c>
      <c r="Q31" s="2385">
        <v>0</v>
      </c>
      <c r="R31" s="2385">
        <v>0</v>
      </c>
      <c r="S31" s="2385">
        <v>0</v>
      </c>
      <c r="T31" s="2385">
        <v>0</v>
      </c>
      <c r="U31" s="2385">
        <v>0</v>
      </c>
      <c r="V31" s="2385">
        <v>0</v>
      </c>
      <c r="W31" s="2386">
        <f>IFERROR(SUM(O31:V31), 0)</f>
        <v>0</v>
      </c>
      <c r="X31" s="2387"/>
      <c r="Y31" s="2387"/>
      <c r="Z31" s="2388"/>
      <c r="AA31" s="997"/>
      <c r="AB31" s="803" t="s">
        <v>13358</v>
      </c>
      <c r="AC31" s="1118"/>
      <c r="AD31" s="291"/>
      <c r="AE31" s="1118"/>
      <c r="AF31" s="1115"/>
      <c r="AG31" s="284">
        <f t="shared" si="8"/>
        <v>0</v>
      </c>
      <c r="AH31" s="1116"/>
      <c r="AI31" s="285">
        <f t="shared" ref="AI31" si="120" xml:space="preserve"> IF( ISNUMBER(F31), 0, 1 )</f>
        <v>0</v>
      </c>
      <c r="AJ31" s="285">
        <f t="shared" si="103"/>
        <v>0</v>
      </c>
      <c r="AK31" s="285">
        <f t="shared" si="104"/>
        <v>0</v>
      </c>
      <c r="AL31" s="285">
        <f t="shared" si="105"/>
        <v>0</v>
      </c>
      <c r="AM31" s="285">
        <f t="shared" si="106"/>
        <v>0</v>
      </c>
      <c r="AN31" s="285">
        <f t="shared" si="107"/>
        <v>0</v>
      </c>
      <c r="AO31" s="285">
        <f t="shared" si="108"/>
        <v>0</v>
      </c>
      <c r="AP31" s="285">
        <f t="shared" si="109"/>
        <v>0</v>
      </c>
      <c r="AQ31" s="200"/>
      <c r="AR31" s="285">
        <f t="shared" ref="AR31" si="121" xml:space="preserve"> IF( ISNUMBER(O31), 0, 1 )</f>
        <v>0</v>
      </c>
      <c r="AS31" s="285">
        <f t="shared" si="110"/>
        <v>0</v>
      </c>
      <c r="AT31" s="285">
        <f t="shared" si="111"/>
        <v>0</v>
      </c>
      <c r="AU31" s="285">
        <f t="shared" si="112"/>
        <v>0</v>
      </c>
      <c r="AV31" s="285">
        <f t="shared" si="113"/>
        <v>0</v>
      </c>
      <c r="AW31" s="285">
        <f t="shared" si="114"/>
        <v>0</v>
      </c>
      <c r="AX31" s="285">
        <f t="shared" si="115"/>
        <v>0</v>
      </c>
      <c r="AY31" s="285">
        <f t="shared" si="116"/>
        <v>0</v>
      </c>
      <c r="AZ31" s="200"/>
      <c r="BA31" s="285"/>
      <c r="BB31" s="285"/>
      <c r="BC31" s="285"/>
      <c r="BD31" s="828"/>
      <c r="BF31" s="792" t="s">
        <v>13357</v>
      </c>
      <c r="BG31" s="354" t="s">
        <v>3630</v>
      </c>
      <c r="BH31" s="2385" t="s">
        <v>2917</v>
      </c>
      <c r="BI31" s="2385" t="s">
        <v>2919</v>
      </c>
      <c r="BJ31" s="2385" t="s">
        <v>2921</v>
      </c>
      <c r="BK31" s="2385" t="s">
        <v>2923</v>
      </c>
      <c r="BL31" s="2385" t="s">
        <v>2925</v>
      </c>
      <c r="BM31" s="2385" t="s">
        <v>2927</v>
      </c>
      <c r="BN31" s="2385" t="s">
        <v>2929</v>
      </c>
      <c r="BO31" s="2385" t="s">
        <v>2931</v>
      </c>
      <c r="BP31" s="2386" t="s">
        <v>2933</v>
      </c>
      <c r="BQ31" s="2385" t="s">
        <v>2935</v>
      </c>
      <c r="BR31" s="2385" t="s">
        <v>2937</v>
      </c>
      <c r="BS31" s="2385" t="s">
        <v>2939</v>
      </c>
      <c r="BT31" s="2385" t="s">
        <v>2941</v>
      </c>
      <c r="BU31" s="2385" t="s">
        <v>2943</v>
      </c>
      <c r="BV31" s="2385" t="s">
        <v>2945</v>
      </c>
      <c r="BW31" s="2385" t="s">
        <v>2947</v>
      </c>
      <c r="BX31" s="2385" t="s">
        <v>2949</v>
      </c>
      <c r="BY31" s="2386" t="s">
        <v>2951</v>
      </c>
      <c r="BZ31" s="2387"/>
      <c r="CA31" s="2387"/>
      <c r="CB31" s="2388"/>
    </row>
    <row r="32" spans="2:80" s="197" customFormat="1" ht="45" customHeight="1">
      <c r="B32" s="792" t="s">
        <v>13357</v>
      </c>
      <c r="C32" s="2355" t="s">
        <v>3631</v>
      </c>
      <c r="D32" s="325" t="s">
        <v>681</v>
      </c>
      <c r="E32" s="325">
        <v>3</v>
      </c>
      <c r="F32" s="2385">
        <v>0</v>
      </c>
      <c r="G32" s="2385">
        <v>0</v>
      </c>
      <c r="H32" s="2385">
        <v>0</v>
      </c>
      <c r="I32" s="2385">
        <v>0</v>
      </c>
      <c r="J32" s="2385">
        <v>0</v>
      </c>
      <c r="K32" s="2385">
        <v>0</v>
      </c>
      <c r="L32" s="2385">
        <v>0</v>
      </c>
      <c r="M32" s="2385">
        <v>0</v>
      </c>
      <c r="N32" s="2386">
        <f t="shared" si="117"/>
        <v>0</v>
      </c>
      <c r="O32" s="2385">
        <v>0</v>
      </c>
      <c r="P32" s="2385">
        <v>0</v>
      </c>
      <c r="Q32" s="2385">
        <v>0</v>
      </c>
      <c r="R32" s="2385">
        <v>0</v>
      </c>
      <c r="S32" s="2385">
        <v>0</v>
      </c>
      <c r="T32" s="2385">
        <v>0</v>
      </c>
      <c r="U32" s="2385">
        <v>0</v>
      </c>
      <c r="V32" s="2385">
        <v>0</v>
      </c>
      <c r="W32" s="2386">
        <f>IFERROR(SUM(O32:V32), 0)</f>
        <v>0</v>
      </c>
      <c r="X32" s="2387"/>
      <c r="Y32" s="2387"/>
      <c r="Z32" s="2388"/>
      <c r="AA32" s="997"/>
      <c r="AB32" s="803" t="s">
        <v>13359</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13357</v>
      </c>
      <c r="BG32" s="354" t="s">
        <v>3631</v>
      </c>
      <c r="BH32" s="2385" t="s">
        <v>2917</v>
      </c>
      <c r="BI32" s="2385" t="s">
        <v>2919</v>
      </c>
      <c r="BJ32" s="2385" t="s">
        <v>2921</v>
      </c>
      <c r="BK32" s="2385" t="s">
        <v>2923</v>
      </c>
      <c r="BL32" s="2385" t="s">
        <v>2925</v>
      </c>
      <c r="BM32" s="2385" t="s">
        <v>2927</v>
      </c>
      <c r="BN32" s="2385" t="s">
        <v>2929</v>
      </c>
      <c r="BO32" s="2385" t="s">
        <v>2931</v>
      </c>
      <c r="BP32" s="2386" t="s">
        <v>2933</v>
      </c>
      <c r="BQ32" s="2385" t="s">
        <v>2935</v>
      </c>
      <c r="BR32" s="2385" t="s">
        <v>2937</v>
      </c>
      <c r="BS32" s="2385" t="s">
        <v>2939</v>
      </c>
      <c r="BT32" s="2385" t="s">
        <v>2941</v>
      </c>
      <c r="BU32" s="2385" t="s">
        <v>2943</v>
      </c>
      <c r="BV32" s="2385" t="s">
        <v>2945</v>
      </c>
      <c r="BW32" s="2385" t="s">
        <v>2947</v>
      </c>
      <c r="BX32" s="2385" t="s">
        <v>2949</v>
      </c>
      <c r="BY32" s="2386" t="s">
        <v>2951</v>
      </c>
      <c r="BZ32" s="2387"/>
      <c r="CA32" s="2387"/>
      <c r="CB32" s="2388"/>
    </row>
    <row r="33" spans="1:80" s="197" customFormat="1" ht="45" customHeight="1">
      <c r="B33" s="792" t="s">
        <v>13357</v>
      </c>
      <c r="C33" s="2355" t="s">
        <v>3632</v>
      </c>
      <c r="D33" s="325" t="s">
        <v>681</v>
      </c>
      <c r="E33" s="325">
        <v>3</v>
      </c>
      <c r="F33" s="2386">
        <f t="shared" ref="F33:M33" si="122">IFERROR(SUM(F31:F32), 0)</f>
        <v>0</v>
      </c>
      <c r="G33" s="2386">
        <f t="shared" si="122"/>
        <v>0</v>
      </c>
      <c r="H33" s="2386">
        <f t="shared" si="122"/>
        <v>0</v>
      </c>
      <c r="I33" s="2386">
        <f t="shared" si="122"/>
        <v>0</v>
      </c>
      <c r="J33" s="2386">
        <f t="shared" si="122"/>
        <v>0</v>
      </c>
      <c r="K33" s="2386">
        <f t="shared" si="122"/>
        <v>0</v>
      </c>
      <c r="L33" s="2386">
        <f t="shared" si="122"/>
        <v>0</v>
      </c>
      <c r="M33" s="2386">
        <f t="shared" si="122"/>
        <v>0</v>
      </c>
      <c r="N33" s="2386">
        <f t="shared" si="117"/>
        <v>0</v>
      </c>
      <c r="O33" s="2386">
        <f t="shared" ref="O33:V33" si="123">IFERROR(SUM(O31:O32), 0)</f>
        <v>0</v>
      </c>
      <c r="P33" s="2386">
        <f t="shared" si="123"/>
        <v>0</v>
      </c>
      <c r="Q33" s="2386">
        <f t="shared" si="123"/>
        <v>0</v>
      </c>
      <c r="R33" s="2386">
        <f t="shared" si="123"/>
        <v>0</v>
      </c>
      <c r="S33" s="2386">
        <f t="shared" si="123"/>
        <v>0</v>
      </c>
      <c r="T33" s="2386">
        <f t="shared" si="123"/>
        <v>0</v>
      </c>
      <c r="U33" s="2386">
        <f t="shared" si="123"/>
        <v>0</v>
      </c>
      <c r="V33" s="2386">
        <f t="shared" si="123"/>
        <v>0</v>
      </c>
      <c r="W33" s="2386">
        <f>IFERROR(SUM(O33:V33), 0)</f>
        <v>0</v>
      </c>
      <c r="X33" s="2387"/>
      <c r="Y33" s="2387"/>
      <c r="Z33" s="2388"/>
      <c r="AA33" s="997"/>
      <c r="AB33" s="803" t="s">
        <v>13360</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13357</v>
      </c>
      <c r="BG33" s="354" t="s">
        <v>3632</v>
      </c>
      <c r="BH33" s="2386" t="s">
        <v>2917</v>
      </c>
      <c r="BI33" s="2386" t="s">
        <v>2919</v>
      </c>
      <c r="BJ33" s="2386" t="s">
        <v>2921</v>
      </c>
      <c r="BK33" s="2386" t="s">
        <v>2923</v>
      </c>
      <c r="BL33" s="2386" t="s">
        <v>2925</v>
      </c>
      <c r="BM33" s="2386" t="s">
        <v>2927</v>
      </c>
      <c r="BN33" s="2386" t="s">
        <v>2929</v>
      </c>
      <c r="BO33" s="2386" t="s">
        <v>2931</v>
      </c>
      <c r="BP33" s="2386" t="s">
        <v>2933</v>
      </c>
      <c r="BQ33" s="2386" t="s">
        <v>2935</v>
      </c>
      <c r="BR33" s="2386" t="s">
        <v>2937</v>
      </c>
      <c r="BS33" s="2386" t="s">
        <v>2939</v>
      </c>
      <c r="BT33" s="2386" t="s">
        <v>2941</v>
      </c>
      <c r="BU33" s="2386" t="s">
        <v>2943</v>
      </c>
      <c r="BV33" s="2386" t="s">
        <v>2945</v>
      </c>
      <c r="BW33" s="2386" t="s">
        <v>2947</v>
      </c>
      <c r="BX33" s="2386" t="s">
        <v>2949</v>
      </c>
      <c r="BY33" s="2386" t="s">
        <v>2951</v>
      </c>
      <c r="BZ33" s="2387"/>
      <c r="CA33" s="2387"/>
      <c r="CB33" s="2388"/>
    </row>
    <row r="34" spans="1:80" s="197" customFormat="1" ht="45" customHeight="1">
      <c r="B34" s="792" t="s">
        <v>13361</v>
      </c>
      <c r="C34" s="2355" t="s">
        <v>3632</v>
      </c>
      <c r="D34" s="325" t="s">
        <v>681</v>
      </c>
      <c r="E34" s="325">
        <v>3</v>
      </c>
      <c r="F34" s="2386">
        <f t="shared" ref="F34:M34" si="124">IFERROR(SUM(F30,F33), 0)</f>
        <v>0</v>
      </c>
      <c r="G34" s="2386">
        <f t="shared" si="124"/>
        <v>0</v>
      </c>
      <c r="H34" s="2386">
        <f t="shared" si="124"/>
        <v>0</v>
      </c>
      <c r="I34" s="2386">
        <f t="shared" si="124"/>
        <v>0</v>
      </c>
      <c r="J34" s="2386">
        <f t="shared" si="124"/>
        <v>0</v>
      </c>
      <c r="K34" s="2386">
        <f t="shared" si="124"/>
        <v>0</v>
      </c>
      <c r="L34" s="2386">
        <f t="shared" si="124"/>
        <v>0</v>
      </c>
      <c r="M34" s="2386">
        <f t="shared" si="124"/>
        <v>0</v>
      </c>
      <c r="N34" s="2386">
        <f t="shared" si="117"/>
        <v>0</v>
      </c>
      <c r="O34" s="2386">
        <f t="shared" ref="O34:V34" si="125">IFERROR(SUM(O30,O33), 0)</f>
        <v>0</v>
      </c>
      <c r="P34" s="2386">
        <f t="shared" si="125"/>
        <v>0</v>
      </c>
      <c r="Q34" s="2386">
        <f t="shared" si="125"/>
        <v>0</v>
      </c>
      <c r="R34" s="2386">
        <f t="shared" si="125"/>
        <v>0</v>
      </c>
      <c r="S34" s="2386">
        <f t="shared" si="125"/>
        <v>0</v>
      </c>
      <c r="T34" s="2386">
        <f t="shared" si="125"/>
        <v>0</v>
      </c>
      <c r="U34" s="2386">
        <f t="shared" si="125"/>
        <v>0</v>
      </c>
      <c r="V34" s="2386">
        <f t="shared" si="125"/>
        <v>0</v>
      </c>
      <c r="W34" s="2386">
        <f>IFERROR(SUM(O34:V34), 0)</f>
        <v>0</v>
      </c>
      <c r="X34" s="751">
        <v>1.3680000000000001</v>
      </c>
      <c r="Y34" s="751">
        <v>7.3889999999999993</v>
      </c>
      <c r="Z34" s="796">
        <v>17.670999999999999</v>
      </c>
      <c r="AA34" s="997"/>
      <c r="AB34" s="803" t="s">
        <v>13362</v>
      </c>
      <c r="AC34" s="1118"/>
      <c r="AD34" s="291"/>
      <c r="AE34" s="1118"/>
      <c r="AF34" s="1115"/>
      <c r="AG34" s="284">
        <f t="shared" si="8"/>
        <v>0</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0</v>
      </c>
      <c r="BB34" s="285">
        <f t="shared" ref="BB34" si="127" xml:space="preserve"> IF( ISNUMBER(Y34), 0, 1 )</f>
        <v>0</v>
      </c>
      <c r="BC34" s="285">
        <f t="shared" ref="BC34" si="128" xml:space="preserve"> IF( ISNUMBER(Z34), 0, 1 )</f>
        <v>0</v>
      </c>
      <c r="BD34" s="828"/>
      <c r="BF34" s="460" t="s">
        <v>13363</v>
      </c>
      <c r="BG34" s="354" t="s">
        <v>3632</v>
      </c>
      <c r="BH34" s="288" t="s">
        <v>13364</v>
      </c>
      <c r="BI34" s="288" t="s">
        <v>13365</v>
      </c>
      <c r="BJ34" s="288" t="s">
        <v>13366</v>
      </c>
      <c r="BK34" s="288" t="s">
        <v>13367</v>
      </c>
      <c r="BL34" s="288" t="s">
        <v>13368</v>
      </c>
      <c r="BM34" s="288" t="s">
        <v>13369</v>
      </c>
      <c r="BN34" s="288" t="s">
        <v>13370</v>
      </c>
      <c r="BO34" s="288" t="s">
        <v>13371</v>
      </c>
      <c r="BP34" s="288" t="s">
        <v>13372</v>
      </c>
      <c r="BQ34" s="288" t="s">
        <v>13373</v>
      </c>
      <c r="BR34" s="288" t="s">
        <v>13374</v>
      </c>
      <c r="BS34" s="288" t="s">
        <v>13375</v>
      </c>
      <c r="BT34" s="288" t="s">
        <v>13376</v>
      </c>
      <c r="BU34" s="288" t="s">
        <v>13377</v>
      </c>
      <c r="BV34" s="288" t="s">
        <v>13378</v>
      </c>
      <c r="BW34" s="288" t="s">
        <v>13379</v>
      </c>
      <c r="BX34" s="288" t="s">
        <v>13380</v>
      </c>
      <c r="BY34" s="288" t="s">
        <v>13381</v>
      </c>
      <c r="BZ34" s="740" t="s">
        <v>13382</v>
      </c>
      <c r="CA34" s="740" t="s">
        <v>13383</v>
      </c>
      <c r="CB34" s="1117" t="s">
        <v>13384</v>
      </c>
    </row>
    <row r="35" spans="1:80" s="197" customFormat="1" ht="15.75" customHeight="1">
      <c r="B35" s="792" t="s">
        <v>13385</v>
      </c>
      <c r="C35" s="2355" t="s">
        <v>3630</v>
      </c>
      <c r="D35" s="325" t="s">
        <v>681</v>
      </c>
      <c r="E35" s="325">
        <v>3</v>
      </c>
      <c r="F35" s="751">
        <v>0</v>
      </c>
      <c r="G35" s="751">
        <v>0</v>
      </c>
      <c r="H35" s="751">
        <v>0</v>
      </c>
      <c r="I35" s="751">
        <v>0.126</v>
      </c>
      <c r="J35" s="751">
        <v>0</v>
      </c>
      <c r="K35" s="751">
        <v>0</v>
      </c>
      <c r="L35" s="751">
        <v>0</v>
      </c>
      <c r="M35" s="751">
        <v>0</v>
      </c>
      <c r="N35" s="312">
        <f t="shared" si="7"/>
        <v>0.126</v>
      </c>
      <c r="O35" s="751">
        <v>0</v>
      </c>
      <c r="P35" s="751">
        <v>0</v>
      </c>
      <c r="Q35" s="751">
        <v>0</v>
      </c>
      <c r="R35" s="751">
        <v>0</v>
      </c>
      <c r="S35" s="751">
        <v>0</v>
      </c>
      <c r="T35" s="751">
        <v>0</v>
      </c>
      <c r="U35" s="751">
        <v>0</v>
      </c>
      <c r="V35" s="751">
        <v>0</v>
      </c>
      <c r="W35" s="312">
        <f t="shared" si="52"/>
        <v>0</v>
      </c>
      <c r="X35" s="2383"/>
      <c r="Y35" s="2383"/>
      <c r="Z35" s="2384"/>
      <c r="AA35" s="997"/>
      <c r="AB35" s="803" t="s">
        <v>13386</v>
      </c>
      <c r="AC35" s="1118"/>
      <c r="AD35" s="291"/>
      <c r="AE35" s="1118"/>
      <c r="AF35" s="1115"/>
      <c r="AG35" s="284">
        <f t="shared" si="8"/>
        <v>0</v>
      </c>
      <c r="AH35" s="1116"/>
      <c r="AI35" s="285">
        <f xml:space="preserve"> IF( ISNUMBER(F35), 0, 1 )</f>
        <v>0</v>
      </c>
      <c r="AJ35" s="285">
        <f t="shared" ref="AJ35:AJ36" si="129" xml:space="preserve"> IF( ISNUMBER(G35), 0, 1 )</f>
        <v>0</v>
      </c>
      <c r="AK35" s="285">
        <f t="shared" ref="AK35:AK36" si="130" xml:space="preserve"> IF( ISNUMBER(H35), 0, 1 )</f>
        <v>0</v>
      </c>
      <c r="AL35" s="285">
        <f t="shared" ref="AL35:AL36" si="131" xml:space="preserve"> IF( ISNUMBER(I35), 0, 1 )</f>
        <v>0</v>
      </c>
      <c r="AM35" s="285">
        <f t="shared" ref="AM35:AM36" si="132" xml:space="preserve"> IF( ISNUMBER(J35), 0, 1 )</f>
        <v>0</v>
      </c>
      <c r="AN35" s="285">
        <f t="shared" ref="AN35:AN36" si="133" xml:space="preserve"> IF( ISNUMBER(K35), 0, 1 )</f>
        <v>0</v>
      </c>
      <c r="AO35" s="285">
        <f t="shared" ref="AO35:AO36" si="134" xml:space="preserve"> IF( ISNUMBER(L35), 0, 1 )</f>
        <v>0</v>
      </c>
      <c r="AP35" s="285">
        <f t="shared" ref="AP35:AP36" si="135" xml:space="preserve"> IF( ISNUMBER(M35), 0, 1 )</f>
        <v>0</v>
      </c>
      <c r="AQ35" s="200"/>
      <c r="AR35" s="285">
        <f xml:space="preserve"> IF( ISNUMBER(O35), 0, 1 )</f>
        <v>0</v>
      </c>
      <c r="AS35" s="285">
        <f t="shared" ref="AS35:AS36" si="136" xml:space="preserve"> IF( ISNUMBER(P35), 0, 1 )</f>
        <v>0</v>
      </c>
      <c r="AT35" s="285">
        <f t="shared" ref="AT35:AT36" si="137" xml:space="preserve"> IF( ISNUMBER(Q35), 0, 1 )</f>
        <v>0</v>
      </c>
      <c r="AU35" s="285">
        <f t="shared" ref="AU35:AU36" si="138" xml:space="preserve"> IF( ISNUMBER(R35), 0, 1 )</f>
        <v>0</v>
      </c>
      <c r="AV35" s="285">
        <f t="shared" ref="AV35:AV36" si="139" xml:space="preserve"> IF( ISNUMBER(S35), 0, 1 )</f>
        <v>0</v>
      </c>
      <c r="AW35" s="285">
        <f t="shared" ref="AW35:AW36" si="140" xml:space="preserve"> IF( ISNUMBER(T35), 0, 1 )</f>
        <v>0</v>
      </c>
      <c r="AX35" s="285">
        <f t="shared" ref="AX35:AX36" si="141" xml:space="preserve"> IF( ISNUMBER(U35), 0, 1 )</f>
        <v>0</v>
      </c>
      <c r="AY35" s="285">
        <f t="shared" ref="AY35:AY36" si="142" xml:space="preserve"> IF( ISNUMBER(V35), 0, 1 )</f>
        <v>0</v>
      </c>
      <c r="AZ35" s="200"/>
      <c r="BA35" s="200"/>
      <c r="BB35" s="200"/>
      <c r="BC35" s="200"/>
      <c r="BD35" s="828"/>
      <c r="BF35" s="460" t="s">
        <v>13385</v>
      </c>
      <c r="BG35" s="354" t="s">
        <v>3630</v>
      </c>
      <c r="BH35" s="287" t="s">
        <v>13387</v>
      </c>
      <c r="BI35" s="287" t="s">
        <v>13388</v>
      </c>
      <c r="BJ35" s="287" t="s">
        <v>13389</v>
      </c>
      <c r="BK35" s="287" t="s">
        <v>13390</v>
      </c>
      <c r="BL35" s="287" t="s">
        <v>13391</v>
      </c>
      <c r="BM35" s="287" t="s">
        <v>13392</v>
      </c>
      <c r="BN35" s="287" t="s">
        <v>13393</v>
      </c>
      <c r="BO35" s="287" t="s">
        <v>13394</v>
      </c>
      <c r="BP35" s="288" t="s">
        <v>13395</v>
      </c>
      <c r="BQ35" s="287" t="s">
        <v>13396</v>
      </c>
      <c r="BR35" s="287" t="s">
        <v>13397</v>
      </c>
      <c r="BS35" s="287" t="s">
        <v>13398</v>
      </c>
      <c r="BT35" s="287" t="s">
        <v>13399</v>
      </c>
      <c r="BU35" s="287" t="s">
        <v>13400</v>
      </c>
      <c r="BV35" s="287" t="s">
        <v>13401</v>
      </c>
      <c r="BW35" s="287" t="s">
        <v>13402</v>
      </c>
      <c r="BX35" s="287" t="s">
        <v>13403</v>
      </c>
      <c r="BY35" s="288" t="s">
        <v>13404</v>
      </c>
      <c r="BZ35" s="744"/>
      <c r="CA35" s="744"/>
      <c r="CB35" s="745"/>
    </row>
    <row r="36" spans="1:80" s="200" customFormat="1" ht="15.75" customHeight="1">
      <c r="B36" s="792" t="s">
        <v>13385</v>
      </c>
      <c r="C36" s="2355" t="s">
        <v>3631</v>
      </c>
      <c r="D36" s="325" t="s">
        <v>681</v>
      </c>
      <c r="E36" s="325">
        <v>3</v>
      </c>
      <c r="F36" s="751">
        <v>0</v>
      </c>
      <c r="G36" s="751">
        <v>0</v>
      </c>
      <c r="H36" s="751">
        <v>0</v>
      </c>
      <c r="I36" s="751">
        <v>0</v>
      </c>
      <c r="J36" s="751">
        <v>0</v>
      </c>
      <c r="K36" s="751">
        <v>0</v>
      </c>
      <c r="L36" s="751">
        <v>0</v>
      </c>
      <c r="M36" s="751">
        <v>0</v>
      </c>
      <c r="N36" s="312">
        <f t="shared" si="7"/>
        <v>0</v>
      </c>
      <c r="O36" s="751">
        <v>0</v>
      </c>
      <c r="P36" s="751">
        <v>0</v>
      </c>
      <c r="Q36" s="751">
        <v>0</v>
      </c>
      <c r="R36" s="751">
        <v>0</v>
      </c>
      <c r="S36" s="751">
        <v>0</v>
      </c>
      <c r="T36" s="751">
        <v>0</v>
      </c>
      <c r="U36" s="751">
        <v>0</v>
      </c>
      <c r="V36" s="751">
        <v>0</v>
      </c>
      <c r="W36" s="312">
        <f t="shared" si="52"/>
        <v>0</v>
      </c>
      <c r="X36" s="2383"/>
      <c r="Y36" s="2383"/>
      <c r="Z36" s="2384"/>
      <c r="AA36" s="997"/>
      <c r="AB36" s="803" t="s">
        <v>13405</v>
      </c>
      <c r="AC36" s="1118"/>
      <c r="AD36" s="291"/>
      <c r="AE36" s="1118"/>
      <c r="AF36" s="1115"/>
      <c r="AG36" s="284">
        <f t="shared" si="8"/>
        <v>0</v>
      </c>
      <c r="AH36" s="1057"/>
      <c r="AI36" s="285">
        <f t="shared" ref="AI36" si="143" xml:space="preserve"> IF( ISNUMBER(F36), 0, 1 )</f>
        <v>0</v>
      </c>
      <c r="AJ36" s="285">
        <f t="shared" si="129"/>
        <v>0</v>
      </c>
      <c r="AK36" s="285">
        <f t="shared" si="130"/>
        <v>0</v>
      </c>
      <c r="AL36" s="285">
        <f t="shared" si="131"/>
        <v>0</v>
      </c>
      <c r="AM36" s="285">
        <f t="shared" si="132"/>
        <v>0</v>
      </c>
      <c r="AN36" s="285">
        <f t="shared" si="133"/>
        <v>0</v>
      </c>
      <c r="AO36" s="285">
        <f t="shared" si="134"/>
        <v>0</v>
      </c>
      <c r="AP36" s="285">
        <f t="shared" si="135"/>
        <v>0</v>
      </c>
      <c r="AR36" s="285">
        <f t="shared" ref="AR36" si="144" xml:space="preserve"> IF( ISNUMBER(O36), 0, 1 )</f>
        <v>0</v>
      </c>
      <c r="AS36" s="285">
        <f t="shared" si="136"/>
        <v>0</v>
      </c>
      <c r="AT36" s="285">
        <f t="shared" si="137"/>
        <v>0</v>
      </c>
      <c r="AU36" s="285">
        <f t="shared" si="138"/>
        <v>0</v>
      </c>
      <c r="AV36" s="285">
        <f t="shared" si="139"/>
        <v>0</v>
      </c>
      <c r="AW36" s="285">
        <f t="shared" si="140"/>
        <v>0</v>
      </c>
      <c r="AX36" s="285">
        <f t="shared" si="141"/>
        <v>0</v>
      </c>
      <c r="AY36" s="285">
        <f t="shared" si="142"/>
        <v>0</v>
      </c>
      <c r="BD36" s="935"/>
      <c r="BF36" s="460" t="s">
        <v>13385</v>
      </c>
      <c r="BG36" s="354" t="s">
        <v>3631</v>
      </c>
      <c r="BH36" s="287" t="s">
        <v>13406</v>
      </c>
      <c r="BI36" s="287" t="s">
        <v>13407</v>
      </c>
      <c r="BJ36" s="287" t="s">
        <v>13408</v>
      </c>
      <c r="BK36" s="287" t="s">
        <v>13409</v>
      </c>
      <c r="BL36" s="287" t="s">
        <v>13410</v>
      </c>
      <c r="BM36" s="287" t="s">
        <v>13411</v>
      </c>
      <c r="BN36" s="287" t="s">
        <v>13412</v>
      </c>
      <c r="BO36" s="287" t="s">
        <v>13413</v>
      </c>
      <c r="BP36" s="288" t="s">
        <v>13414</v>
      </c>
      <c r="BQ36" s="287" t="s">
        <v>13415</v>
      </c>
      <c r="BR36" s="287" t="s">
        <v>13416</v>
      </c>
      <c r="BS36" s="287" t="s">
        <v>13417</v>
      </c>
      <c r="BT36" s="287" t="s">
        <v>13418</v>
      </c>
      <c r="BU36" s="287" t="s">
        <v>13419</v>
      </c>
      <c r="BV36" s="287" t="s">
        <v>13420</v>
      </c>
      <c r="BW36" s="287" t="s">
        <v>13421</v>
      </c>
      <c r="BX36" s="287" t="s">
        <v>13422</v>
      </c>
      <c r="BY36" s="288" t="s">
        <v>13423</v>
      </c>
      <c r="BZ36" s="744"/>
      <c r="CA36" s="744"/>
      <c r="CB36" s="745"/>
    </row>
    <row r="37" spans="1:80" s="200" customFormat="1" ht="15.75" customHeight="1">
      <c r="B37" s="792" t="s">
        <v>13385</v>
      </c>
      <c r="C37" s="2355" t="s">
        <v>3632</v>
      </c>
      <c r="D37" s="325" t="s">
        <v>681</v>
      </c>
      <c r="E37" s="325">
        <v>3</v>
      </c>
      <c r="F37" s="312">
        <f>IFERROR(SUM(F35:F36), 0)</f>
        <v>0</v>
      </c>
      <c r="G37" s="312">
        <f t="shared" ref="G37:M37" si="145">IFERROR(SUM(G35:G36), 0)</f>
        <v>0</v>
      </c>
      <c r="H37" s="312">
        <f t="shared" si="145"/>
        <v>0</v>
      </c>
      <c r="I37" s="312">
        <f t="shared" si="145"/>
        <v>0.126</v>
      </c>
      <c r="J37" s="312">
        <f t="shared" si="145"/>
        <v>0</v>
      </c>
      <c r="K37" s="312">
        <f t="shared" si="145"/>
        <v>0</v>
      </c>
      <c r="L37" s="312">
        <f t="shared" si="145"/>
        <v>0</v>
      </c>
      <c r="M37" s="312">
        <f t="shared" si="145"/>
        <v>0</v>
      </c>
      <c r="N37" s="312">
        <f t="shared" si="7"/>
        <v>0.126</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v>0.14300000000000002</v>
      </c>
      <c r="Y37" s="751">
        <v>3.2310000000000003</v>
      </c>
      <c r="Z37" s="796">
        <v>7.7270000000000003</v>
      </c>
      <c r="AA37" s="997"/>
      <c r="AB37" s="803" t="s">
        <v>13424</v>
      </c>
      <c r="AC37" s="1118"/>
      <c r="AD37" s="291"/>
      <c r="AE37" s="1118"/>
      <c r="AF37" s="1115"/>
      <c r="AG37" s="284">
        <f t="shared" si="8"/>
        <v>0</v>
      </c>
      <c r="AH37" s="1116"/>
      <c r="BA37" s="285">
        <f t="shared" ref="BA37" si="147" xml:space="preserve"> IF( ISNUMBER(X37), 0, 1 )</f>
        <v>0</v>
      </c>
      <c r="BB37" s="285">
        <f t="shared" ref="BB37" si="148" xml:space="preserve"> IF( ISNUMBER(Y37), 0, 1 )</f>
        <v>0</v>
      </c>
      <c r="BC37" s="285">
        <f t="shared" ref="BC37" si="149" xml:space="preserve"> IF( ISNUMBER(Z37), 0, 1 )</f>
        <v>0</v>
      </c>
      <c r="BD37" s="935"/>
      <c r="BF37" s="460" t="s">
        <v>13385</v>
      </c>
      <c r="BG37" s="354" t="s">
        <v>3632</v>
      </c>
      <c r="BH37" s="288" t="s">
        <v>13425</v>
      </c>
      <c r="BI37" s="288" t="s">
        <v>13426</v>
      </c>
      <c r="BJ37" s="288" t="s">
        <v>13427</v>
      </c>
      <c r="BK37" s="288" t="s">
        <v>13428</v>
      </c>
      <c r="BL37" s="288" t="s">
        <v>13429</v>
      </c>
      <c r="BM37" s="288" t="s">
        <v>13430</v>
      </c>
      <c r="BN37" s="288" t="s">
        <v>13431</v>
      </c>
      <c r="BO37" s="288" t="s">
        <v>13432</v>
      </c>
      <c r="BP37" s="288" t="s">
        <v>13433</v>
      </c>
      <c r="BQ37" s="288" t="s">
        <v>13434</v>
      </c>
      <c r="BR37" s="288" t="s">
        <v>13435</v>
      </c>
      <c r="BS37" s="288" t="s">
        <v>13436</v>
      </c>
      <c r="BT37" s="288" t="s">
        <v>13437</v>
      </c>
      <c r="BU37" s="288" t="s">
        <v>13438</v>
      </c>
      <c r="BV37" s="288" t="s">
        <v>13439</v>
      </c>
      <c r="BW37" s="288" t="s">
        <v>13440</v>
      </c>
      <c r="BX37" s="288" t="s">
        <v>13441</v>
      </c>
      <c r="BY37" s="288" t="s">
        <v>13442</v>
      </c>
      <c r="BZ37" s="740" t="s">
        <v>13443</v>
      </c>
      <c r="CA37" s="740" t="s">
        <v>13444</v>
      </c>
      <c r="CB37" s="1117" t="s">
        <v>13445</v>
      </c>
    </row>
    <row r="38" spans="1:80" s="200" customFormat="1" ht="33" customHeight="1">
      <c r="B38" s="792" t="s">
        <v>13446</v>
      </c>
      <c r="C38" s="2355" t="s">
        <v>3630</v>
      </c>
      <c r="D38" s="325" t="s">
        <v>681</v>
      </c>
      <c r="E38" s="325">
        <v>3</v>
      </c>
      <c r="F38" s="751">
        <v>0</v>
      </c>
      <c r="G38" s="751">
        <v>0</v>
      </c>
      <c r="H38" s="751">
        <v>0</v>
      </c>
      <c r="I38" s="751">
        <v>5.7000000000000002E-2</v>
      </c>
      <c r="J38" s="751">
        <v>0</v>
      </c>
      <c r="K38" s="751">
        <v>0</v>
      </c>
      <c r="L38" s="751">
        <v>0</v>
      </c>
      <c r="M38" s="751">
        <v>0</v>
      </c>
      <c r="N38" s="312">
        <f t="shared" si="7"/>
        <v>5.7000000000000002E-2</v>
      </c>
      <c r="O38" s="2382"/>
      <c r="P38" s="2382"/>
      <c r="Q38" s="2382"/>
      <c r="R38" s="2382"/>
      <c r="S38" s="2382"/>
      <c r="T38" s="2382"/>
      <c r="U38" s="2382"/>
      <c r="V38" s="2382"/>
      <c r="W38" s="2382"/>
      <c r="X38" s="2383"/>
      <c r="Y38" s="2383"/>
      <c r="Z38" s="2384"/>
      <c r="AA38" s="997"/>
      <c r="AB38" s="803" t="s">
        <v>13447</v>
      </c>
      <c r="AC38" s="1118"/>
      <c r="AD38" s="291"/>
      <c r="AE38" s="1118"/>
      <c r="AF38" s="1115"/>
      <c r="AG38" s="284">
        <f t="shared" si="8"/>
        <v>0</v>
      </c>
      <c r="AH38" s="1116"/>
      <c r="AI38" s="285">
        <f xml:space="preserve"> IF( ISNUMBER(F38), 0, 1 )</f>
        <v>0</v>
      </c>
      <c r="AJ38" s="285">
        <f t="shared" ref="AJ38:AJ39" si="150" xml:space="preserve"> IF( ISNUMBER(G38), 0, 1 )</f>
        <v>0</v>
      </c>
      <c r="AK38" s="285">
        <f t="shared" ref="AK38:AK39" si="151" xml:space="preserve"> IF( ISNUMBER(H38), 0, 1 )</f>
        <v>0</v>
      </c>
      <c r="AL38" s="285">
        <f t="shared" ref="AL38:AL39" si="152" xml:space="preserve"> IF( ISNUMBER(I38), 0, 1 )</f>
        <v>0</v>
      </c>
      <c r="AM38" s="285">
        <f t="shared" ref="AM38:AM39" si="153" xml:space="preserve"> IF( ISNUMBER(J38), 0, 1 )</f>
        <v>0</v>
      </c>
      <c r="AN38" s="285">
        <f t="shared" ref="AN38:AN39" si="154" xml:space="preserve"> IF( ISNUMBER(K38), 0, 1 )</f>
        <v>0</v>
      </c>
      <c r="AO38" s="285">
        <f t="shared" ref="AO38:AO39" si="155" xml:space="preserve"> IF( ISNUMBER(L38), 0, 1 )</f>
        <v>0</v>
      </c>
      <c r="AP38" s="285">
        <f t="shared" ref="AP38:AP39" si="156" xml:space="preserve"> IF( ISNUMBER(M38), 0, 1 )</f>
        <v>0</v>
      </c>
      <c r="BD38" s="935"/>
      <c r="BF38" s="460" t="s">
        <v>13446</v>
      </c>
      <c r="BG38" s="354" t="s">
        <v>3630</v>
      </c>
      <c r="BH38" s="287" t="s">
        <v>13448</v>
      </c>
      <c r="BI38" s="287" t="s">
        <v>13449</v>
      </c>
      <c r="BJ38" s="287" t="s">
        <v>13450</v>
      </c>
      <c r="BK38" s="287" t="s">
        <v>13451</v>
      </c>
      <c r="BL38" s="287" t="s">
        <v>13452</v>
      </c>
      <c r="BM38" s="287" t="s">
        <v>13453</v>
      </c>
      <c r="BN38" s="287" t="s">
        <v>13454</v>
      </c>
      <c r="BO38" s="287" t="s">
        <v>13455</v>
      </c>
      <c r="BP38" s="288" t="s">
        <v>13456</v>
      </c>
      <c r="BQ38" s="399"/>
      <c r="BR38" s="399"/>
      <c r="BS38" s="399"/>
      <c r="BT38" s="399"/>
      <c r="BU38" s="399"/>
      <c r="BV38" s="399"/>
      <c r="BW38" s="399"/>
      <c r="BX38" s="399"/>
      <c r="BY38" s="399"/>
      <c r="BZ38" s="744"/>
      <c r="CA38" s="744"/>
      <c r="CB38" s="745"/>
    </row>
    <row r="39" spans="1:80" s="197" customFormat="1" ht="33" customHeight="1">
      <c r="B39" s="792" t="s">
        <v>13446</v>
      </c>
      <c r="C39" s="2355" t="s">
        <v>3631</v>
      </c>
      <c r="D39" s="325" t="s">
        <v>681</v>
      </c>
      <c r="E39" s="325">
        <v>3</v>
      </c>
      <c r="F39" s="751">
        <v>0</v>
      </c>
      <c r="G39" s="751">
        <v>0</v>
      </c>
      <c r="H39" s="751">
        <v>0</v>
      </c>
      <c r="I39" s="751">
        <v>0.107</v>
      </c>
      <c r="J39" s="751">
        <v>0</v>
      </c>
      <c r="K39" s="751">
        <v>0</v>
      </c>
      <c r="L39" s="751">
        <v>0</v>
      </c>
      <c r="M39" s="751">
        <v>0</v>
      </c>
      <c r="N39" s="312">
        <f t="shared" si="7"/>
        <v>0.107</v>
      </c>
      <c r="O39" s="2382"/>
      <c r="P39" s="2382"/>
      <c r="Q39" s="2382"/>
      <c r="R39" s="2382"/>
      <c r="S39" s="2382"/>
      <c r="T39" s="2382"/>
      <c r="U39" s="2382"/>
      <c r="V39" s="2382"/>
      <c r="W39" s="2382"/>
      <c r="X39" s="2383"/>
      <c r="Y39" s="2383"/>
      <c r="Z39" s="2384"/>
      <c r="AA39" s="997"/>
      <c r="AB39" s="803" t="s">
        <v>13457</v>
      </c>
      <c r="AC39" s="1118"/>
      <c r="AD39" s="291"/>
      <c r="AE39" s="1118"/>
      <c r="AF39" s="1115"/>
      <c r="AG39" s="284">
        <f t="shared" si="8"/>
        <v>0</v>
      </c>
      <c r="AH39" s="1057"/>
      <c r="AI39" s="285">
        <f t="shared" ref="AI39" si="157" xml:space="preserve"> IF( ISNUMBER(F39), 0, 1 )</f>
        <v>0</v>
      </c>
      <c r="AJ39" s="285">
        <f t="shared" si="150"/>
        <v>0</v>
      </c>
      <c r="AK39" s="285">
        <f t="shared" si="151"/>
        <v>0</v>
      </c>
      <c r="AL39" s="285">
        <f t="shared" si="152"/>
        <v>0</v>
      </c>
      <c r="AM39" s="285">
        <f t="shared" si="153"/>
        <v>0</v>
      </c>
      <c r="AN39" s="285">
        <f t="shared" si="154"/>
        <v>0</v>
      </c>
      <c r="AO39" s="285">
        <f t="shared" si="155"/>
        <v>0</v>
      </c>
      <c r="AP39" s="285">
        <f t="shared" si="156"/>
        <v>0</v>
      </c>
      <c r="AQ39" s="200"/>
      <c r="AR39" s="200"/>
      <c r="AS39" s="200"/>
      <c r="AT39" s="200"/>
      <c r="AU39" s="200"/>
      <c r="AV39" s="200"/>
      <c r="AW39" s="200"/>
      <c r="AX39" s="200"/>
      <c r="AY39" s="200"/>
      <c r="AZ39" s="200"/>
      <c r="BA39" s="200"/>
      <c r="BB39" s="200"/>
      <c r="BC39" s="200"/>
      <c r="BD39" s="828"/>
      <c r="BF39" s="460" t="s">
        <v>13446</v>
      </c>
      <c r="BG39" s="354" t="s">
        <v>3631</v>
      </c>
      <c r="BH39" s="287" t="s">
        <v>13458</v>
      </c>
      <c r="BI39" s="287" t="s">
        <v>13459</v>
      </c>
      <c r="BJ39" s="287" t="s">
        <v>13460</v>
      </c>
      <c r="BK39" s="287" t="s">
        <v>13461</v>
      </c>
      <c r="BL39" s="287" t="s">
        <v>13462</v>
      </c>
      <c r="BM39" s="287" t="s">
        <v>13463</v>
      </c>
      <c r="BN39" s="287" t="s">
        <v>13464</v>
      </c>
      <c r="BO39" s="287" t="s">
        <v>13465</v>
      </c>
      <c r="BP39" s="288" t="s">
        <v>13466</v>
      </c>
      <c r="BQ39" s="399"/>
      <c r="BR39" s="399"/>
      <c r="BS39" s="399"/>
      <c r="BT39" s="399"/>
      <c r="BU39" s="399"/>
      <c r="BV39" s="399"/>
      <c r="BW39" s="399"/>
      <c r="BX39" s="399"/>
      <c r="BY39" s="399"/>
      <c r="BZ39" s="744"/>
      <c r="CA39" s="744"/>
      <c r="CB39" s="745"/>
    </row>
    <row r="40" spans="1:80" s="197" customFormat="1" ht="33" customHeight="1">
      <c r="B40" s="792" t="s">
        <v>13446</v>
      </c>
      <c r="C40" s="2355" t="s">
        <v>3632</v>
      </c>
      <c r="D40" s="325" t="s">
        <v>681</v>
      </c>
      <c r="E40" s="325">
        <v>3</v>
      </c>
      <c r="F40" s="312">
        <f>IFERROR(SUM(F38:F39), 0)</f>
        <v>0</v>
      </c>
      <c r="G40" s="312">
        <f t="shared" ref="G40:M40" si="158">IFERROR(SUM(G38:G39), 0)</f>
        <v>0</v>
      </c>
      <c r="H40" s="312">
        <f t="shared" si="158"/>
        <v>0</v>
      </c>
      <c r="I40" s="312">
        <f t="shared" si="158"/>
        <v>0.16400000000000001</v>
      </c>
      <c r="J40" s="312">
        <f t="shared" si="158"/>
        <v>0</v>
      </c>
      <c r="K40" s="312">
        <f t="shared" si="158"/>
        <v>0</v>
      </c>
      <c r="L40" s="312">
        <f t="shared" si="158"/>
        <v>0</v>
      </c>
      <c r="M40" s="312">
        <f t="shared" si="158"/>
        <v>0</v>
      </c>
      <c r="N40" s="312">
        <f t="shared" si="7"/>
        <v>0.16400000000000001</v>
      </c>
      <c r="O40" s="2382"/>
      <c r="P40" s="2382"/>
      <c r="Q40" s="2382"/>
      <c r="R40" s="2382"/>
      <c r="S40" s="2382"/>
      <c r="T40" s="2382"/>
      <c r="U40" s="2382"/>
      <c r="V40" s="2382"/>
      <c r="W40" s="2382"/>
      <c r="X40" s="751">
        <v>0.66400000000000003</v>
      </c>
      <c r="Y40" s="751">
        <v>0.85099999999999998</v>
      </c>
      <c r="Z40" s="796">
        <v>2.036</v>
      </c>
      <c r="AA40" s="997"/>
      <c r="AB40" s="803" t="s">
        <v>13467</v>
      </c>
      <c r="AC40" s="1118"/>
      <c r="AD40" s="291"/>
      <c r="AE40" s="1118"/>
      <c r="AF40" s="1115"/>
      <c r="AG40" s="284">
        <f t="shared" si="8"/>
        <v>0</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0</v>
      </c>
      <c r="BB40" s="285">
        <f t="shared" ref="BB40" si="160" xml:space="preserve"> IF( ISNUMBER(Y40), 0, 1 )</f>
        <v>0</v>
      </c>
      <c r="BC40" s="285">
        <f t="shared" ref="BC40" si="161" xml:space="preserve"> IF( ISNUMBER(Z40), 0, 1 )</f>
        <v>0</v>
      </c>
      <c r="BD40" s="828"/>
      <c r="BF40" s="460" t="s">
        <v>13446</v>
      </c>
      <c r="BG40" s="354" t="s">
        <v>3632</v>
      </c>
      <c r="BH40" s="288" t="s">
        <v>13468</v>
      </c>
      <c r="BI40" s="288" t="s">
        <v>13469</v>
      </c>
      <c r="BJ40" s="288" t="s">
        <v>13470</v>
      </c>
      <c r="BK40" s="288" t="s">
        <v>13471</v>
      </c>
      <c r="BL40" s="288" t="s">
        <v>13472</v>
      </c>
      <c r="BM40" s="288" t="s">
        <v>13473</v>
      </c>
      <c r="BN40" s="288" t="s">
        <v>13474</v>
      </c>
      <c r="BO40" s="288" t="s">
        <v>13475</v>
      </c>
      <c r="BP40" s="288" t="s">
        <v>13476</v>
      </c>
      <c r="BQ40" s="399"/>
      <c r="BR40" s="399"/>
      <c r="BS40" s="399"/>
      <c r="BT40" s="399"/>
      <c r="BU40" s="399"/>
      <c r="BV40" s="399"/>
      <c r="BW40" s="399"/>
      <c r="BX40" s="399"/>
      <c r="BY40" s="399"/>
      <c r="BZ40" s="740" t="s">
        <v>13477</v>
      </c>
      <c r="CA40" s="740" t="s">
        <v>13478</v>
      </c>
      <c r="CB40" s="1117" t="s">
        <v>13479</v>
      </c>
    </row>
    <row r="41" spans="1:80" ht="15.75" customHeight="1">
      <c r="A41" s="197"/>
      <c r="B41" s="792" t="s">
        <v>13480</v>
      </c>
      <c r="C41" s="2355" t="s">
        <v>3630</v>
      </c>
      <c r="D41" s="325" t="s">
        <v>681</v>
      </c>
      <c r="E41" s="325">
        <v>3</v>
      </c>
      <c r="F41" s="751">
        <v>0</v>
      </c>
      <c r="G41" s="751">
        <v>0</v>
      </c>
      <c r="H41" s="751">
        <v>0</v>
      </c>
      <c r="I41" s="751">
        <v>0</v>
      </c>
      <c r="J41" s="751">
        <v>0</v>
      </c>
      <c r="K41" s="751">
        <v>0</v>
      </c>
      <c r="L41" s="751">
        <v>0</v>
      </c>
      <c r="M41" s="751">
        <v>0</v>
      </c>
      <c r="N41" s="312">
        <f t="shared" si="7"/>
        <v>0</v>
      </c>
      <c r="O41" s="2382"/>
      <c r="P41" s="2382"/>
      <c r="Q41" s="2382"/>
      <c r="R41" s="2382"/>
      <c r="S41" s="2382"/>
      <c r="T41" s="2382"/>
      <c r="U41" s="2382"/>
      <c r="V41" s="2382"/>
      <c r="W41" s="2382"/>
      <c r="X41" s="2383"/>
      <c r="Y41" s="2383"/>
      <c r="Z41" s="2384"/>
      <c r="AA41" s="997"/>
      <c r="AB41" s="803" t="s">
        <v>13481</v>
      </c>
      <c r="AC41" s="272"/>
      <c r="AD41" s="291"/>
      <c r="AE41" s="272"/>
      <c r="AF41" s="345"/>
      <c r="AG41" s="284">
        <f t="shared" si="8"/>
        <v>0</v>
      </c>
      <c r="AH41" s="345"/>
      <c r="AI41" s="285">
        <f xml:space="preserve"> IF( ISNUMBER(F41), 0, 1 )</f>
        <v>0</v>
      </c>
      <c r="AJ41" s="285">
        <f t="shared" ref="AJ41:AJ42" si="162" xml:space="preserve"> IF( ISNUMBER(G41), 0, 1 )</f>
        <v>0</v>
      </c>
      <c r="AK41" s="285">
        <f t="shared" ref="AK41:AK42" si="163" xml:space="preserve"> IF( ISNUMBER(H41), 0, 1 )</f>
        <v>0</v>
      </c>
      <c r="AL41" s="285">
        <f t="shared" ref="AL41:AL42" si="164" xml:space="preserve"> IF( ISNUMBER(I41), 0, 1 )</f>
        <v>0</v>
      </c>
      <c r="AM41" s="285">
        <f t="shared" ref="AM41:AM42" si="165" xml:space="preserve"> IF( ISNUMBER(J41), 0, 1 )</f>
        <v>0</v>
      </c>
      <c r="AN41" s="285">
        <f t="shared" ref="AN41:AN42" si="166" xml:space="preserve"> IF( ISNUMBER(K41), 0, 1 )</f>
        <v>0</v>
      </c>
      <c r="AO41" s="285">
        <f t="shared" ref="AO41:AO42" si="167" xml:space="preserve"> IF( ISNUMBER(L41), 0, 1 )</f>
        <v>0</v>
      </c>
      <c r="AP41" s="285">
        <f t="shared" ref="AP41:AP42" si="168" xml:space="preserve"> IF( ISNUMBER(M41), 0, 1 )</f>
        <v>0</v>
      </c>
      <c r="AQ41" s="200"/>
      <c r="AR41" s="200"/>
      <c r="AS41" s="200"/>
      <c r="AT41" s="200"/>
      <c r="AU41" s="200"/>
      <c r="AV41" s="200"/>
      <c r="AW41" s="200"/>
      <c r="AX41" s="200"/>
      <c r="AY41" s="200"/>
      <c r="AZ41" s="200"/>
      <c r="BA41" s="200"/>
      <c r="BB41" s="200"/>
      <c r="BC41" s="200"/>
      <c r="BD41" s="363"/>
      <c r="BF41" s="460" t="s">
        <v>13480</v>
      </c>
      <c r="BG41" s="354" t="s">
        <v>3630</v>
      </c>
      <c r="BH41" s="287" t="s">
        <v>13482</v>
      </c>
      <c r="BI41" s="287" t="s">
        <v>13483</v>
      </c>
      <c r="BJ41" s="287" t="s">
        <v>13484</v>
      </c>
      <c r="BK41" s="287" t="s">
        <v>13485</v>
      </c>
      <c r="BL41" s="287" t="s">
        <v>13486</v>
      </c>
      <c r="BM41" s="287" t="s">
        <v>13487</v>
      </c>
      <c r="BN41" s="287" t="s">
        <v>13488</v>
      </c>
      <c r="BO41" s="287" t="s">
        <v>13489</v>
      </c>
      <c r="BP41" s="288" t="s">
        <v>13490</v>
      </c>
      <c r="BQ41" s="399"/>
      <c r="BR41" s="399"/>
      <c r="BS41" s="399"/>
      <c r="BT41" s="399"/>
      <c r="BU41" s="399"/>
      <c r="BV41" s="399"/>
      <c r="BW41" s="399"/>
      <c r="BX41" s="399"/>
      <c r="BY41" s="399"/>
      <c r="BZ41" s="744"/>
      <c r="CA41" s="744"/>
      <c r="CB41" s="745"/>
    </row>
    <row r="42" spans="1:80" s="197" customFormat="1" ht="15.75" customHeight="1">
      <c r="B42" s="792" t="s">
        <v>13480</v>
      </c>
      <c r="C42" s="2355" t="s">
        <v>3631</v>
      </c>
      <c r="D42" s="325" t="s">
        <v>681</v>
      </c>
      <c r="E42" s="325">
        <v>3</v>
      </c>
      <c r="F42" s="751">
        <v>0</v>
      </c>
      <c r="G42" s="751">
        <v>0</v>
      </c>
      <c r="H42" s="751">
        <v>0</v>
      </c>
      <c r="I42" s="751">
        <v>0</v>
      </c>
      <c r="J42" s="751">
        <v>0</v>
      </c>
      <c r="K42" s="751">
        <v>0</v>
      </c>
      <c r="L42" s="751">
        <v>0</v>
      </c>
      <c r="M42" s="751">
        <v>0</v>
      </c>
      <c r="N42" s="312">
        <f t="shared" si="7"/>
        <v>0</v>
      </c>
      <c r="O42" s="2382"/>
      <c r="P42" s="2382"/>
      <c r="Q42" s="2382"/>
      <c r="R42" s="2382"/>
      <c r="S42" s="2382"/>
      <c r="T42" s="2382"/>
      <c r="U42" s="2382"/>
      <c r="V42" s="2382"/>
      <c r="W42" s="2382"/>
      <c r="X42" s="2383"/>
      <c r="Y42" s="2383"/>
      <c r="Z42" s="2384"/>
      <c r="AA42" s="997"/>
      <c r="AB42" s="803" t="s">
        <v>13491</v>
      </c>
      <c r="AC42" s="1114"/>
      <c r="AD42" s="291"/>
      <c r="AE42" s="1114"/>
      <c r="AF42" s="1115"/>
      <c r="AG42" s="284">
        <f t="shared" si="8"/>
        <v>0</v>
      </c>
      <c r="AH42" s="1057"/>
      <c r="AI42" s="285">
        <f t="shared" ref="AI42" si="169" xml:space="preserve"> IF( ISNUMBER(F42), 0, 1 )</f>
        <v>0</v>
      </c>
      <c r="AJ42" s="285">
        <f t="shared" si="162"/>
        <v>0</v>
      </c>
      <c r="AK42" s="285">
        <f t="shared" si="163"/>
        <v>0</v>
      </c>
      <c r="AL42" s="285">
        <f t="shared" si="164"/>
        <v>0</v>
      </c>
      <c r="AM42" s="285">
        <f t="shared" si="165"/>
        <v>0</v>
      </c>
      <c r="AN42" s="285">
        <f t="shared" si="166"/>
        <v>0</v>
      </c>
      <c r="AO42" s="285">
        <f t="shared" si="167"/>
        <v>0</v>
      </c>
      <c r="AP42" s="285">
        <f t="shared" si="168"/>
        <v>0</v>
      </c>
      <c r="AQ42" s="200"/>
      <c r="AR42" s="200"/>
      <c r="AS42" s="200"/>
      <c r="AT42" s="200"/>
      <c r="AU42" s="200"/>
      <c r="AV42" s="200"/>
      <c r="AW42" s="200"/>
      <c r="AX42" s="200"/>
      <c r="AY42" s="200"/>
      <c r="AZ42" s="200"/>
      <c r="BA42" s="200"/>
      <c r="BB42" s="200"/>
      <c r="BC42" s="200"/>
      <c r="BD42" s="828"/>
      <c r="BF42" s="460" t="s">
        <v>13480</v>
      </c>
      <c r="BG42" s="354" t="s">
        <v>3631</v>
      </c>
      <c r="BH42" s="287" t="s">
        <v>13492</v>
      </c>
      <c r="BI42" s="287" t="s">
        <v>13493</v>
      </c>
      <c r="BJ42" s="287" t="s">
        <v>13494</v>
      </c>
      <c r="BK42" s="287" t="s">
        <v>13495</v>
      </c>
      <c r="BL42" s="287" t="s">
        <v>13496</v>
      </c>
      <c r="BM42" s="287" t="s">
        <v>13497</v>
      </c>
      <c r="BN42" s="287" t="s">
        <v>13498</v>
      </c>
      <c r="BO42" s="287" t="s">
        <v>13499</v>
      </c>
      <c r="BP42" s="288" t="s">
        <v>13500</v>
      </c>
      <c r="BQ42" s="399"/>
      <c r="BR42" s="399"/>
      <c r="BS42" s="399"/>
      <c r="BT42" s="399"/>
      <c r="BU42" s="399"/>
      <c r="BV42" s="399"/>
      <c r="BW42" s="399"/>
      <c r="BX42" s="399"/>
      <c r="BY42" s="399"/>
      <c r="BZ42" s="744"/>
      <c r="CA42" s="744"/>
      <c r="CB42" s="745"/>
    </row>
    <row r="43" spans="1:80" ht="15.75" customHeight="1">
      <c r="A43" s="197"/>
      <c r="B43" s="792" t="s">
        <v>13480</v>
      </c>
      <c r="C43" s="2355" t="s">
        <v>3632</v>
      </c>
      <c r="D43" s="325" t="s">
        <v>681</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2"/>
      <c r="P43" s="2382"/>
      <c r="Q43" s="2382"/>
      <c r="R43" s="2382"/>
      <c r="S43" s="2382"/>
      <c r="T43" s="2382"/>
      <c r="U43" s="2382"/>
      <c r="V43" s="2382"/>
      <c r="W43" s="2382"/>
      <c r="X43" s="751">
        <v>0</v>
      </c>
      <c r="Y43" s="751">
        <v>0</v>
      </c>
      <c r="Z43" s="796">
        <v>0</v>
      </c>
      <c r="AA43" s="997"/>
      <c r="AB43" s="803" t="s">
        <v>13501</v>
      </c>
      <c r="AC43" s="197"/>
      <c r="AD43" s="291"/>
      <c r="AE43" s="197"/>
      <c r="AF43" s="345"/>
      <c r="AG43" s="284">
        <f t="shared" si="8"/>
        <v>0</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0</v>
      </c>
      <c r="BB43" s="285">
        <f t="shared" ref="BB43" si="172" xml:space="preserve"> IF( ISNUMBER(Y43), 0, 1 )</f>
        <v>0</v>
      </c>
      <c r="BC43" s="285">
        <f t="shared" ref="BC43" si="173" xml:space="preserve"> IF( ISNUMBER(Z43), 0, 1 )</f>
        <v>0</v>
      </c>
      <c r="BD43" s="363"/>
      <c r="BF43" s="460" t="s">
        <v>13480</v>
      </c>
      <c r="BG43" s="354" t="s">
        <v>3632</v>
      </c>
      <c r="BH43" s="288" t="s">
        <v>13502</v>
      </c>
      <c r="BI43" s="288" t="s">
        <v>13503</v>
      </c>
      <c r="BJ43" s="288" t="s">
        <v>13504</v>
      </c>
      <c r="BK43" s="288" t="s">
        <v>13505</v>
      </c>
      <c r="BL43" s="288" t="s">
        <v>13506</v>
      </c>
      <c r="BM43" s="288" t="s">
        <v>13507</v>
      </c>
      <c r="BN43" s="288" t="s">
        <v>13508</v>
      </c>
      <c r="BO43" s="288" t="s">
        <v>13509</v>
      </c>
      <c r="BP43" s="288" t="s">
        <v>13510</v>
      </c>
      <c r="BQ43" s="399"/>
      <c r="BR43" s="399"/>
      <c r="BS43" s="399"/>
      <c r="BT43" s="399"/>
      <c r="BU43" s="399"/>
      <c r="BV43" s="399"/>
      <c r="BW43" s="399"/>
      <c r="BX43" s="399"/>
      <c r="BY43" s="399"/>
      <c r="BZ43" s="740" t="s">
        <v>13511</v>
      </c>
      <c r="CA43" s="740" t="s">
        <v>13512</v>
      </c>
      <c r="CB43" s="1117" t="s">
        <v>13513</v>
      </c>
    </row>
    <row r="44" spans="1:80" ht="15.75" customHeight="1">
      <c r="A44" s="197"/>
      <c r="B44" s="792" t="s">
        <v>13514</v>
      </c>
      <c r="C44" s="2355" t="s">
        <v>3630</v>
      </c>
      <c r="D44" s="325" t="s">
        <v>681</v>
      </c>
      <c r="E44" s="325">
        <v>3</v>
      </c>
      <c r="F44" s="751">
        <v>0</v>
      </c>
      <c r="G44" s="751">
        <v>0</v>
      </c>
      <c r="H44" s="751">
        <v>0</v>
      </c>
      <c r="I44" s="751">
        <v>16.664000000000001</v>
      </c>
      <c r="J44" s="751">
        <v>0</v>
      </c>
      <c r="K44" s="751">
        <v>0</v>
      </c>
      <c r="L44" s="751">
        <v>0</v>
      </c>
      <c r="M44" s="751">
        <v>0</v>
      </c>
      <c r="N44" s="312">
        <f t="shared" si="7"/>
        <v>16.664000000000001</v>
      </c>
      <c r="O44" s="751">
        <v>0</v>
      </c>
      <c r="P44" s="751">
        <v>0</v>
      </c>
      <c r="Q44" s="751">
        <v>0</v>
      </c>
      <c r="R44" s="751">
        <v>0</v>
      </c>
      <c r="S44" s="751">
        <v>0</v>
      </c>
      <c r="T44" s="751">
        <v>0</v>
      </c>
      <c r="U44" s="751">
        <v>0</v>
      </c>
      <c r="V44" s="751">
        <v>0</v>
      </c>
      <c r="W44" s="312">
        <f>IFERROR(SUM(O44:V44), 0)</f>
        <v>0</v>
      </c>
      <c r="X44" s="2383"/>
      <c r="Y44" s="2383"/>
      <c r="Z44" s="2384"/>
      <c r="AA44" s="997"/>
      <c r="AB44" s="803" t="s">
        <v>13515</v>
      </c>
      <c r="AC44" s="197"/>
      <c r="AD44" s="291"/>
      <c r="AE44" s="197"/>
      <c r="AF44" s="345"/>
      <c r="AG44" s="284">
        <f t="shared" si="8"/>
        <v>0</v>
      </c>
      <c r="AH44" s="1116"/>
      <c r="AI44" s="285">
        <f xml:space="preserve"> IF( ISNUMBER(F44), 0, 1 )</f>
        <v>0</v>
      </c>
      <c r="AJ44" s="285">
        <f t="shared" ref="AJ44:AJ45" si="174" xml:space="preserve"> IF( ISNUMBER(G44), 0, 1 )</f>
        <v>0</v>
      </c>
      <c r="AK44" s="285">
        <f t="shared" ref="AK44:AK45" si="175" xml:space="preserve"> IF( ISNUMBER(H44), 0, 1 )</f>
        <v>0</v>
      </c>
      <c r="AL44" s="285">
        <f t="shared" ref="AL44:AL45" si="176" xml:space="preserve"> IF( ISNUMBER(I44), 0, 1 )</f>
        <v>0</v>
      </c>
      <c r="AM44" s="285">
        <f t="shared" ref="AM44:AM45" si="177" xml:space="preserve"> IF( ISNUMBER(J44), 0, 1 )</f>
        <v>0</v>
      </c>
      <c r="AN44" s="285">
        <f t="shared" ref="AN44:AN45" si="178" xml:space="preserve"> IF( ISNUMBER(K44), 0, 1 )</f>
        <v>0</v>
      </c>
      <c r="AO44" s="285">
        <f t="shared" ref="AO44:AO45" si="179" xml:space="preserve"> IF( ISNUMBER(L44), 0, 1 )</f>
        <v>0</v>
      </c>
      <c r="AP44" s="285">
        <f t="shared" ref="AP44:AP45" si="180" xml:space="preserve"> IF( ISNUMBER(M44), 0, 1 )</f>
        <v>0</v>
      </c>
      <c r="AQ44" s="200"/>
      <c r="AR44" s="285">
        <f xml:space="preserve"> IF( ISNUMBER(O44), 0, 1 )</f>
        <v>0</v>
      </c>
      <c r="AS44" s="285">
        <f t="shared" ref="AS44:AS45" si="181" xml:space="preserve"> IF( ISNUMBER(P44), 0, 1 )</f>
        <v>0</v>
      </c>
      <c r="AT44" s="285">
        <f t="shared" ref="AT44:AT45" si="182" xml:space="preserve"> IF( ISNUMBER(Q44), 0, 1 )</f>
        <v>0</v>
      </c>
      <c r="AU44" s="285">
        <f t="shared" ref="AU44:AU45" si="183" xml:space="preserve"> IF( ISNUMBER(R44), 0, 1 )</f>
        <v>0</v>
      </c>
      <c r="AV44" s="285">
        <f t="shared" ref="AV44:AV45" si="184" xml:space="preserve"> IF( ISNUMBER(S44), 0, 1 )</f>
        <v>0</v>
      </c>
      <c r="AW44" s="285">
        <f t="shared" ref="AW44:AW45" si="185" xml:space="preserve"> IF( ISNUMBER(T44), 0, 1 )</f>
        <v>0</v>
      </c>
      <c r="AX44" s="285">
        <f t="shared" ref="AX44:AX45" si="186" xml:space="preserve"> IF( ISNUMBER(U44), 0, 1 )</f>
        <v>0</v>
      </c>
      <c r="AY44" s="285">
        <f t="shared" ref="AY44:AY45" si="187" xml:space="preserve"> IF( ISNUMBER(V44), 0, 1 )</f>
        <v>0</v>
      </c>
      <c r="AZ44" s="200"/>
      <c r="BA44" s="200"/>
      <c r="BB44" s="200"/>
      <c r="BC44" s="200"/>
      <c r="BD44" s="363"/>
      <c r="BF44" s="460" t="s">
        <v>13514</v>
      </c>
      <c r="BG44" s="354" t="s">
        <v>3630</v>
      </c>
      <c r="BH44" s="287" t="s">
        <v>13516</v>
      </c>
      <c r="BI44" s="287" t="s">
        <v>13517</v>
      </c>
      <c r="BJ44" s="287" t="s">
        <v>13518</v>
      </c>
      <c r="BK44" s="287" t="s">
        <v>13519</v>
      </c>
      <c r="BL44" s="287" t="s">
        <v>13520</v>
      </c>
      <c r="BM44" s="287" t="s">
        <v>13521</v>
      </c>
      <c r="BN44" s="287" t="s">
        <v>13522</v>
      </c>
      <c r="BO44" s="287" t="s">
        <v>13523</v>
      </c>
      <c r="BP44" s="288" t="s">
        <v>13524</v>
      </c>
      <c r="BQ44" s="287" t="s">
        <v>13525</v>
      </c>
      <c r="BR44" s="287" t="s">
        <v>13526</v>
      </c>
      <c r="BS44" s="287" t="s">
        <v>13527</v>
      </c>
      <c r="BT44" s="287" t="s">
        <v>13528</v>
      </c>
      <c r="BU44" s="287" t="s">
        <v>13529</v>
      </c>
      <c r="BV44" s="287" t="s">
        <v>13530</v>
      </c>
      <c r="BW44" s="287" t="s">
        <v>13531</v>
      </c>
      <c r="BX44" s="287" t="s">
        <v>13532</v>
      </c>
      <c r="BY44" s="288" t="s">
        <v>13533</v>
      </c>
      <c r="BZ44" s="744"/>
      <c r="CA44" s="744"/>
      <c r="CB44" s="745"/>
    </row>
    <row r="45" spans="1:80" ht="15.75" customHeight="1">
      <c r="A45" s="197"/>
      <c r="B45" s="792" t="s">
        <v>13514</v>
      </c>
      <c r="C45" s="2355" t="s">
        <v>3631</v>
      </c>
      <c r="D45" s="325" t="s">
        <v>681</v>
      </c>
      <c r="E45" s="325">
        <v>3</v>
      </c>
      <c r="F45" s="751">
        <v>0</v>
      </c>
      <c r="G45" s="751">
        <v>0</v>
      </c>
      <c r="H45" s="751">
        <v>0</v>
      </c>
      <c r="I45" s="751">
        <v>0</v>
      </c>
      <c r="J45" s="751">
        <v>0</v>
      </c>
      <c r="K45" s="751">
        <v>0</v>
      </c>
      <c r="L45" s="751">
        <v>0</v>
      </c>
      <c r="M45" s="751">
        <v>0</v>
      </c>
      <c r="N45" s="312">
        <f t="shared" si="7"/>
        <v>0</v>
      </c>
      <c r="O45" s="751">
        <v>0</v>
      </c>
      <c r="P45" s="751">
        <v>0</v>
      </c>
      <c r="Q45" s="751">
        <v>0</v>
      </c>
      <c r="R45" s="751">
        <v>0</v>
      </c>
      <c r="S45" s="751">
        <v>0</v>
      </c>
      <c r="T45" s="751">
        <v>0</v>
      </c>
      <c r="U45" s="751">
        <v>0</v>
      </c>
      <c r="V45" s="751">
        <v>0</v>
      </c>
      <c r="W45" s="312">
        <f t="shared" ref="W45:W51" si="188">IFERROR(SUM(O45:V45), 0)</f>
        <v>0</v>
      </c>
      <c r="X45" s="2383"/>
      <c r="Y45" s="2383"/>
      <c r="Z45" s="2384"/>
      <c r="AA45" s="997"/>
      <c r="AB45" s="803" t="s">
        <v>13534</v>
      </c>
      <c r="AC45" s="197"/>
      <c r="AD45" s="291"/>
      <c r="AE45" s="197"/>
      <c r="AF45" s="345"/>
      <c r="AG45" s="284">
        <f t="shared" si="8"/>
        <v>0</v>
      </c>
      <c r="AH45" s="1057"/>
      <c r="AI45" s="285">
        <f t="shared" ref="AI45" si="189" xml:space="preserve"> IF( ISNUMBER(F45), 0, 1 )</f>
        <v>0</v>
      </c>
      <c r="AJ45" s="285">
        <f t="shared" si="174"/>
        <v>0</v>
      </c>
      <c r="AK45" s="285">
        <f t="shared" si="175"/>
        <v>0</v>
      </c>
      <c r="AL45" s="285">
        <f t="shared" si="176"/>
        <v>0</v>
      </c>
      <c r="AM45" s="285">
        <f t="shared" si="177"/>
        <v>0</v>
      </c>
      <c r="AN45" s="285">
        <f t="shared" si="178"/>
        <v>0</v>
      </c>
      <c r="AO45" s="285">
        <f t="shared" si="179"/>
        <v>0</v>
      </c>
      <c r="AP45" s="285">
        <f t="shared" si="180"/>
        <v>0</v>
      </c>
      <c r="AQ45" s="200"/>
      <c r="AR45" s="285">
        <f t="shared" ref="AR45" si="190" xml:space="preserve"> IF( ISNUMBER(O45), 0, 1 )</f>
        <v>0</v>
      </c>
      <c r="AS45" s="285">
        <f t="shared" si="181"/>
        <v>0</v>
      </c>
      <c r="AT45" s="285">
        <f t="shared" si="182"/>
        <v>0</v>
      </c>
      <c r="AU45" s="285">
        <f t="shared" si="183"/>
        <v>0</v>
      </c>
      <c r="AV45" s="285">
        <f t="shared" si="184"/>
        <v>0</v>
      </c>
      <c r="AW45" s="285">
        <f t="shared" si="185"/>
        <v>0</v>
      </c>
      <c r="AX45" s="285">
        <f t="shared" si="186"/>
        <v>0</v>
      </c>
      <c r="AY45" s="285">
        <f t="shared" si="187"/>
        <v>0</v>
      </c>
      <c r="AZ45" s="200"/>
      <c r="BA45" s="200"/>
      <c r="BB45" s="200"/>
      <c r="BC45" s="200"/>
      <c r="BD45" s="363"/>
      <c r="BF45" s="460" t="s">
        <v>13514</v>
      </c>
      <c r="BG45" s="354" t="s">
        <v>3631</v>
      </c>
      <c r="BH45" s="287" t="s">
        <v>13535</v>
      </c>
      <c r="BI45" s="287" t="s">
        <v>13536</v>
      </c>
      <c r="BJ45" s="287" t="s">
        <v>13537</v>
      </c>
      <c r="BK45" s="287" t="s">
        <v>13538</v>
      </c>
      <c r="BL45" s="287" t="s">
        <v>13539</v>
      </c>
      <c r="BM45" s="287" t="s">
        <v>13540</v>
      </c>
      <c r="BN45" s="287" t="s">
        <v>13541</v>
      </c>
      <c r="BO45" s="287" t="s">
        <v>13542</v>
      </c>
      <c r="BP45" s="288" t="s">
        <v>13543</v>
      </c>
      <c r="BQ45" s="287" t="s">
        <v>13544</v>
      </c>
      <c r="BR45" s="287" t="s">
        <v>13545</v>
      </c>
      <c r="BS45" s="287" t="s">
        <v>13546</v>
      </c>
      <c r="BT45" s="287" t="s">
        <v>13547</v>
      </c>
      <c r="BU45" s="287" t="s">
        <v>13548</v>
      </c>
      <c r="BV45" s="287" t="s">
        <v>13549</v>
      </c>
      <c r="BW45" s="287" t="s">
        <v>13550</v>
      </c>
      <c r="BX45" s="287" t="s">
        <v>13551</v>
      </c>
      <c r="BY45" s="288" t="s">
        <v>13552</v>
      </c>
      <c r="BZ45" s="744"/>
      <c r="CA45" s="744"/>
      <c r="CB45" s="745"/>
    </row>
    <row r="46" spans="1:80" ht="15.75" customHeight="1">
      <c r="A46" s="197"/>
      <c r="B46" s="792" t="s">
        <v>13514</v>
      </c>
      <c r="C46" s="2355" t="s">
        <v>3632</v>
      </c>
      <c r="D46" s="325" t="s">
        <v>681</v>
      </c>
      <c r="E46" s="325">
        <v>3</v>
      </c>
      <c r="F46" s="312">
        <f>IFERROR(SUM(F44:F45), 0)</f>
        <v>0</v>
      </c>
      <c r="G46" s="312">
        <f t="shared" ref="G46:M46" si="191">IFERROR(SUM(G44:G45), 0)</f>
        <v>0</v>
      </c>
      <c r="H46" s="312">
        <f t="shared" si="191"/>
        <v>0</v>
      </c>
      <c r="I46" s="312">
        <f t="shared" si="191"/>
        <v>16.664000000000001</v>
      </c>
      <c r="J46" s="312">
        <f t="shared" si="191"/>
        <v>0</v>
      </c>
      <c r="K46" s="312">
        <f t="shared" si="191"/>
        <v>0</v>
      </c>
      <c r="L46" s="312">
        <f t="shared" si="191"/>
        <v>0</v>
      </c>
      <c r="M46" s="312">
        <f t="shared" si="191"/>
        <v>0</v>
      </c>
      <c r="N46" s="312">
        <f t="shared" si="7"/>
        <v>16.664000000000001</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v>25.779000000000003</v>
      </c>
      <c r="Y46" s="751">
        <v>32.164999999999999</v>
      </c>
      <c r="Z46" s="796">
        <v>76.924000000000007</v>
      </c>
      <c r="AA46" s="997"/>
      <c r="AB46" s="803" t="s">
        <v>13553</v>
      </c>
      <c r="AC46" s="197"/>
      <c r="AD46" s="291"/>
      <c r="AE46" s="197"/>
      <c r="AF46" s="345"/>
      <c r="AG46" s="284">
        <f t="shared" si="8"/>
        <v>0</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0</v>
      </c>
      <c r="BB46" s="285">
        <f t="shared" ref="BB46" si="194" xml:space="preserve"> IF( ISNUMBER(Y46), 0, 1 )</f>
        <v>0</v>
      </c>
      <c r="BC46" s="285">
        <f t="shared" ref="BC46" si="195" xml:space="preserve"> IF( ISNUMBER(Z46), 0, 1 )</f>
        <v>0</v>
      </c>
      <c r="BD46" s="363"/>
      <c r="BF46" s="460" t="s">
        <v>13514</v>
      </c>
      <c r="BG46" s="354" t="s">
        <v>3632</v>
      </c>
      <c r="BH46" s="288" t="s">
        <v>13554</v>
      </c>
      <c r="BI46" s="288" t="s">
        <v>13555</v>
      </c>
      <c r="BJ46" s="288" t="s">
        <v>13556</v>
      </c>
      <c r="BK46" s="288" t="s">
        <v>13557</v>
      </c>
      <c r="BL46" s="288" t="s">
        <v>13558</v>
      </c>
      <c r="BM46" s="288" t="s">
        <v>13559</v>
      </c>
      <c r="BN46" s="288" t="s">
        <v>13560</v>
      </c>
      <c r="BO46" s="288" t="s">
        <v>13561</v>
      </c>
      <c r="BP46" s="288" t="s">
        <v>13562</v>
      </c>
      <c r="BQ46" s="288" t="s">
        <v>13563</v>
      </c>
      <c r="BR46" s="288" t="s">
        <v>13564</v>
      </c>
      <c r="BS46" s="288" t="s">
        <v>13565</v>
      </c>
      <c r="BT46" s="288" t="s">
        <v>13566</v>
      </c>
      <c r="BU46" s="288" t="s">
        <v>13567</v>
      </c>
      <c r="BV46" s="288" t="s">
        <v>13568</v>
      </c>
      <c r="BW46" s="288" t="s">
        <v>13569</v>
      </c>
      <c r="BX46" s="288" t="s">
        <v>13570</v>
      </c>
      <c r="BY46" s="288" t="s">
        <v>13571</v>
      </c>
      <c r="BZ46" s="740" t="s">
        <v>13572</v>
      </c>
      <c r="CA46" s="740" t="s">
        <v>13573</v>
      </c>
      <c r="CB46" s="1117" t="s">
        <v>13574</v>
      </c>
    </row>
    <row r="47" spans="1:80" ht="15.75" customHeight="1">
      <c r="A47" s="197"/>
      <c r="B47" s="792" t="s">
        <v>13575</v>
      </c>
      <c r="C47" s="2355" t="s">
        <v>3630</v>
      </c>
      <c r="D47" s="325" t="s">
        <v>681</v>
      </c>
      <c r="E47" s="325">
        <v>3</v>
      </c>
      <c r="F47" s="751">
        <v>0</v>
      </c>
      <c r="G47" s="751">
        <v>0</v>
      </c>
      <c r="H47" s="751">
        <v>0</v>
      </c>
      <c r="I47" s="751">
        <v>0</v>
      </c>
      <c r="J47" s="751">
        <v>0</v>
      </c>
      <c r="K47" s="751">
        <v>0</v>
      </c>
      <c r="L47" s="751">
        <v>0</v>
      </c>
      <c r="M47" s="751">
        <v>0</v>
      </c>
      <c r="N47" s="312">
        <f t="shared" si="7"/>
        <v>0</v>
      </c>
      <c r="O47" s="751">
        <v>0</v>
      </c>
      <c r="P47" s="751">
        <v>0</v>
      </c>
      <c r="Q47" s="751">
        <v>0</v>
      </c>
      <c r="R47" s="751">
        <v>0</v>
      </c>
      <c r="S47" s="751">
        <v>0</v>
      </c>
      <c r="T47" s="751">
        <v>0</v>
      </c>
      <c r="U47" s="751">
        <v>0</v>
      </c>
      <c r="V47" s="751">
        <v>0</v>
      </c>
      <c r="W47" s="312">
        <f t="shared" si="188"/>
        <v>0</v>
      </c>
      <c r="X47" s="2383"/>
      <c r="Y47" s="2383"/>
      <c r="Z47" s="2384"/>
      <c r="AA47" s="997"/>
      <c r="AB47" s="803" t="s">
        <v>13576</v>
      </c>
      <c r="AC47" s="197"/>
      <c r="AD47" s="291"/>
      <c r="AE47" s="197"/>
      <c r="AF47" s="345"/>
      <c r="AG47" s="284">
        <f t="shared" si="8"/>
        <v>0</v>
      </c>
      <c r="AH47" s="1116"/>
      <c r="AI47" s="285">
        <f xml:space="preserve"> IF( ISNUMBER(F47), 0, 1 )</f>
        <v>0</v>
      </c>
      <c r="AJ47" s="285">
        <f t="shared" ref="AJ47:AJ48" si="196" xml:space="preserve"> IF( ISNUMBER(G47), 0, 1 )</f>
        <v>0</v>
      </c>
      <c r="AK47" s="285">
        <f t="shared" ref="AK47:AK48" si="197" xml:space="preserve"> IF( ISNUMBER(H47), 0, 1 )</f>
        <v>0</v>
      </c>
      <c r="AL47" s="285">
        <f t="shared" ref="AL47:AL48" si="198" xml:space="preserve"> IF( ISNUMBER(I47), 0, 1 )</f>
        <v>0</v>
      </c>
      <c r="AM47" s="285">
        <f t="shared" ref="AM47:AM48" si="199" xml:space="preserve"> IF( ISNUMBER(J47), 0, 1 )</f>
        <v>0</v>
      </c>
      <c r="AN47" s="285">
        <f t="shared" ref="AN47:AN48" si="200" xml:space="preserve"> IF( ISNUMBER(K47), 0, 1 )</f>
        <v>0</v>
      </c>
      <c r="AO47" s="285">
        <f t="shared" ref="AO47:AO48" si="201" xml:space="preserve"> IF( ISNUMBER(L47), 0, 1 )</f>
        <v>0</v>
      </c>
      <c r="AP47" s="285">
        <f t="shared" ref="AP47:AP48" si="202" xml:space="preserve"> IF( ISNUMBER(M47), 0, 1 )</f>
        <v>0</v>
      </c>
      <c r="AQ47" s="200"/>
      <c r="AR47" s="285">
        <f xml:space="preserve"> IF( ISNUMBER(O47), 0, 1 )</f>
        <v>0</v>
      </c>
      <c r="AS47" s="285">
        <f t="shared" ref="AS47:AS48" si="203" xml:space="preserve"> IF( ISNUMBER(P47), 0, 1 )</f>
        <v>0</v>
      </c>
      <c r="AT47" s="285">
        <f t="shared" ref="AT47:AT48" si="204" xml:space="preserve"> IF( ISNUMBER(Q47), 0, 1 )</f>
        <v>0</v>
      </c>
      <c r="AU47" s="285">
        <f t="shared" ref="AU47:AU48" si="205" xml:space="preserve"> IF( ISNUMBER(R47), 0, 1 )</f>
        <v>0</v>
      </c>
      <c r="AV47" s="285">
        <f t="shared" ref="AV47:AV48" si="206" xml:space="preserve"> IF( ISNUMBER(S47), 0, 1 )</f>
        <v>0</v>
      </c>
      <c r="AW47" s="285">
        <f t="shared" ref="AW47:AW48" si="207" xml:space="preserve"> IF( ISNUMBER(T47), 0, 1 )</f>
        <v>0</v>
      </c>
      <c r="AX47" s="285">
        <f t="shared" ref="AX47:AX48" si="208" xml:space="preserve"> IF( ISNUMBER(U47), 0, 1 )</f>
        <v>0</v>
      </c>
      <c r="AY47" s="285">
        <f t="shared" ref="AY47:AY48" si="209" xml:space="preserve"> IF( ISNUMBER(V47), 0, 1 )</f>
        <v>0</v>
      </c>
      <c r="AZ47" s="200"/>
      <c r="BA47" s="200"/>
      <c r="BB47" s="200"/>
      <c r="BC47" s="200"/>
      <c r="BD47" s="363"/>
      <c r="BF47" s="460" t="s">
        <v>13575</v>
      </c>
      <c r="BG47" s="354" t="s">
        <v>3630</v>
      </c>
      <c r="BH47" s="287" t="s">
        <v>13577</v>
      </c>
      <c r="BI47" s="287" t="s">
        <v>13578</v>
      </c>
      <c r="BJ47" s="287" t="s">
        <v>13579</v>
      </c>
      <c r="BK47" s="287" t="s">
        <v>13580</v>
      </c>
      <c r="BL47" s="287" t="s">
        <v>13581</v>
      </c>
      <c r="BM47" s="287" t="s">
        <v>13582</v>
      </c>
      <c r="BN47" s="287" t="s">
        <v>13583</v>
      </c>
      <c r="BO47" s="287" t="s">
        <v>13584</v>
      </c>
      <c r="BP47" s="288" t="s">
        <v>13585</v>
      </c>
      <c r="BQ47" s="287" t="s">
        <v>13586</v>
      </c>
      <c r="BR47" s="287" t="s">
        <v>13587</v>
      </c>
      <c r="BS47" s="287" t="s">
        <v>13588</v>
      </c>
      <c r="BT47" s="287" t="s">
        <v>13589</v>
      </c>
      <c r="BU47" s="287" t="s">
        <v>13590</v>
      </c>
      <c r="BV47" s="287" t="s">
        <v>13591</v>
      </c>
      <c r="BW47" s="287" t="s">
        <v>13592</v>
      </c>
      <c r="BX47" s="287" t="s">
        <v>13593</v>
      </c>
      <c r="BY47" s="288" t="s">
        <v>13594</v>
      </c>
      <c r="BZ47" s="744"/>
      <c r="CA47" s="744"/>
      <c r="CB47" s="745"/>
    </row>
    <row r="48" spans="1:80" s="267" customFormat="1" ht="15.75" customHeight="1">
      <c r="A48" s="272"/>
      <c r="B48" s="792" t="s">
        <v>13575</v>
      </c>
      <c r="C48" s="2355" t="s">
        <v>3631</v>
      </c>
      <c r="D48" s="325" t="s">
        <v>681</v>
      </c>
      <c r="E48" s="325">
        <v>3</v>
      </c>
      <c r="F48" s="751">
        <v>0</v>
      </c>
      <c r="G48" s="751">
        <v>0</v>
      </c>
      <c r="H48" s="751">
        <v>0</v>
      </c>
      <c r="I48" s="751">
        <v>0</v>
      </c>
      <c r="J48" s="751">
        <v>0</v>
      </c>
      <c r="K48" s="751">
        <v>0</v>
      </c>
      <c r="L48" s="751">
        <v>0</v>
      </c>
      <c r="M48" s="751">
        <v>0</v>
      </c>
      <c r="N48" s="312">
        <f t="shared" si="7"/>
        <v>0</v>
      </c>
      <c r="O48" s="751">
        <v>0</v>
      </c>
      <c r="P48" s="751">
        <v>0</v>
      </c>
      <c r="Q48" s="751">
        <v>0</v>
      </c>
      <c r="R48" s="751">
        <v>0</v>
      </c>
      <c r="S48" s="751">
        <v>0</v>
      </c>
      <c r="T48" s="751">
        <v>0</v>
      </c>
      <c r="U48" s="751">
        <v>0</v>
      </c>
      <c r="V48" s="751">
        <v>0</v>
      </c>
      <c r="W48" s="312">
        <f t="shared" si="188"/>
        <v>0</v>
      </c>
      <c r="X48" s="2383"/>
      <c r="Y48" s="2383"/>
      <c r="Z48" s="2384"/>
      <c r="AA48" s="349"/>
      <c r="AB48" s="803" t="s">
        <v>13595</v>
      </c>
      <c r="AC48" s="197"/>
      <c r="AD48" s="291"/>
      <c r="AE48" s="197"/>
      <c r="AF48" s="345"/>
      <c r="AG48" s="284">
        <f t="shared" si="8"/>
        <v>0</v>
      </c>
      <c r="AH48" s="1057"/>
      <c r="AI48" s="285">
        <f t="shared" ref="AI48" si="210" xml:space="preserve"> IF( ISNUMBER(F48), 0, 1 )</f>
        <v>0</v>
      </c>
      <c r="AJ48" s="285">
        <f t="shared" si="196"/>
        <v>0</v>
      </c>
      <c r="AK48" s="285">
        <f t="shared" si="197"/>
        <v>0</v>
      </c>
      <c r="AL48" s="285">
        <f t="shared" si="198"/>
        <v>0</v>
      </c>
      <c r="AM48" s="285">
        <f t="shared" si="199"/>
        <v>0</v>
      </c>
      <c r="AN48" s="285">
        <f t="shared" si="200"/>
        <v>0</v>
      </c>
      <c r="AO48" s="285">
        <f t="shared" si="201"/>
        <v>0</v>
      </c>
      <c r="AP48" s="285">
        <f t="shared" si="202"/>
        <v>0</v>
      </c>
      <c r="AQ48" s="200"/>
      <c r="AR48" s="285">
        <f t="shared" ref="AR48" si="211" xml:space="preserve"> IF( ISNUMBER(O48), 0, 1 )</f>
        <v>0</v>
      </c>
      <c r="AS48" s="285">
        <f t="shared" si="203"/>
        <v>0</v>
      </c>
      <c r="AT48" s="285">
        <f t="shared" si="204"/>
        <v>0</v>
      </c>
      <c r="AU48" s="285">
        <f t="shared" si="205"/>
        <v>0</v>
      </c>
      <c r="AV48" s="285">
        <f t="shared" si="206"/>
        <v>0</v>
      </c>
      <c r="AW48" s="285">
        <f t="shared" si="207"/>
        <v>0</v>
      </c>
      <c r="AX48" s="285">
        <f t="shared" si="208"/>
        <v>0</v>
      </c>
      <c r="AY48" s="285">
        <f t="shared" si="209"/>
        <v>0</v>
      </c>
      <c r="AZ48" s="200"/>
      <c r="BA48" s="200"/>
      <c r="BB48" s="200"/>
      <c r="BC48" s="200"/>
      <c r="BD48" s="363"/>
      <c r="BF48" s="460" t="s">
        <v>13575</v>
      </c>
      <c r="BG48" s="354" t="s">
        <v>3631</v>
      </c>
      <c r="BH48" s="287" t="s">
        <v>13596</v>
      </c>
      <c r="BI48" s="287" t="s">
        <v>13597</v>
      </c>
      <c r="BJ48" s="287" t="s">
        <v>13598</v>
      </c>
      <c r="BK48" s="287" t="s">
        <v>13599</v>
      </c>
      <c r="BL48" s="287" t="s">
        <v>13600</v>
      </c>
      <c r="BM48" s="287" t="s">
        <v>13601</v>
      </c>
      <c r="BN48" s="287" t="s">
        <v>13602</v>
      </c>
      <c r="BO48" s="287" t="s">
        <v>13603</v>
      </c>
      <c r="BP48" s="288" t="s">
        <v>13604</v>
      </c>
      <c r="BQ48" s="287" t="s">
        <v>13605</v>
      </c>
      <c r="BR48" s="287" t="s">
        <v>13606</v>
      </c>
      <c r="BS48" s="287" t="s">
        <v>13607</v>
      </c>
      <c r="BT48" s="287" t="s">
        <v>13608</v>
      </c>
      <c r="BU48" s="287" t="s">
        <v>13609</v>
      </c>
      <c r="BV48" s="287" t="s">
        <v>13610</v>
      </c>
      <c r="BW48" s="287" t="s">
        <v>13611</v>
      </c>
      <c r="BX48" s="287" t="s">
        <v>13612</v>
      </c>
      <c r="BY48" s="288" t="s">
        <v>13613</v>
      </c>
      <c r="BZ48" s="744"/>
      <c r="CA48" s="744"/>
      <c r="CB48" s="745"/>
    </row>
    <row r="49" spans="1:80" s="267" customFormat="1" ht="15.75" customHeight="1">
      <c r="A49" s="272"/>
      <c r="B49" s="792" t="s">
        <v>13575</v>
      </c>
      <c r="C49" s="2355" t="s">
        <v>3632</v>
      </c>
      <c r="D49" s="325" t="s">
        <v>681</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v>0</v>
      </c>
      <c r="Y49" s="751">
        <v>3.92</v>
      </c>
      <c r="Z49" s="796">
        <v>9.375</v>
      </c>
      <c r="AA49" s="349"/>
      <c r="AB49" s="803" t="s">
        <v>13614</v>
      </c>
      <c r="AC49" s="197"/>
      <c r="AD49" s="291"/>
      <c r="AE49" s="197"/>
      <c r="AF49" s="345"/>
      <c r="AG49" s="284">
        <f t="shared" si="8"/>
        <v>0</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0</v>
      </c>
      <c r="BB49" s="285">
        <f t="shared" ref="BB49" si="215" xml:space="preserve"> IF( ISNUMBER(Y49), 0, 1 )</f>
        <v>0</v>
      </c>
      <c r="BC49" s="285">
        <f t="shared" ref="BC49" si="216" xml:space="preserve"> IF( ISNUMBER(Z49), 0, 1 )</f>
        <v>0</v>
      </c>
      <c r="BD49" s="363"/>
      <c r="BF49" s="460" t="s">
        <v>13575</v>
      </c>
      <c r="BG49" s="354" t="s">
        <v>3632</v>
      </c>
      <c r="BH49" s="288" t="s">
        <v>13615</v>
      </c>
      <c r="BI49" s="288" t="s">
        <v>13616</v>
      </c>
      <c r="BJ49" s="288" t="s">
        <v>13617</v>
      </c>
      <c r="BK49" s="288" t="s">
        <v>13618</v>
      </c>
      <c r="BL49" s="288" t="s">
        <v>13619</v>
      </c>
      <c r="BM49" s="288" t="s">
        <v>13620</v>
      </c>
      <c r="BN49" s="288" t="s">
        <v>13621</v>
      </c>
      <c r="BO49" s="288" t="s">
        <v>13622</v>
      </c>
      <c r="BP49" s="288" t="s">
        <v>13623</v>
      </c>
      <c r="BQ49" s="288" t="s">
        <v>13624</v>
      </c>
      <c r="BR49" s="288" t="s">
        <v>13625</v>
      </c>
      <c r="BS49" s="288" t="s">
        <v>13626</v>
      </c>
      <c r="BT49" s="288" t="s">
        <v>13627</v>
      </c>
      <c r="BU49" s="288" t="s">
        <v>13628</v>
      </c>
      <c r="BV49" s="288" t="s">
        <v>13629</v>
      </c>
      <c r="BW49" s="288" t="s">
        <v>13630</v>
      </c>
      <c r="BX49" s="288" t="s">
        <v>13631</v>
      </c>
      <c r="BY49" s="288" t="s">
        <v>13632</v>
      </c>
      <c r="BZ49" s="740" t="s">
        <v>13633</v>
      </c>
      <c r="CA49" s="740" t="s">
        <v>13634</v>
      </c>
      <c r="CB49" s="1117" t="s">
        <v>13635</v>
      </c>
    </row>
    <row r="50" spans="1:80" s="267" customFormat="1" ht="15.75" customHeight="1">
      <c r="A50" s="272"/>
      <c r="B50" s="792" t="s">
        <v>13636</v>
      </c>
      <c r="C50" s="2355" t="s">
        <v>3630</v>
      </c>
      <c r="D50" s="325" t="s">
        <v>681</v>
      </c>
      <c r="E50" s="325">
        <v>3</v>
      </c>
      <c r="F50" s="751">
        <v>0</v>
      </c>
      <c r="G50" s="751">
        <v>0</v>
      </c>
      <c r="H50" s="751">
        <v>0</v>
      </c>
      <c r="I50" s="751">
        <v>0</v>
      </c>
      <c r="J50" s="751">
        <v>0</v>
      </c>
      <c r="K50" s="751">
        <v>0</v>
      </c>
      <c r="L50" s="751">
        <v>0</v>
      </c>
      <c r="M50" s="751">
        <v>0</v>
      </c>
      <c r="N50" s="312">
        <f t="shared" si="7"/>
        <v>0</v>
      </c>
      <c r="O50" s="751">
        <v>0</v>
      </c>
      <c r="P50" s="751">
        <v>0</v>
      </c>
      <c r="Q50" s="751">
        <v>0</v>
      </c>
      <c r="R50" s="751">
        <v>0</v>
      </c>
      <c r="S50" s="751">
        <v>0</v>
      </c>
      <c r="T50" s="751">
        <v>0</v>
      </c>
      <c r="U50" s="751">
        <v>0</v>
      </c>
      <c r="V50" s="751">
        <v>0</v>
      </c>
      <c r="W50" s="312">
        <f t="shared" si="188"/>
        <v>0</v>
      </c>
      <c r="X50" s="2383"/>
      <c r="Y50" s="2383"/>
      <c r="Z50" s="2384"/>
      <c r="AA50" s="349"/>
      <c r="AB50" s="803" t="s">
        <v>13637</v>
      </c>
      <c r="AC50" s="197"/>
      <c r="AD50" s="291"/>
      <c r="AE50" s="197"/>
      <c r="AF50" s="345"/>
      <c r="AG50" s="284">
        <f t="shared" si="8"/>
        <v>0</v>
      </c>
      <c r="AH50" s="1116"/>
      <c r="AI50" s="285">
        <f xml:space="preserve"> IF( ISNUMBER(F50), 0, 1 )</f>
        <v>0</v>
      </c>
      <c r="AJ50" s="285">
        <f t="shared" ref="AJ50:AJ51" si="217" xml:space="preserve"> IF( ISNUMBER(G50), 0, 1 )</f>
        <v>0</v>
      </c>
      <c r="AK50" s="285">
        <f t="shared" ref="AK50:AK51" si="218" xml:space="preserve"> IF( ISNUMBER(H50), 0, 1 )</f>
        <v>0</v>
      </c>
      <c r="AL50" s="285">
        <f t="shared" ref="AL50:AL51" si="219" xml:space="preserve"> IF( ISNUMBER(I50), 0, 1 )</f>
        <v>0</v>
      </c>
      <c r="AM50" s="285">
        <f t="shared" ref="AM50:AM51" si="220" xml:space="preserve"> IF( ISNUMBER(J50), 0, 1 )</f>
        <v>0</v>
      </c>
      <c r="AN50" s="285">
        <f t="shared" ref="AN50:AN51" si="221" xml:space="preserve"> IF( ISNUMBER(K50), 0, 1 )</f>
        <v>0</v>
      </c>
      <c r="AO50" s="285">
        <f t="shared" ref="AO50:AO51" si="222" xml:space="preserve"> IF( ISNUMBER(L50), 0, 1 )</f>
        <v>0</v>
      </c>
      <c r="AP50" s="285">
        <f t="shared" ref="AP50:AP51" si="223" xml:space="preserve"> IF( ISNUMBER(M50), 0, 1 )</f>
        <v>0</v>
      </c>
      <c r="AQ50" s="200"/>
      <c r="AR50" s="285">
        <f xml:space="preserve"> IF( ISNUMBER(O50), 0, 1 )</f>
        <v>0</v>
      </c>
      <c r="AS50" s="285">
        <f t="shared" ref="AS50:AS51" si="224" xml:space="preserve"> IF( ISNUMBER(P50), 0, 1 )</f>
        <v>0</v>
      </c>
      <c r="AT50" s="285">
        <f t="shared" ref="AT50:AT51" si="225" xml:space="preserve"> IF( ISNUMBER(Q50), 0, 1 )</f>
        <v>0</v>
      </c>
      <c r="AU50" s="285">
        <f t="shared" ref="AU50:AU51" si="226" xml:space="preserve"> IF( ISNUMBER(R50), 0, 1 )</f>
        <v>0</v>
      </c>
      <c r="AV50" s="285">
        <f t="shared" ref="AV50:AV51" si="227" xml:space="preserve"> IF( ISNUMBER(S50), 0, 1 )</f>
        <v>0</v>
      </c>
      <c r="AW50" s="285">
        <f t="shared" ref="AW50:AW51" si="228" xml:space="preserve"> IF( ISNUMBER(T50), 0, 1 )</f>
        <v>0</v>
      </c>
      <c r="AX50" s="285">
        <f t="shared" ref="AX50:AX51" si="229" xml:space="preserve"> IF( ISNUMBER(U50), 0, 1 )</f>
        <v>0</v>
      </c>
      <c r="AY50" s="285">
        <f t="shared" ref="AY50:AY51" si="230" xml:space="preserve"> IF( ISNUMBER(V50), 0, 1 )</f>
        <v>0</v>
      </c>
      <c r="AZ50" s="200"/>
      <c r="BA50" s="200"/>
      <c r="BB50" s="200"/>
      <c r="BC50" s="200"/>
      <c r="BD50" s="363"/>
      <c r="BF50" s="460" t="s">
        <v>13636</v>
      </c>
      <c r="BG50" s="354" t="s">
        <v>3630</v>
      </c>
      <c r="BH50" s="287" t="s">
        <v>13638</v>
      </c>
      <c r="BI50" s="287" t="s">
        <v>13639</v>
      </c>
      <c r="BJ50" s="287" t="s">
        <v>13640</v>
      </c>
      <c r="BK50" s="287" t="s">
        <v>13641</v>
      </c>
      <c r="BL50" s="287" t="s">
        <v>13642</v>
      </c>
      <c r="BM50" s="287" t="s">
        <v>13643</v>
      </c>
      <c r="BN50" s="287" t="s">
        <v>13644</v>
      </c>
      <c r="BO50" s="287" t="s">
        <v>13645</v>
      </c>
      <c r="BP50" s="288" t="s">
        <v>13646</v>
      </c>
      <c r="BQ50" s="287" t="s">
        <v>13647</v>
      </c>
      <c r="BR50" s="287" t="s">
        <v>13648</v>
      </c>
      <c r="BS50" s="287" t="s">
        <v>13649</v>
      </c>
      <c r="BT50" s="287" t="s">
        <v>13650</v>
      </c>
      <c r="BU50" s="287" t="s">
        <v>13651</v>
      </c>
      <c r="BV50" s="287" t="s">
        <v>13652</v>
      </c>
      <c r="BW50" s="287" t="s">
        <v>13653</v>
      </c>
      <c r="BX50" s="287" t="s">
        <v>13654</v>
      </c>
      <c r="BY50" s="288" t="s">
        <v>13655</v>
      </c>
      <c r="BZ50" s="744"/>
      <c r="CA50" s="744"/>
      <c r="CB50" s="745"/>
    </row>
    <row r="51" spans="1:80" s="267" customFormat="1" ht="15.75" customHeight="1">
      <c r="A51" s="272"/>
      <c r="B51" s="792" t="s">
        <v>13636</v>
      </c>
      <c r="C51" s="2355" t="s">
        <v>3631</v>
      </c>
      <c r="D51" s="325" t="s">
        <v>681</v>
      </c>
      <c r="E51" s="325">
        <v>3</v>
      </c>
      <c r="F51" s="751">
        <v>0</v>
      </c>
      <c r="G51" s="751">
        <v>0</v>
      </c>
      <c r="H51" s="751">
        <v>0</v>
      </c>
      <c r="I51" s="751">
        <v>0</v>
      </c>
      <c r="J51" s="751">
        <v>0</v>
      </c>
      <c r="K51" s="751">
        <v>0</v>
      </c>
      <c r="L51" s="751">
        <v>0</v>
      </c>
      <c r="M51" s="751">
        <v>0</v>
      </c>
      <c r="N51" s="312">
        <f t="shared" si="7"/>
        <v>0</v>
      </c>
      <c r="O51" s="751">
        <v>0</v>
      </c>
      <c r="P51" s="751">
        <v>0</v>
      </c>
      <c r="Q51" s="751">
        <v>0</v>
      </c>
      <c r="R51" s="751">
        <v>0</v>
      </c>
      <c r="S51" s="751">
        <v>0</v>
      </c>
      <c r="T51" s="751">
        <v>0</v>
      </c>
      <c r="U51" s="751">
        <v>0</v>
      </c>
      <c r="V51" s="751">
        <v>0</v>
      </c>
      <c r="W51" s="312">
        <f t="shared" si="188"/>
        <v>0</v>
      </c>
      <c r="X51" s="2383"/>
      <c r="Y51" s="2383"/>
      <c r="Z51" s="2384"/>
      <c r="AA51" s="349"/>
      <c r="AB51" s="803" t="s">
        <v>13656</v>
      </c>
      <c r="AC51" s="197"/>
      <c r="AD51" s="291"/>
      <c r="AE51" s="197"/>
      <c r="AF51" s="345"/>
      <c r="AG51" s="284">
        <f t="shared" si="8"/>
        <v>0</v>
      </c>
      <c r="AH51" s="1057"/>
      <c r="AI51" s="285">
        <f t="shared" ref="AI51" si="231" xml:space="preserve"> IF( ISNUMBER(F51), 0, 1 )</f>
        <v>0</v>
      </c>
      <c r="AJ51" s="285">
        <f t="shared" si="217"/>
        <v>0</v>
      </c>
      <c r="AK51" s="285">
        <f t="shared" si="218"/>
        <v>0</v>
      </c>
      <c r="AL51" s="285">
        <f t="shared" si="219"/>
        <v>0</v>
      </c>
      <c r="AM51" s="285">
        <f t="shared" si="220"/>
        <v>0</v>
      </c>
      <c r="AN51" s="285">
        <f t="shared" si="221"/>
        <v>0</v>
      </c>
      <c r="AO51" s="285">
        <f t="shared" si="222"/>
        <v>0</v>
      </c>
      <c r="AP51" s="285">
        <f t="shared" si="223"/>
        <v>0</v>
      </c>
      <c r="AQ51" s="200"/>
      <c r="AR51" s="285">
        <f t="shared" ref="AR51" si="232" xml:space="preserve"> IF( ISNUMBER(O51), 0, 1 )</f>
        <v>0</v>
      </c>
      <c r="AS51" s="285">
        <f t="shared" si="224"/>
        <v>0</v>
      </c>
      <c r="AT51" s="285">
        <f t="shared" si="225"/>
        <v>0</v>
      </c>
      <c r="AU51" s="285">
        <f t="shared" si="226"/>
        <v>0</v>
      </c>
      <c r="AV51" s="285">
        <f t="shared" si="227"/>
        <v>0</v>
      </c>
      <c r="AW51" s="285">
        <f t="shared" si="228"/>
        <v>0</v>
      </c>
      <c r="AX51" s="285">
        <f t="shared" si="229"/>
        <v>0</v>
      </c>
      <c r="AY51" s="285">
        <f t="shared" si="230"/>
        <v>0</v>
      </c>
      <c r="AZ51" s="200"/>
      <c r="BA51" s="200"/>
      <c r="BB51" s="200"/>
      <c r="BC51" s="200"/>
      <c r="BD51" s="363"/>
      <c r="BF51" s="460" t="s">
        <v>13636</v>
      </c>
      <c r="BG51" s="354" t="s">
        <v>3631</v>
      </c>
      <c r="BH51" s="287" t="s">
        <v>13657</v>
      </c>
      <c r="BI51" s="287" t="s">
        <v>13658</v>
      </c>
      <c r="BJ51" s="287" t="s">
        <v>13659</v>
      </c>
      <c r="BK51" s="287" t="s">
        <v>13660</v>
      </c>
      <c r="BL51" s="287" t="s">
        <v>13661</v>
      </c>
      <c r="BM51" s="287" t="s">
        <v>13662</v>
      </c>
      <c r="BN51" s="287" t="s">
        <v>13663</v>
      </c>
      <c r="BO51" s="287" t="s">
        <v>13664</v>
      </c>
      <c r="BP51" s="288" t="s">
        <v>13665</v>
      </c>
      <c r="BQ51" s="287" t="s">
        <v>13666</v>
      </c>
      <c r="BR51" s="287" t="s">
        <v>13667</v>
      </c>
      <c r="BS51" s="287" t="s">
        <v>13668</v>
      </c>
      <c r="BT51" s="287" t="s">
        <v>13669</v>
      </c>
      <c r="BU51" s="287" t="s">
        <v>13670</v>
      </c>
      <c r="BV51" s="287" t="s">
        <v>13671</v>
      </c>
      <c r="BW51" s="287" t="s">
        <v>13672</v>
      </c>
      <c r="BX51" s="287" t="s">
        <v>13673</v>
      </c>
      <c r="BY51" s="288" t="s">
        <v>13674</v>
      </c>
      <c r="BZ51" s="744"/>
      <c r="CA51" s="744"/>
      <c r="CB51" s="745"/>
    </row>
    <row r="52" spans="1:80" s="267" customFormat="1" ht="15.75" customHeight="1">
      <c r="A52" s="272"/>
      <c r="B52" s="792" t="s">
        <v>13636</v>
      </c>
      <c r="C52" s="2355" t="s">
        <v>3632</v>
      </c>
      <c r="D52" s="325" t="s">
        <v>681</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v>0</v>
      </c>
      <c r="Y52" s="751">
        <v>0</v>
      </c>
      <c r="Z52" s="796">
        <v>0</v>
      </c>
      <c r="AA52" s="349"/>
      <c r="AB52" s="803" t="s">
        <v>13675</v>
      </c>
      <c r="AC52" s="197"/>
      <c r="AD52" s="291"/>
      <c r="AE52" s="197"/>
      <c r="AF52" s="345"/>
      <c r="AG52" s="284">
        <f t="shared" si="8"/>
        <v>0</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0</v>
      </c>
      <c r="BB52" s="285">
        <f t="shared" ref="BB52" si="236" xml:space="preserve"> IF( ISNUMBER(Y52), 0, 1 )</f>
        <v>0</v>
      </c>
      <c r="BC52" s="285">
        <f t="shared" ref="BC52" si="237" xml:space="preserve"> IF( ISNUMBER(Z52), 0, 1 )</f>
        <v>0</v>
      </c>
      <c r="BD52" s="363"/>
      <c r="BF52" s="460" t="s">
        <v>13636</v>
      </c>
      <c r="BG52" s="354" t="s">
        <v>3632</v>
      </c>
      <c r="BH52" s="288" t="s">
        <v>13676</v>
      </c>
      <c r="BI52" s="288" t="s">
        <v>13677</v>
      </c>
      <c r="BJ52" s="288" t="s">
        <v>13678</v>
      </c>
      <c r="BK52" s="288" t="s">
        <v>13679</v>
      </c>
      <c r="BL52" s="288" t="s">
        <v>13680</v>
      </c>
      <c r="BM52" s="288" t="s">
        <v>13681</v>
      </c>
      <c r="BN52" s="288" t="s">
        <v>13682</v>
      </c>
      <c r="BO52" s="288" t="s">
        <v>13683</v>
      </c>
      <c r="BP52" s="288" t="s">
        <v>13684</v>
      </c>
      <c r="BQ52" s="288" t="s">
        <v>13685</v>
      </c>
      <c r="BR52" s="288" t="s">
        <v>13686</v>
      </c>
      <c r="BS52" s="288" t="s">
        <v>13687</v>
      </c>
      <c r="BT52" s="288" t="s">
        <v>13688</v>
      </c>
      <c r="BU52" s="288" t="s">
        <v>13689</v>
      </c>
      <c r="BV52" s="288" t="s">
        <v>13690</v>
      </c>
      <c r="BW52" s="288" t="s">
        <v>13691</v>
      </c>
      <c r="BX52" s="288" t="s">
        <v>13692</v>
      </c>
      <c r="BY52" s="288" t="s">
        <v>13693</v>
      </c>
      <c r="BZ52" s="740" t="s">
        <v>13694</v>
      </c>
      <c r="CA52" s="740" t="s">
        <v>13695</v>
      </c>
      <c r="CB52" s="1117" t="s">
        <v>13696</v>
      </c>
    </row>
    <row r="53" spans="1:80" s="267" customFormat="1" ht="15.75" customHeight="1">
      <c r="A53" s="272"/>
      <c r="B53" s="792" t="s">
        <v>12492</v>
      </c>
      <c r="C53" s="2355" t="s">
        <v>3630</v>
      </c>
      <c r="D53" s="325" t="s">
        <v>681</v>
      </c>
      <c r="E53" s="325">
        <v>3</v>
      </c>
      <c r="F53" s="751">
        <v>0.109</v>
      </c>
      <c r="G53" s="751">
        <v>0.18099999999999999</v>
      </c>
      <c r="H53" s="751">
        <v>9.7000000000000003E-2</v>
      </c>
      <c r="I53" s="751">
        <v>2.8000000000000001E-2</v>
      </c>
      <c r="J53" s="751">
        <v>0</v>
      </c>
      <c r="K53" s="751">
        <v>0</v>
      </c>
      <c r="L53" s="751">
        <v>0</v>
      </c>
      <c r="M53" s="751">
        <v>0</v>
      </c>
      <c r="N53" s="312">
        <f t="shared" si="7"/>
        <v>0.41500000000000004</v>
      </c>
      <c r="O53" s="2382"/>
      <c r="P53" s="2382"/>
      <c r="Q53" s="2382"/>
      <c r="R53" s="2382"/>
      <c r="S53" s="2382"/>
      <c r="T53" s="2382"/>
      <c r="U53" s="2382"/>
      <c r="V53" s="2382"/>
      <c r="W53" s="2382"/>
      <c r="X53" s="2383"/>
      <c r="Y53" s="2383"/>
      <c r="Z53" s="2384"/>
      <c r="AA53" s="349"/>
      <c r="AB53" s="803" t="s">
        <v>13697</v>
      </c>
      <c r="AC53" s="197"/>
      <c r="AD53" s="291"/>
      <c r="AE53" s="197"/>
      <c r="AF53" s="345"/>
      <c r="AG53" s="284">
        <f t="shared" si="8"/>
        <v>0</v>
      </c>
      <c r="AH53" s="345"/>
      <c r="AI53" s="285">
        <f xml:space="preserve"> IF( ISNUMBER(F53), 0, 1 )</f>
        <v>0</v>
      </c>
      <c r="AJ53" s="285">
        <f t="shared" ref="AJ53:AJ54" si="238" xml:space="preserve"> IF( ISNUMBER(G53), 0, 1 )</f>
        <v>0</v>
      </c>
      <c r="AK53" s="285">
        <f t="shared" ref="AK53:AK54" si="239" xml:space="preserve"> IF( ISNUMBER(H53), 0, 1 )</f>
        <v>0</v>
      </c>
      <c r="AL53" s="285">
        <f t="shared" ref="AL53:AL54" si="240" xml:space="preserve"> IF( ISNUMBER(I53), 0, 1 )</f>
        <v>0</v>
      </c>
      <c r="AM53" s="285">
        <f t="shared" ref="AM53:AM54" si="241" xml:space="preserve"> IF( ISNUMBER(J53), 0, 1 )</f>
        <v>0</v>
      </c>
      <c r="AN53" s="285">
        <f t="shared" ref="AN53:AN54" si="242" xml:space="preserve"> IF( ISNUMBER(K53), 0, 1 )</f>
        <v>0</v>
      </c>
      <c r="AO53" s="285">
        <f t="shared" ref="AO53:AO54" si="243" xml:space="preserve"> IF( ISNUMBER(L53), 0, 1 )</f>
        <v>0</v>
      </c>
      <c r="AP53" s="285">
        <f t="shared" ref="AP53:AP54" si="244" xml:space="preserve"> IF( ISNUMBER(M53), 0, 1 )</f>
        <v>0</v>
      </c>
      <c r="AQ53" s="200"/>
      <c r="AR53" s="200"/>
      <c r="AS53" s="200"/>
      <c r="AT53" s="200"/>
      <c r="AU53" s="200"/>
      <c r="AV53" s="200"/>
      <c r="AW53" s="200"/>
      <c r="AX53" s="200"/>
      <c r="AY53" s="200"/>
      <c r="AZ53" s="200"/>
      <c r="BA53" s="200"/>
      <c r="BB53" s="200"/>
      <c r="BC53" s="200"/>
      <c r="BD53" s="363"/>
      <c r="BF53" s="460" t="s">
        <v>12492</v>
      </c>
      <c r="BG53" s="354" t="s">
        <v>3630</v>
      </c>
      <c r="BH53" s="287" t="s">
        <v>13698</v>
      </c>
      <c r="BI53" s="287" t="s">
        <v>13699</v>
      </c>
      <c r="BJ53" s="287" t="s">
        <v>13700</v>
      </c>
      <c r="BK53" s="287" t="s">
        <v>13701</v>
      </c>
      <c r="BL53" s="287" t="s">
        <v>13702</v>
      </c>
      <c r="BM53" s="287" t="s">
        <v>13703</v>
      </c>
      <c r="BN53" s="287" t="s">
        <v>13704</v>
      </c>
      <c r="BO53" s="287" t="s">
        <v>13705</v>
      </c>
      <c r="BP53" s="288" t="s">
        <v>13706</v>
      </c>
      <c r="BQ53" s="399"/>
      <c r="BR53" s="399"/>
      <c r="BS53" s="399"/>
      <c r="BT53" s="399"/>
      <c r="BU53" s="399"/>
      <c r="BV53" s="399"/>
      <c r="BW53" s="399"/>
      <c r="BX53" s="399"/>
      <c r="BY53" s="399"/>
      <c r="BZ53" s="744"/>
      <c r="CA53" s="744"/>
      <c r="CB53" s="745"/>
    </row>
    <row r="54" spans="1:80" s="267" customFormat="1" ht="15.75" customHeight="1">
      <c r="A54" s="272"/>
      <c r="B54" s="792" t="s">
        <v>12492</v>
      </c>
      <c r="C54" s="2355" t="s">
        <v>3631</v>
      </c>
      <c r="D54" s="325" t="s">
        <v>681</v>
      </c>
      <c r="E54" s="325">
        <v>3</v>
      </c>
      <c r="F54" s="751">
        <v>2E-3</v>
      </c>
      <c r="G54" s="751">
        <v>0</v>
      </c>
      <c r="H54" s="751">
        <v>0</v>
      </c>
      <c r="I54" s="751">
        <v>0</v>
      </c>
      <c r="J54" s="751">
        <v>0</v>
      </c>
      <c r="K54" s="751">
        <v>0</v>
      </c>
      <c r="L54" s="751">
        <v>0</v>
      </c>
      <c r="M54" s="751">
        <v>0</v>
      </c>
      <c r="N54" s="312">
        <f t="shared" si="7"/>
        <v>2E-3</v>
      </c>
      <c r="O54" s="2382"/>
      <c r="P54" s="2382"/>
      <c r="Q54" s="2382"/>
      <c r="R54" s="2382"/>
      <c r="S54" s="2382"/>
      <c r="T54" s="2382"/>
      <c r="U54" s="2382"/>
      <c r="V54" s="2382"/>
      <c r="W54" s="2382"/>
      <c r="X54" s="2383"/>
      <c r="Y54" s="2383"/>
      <c r="Z54" s="2384"/>
      <c r="AA54" s="349"/>
      <c r="AB54" s="803" t="s">
        <v>13707</v>
      </c>
      <c r="AC54" s="197"/>
      <c r="AD54" s="291"/>
      <c r="AE54" s="197"/>
      <c r="AF54" s="345"/>
      <c r="AG54" s="284">
        <f t="shared" si="8"/>
        <v>0</v>
      </c>
      <c r="AH54" s="345"/>
      <c r="AI54" s="285">
        <f t="shared" ref="AI54" si="245" xml:space="preserve"> IF( ISNUMBER(F54), 0, 1 )</f>
        <v>0</v>
      </c>
      <c r="AJ54" s="285">
        <f t="shared" si="238"/>
        <v>0</v>
      </c>
      <c r="AK54" s="285">
        <f t="shared" si="239"/>
        <v>0</v>
      </c>
      <c r="AL54" s="285">
        <f t="shared" si="240"/>
        <v>0</v>
      </c>
      <c r="AM54" s="285">
        <f t="shared" si="241"/>
        <v>0</v>
      </c>
      <c r="AN54" s="285">
        <f t="shared" si="242"/>
        <v>0</v>
      </c>
      <c r="AO54" s="285">
        <f t="shared" si="243"/>
        <v>0</v>
      </c>
      <c r="AP54" s="285">
        <f t="shared" si="244"/>
        <v>0</v>
      </c>
      <c r="AQ54" s="200"/>
      <c r="AR54" s="200"/>
      <c r="AS54" s="200"/>
      <c r="AT54" s="200"/>
      <c r="AU54" s="200"/>
      <c r="AV54" s="200"/>
      <c r="AW54" s="200"/>
      <c r="AX54" s="200"/>
      <c r="AY54" s="200"/>
      <c r="AZ54" s="200"/>
      <c r="BA54" s="200"/>
      <c r="BB54" s="200"/>
      <c r="BC54" s="200"/>
      <c r="BD54" s="363"/>
      <c r="BF54" s="460" t="s">
        <v>12492</v>
      </c>
      <c r="BG54" s="354" t="s">
        <v>3631</v>
      </c>
      <c r="BH54" s="287" t="s">
        <v>13708</v>
      </c>
      <c r="BI54" s="287" t="s">
        <v>13709</v>
      </c>
      <c r="BJ54" s="287" t="s">
        <v>13710</v>
      </c>
      <c r="BK54" s="287" t="s">
        <v>13711</v>
      </c>
      <c r="BL54" s="287" t="s">
        <v>13712</v>
      </c>
      <c r="BM54" s="287" t="s">
        <v>13713</v>
      </c>
      <c r="BN54" s="287" t="s">
        <v>13714</v>
      </c>
      <c r="BO54" s="287" t="s">
        <v>13715</v>
      </c>
      <c r="BP54" s="288" t="s">
        <v>13716</v>
      </c>
      <c r="BQ54" s="399"/>
      <c r="BR54" s="399"/>
      <c r="BS54" s="399"/>
      <c r="BT54" s="399"/>
      <c r="BU54" s="399"/>
      <c r="BV54" s="399"/>
      <c r="BW54" s="399"/>
      <c r="BX54" s="399"/>
      <c r="BY54" s="399"/>
      <c r="BZ54" s="744"/>
      <c r="CA54" s="744"/>
      <c r="CB54" s="745"/>
    </row>
    <row r="55" spans="1:80" s="267" customFormat="1" ht="15.75" customHeight="1">
      <c r="A55" s="272"/>
      <c r="B55" s="792" t="s">
        <v>12492</v>
      </c>
      <c r="C55" s="2355" t="s">
        <v>3632</v>
      </c>
      <c r="D55" s="325" t="s">
        <v>681</v>
      </c>
      <c r="E55" s="325">
        <v>3</v>
      </c>
      <c r="F55" s="312">
        <f>IFERROR(SUM(F53:F54), 0)</f>
        <v>0.111</v>
      </c>
      <c r="G55" s="312">
        <f t="shared" ref="G55:M55" si="246">IFERROR(SUM(G53:G54), 0)</f>
        <v>0.18099999999999999</v>
      </c>
      <c r="H55" s="312">
        <f t="shared" si="246"/>
        <v>9.7000000000000003E-2</v>
      </c>
      <c r="I55" s="312">
        <f t="shared" si="246"/>
        <v>2.8000000000000001E-2</v>
      </c>
      <c r="J55" s="312">
        <f t="shared" si="246"/>
        <v>0</v>
      </c>
      <c r="K55" s="312">
        <f t="shared" si="246"/>
        <v>0</v>
      </c>
      <c r="L55" s="312">
        <f t="shared" si="246"/>
        <v>0</v>
      </c>
      <c r="M55" s="312">
        <f t="shared" si="246"/>
        <v>0</v>
      </c>
      <c r="N55" s="312">
        <f t="shared" si="7"/>
        <v>0.41700000000000004</v>
      </c>
      <c r="O55" s="2382"/>
      <c r="P55" s="2382"/>
      <c r="Q55" s="2382"/>
      <c r="R55" s="2382"/>
      <c r="S55" s="2382"/>
      <c r="T55" s="2382"/>
      <c r="U55" s="2382"/>
      <c r="V55" s="2382"/>
      <c r="W55" s="2382"/>
      <c r="X55" s="751">
        <v>3.6719999999999997</v>
      </c>
      <c r="Y55" s="751">
        <v>2.9299999999999997</v>
      </c>
      <c r="Z55" s="796">
        <v>7.0069999999999997</v>
      </c>
      <c r="AA55" s="349"/>
      <c r="AB55" s="803" t="s">
        <v>13717</v>
      </c>
      <c r="AC55" s="197"/>
      <c r="AD55" s="291"/>
      <c r="AE55" s="197"/>
      <c r="AF55" s="345"/>
      <c r="AG55" s="284">
        <f t="shared" si="8"/>
        <v>0</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0</v>
      </c>
      <c r="BB55" s="285">
        <f t="shared" ref="BB55" si="248" xml:space="preserve"> IF( ISNUMBER(Y55), 0, 1 )</f>
        <v>0</v>
      </c>
      <c r="BC55" s="285">
        <f t="shared" ref="BC55" si="249" xml:space="preserve"> IF( ISNUMBER(Z55), 0, 1 )</f>
        <v>0</v>
      </c>
      <c r="BD55" s="363"/>
      <c r="BF55" s="460" t="s">
        <v>12492</v>
      </c>
      <c r="BG55" s="354" t="s">
        <v>3632</v>
      </c>
      <c r="BH55" s="288" t="s">
        <v>13718</v>
      </c>
      <c r="BI55" s="288" t="s">
        <v>13719</v>
      </c>
      <c r="BJ55" s="288" t="s">
        <v>13720</v>
      </c>
      <c r="BK55" s="288" t="s">
        <v>13721</v>
      </c>
      <c r="BL55" s="288" t="s">
        <v>13722</v>
      </c>
      <c r="BM55" s="288" t="s">
        <v>13723</v>
      </c>
      <c r="BN55" s="288" t="s">
        <v>13724</v>
      </c>
      <c r="BO55" s="288" t="s">
        <v>13725</v>
      </c>
      <c r="BP55" s="288" t="s">
        <v>13726</v>
      </c>
      <c r="BQ55" s="399"/>
      <c r="BR55" s="399"/>
      <c r="BS55" s="399"/>
      <c r="BT55" s="399"/>
      <c r="BU55" s="399"/>
      <c r="BV55" s="399"/>
      <c r="BW55" s="399"/>
      <c r="BX55" s="399"/>
      <c r="BY55" s="399"/>
      <c r="BZ55" s="740" t="s">
        <v>13727</v>
      </c>
      <c r="CA55" s="740" t="s">
        <v>13728</v>
      </c>
      <c r="CB55" s="1117" t="s">
        <v>13729</v>
      </c>
    </row>
    <row r="56" spans="1:80" s="267" customFormat="1" ht="30.75" thickBot="1">
      <c r="A56" s="272"/>
      <c r="B56" s="453" t="s">
        <v>12517</v>
      </c>
      <c r="C56" s="2353" t="s">
        <v>3632</v>
      </c>
      <c r="D56" s="332" t="s">
        <v>681</v>
      </c>
      <c r="E56" s="332">
        <v>3</v>
      </c>
      <c r="F56" s="314">
        <f t="shared" ref="F56:M56" si="250">IFERROR(SUM(F12,F15,F18,F21,F24,F27,F34,F37,F40,F43,F46,F49,F52,F55), 0)</f>
        <v>0.11899999999999999</v>
      </c>
      <c r="G56" s="314">
        <f t="shared" si="250"/>
        <v>0.193</v>
      </c>
      <c r="H56" s="314">
        <f t="shared" si="250"/>
        <v>0.10400000000000001</v>
      </c>
      <c r="I56" s="314">
        <f t="shared" si="250"/>
        <v>22.687999999999999</v>
      </c>
      <c r="J56" s="314">
        <f t="shared" si="250"/>
        <v>0</v>
      </c>
      <c r="K56" s="314">
        <f t="shared" si="250"/>
        <v>0</v>
      </c>
      <c r="L56" s="314">
        <f t="shared" si="250"/>
        <v>0</v>
      </c>
      <c r="M56" s="314">
        <f t="shared" si="250"/>
        <v>0</v>
      </c>
      <c r="N56" s="314">
        <f>IFERROR(SUM(F56:M56), 0)</f>
        <v>23.103999999999999</v>
      </c>
      <c r="O56" s="2389"/>
      <c r="P56" s="2389"/>
      <c r="Q56" s="2389"/>
      <c r="R56" s="2389"/>
      <c r="S56" s="2389"/>
      <c r="T56" s="2389"/>
      <c r="U56" s="2389"/>
      <c r="V56" s="2389"/>
      <c r="W56" s="2389"/>
      <c r="X56" s="314">
        <f>IFERROR(SUM(X12,X15,X18,X21,X24,X34,X37,X40,X43,X46,X49,X52,X55), 0)</f>
        <v>46.195999999999998</v>
      </c>
      <c r="Y56" s="314">
        <f>IFERROR(SUM(Y12,Y15,Y18,Y21,Y24,Y34,Y37,Y40,Y43,Y46,Y49,Y52,Y55), 0)</f>
        <v>70.099999999999994</v>
      </c>
      <c r="Z56" s="315">
        <f>IFERROR(SUM(Z12,Z15,Z18,Z21,Z24,Z34,Z37,Z40,Z43,Z46,Z49,Z52,Z55), 0)</f>
        <v>167.64700000000002</v>
      </c>
      <c r="AA56" s="349"/>
      <c r="AB56" s="813" t="s">
        <v>13730</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12517</v>
      </c>
      <c r="BG56" s="1081" t="s">
        <v>3632</v>
      </c>
      <c r="BH56" s="298" t="s">
        <v>13731</v>
      </c>
      <c r="BI56" s="298" t="s">
        <v>13732</v>
      </c>
      <c r="BJ56" s="298" t="s">
        <v>13733</v>
      </c>
      <c r="BK56" s="298" t="s">
        <v>13734</v>
      </c>
      <c r="BL56" s="298" t="s">
        <v>13735</v>
      </c>
      <c r="BM56" s="298" t="s">
        <v>13736</v>
      </c>
      <c r="BN56" s="298" t="s">
        <v>13737</v>
      </c>
      <c r="BO56" s="298" t="s">
        <v>13738</v>
      </c>
      <c r="BP56" s="298" t="s">
        <v>13739</v>
      </c>
      <c r="BQ56" s="408"/>
      <c r="BR56" s="408"/>
      <c r="BS56" s="408"/>
      <c r="BT56" s="408"/>
      <c r="BU56" s="408"/>
      <c r="BV56" s="408"/>
      <c r="BW56" s="408"/>
      <c r="BX56" s="408"/>
      <c r="BY56" s="408"/>
      <c r="BZ56" s="298" t="s">
        <v>13740</v>
      </c>
      <c r="CA56" s="298" t="s">
        <v>13741</v>
      </c>
      <c r="CB56" s="299" t="s">
        <v>13742</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12776</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12776</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13743</v>
      </c>
      <c r="C59" s="2354" t="s">
        <v>3630</v>
      </c>
      <c r="D59" s="318" t="s">
        <v>681</v>
      </c>
      <c r="E59" s="318">
        <v>3</v>
      </c>
      <c r="F59" s="748">
        <v>0</v>
      </c>
      <c r="G59" s="748">
        <v>0</v>
      </c>
      <c r="H59" s="748">
        <v>0</v>
      </c>
      <c r="I59" s="748">
        <v>4.4550000000000001</v>
      </c>
      <c r="J59" s="748">
        <v>0</v>
      </c>
      <c r="K59" s="748">
        <v>0</v>
      </c>
      <c r="L59" s="748">
        <v>0</v>
      </c>
      <c r="M59" s="748">
        <v>0</v>
      </c>
      <c r="N59" s="2378">
        <f>IFERROR(SUM(F59:M59), 0)</f>
        <v>4.4550000000000001</v>
      </c>
      <c r="O59" s="748">
        <v>0</v>
      </c>
      <c r="P59" s="748">
        <v>0</v>
      </c>
      <c r="Q59" s="748">
        <v>0</v>
      </c>
      <c r="R59" s="748">
        <v>4.9809999999999999</v>
      </c>
      <c r="S59" s="748">
        <v>0</v>
      </c>
      <c r="T59" s="748">
        <v>0</v>
      </c>
      <c r="U59" s="748">
        <v>0</v>
      </c>
      <c r="V59" s="748">
        <v>0</v>
      </c>
      <c r="W59" s="2378">
        <f t="shared" ref="W59:W66" si="251">IFERROR(SUM(O59:V59), 0)</f>
        <v>4.9809999999999999</v>
      </c>
      <c r="X59" s="2380"/>
      <c r="Y59" s="2380"/>
      <c r="Z59" s="2381"/>
      <c r="AA59" s="859"/>
      <c r="AB59" s="791" t="s">
        <v>13744</v>
      </c>
      <c r="AC59" s="197"/>
      <c r="AD59" s="283"/>
      <c r="AE59" s="197"/>
      <c r="AF59" s="345"/>
      <c r="AG59" s="284">
        <f t="shared" ref="AG59:AG60" si="252">IF( SUM( AI59:BC59 ) = 0, 0, $AI$9 )</f>
        <v>0</v>
      </c>
      <c r="AH59" s="1116"/>
      <c r="AI59" s="285">
        <f xml:space="preserve"> IF( ISNUMBER(F59), 0, 1 )</f>
        <v>0</v>
      </c>
      <c r="AJ59" s="285">
        <f t="shared" ref="AJ59:AJ60" si="253" xml:space="preserve"> IF( ISNUMBER(G59), 0, 1 )</f>
        <v>0</v>
      </c>
      <c r="AK59" s="285">
        <f t="shared" ref="AK59:AK60" si="254" xml:space="preserve"> IF( ISNUMBER(H59), 0, 1 )</f>
        <v>0</v>
      </c>
      <c r="AL59" s="285">
        <f t="shared" ref="AL59:AL60" si="255" xml:space="preserve"> IF( ISNUMBER(I59), 0, 1 )</f>
        <v>0</v>
      </c>
      <c r="AM59" s="285">
        <f t="shared" ref="AM59:AM60" si="256" xml:space="preserve"> IF( ISNUMBER(J59), 0, 1 )</f>
        <v>0</v>
      </c>
      <c r="AN59" s="285">
        <f t="shared" ref="AN59:AN60" si="257" xml:space="preserve"> IF( ISNUMBER(K59), 0, 1 )</f>
        <v>0</v>
      </c>
      <c r="AO59" s="285">
        <f t="shared" ref="AO59:AO60" si="258" xml:space="preserve"> IF( ISNUMBER(L59), 0, 1 )</f>
        <v>0</v>
      </c>
      <c r="AP59" s="285">
        <f t="shared" ref="AP59:AP60" si="259" xml:space="preserve"> IF( ISNUMBER(M59), 0, 1 )</f>
        <v>0</v>
      </c>
      <c r="AQ59" s="200"/>
      <c r="AR59" s="285">
        <f xml:space="preserve"> IF( ISNUMBER(O59), 0, 1 )</f>
        <v>0</v>
      </c>
      <c r="AS59" s="285">
        <f t="shared" ref="AS59:AS60" si="260" xml:space="preserve"> IF( ISNUMBER(P59), 0, 1 )</f>
        <v>0</v>
      </c>
      <c r="AT59" s="285">
        <f t="shared" ref="AT59:AT60" si="261" xml:space="preserve"> IF( ISNUMBER(Q59), 0, 1 )</f>
        <v>0</v>
      </c>
      <c r="AU59" s="285">
        <f t="shared" ref="AU59:AU60" si="262" xml:space="preserve"> IF( ISNUMBER(R59), 0, 1 )</f>
        <v>0</v>
      </c>
      <c r="AV59" s="285">
        <f t="shared" ref="AV59:AV60" si="263" xml:space="preserve"> IF( ISNUMBER(S59), 0, 1 )</f>
        <v>0</v>
      </c>
      <c r="AW59" s="285">
        <f t="shared" ref="AW59:AW60" si="264" xml:space="preserve"> IF( ISNUMBER(T59), 0, 1 )</f>
        <v>0</v>
      </c>
      <c r="AX59" s="285">
        <f t="shared" ref="AX59:AX60" si="265" xml:space="preserve"> IF( ISNUMBER(U59), 0, 1 )</f>
        <v>0</v>
      </c>
      <c r="AY59" s="285">
        <f t="shared" ref="AY59:AY60" si="266" xml:space="preserve"> IF( ISNUMBER(V59), 0, 1 )</f>
        <v>0</v>
      </c>
      <c r="AZ59" s="200"/>
      <c r="BA59" s="200"/>
      <c r="BB59" s="200"/>
      <c r="BC59" s="200"/>
      <c r="BD59" s="363"/>
      <c r="BF59" s="451" t="s">
        <v>13743</v>
      </c>
      <c r="BG59" s="1063" t="s">
        <v>3630</v>
      </c>
      <c r="BH59" s="278" t="s">
        <v>13745</v>
      </c>
      <c r="BI59" s="278" t="s">
        <v>13746</v>
      </c>
      <c r="BJ59" s="278" t="s">
        <v>13747</v>
      </c>
      <c r="BK59" s="278" t="s">
        <v>13748</v>
      </c>
      <c r="BL59" s="278" t="s">
        <v>13749</v>
      </c>
      <c r="BM59" s="278" t="s">
        <v>13750</v>
      </c>
      <c r="BN59" s="278" t="s">
        <v>13751</v>
      </c>
      <c r="BO59" s="278" t="s">
        <v>13752</v>
      </c>
      <c r="BP59" s="279" t="s">
        <v>13753</v>
      </c>
      <c r="BQ59" s="278" t="s">
        <v>13754</v>
      </c>
      <c r="BR59" s="278" t="s">
        <v>13755</v>
      </c>
      <c r="BS59" s="278" t="s">
        <v>13756</v>
      </c>
      <c r="BT59" s="278" t="s">
        <v>13757</v>
      </c>
      <c r="BU59" s="278" t="s">
        <v>13758</v>
      </c>
      <c r="BV59" s="278" t="s">
        <v>13759</v>
      </c>
      <c r="BW59" s="278" t="s">
        <v>13760</v>
      </c>
      <c r="BX59" s="278" t="s">
        <v>13761</v>
      </c>
      <c r="BY59" s="279" t="s">
        <v>13762</v>
      </c>
      <c r="BZ59" s="667"/>
      <c r="CA59" s="667"/>
      <c r="CB59" s="743"/>
    </row>
    <row r="60" spans="1:80" ht="33" customHeight="1">
      <c r="A60" s="197"/>
      <c r="B60" s="792" t="s">
        <v>13743</v>
      </c>
      <c r="C60" s="2355" t="s">
        <v>3631</v>
      </c>
      <c r="D60" s="325" t="s">
        <v>681</v>
      </c>
      <c r="E60" s="325">
        <v>3</v>
      </c>
      <c r="F60" s="751">
        <v>0</v>
      </c>
      <c r="G60" s="751">
        <v>0</v>
      </c>
      <c r="H60" s="751">
        <v>0</v>
      </c>
      <c r="I60" s="751">
        <v>7.0000000000000001E-3</v>
      </c>
      <c r="J60" s="751">
        <v>0</v>
      </c>
      <c r="K60" s="751">
        <v>0</v>
      </c>
      <c r="L60" s="751">
        <v>0</v>
      </c>
      <c r="M60" s="751">
        <v>0</v>
      </c>
      <c r="N60" s="312">
        <f t="shared" ref="N60:N96" si="267">IFERROR(SUM(F60:M60), 0)</f>
        <v>7.0000000000000001E-3</v>
      </c>
      <c r="O60" s="751">
        <v>0</v>
      </c>
      <c r="P60" s="751">
        <v>0</v>
      </c>
      <c r="Q60" s="751">
        <v>0</v>
      </c>
      <c r="R60" s="751">
        <v>0</v>
      </c>
      <c r="S60" s="751">
        <v>0</v>
      </c>
      <c r="T60" s="751">
        <v>0</v>
      </c>
      <c r="U60" s="751">
        <v>0</v>
      </c>
      <c r="V60" s="751">
        <v>0</v>
      </c>
      <c r="W60" s="312">
        <f t="shared" si="251"/>
        <v>0</v>
      </c>
      <c r="X60" s="2383"/>
      <c r="Y60" s="2383"/>
      <c r="Z60" s="2384"/>
      <c r="AA60" s="859"/>
      <c r="AB60" s="795" t="s">
        <v>13763</v>
      </c>
      <c r="AC60" s="197"/>
      <c r="AD60" s="291"/>
      <c r="AE60" s="197"/>
      <c r="AF60" s="345"/>
      <c r="AG60" s="284">
        <f t="shared" si="252"/>
        <v>0</v>
      </c>
      <c r="AH60" s="1057"/>
      <c r="AI60" s="285">
        <f t="shared" ref="AI60" si="268" xml:space="preserve"> IF( ISNUMBER(F60), 0, 1 )</f>
        <v>0</v>
      </c>
      <c r="AJ60" s="285">
        <f t="shared" si="253"/>
        <v>0</v>
      </c>
      <c r="AK60" s="285">
        <f t="shared" si="254"/>
        <v>0</v>
      </c>
      <c r="AL60" s="285">
        <f t="shared" si="255"/>
        <v>0</v>
      </c>
      <c r="AM60" s="285">
        <f t="shared" si="256"/>
        <v>0</v>
      </c>
      <c r="AN60" s="285">
        <f t="shared" si="257"/>
        <v>0</v>
      </c>
      <c r="AO60" s="285">
        <f t="shared" si="258"/>
        <v>0</v>
      </c>
      <c r="AP60" s="285">
        <f t="shared" si="259"/>
        <v>0</v>
      </c>
      <c r="AQ60" s="200"/>
      <c r="AR60" s="285">
        <f t="shared" ref="AR60" si="269" xml:space="preserve"> IF( ISNUMBER(O60), 0, 1 )</f>
        <v>0</v>
      </c>
      <c r="AS60" s="285">
        <f t="shared" si="260"/>
        <v>0</v>
      </c>
      <c r="AT60" s="285">
        <f t="shared" si="261"/>
        <v>0</v>
      </c>
      <c r="AU60" s="285">
        <f t="shared" si="262"/>
        <v>0</v>
      </c>
      <c r="AV60" s="285">
        <f t="shared" si="263"/>
        <v>0</v>
      </c>
      <c r="AW60" s="285">
        <f t="shared" si="264"/>
        <v>0</v>
      </c>
      <c r="AX60" s="285">
        <f t="shared" si="265"/>
        <v>0</v>
      </c>
      <c r="AY60" s="285">
        <f t="shared" si="266"/>
        <v>0</v>
      </c>
      <c r="AZ60" s="200"/>
      <c r="BA60" s="200"/>
      <c r="BB60" s="200"/>
      <c r="BC60" s="200"/>
      <c r="BD60" s="363"/>
      <c r="BF60" s="460" t="s">
        <v>13743</v>
      </c>
      <c r="BG60" s="354" t="s">
        <v>3631</v>
      </c>
      <c r="BH60" s="287" t="s">
        <v>13764</v>
      </c>
      <c r="BI60" s="287" t="s">
        <v>13765</v>
      </c>
      <c r="BJ60" s="287" t="s">
        <v>13766</v>
      </c>
      <c r="BK60" s="287" t="s">
        <v>13767</v>
      </c>
      <c r="BL60" s="287" t="s">
        <v>13768</v>
      </c>
      <c r="BM60" s="287" t="s">
        <v>13769</v>
      </c>
      <c r="BN60" s="287" t="s">
        <v>13770</v>
      </c>
      <c r="BO60" s="287" t="s">
        <v>13771</v>
      </c>
      <c r="BP60" s="288" t="s">
        <v>13772</v>
      </c>
      <c r="BQ60" s="287" t="s">
        <v>13773</v>
      </c>
      <c r="BR60" s="287" t="s">
        <v>13774</v>
      </c>
      <c r="BS60" s="287" t="s">
        <v>13775</v>
      </c>
      <c r="BT60" s="287" t="s">
        <v>13776</v>
      </c>
      <c r="BU60" s="287" t="s">
        <v>13777</v>
      </c>
      <c r="BV60" s="287" t="s">
        <v>13778</v>
      </c>
      <c r="BW60" s="287" t="s">
        <v>13779</v>
      </c>
      <c r="BX60" s="287" t="s">
        <v>13780</v>
      </c>
      <c r="BY60" s="288" t="s">
        <v>13781</v>
      </c>
      <c r="BZ60" s="744"/>
      <c r="CA60" s="744"/>
      <c r="CB60" s="745"/>
    </row>
    <row r="61" spans="1:80" ht="33" customHeight="1">
      <c r="A61" s="197"/>
      <c r="B61" s="792" t="s">
        <v>13743</v>
      </c>
      <c r="C61" s="2355" t="s">
        <v>3632</v>
      </c>
      <c r="D61" s="325" t="s">
        <v>681</v>
      </c>
      <c r="E61" s="325">
        <v>3</v>
      </c>
      <c r="F61" s="312">
        <f>IFERROR(SUM(F59:F60), 0)</f>
        <v>0</v>
      </c>
      <c r="G61" s="312">
        <f t="shared" ref="G61:M61" si="270">IFERROR(SUM(G59:G60), 0)</f>
        <v>0</v>
      </c>
      <c r="H61" s="312">
        <f t="shared" si="270"/>
        <v>0</v>
      </c>
      <c r="I61" s="312">
        <f t="shared" si="270"/>
        <v>4.4619999999999997</v>
      </c>
      <c r="J61" s="312">
        <f t="shared" si="270"/>
        <v>0</v>
      </c>
      <c r="K61" s="312">
        <f t="shared" si="270"/>
        <v>0</v>
      </c>
      <c r="L61" s="312">
        <f t="shared" si="270"/>
        <v>0</v>
      </c>
      <c r="M61" s="312">
        <f t="shared" si="270"/>
        <v>0</v>
      </c>
      <c r="N61" s="312">
        <f>IFERROR(SUM(F61:M61), 0)</f>
        <v>4.4619999999999997</v>
      </c>
      <c r="O61" s="312">
        <f>IFERROR(SUM(O59:O60), 0)</f>
        <v>0</v>
      </c>
      <c r="P61" s="312">
        <f t="shared" ref="P61:V61" si="271">IFERROR(SUM(P59:P60), 0)</f>
        <v>0</v>
      </c>
      <c r="Q61" s="312">
        <f t="shared" si="271"/>
        <v>0</v>
      </c>
      <c r="R61" s="312">
        <f t="shared" si="271"/>
        <v>4.9809999999999999</v>
      </c>
      <c r="S61" s="312">
        <f t="shared" si="271"/>
        <v>0</v>
      </c>
      <c r="T61" s="312">
        <f t="shared" si="271"/>
        <v>0</v>
      </c>
      <c r="U61" s="312">
        <f t="shared" si="271"/>
        <v>0</v>
      </c>
      <c r="V61" s="312">
        <f t="shared" si="271"/>
        <v>0</v>
      </c>
      <c r="W61" s="312">
        <f t="shared" si="251"/>
        <v>4.9809999999999999</v>
      </c>
      <c r="X61" s="2383"/>
      <c r="Y61" s="2383"/>
      <c r="Z61" s="2384"/>
      <c r="AA61" s="349"/>
      <c r="AB61" s="795" t="s">
        <v>13782</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13743</v>
      </c>
      <c r="BG61" s="354" t="s">
        <v>3632</v>
      </c>
      <c r="BH61" s="288" t="s">
        <v>13783</v>
      </c>
      <c r="BI61" s="288" t="s">
        <v>13784</v>
      </c>
      <c r="BJ61" s="288" t="s">
        <v>13785</v>
      </c>
      <c r="BK61" s="288" t="s">
        <v>13786</v>
      </c>
      <c r="BL61" s="288" t="s">
        <v>13787</v>
      </c>
      <c r="BM61" s="288" t="s">
        <v>13788</v>
      </c>
      <c r="BN61" s="288" t="s">
        <v>13789</v>
      </c>
      <c r="BO61" s="288" t="s">
        <v>13790</v>
      </c>
      <c r="BP61" s="288" t="s">
        <v>13791</v>
      </c>
      <c r="BQ61" s="288" t="s">
        <v>13792</v>
      </c>
      <c r="BR61" s="288" t="s">
        <v>13793</v>
      </c>
      <c r="BS61" s="288" t="s">
        <v>13794</v>
      </c>
      <c r="BT61" s="288" t="s">
        <v>13795</v>
      </c>
      <c r="BU61" s="288" t="s">
        <v>13796</v>
      </c>
      <c r="BV61" s="288" t="s">
        <v>13797</v>
      </c>
      <c r="BW61" s="288" t="s">
        <v>13798</v>
      </c>
      <c r="BX61" s="288" t="s">
        <v>13799</v>
      </c>
      <c r="BY61" s="288" t="s">
        <v>13800</v>
      </c>
      <c r="BZ61" s="744"/>
      <c r="CA61" s="744"/>
      <c r="CB61" s="745"/>
    </row>
    <row r="62" spans="1:80" ht="15.75" customHeight="1">
      <c r="A62" s="197"/>
      <c r="B62" s="792" t="s">
        <v>13801</v>
      </c>
      <c r="C62" s="2355" t="s">
        <v>3630</v>
      </c>
      <c r="D62" s="325" t="s">
        <v>681</v>
      </c>
      <c r="E62" s="325">
        <v>3</v>
      </c>
      <c r="F62" s="751">
        <v>0.33100000000000002</v>
      </c>
      <c r="G62" s="751">
        <v>0.55100000000000005</v>
      </c>
      <c r="H62" s="751">
        <v>0.29699999999999999</v>
      </c>
      <c r="I62" s="751">
        <v>0</v>
      </c>
      <c r="J62" s="751">
        <v>0</v>
      </c>
      <c r="K62" s="751">
        <v>0</v>
      </c>
      <c r="L62" s="751">
        <v>0</v>
      </c>
      <c r="M62" s="751">
        <v>0</v>
      </c>
      <c r="N62" s="312">
        <f t="shared" si="267"/>
        <v>1.179</v>
      </c>
      <c r="O62" s="751">
        <v>0.28599999999999998</v>
      </c>
      <c r="P62" s="751">
        <v>0.47499999999999998</v>
      </c>
      <c r="Q62" s="751">
        <v>0.25600000000000001</v>
      </c>
      <c r="R62" s="751">
        <v>0</v>
      </c>
      <c r="S62" s="751">
        <v>0</v>
      </c>
      <c r="T62" s="751">
        <v>0</v>
      </c>
      <c r="U62" s="751">
        <v>0</v>
      </c>
      <c r="V62" s="751">
        <v>0</v>
      </c>
      <c r="W62" s="312">
        <f t="shared" si="251"/>
        <v>1.0169999999999999</v>
      </c>
      <c r="X62" s="2383"/>
      <c r="Y62" s="2383"/>
      <c r="Z62" s="2384"/>
      <c r="AA62" s="349"/>
      <c r="AB62" s="795" t="s">
        <v>13802</v>
      </c>
      <c r="AC62" s="197"/>
      <c r="AD62" s="291"/>
      <c r="AE62" s="197"/>
      <c r="AF62" s="345"/>
      <c r="AG62" s="284">
        <f t="shared" ref="AG62:AG63" si="272">IF( SUM( AI62:BC62 ) = 0, 0, $AI$9 )</f>
        <v>0</v>
      </c>
      <c r="AH62" s="1116"/>
      <c r="AI62" s="285">
        <f xml:space="preserve"> IF( ISNUMBER(F62), 0, 1 )</f>
        <v>0</v>
      </c>
      <c r="AJ62" s="285">
        <f t="shared" ref="AJ62:AJ63" si="273" xml:space="preserve"> IF( ISNUMBER(G62), 0, 1 )</f>
        <v>0</v>
      </c>
      <c r="AK62" s="285">
        <f t="shared" ref="AK62:AK63" si="274" xml:space="preserve"> IF( ISNUMBER(H62), 0, 1 )</f>
        <v>0</v>
      </c>
      <c r="AL62" s="285">
        <f t="shared" ref="AL62:AL63" si="275" xml:space="preserve"> IF( ISNUMBER(I62), 0, 1 )</f>
        <v>0</v>
      </c>
      <c r="AM62" s="285">
        <f t="shared" ref="AM62:AM63" si="276" xml:space="preserve"> IF( ISNUMBER(J62), 0, 1 )</f>
        <v>0</v>
      </c>
      <c r="AN62" s="285">
        <f t="shared" ref="AN62:AN63" si="277" xml:space="preserve"> IF( ISNUMBER(K62), 0, 1 )</f>
        <v>0</v>
      </c>
      <c r="AO62" s="285">
        <f t="shared" ref="AO62:AO63" si="278" xml:space="preserve"> IF( ISNUMBER(L62), 0, 1 )</f>
        <v>0</v>
      </c>
      <c r="AP62" s="285">
        <f t="shared" ref="AP62:AP63" si="279" xml:space="preserve"> IF( ISNUMBER(M62), 0, 1 )</f>
        <v>0</v>
      </c>
      <c r="AQ62" s="200"/>
      <c r="AR62" s="285">
        <f xml:space="preserve"> IF( ISNUMBER(O62), 0, 1 )</f>
        <v>0</v>
      </c>
      <c r="AS62" s="285">
        <f t="shared" ref="AS62:AS63" si="280" xml:space="preserve"> IF( ISNUMBER(P62), 0, 1 )</f>
        <v>0</v>
      </c>
      <c r="AT62" s="285">
        <f t="shared" ref="AT62:AT63" si="281" xml:space="preserve"> IF( ISNUMBER(Q62), 0, 1 )</f>
        <v>0</v>
      </c>
      <c r="AU62" s="285">
        <f t="shared" ref="AU62:AU63" si="282" xml:space="preserve"> IF( ISNUMBER(R62), 0, 1 )</f>
        <v>0</v>
      </c>
      <c r="AV62" s="285">
        <f t="shared" ref="AV62:AV63" si="283" xml:space="preserve"> IF( ISNUMBER(S62), 0, 1 )</f>
        <v>0</v>
      </c>
      <c r="AW62" s="285">
        <f t="shared" ref="AW62:AW63" si="284" xml:space="preserve"> IF( ISNUMBER(T62), 0, 1 )</f>
        <v>0</v>
      </c>
      <c r="AX62" s="285">
        <f t="shared" ref="AX62:AX63" si="285" xml:space="preserve"> IF( ISNUMBER(U62), 0, 1 )</f>
        <v>0</v>
      </c>
      <c r="AY62" s="285">
        <f t="shared" ref="AY62:AY63" si="286" xml:space="preserve"> IF( ISNUMBER(V62), 0, 1 )</f>
        <v>0</v>
      </c>
      <c r="AZ62" s="200"/>
      <c r="BA62" s="200"/>
      <c r="BB62" s="200"/>
      <c r="BC62" s="200"/>
      <c r="BD62" s="363"/>
      <c r="BF62" s="460" t="s">
        <v>13801</v>
      </c>
      <c r="BG62" s="354" t="s">
        <v>3630</v>
      </c>
      <c r="BH62" s="287" t="s">
        <v>13803</v>
      </c>
      <c r="BI62" s="287" t="s">
        <v>13804</v>
      </c>
      <c r="BJ62" s="287" t="s">
        <v>13805</v>
      </c>
      <c r="BK62" s="287" t="s">
        <v>13806</v>
      </c>
      <c r="BL62" s="287" t="s">
        <v>13807</v>
      </c>
      <c r="BM62" s="287" t="s">
        <v>13808</v>
      </c>
      <c r="BN62" s="287" t="s">
        <v>13809</v>
      </c>
      <c r="BO62" s="287" t="s">
        <v>13810</v>
      </c>
      <c r="BP62" s="288" t="s">
        <v>13811</v>
      </c>
      <c r="BQ62" s="287" t="s">
        <v>13812</v>
      </c>
      <c r="BR62" s="287" t="s">
        <v>13813</v>
      </c>
      <c r="BS62" s="287" t="s">
        <v>13814</v>
      </c>
      <c r="BT62" s="287" t="s">
        <v>13815</v>
      </c>
      <c r="BU62" s="287" t="s">
        <v>13816</v>
      </c>
      <c r="BV62" s="287" t="s">
        <v>13817</v>
      </c>
      <c r="BW62" s="287" t="s">
        <v>13818</v>
      </c>
      <c r="BX62" s="287" t="s">
        <v>13819</v>
      </c>
      <c r="BY62" s="288" t="s">
        <v>13820</v>
      </c>
      <c r="BZ62" s="744"/>
      <c r="CA62" s="744"/>
      <c r="CB62" s="745"/>
    </row>
    <row r="63" spans="1:80" ht="15.75" customHeight="1">
      <c r="A63" s="197"/>
      <c r="B63" s="792" t="s">
        <v>13801</v>
      </c>
      <c r="C63" s="2355" t="s">
        <v>3631</v>
      </c>
      <c r="D63" s="325" t="s">
        <v>681</v>
      </c>
      <c r="E63" s="325">
        <v>3</v>
      </c>
      <c r="F63" s="751">
        <v>0</v>
      </c>
      <c r="G63" s="751">
        <v>0</v>
      </c>
      <c r="H63" s="751">
        <v>0</v>
      </c>
      <c r="I63" s="751">
        <v>0</v>
      </c>
      <c r="J63" s="751">
        <v>0</v>
      </c>
      <c r="K63" s="751">
        <v>0</v>
      </c>
      <c r="L63" s="751">
        <v>0</v>
      </c>
      <c r="M63" s="751">
        <v>0</v>
      </c>
      <c r="N63" s="312">
        <f>IFERROR(SUM(F63:M63), 0)</f>
        <v>0</v>
      </c>
      <c r="O63" s="751">
        <v>0</v>
      </c>
      <c r="P63" s="751">
        <v>0</v>
      </c>
      <c r="Q63" s="751">
        <v>0</v>
      </c>
      <c r="R63" s="751">
        <v>0</v>
      </c>
      <c r="S63" s="751">
        <v>0</v>
      </c>
      <c r="T63" s="751">
        <v>0</v>
      </c>
      <c r="U63" s="751">
        <v>0</v>
      </c>
      <c r="V63" s="751">
        <v>0</v>
      </c>
      <c r="W63" s="312">
        <f t="shared" si="251"/>
        <v>0</v>
      </c>
      <c r="X63" s="2383"/>
      <c r="Y63" s="2383"/>
      <c r="Z63" s="2384"/>
      <c r="AA63" s="349"/>
      <c r="AB63" s="795" t="s">
        <v>13821</v>
      </c>
      <c r="AC63" s="197"/>
      <c r="AD63" s="291"/>
      <c r="AE63" s="197"/>
      <c r="AF63" s="345"/>
      <c r="AG63" s="284">
        <f t="shared" si="272"/>
        <v>0</v>
      </c>
      <c r="AH63" s="1057"/>
      <c r="AI63" s="285">
        <f t="shared" ref="AI63" si="287" xml:space="preserve"> IF( ISNUMBER(F63), 0, 1 )</f>
        <v>0</v>
      </c>
      <c r="AJ63" s="285">
        <f t="shared" si="273"/>
        <v>0</v>
      </c>
      <c r="AK63" s="285">
        <f t="shared" si="274"/>
        <v>0</v>
      </c>
      <c r="AL63" s="285">
        <f t="shared" si="275"/>
        <v>0</v>
      </c>
      <c r="AM63" s="285">
        <f t="shared" si="276"/>
        <v>0</v>
      </c>
      <c r="AN63" s="285">
        <f t="shared" si="277"/>
        <v>0</v>
      </c>
      <c r="AO63" s="285">
        <f t="shared" si="278"/>
        <v>0</v>
      </c>
      <c r="AP63" s="285">
        <f t="shared" si="279"/>
        <v>0</v>
      </c>
      <c r="AQ63" s="200"/>
      <c r="AR63" s="285">
        <f t="shared" ref="AR63" si="288" xml:space="preserve"> IF( ISNUMBER(O63), 0, 1 )</f>
        <v>0</v>
      </c>
      <c r="AS63" s="285">
        <f t="shared" si="280"/>
        <v>0</v>
      </c>
      <c r="AT63" s="285">
        <f t="shared" si="281"/>
        <v>0</v>
      </c>
      <c r="AU63" s="285">
        <f t="shared" si="282"/>
        <v>0</v>
      </c>
      <c r="AV63" s="285">
        <f t="shared" si="283"/>
        <v>0</v>
      </c>
      <c r="AW63" s="285">
        <f t="shared" si="284"/>
        <v>0</v>
      </c>
      <c r="AX63" s="285">
        <f t="shared" si="285"/>
        <v>0</v>
      </c>
      <c r="AY63" s="285">
        <f t="shared" si="286"/>
        <v>0</v>
      </c>
      <c r="AZ63" s="200"/>
      <c r="BA63" s="200"/>
      <c r="BB63" s="200"/>
      <c r="BC63" s="200"/>
      <c r="BD63" s="363"/>
      <c r="BF63" s="460" t="s">
        <v>13801</v>
      </c>
      <c r="BG63" s="354" t="s">
        <v>3631</v>
      </c>
      <c r="BH63" s="287" t="s">
        <v>13822</v>
      </c>
      <c r="BI63" s="287" t="s">
        <v>13823</v>
      </c>
      <c r="BJ63" s="287" t="s">
        <v>13824</v>
      </c>
      <c r="BK63" s="287" t="s">
        <v>13825</v>
      </c>
      <c r="BL63" s="287" t="s">
        <v>13826</v>
      </c>
      <c r="BM63" s="287" t="s">
        <v>13827</v>
      </c>
      <c r="BN63" s="287" t="s">
        <v>13828</v>
      </c>
      <c r="BO63" s="287" t="s">
        <v>13829</v>
      </c>
      <c r="BP63" s="288" t="s">
        <v>13830</v>
      </c>
      <c r="BQ63" s="287" t="s">
        <v>13831</v>
      </c>
      <c r="BR63" s="287" t="s">
        <v>13832</v>
      </c>
      <c r="BS63" s="287" t="s">
        <v>13833</v>
      </c>
      <c r="BT63" s="287" t="s">
        <v>13834</v>
      </c>
      <c r="BU63" s="287" t="s">
        <v>13835</v>
      </c>
      <c r="BV63" s="287" t="s">
        <v>13836</v>
      </c>
      <c r="BW63" s="287" t="s">
        <v>13837</v>
      </c>
      <c r="BX63" s="287" t="s">
        <v>13838</v>
      </c>
      <c r="BY63" s="288" t="s">
        <v>13839</v>
      </c>
      <c r="BZ63" s="744"/>
      <c r="CA63" s="744"/>
      <c r="CB63" s="745"/>
    </row>
    <row r="64" spans="1:80" ht="15.75" customHeight="1">
      <c r="A64" s="197"/>
      <c r="B64" s="792" t="s">
        <v>13801</v>
      </c>
      <c r="C64" s="2355" t="s">
        <v>3632</v>
      </c>
      <c r="D64" s="325" t="s">
        <v>681</v>
      </c>
      <c r="E64" s="325">
        <v>3</v>
      </c>
      <c r="F64" s="312">
        <f>IFERROR(SUM(F62:F63), 0)</f>
        <v>0.33100000000000002</v>
      </c>
      <c r="G64" s="312">
        <f t="shared" ref="G64:M64" si="289">IFERROR(SUM(G62:G63), 0)</f>
        <v>0.55100000000000005</v>
      </c>
      <c r="H64" s="312">
        <f t="shared" si="289"/>
        <v>0.29699999999999999</v>
      </c>
      <c r="I64" s="312">
        <f t="shared" si="289"/>
        <v>0</v>
      </c>
      <c r="J64" s="312">
        <f t="shared" si="289"/>
        <v>0</v>
      </c>
      <c r="K64" s="312">
        <f t="shared" si="289"/>
        <v>0</v>
      </c>
      <c r="L64" s="312">
        <f t="shared" si="289"/>
        <v>0</v>
      </c>
      <c r="M64" s="312">
        <f t="shared" si="289"/>
        <v>0</v>
      </c>
      <c r="N64" s="312">
        <f t="shared" si="267"/>
        <v>1.179</v>
      </c>
      <c r="O64" s="312">
        <f>IFERROR(SUM(O62:O63), 0)</f>
        <v>0.28599999999999998</v>
      </c>
      <c r="P64" s="312">
        <f t="shared" ref="P64:V64" si="290">IFERROR(SUM(P62:P63), 0)</f>
        <v>0.47499999999999998</v>
      </c>
      <c r="Q64" s="312">
        <f t="shared" si="290"/>
        <v>0.25600000000000001</v>
      </c>
      <c r="R64" s="312">
        <f t="shared" si="290"/>
        <v>0</v>
      </c>
      <c r="S64" s="312">
        <f t="shared" si="290"/>
        <v>0</v>
      </c>
      <c r="T64" s="312">
        <f t="shared" si="290"/>
        <v>0</v>
      </c>
      <c r="U64" s="312">
        <f t="shared" si="290"/>
        <v>0</v>
      </c>
      <c r="V64" s="312">
        <f t="shared" si="290"/>
        <v>0</v>
      </c>
      <c r="W64" s="312">
        <f t="shared" si="251"/>
        <v>1.0169999999999999</v>
      </c>
      <c r="X64" s="2383"/>
      <c r="Y64" s="2383"/>
      <c r="Z64" s="2384"/>
      <c r="AA64" s="349"/>
      <c r="AB64" s="795" t="s">
        <v>13840</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13801</v>
      </c>
      <c r="BG64" s="354" t="s">
        <v>3632</v>
      </c>
      <c r="BH64" s="288" t="s">
        <v>13841</v>
      </c>
      <c r="BI64" s="288" t="s">
        <v>13842</v>
      </c>
      <c r="BJ64" s="288" t="s">
        <v>13843</v>
      </c>
      <c r="BK64" s="288" t="s">
        <v>13844</v>
      </c>
      <c r="BL64" s="288" t="s">
        <v>13845</v>
      </c>
      <c r="BM64" s="288" t="s">
        <v>13846</v>
      </c>
      <c r="BN64" s="288" t="s">
        <v>13847</v>
      </c>
      <c r="BO64" s="288" t="s">
        <v>13848</v>
      </c>
      <c r="BP64" s="288" t="s">
        <v>13849</v>
      </c>
      <c r="BQ64" s="288" t="s">
        <v>13850</v>
      </c>
      <c r="BR64" s="288" t="s">
        <v>13851</v>
      </c>
      <c r="BS64" s="288" t="s">
        <v>13852</v>
      </c>
      <c r="BT64" s="288" t="s">
        <v>13853</v>
      </c>
      <c r="BU64" s="288" t="s">
        <v>13854</v>
      </c>
      <c r="BV64" s="288" t="s">
        <v>13855</v>
      </c>
      <c r="BW64" s="288" t="s">
        <v>13856</v>
      </c>
      <c r="BX64" s="288" t="s">
        <v>13857</v>
      </c>
      <c r="BY64" s="288" t="s">
        <v>13858</v>
      </c>
      <c r="BZ64" s="744"/>
      <c r="CA64" s="744"/>
      <c r="CB64" s="745"/>
    </row>
    <row r="65" spans="1:80" ht="15.75" customHeight="1">
      <c r="A65" s="197"/>
      <c r="B65" s="792" t="s">
        <v>13859</v>
      </c>
      <c r="C65" s="2355" t="s">
        <v>3630</v>
      </c>
      <c r="D65" s="325" t="s">
        <v>681</v>
      </c>
      <c r="E65" s="325">
        <v>3</v>
      </c>
      <c r="F65" s="751">
        <v>1.7999999999999999E-2</v>
      </c>
      <c r="G65" s="751">
        <v>0.03</v>
      </c>
      <c r="H65" s="751">
        <v>1.6E-2</v>
      </c>
      <c r="I65" s="751">
        <v>0</v>
      </c>
      <c r="J65" s="751">
        <v>0</v>
      </c>
      <c r="K65" s="751">
        <v>0</v>
      </c>
      <c r="L65" s="751">
        <v>0</v>
      </c>
      <c r="M65" s="751">
        <v>0</v>
      </c>
      <c r="N65" s="312">
        <f t="shared" si="267"/>
        <v>6.4000000000000001E-2</v>
      </c>
      <c r="O65" s="751">
        <v>0.39</v>
      </c>
      <c r="P65" s="751">
        <v>0.64700000000000002</v>
      </c>
      <c r="Q65" s="751">
        <v>0.34799999999999998</v>
      </c>
      <c r="R65" s="751">
        <v>0</v>
      </c>
      <c r="S65" s="751">
        <v>0</v>
      </c>
      <c r="T65" s="751">
        <v>0</v>
      </c>
      <c r="U65" s="751">
        <v>0</v>
      </c>
      <c r="V65" s="751">
        <v>0</v>
      </c>
      <c r="W65" s="312">
        <f t="shared" si="251"/>
        <v>1.3849999999999998</v>
      </c>
      <c r="X65" s="2383"/>
      <c r="Y65" s="2383"/>
      <c r="Z65" s="2384"/>
      <c r="AA65" s="349"/>
      <c r="AB65" s="795" t="s">
        <v>13860</v>
      </c>
      <c r="AC65" s="197"/>
      <c r="AD65" s="291"/>
      <c r="AE65" s="197"/>
      <c r="AF65" s="345"/>
      <c r="AG65" s="284">
        <f t="shared" ref="AG65:AG95" si="291">IF( SUM( AI65:BC65 ) = 0, 0, $AI$9 )</f>
        <v>0</v>
      </c>
      <c r="AH65" s="1116"/>
      <c r="AI65" s="285">
        <f xml:space="preserve"> IF( ISNUMBER(F65), 0, 1 )</f>
        <v>0</v>
      </c>
      <c r="AJ65" s="285">
        <f t="shared" ref="AJ65:AJ66" si="292" xml:space="preserve"> IF( ISNUMBER(G65), 0, 1 )</f>
        <v>0</v>
      </c>
      <c r="AK65" s="285">
        <f t="shared" ref="AK65:AK66" si="293" xml:space="preserve"> IF( ISNUMBER(H65), 0, 1 )</f>
        <v>0</v>
      </c>
      <c r="AL65" s="285">
        <f t="shared" ref="AL65:AL66" si="294" xml:space="preserve"> IF( ISNUMBER(I65), 0, 1 )</f>
        <v>0</v>
      </c>
      <c r="AM65" s="285">
        <f t="shared" ref="AM65:AM66" si="295" xml:space="preserve"> IF( ISNUMBER(J65), 0, 1 )</f>
        <v>0</v>
      </c>
      <c r="AN65" s="285">
        <f t="shared" ref="AN65:AN66" si="296" xml:space="preserve"> IF( ISNUMBER(K65), 0, 1 )</f>
        <v>0</v>
      </c>
      <c r="AO65" s="285">
        <f t="shared" ref="AO65:AO66" si="297" xml:space="preserve"> IF( ISNUMBER(L65), 0, 1 )</f>
        <v>0</v>
      </c>
      <c r="AP65" s="285">
        <f t="shared" ref="AP65:AP66" si="298" xml:space="preserve"> IF( ISNUMBER(M65), 0, 1 )</f>
        <v>0</v>
      </c>
      <c r="AQ65" s="200"/>
      <c r="AR65" s="285">
        <f xml:space="preserve"> IF( ISNUMBER(O65), 0, 1 )</f>
        <v>0</v>
      </c>
      <c r="AS65" s="285">
        <f t="shared" ref="AS65:AS66" si="299" xml:space="preserve"> IF( ISNUMBER(P65), 0, 1 )</f>
        <v>0</v>
      </c>
      <c r="AT65" s="285">
        <f t="shared" ref="AT65:AT66" si="300" xml:space="preserve"> IF( ISNUMBER(Q65), 0, 1 )</f>
        <v>0</v>
      </c>
      <c r="AU65" s="285">
        <f t="shared" ref="AU65:AU66" si="301" xml:space="preserve"> IF( ISNUMBER(R65), 0, 1 )</f>
        <v>0</v>
      </c>
      <c r="AV65" s="285">
        <f t="shared" ref="AV65:AV66" si="302" xml:space="preserve"> IF( ISNUMBER(S65), 0, 1 )</f>
        <v>0</v>
      </c>
      <c r="AW65" s="285">
        <f t="shared" ref="AW65:AW66" si="303" xml:space="preserve"> IF( ISNUMBER(T65), 0, 1 )</f>
        <v>0</v>
      </c>
      <c r="AX65" s="285">
        <f t="shared" ref="AX65:AX66" si="304" xml:space="preserve"> IF( ISNUMBER(U65), 0, 1 )</f>
        <v>0</v>
      </c>
      <c r="AY65" s="285">
        <f t="shared" ref="AY65:AY66" si="305" xml:space="preserve"> IF( ISNUMBER(V65), 0, 1 )</f>
        <v>0</v>
      </c>
      <c r="AZ65" s="200"/>
      <c r="BA65" s="200"/>
      <c r="BB65" s="200"/>
      <c r="BC65" s="200"/>
      <c r="BD65" s="363"/>
      <c r="BF65" s="460" t="s">
        <v>13859</v>
      </c>
      <c r="BG65" s="354" t="s">
        <v>3630</v>
      </c>
      <c r="BH65" s="287" t="s">
        <v>13861</v>
      </c>
      <c r="BI65" s="287" t="s">
        <v>13862</v>
      </c>
      <c r="BJ65" s="287" t="s">
        <v>13863</v>
      </c>
      <c r="BK65" s="287" t="s">
        <v>13864</v>
      </c>
      <c r="BL65" s="287" t="s">
        <v>13865</v>
      </c>
      <c r="BM65" s="287" t="s">
        <v>13866</v>
      </c>
      <c r="BN65" s="287" t="s">
        <v>13867</v>
      </c>
      <c r="BO65" s="287" t="s">
        <v>13868</v>
      </c>
      <c r="BP65" s="288" t="s">
        <v>13869</v>
      </c>
      <c r="BQ65" s="287" t="s">
        <v>13870</v>
      </c>
      <c r="BR65" s="287" t="s">
        <v>13871</v>
      </c>
      <c r="BS65" s="287" t="s">
        <v>13872</v>
      </c>
      <c r="BT65" s="287" t="s">
        <v>13873</v>
      </c>
      <c r="BU65" s="287" t="s">
        <v>13874</v>
      </c>
      <c r="BV65" s="287" t="s">
        <v>13875</v>
      </c>
      <c r="BW65" s="287" t="s">
        <v>13876</v>
      </c>
      <c r="BX65" s="287" t="s">
        <v>13877</v>
      </c>
      <c r="BY65" s="288" t="s">
        <v>13878</v>
      </c>
      <c r="BZ65" s="744"/>
      <c r="CA65" s="744"/>
      <c r="CB65" s="745"/>
    </row>
    <row r="66" spans="1:80" ht="15.75" customHeight="1">
      <c r="A66" s="197"/>
      <c r="B66" s="792" t="s">
        <v>13859</v>
      </c>
      <c r="C66" s="2355" t="s">
        <v>3631</v>
      </c>
      <c r="D66" s="325" t="s">
        <v>681</v>
      </c>
      <c r="E66" s="325">
        <v>3</v>
      </c>
      <c r="F66" s="751">
        <v>0</v>
      </c>
      <c r="G66" s="751">
        <v>0</v>
      </c>
      <c r="H66" s="751">
        <v>0</v>
      </c>
      <c r="I66" s="751">
        <v>0</v>
      </c>
      <c r="J66" s="751">
        <v>0</v>
      </c>
      <c r="K66" s="751">
        <v>0</v>
      </c>
      <c r="L66" s="751">
        <v>0</v>
      </c>
      <c r="M66" s="751">
        <v>0</v>
      </c>
      <c r="N66" s="312">
        <f t="shared" si="267"/>
        <v>0</v>
      </c>
      <c r="O66" s="751">
        <v>0</v>
      </c>
      <c r="P66" s="751">
        <v>0</v>
      </c>
      <c r="Q66" s="751">
        <v>0</v>
      </c>
      <c r="R66" s="751">
        <v>0</v>
      </c>
      <c r="S66" s="751">
        <v>0</v>
      </c>
      <c r="T66" s="751">
        <v>0</v>
      </c>
      <c r="U66" s="751">
        <v>0</v>
      </c>
      <c r="V66" s="751">
        <v>0</v>
      </c>
      <c r="W66" s="312">
        <f t="shared" si="251"/>
        <v>0</v>
      </c>
      <c r="X66" s="2383"/>
      <c r="Y66" s="2383"/>
      <c r="Z66" s="2384"/>
      <c r="AA66" s="349"/>
      <c r="AB66" s="795" t="s">
        <v>13879</v>
      </c>
      <c r="AC66" s="197"/>
      <c r="AD66" s="291"/>
      <c r="AE66" s="197"/>
      <c r="AF66" s="345"/>
      <c r="AG66" s="284">
        <f t="shared" si="291"/>
        <v>0</v>
      </c>
      <c r="AH66" s="1057"/>
      <c r="AI66" s="285">
        <f t="shared" ref="AI66" si="306" xml:space="preserve"> IF( ISNUMBER(F66), 0, 1 )</f>
        <v>0</v>
      </c>
      <c r="AJ66" s="285">
        <f t="shared" si="292"/>
        <v>0</v>
      </c>
      <c r="AK66" s="285">
        <f t="shared" si="293"/>
        <v>0</v>
      </c>
      <c r="AL66" s="285">
        <f t="shared" si="294"/>
        <v>0</v>
      </c>
      <c r="AM66" s="285">
        <f t="shared" si="295"/>
        <v>0</v>
      </c>
      <c r="AN66" s="285">
        <f t="shared" si="296"/>
        <v>0</v>
      </c>
      <c r="AO66" s="285">
        <f t="shared" si="297"/>
        <v>0</v>
      </c>
      <c r="AP66" s="285">
        <f t="shared" si="298"/>
        <v>0</v>
      </c>
      <c r="AQ66" s="200"/>
      <c r="AR66" s="285">
        <f t="shared" ref="AR66" si="307" xml:space="preserve"> IF( ISNUMBER(O66), 0, 1 )</f>
        <v>0</v>
      </c>
      <c r="AS66" s="285">
        <f t="shared" si="299"/>
        <v>0</v>
      </c>
      <c r="AT66" s="285">
        <f t="shared" si="300"/>
        <v>0</v>
      </c>
      <c r="AU66" s="285">
        <f t="shared" si="301"/>
        <v>0</v>
      </c>
      <c r="AV66" s="285">
        <f t="shared" si="302"/>
        <v>0</v>
      </c>
      <c r="AW66" s="285">
        <f t="shared" si="303"/>
        <v>0</v>
      </c>
      <c r="AX66" s="285">
        <f t="shared" si="304"/>
        <v>0</v>
      </c>
      <c r="AY66" s="285">
        <f t="shared" si="305"/>
        <v>0</v>
      </c>
      <c r="AZ66" s="200"/>
      <c r="BA66" s="200"/>
      <c r="BB66" s="200"/>
      <c r="BC66" s="200"/>
      <c r="BD66" s="363"/>
      <c r="BF66" s="460" t="s">
        <v>13859</v>
      </c>
      <c r="BG66" s="354" t="s">
        <v>3631</v>
      </c>
      <c r="BH66" s="287" t="s">
        <v>13880</v>
      </c>
      <c r="BI66" s="287" t="s">
        <v>13881</v>
      </c>
      <c r="BJ66" s="287" t="s">
        <v>13882</v>
      </c>
      <c r="BK66" s="287" t="s">
        <v>13883</v>
      </c>
      <c r="BL66" s="287" t="s">
        <v>13884</v>
      </c>
      <c r="BM66" s="287" t="s">
        <v>13885</v>
      </c>
      <c r="BN66" s="287" t="s">
        <v>13886</v>
      </c>
      <c r="BO66" s="287" t="s">
        <v>13887</v>
      </c>
      <c r="BP66" s="288" t="s">
        <v>13888</v>
      </c>
      <c r="BQ66" s="287" t="s">
        <v>13889</v>
      </c>
      <c r="BR66" s="287" t="s">
        <v>13890</v>
      </c>
      <c r="BS66" s="287" t="s">
        <v>13891</v>
      </c>
      <c r="BT66" s="287" t="s">
        <v>13892</v>
      </c>
      <c r="BU66" s="287" t="s">
        <v>13893</v>
      </c>
      <c r="BV66" s="287" t="s">
        <v>13894</v>
      </c>
      <c r="BW66" s="287" t="s">
        <v>13895</v>
      </c>
      <c r="BX66" s="287" t="s">
        <v>13896</v>
      </c>
      <c r="BY66" s="288" t="s">
        <v>13897</v>
      </c>
      <c r="BZ66" s="744"/>
      <c r="CA66" s="744"/>
      <c r="CB66" s="745"/>
    </row>
    <row r="67" spans="1:80" ht="15.75" customHeight="1">
      <c r="A67" s="197"/>
      <c r="B67" s="792" t="s">
        <v>13859</v>
      </c>
      <c r="C67" s="2355" t="s">
        <v>3632</v>
      </c>
      <c r="D67" s="325" t="s">
        <v>681</v>
      </c>
      <c r="E67" s="325">
        <v>3</v>
      </c>
      <c r="F67" s="312">
        <f>IFERROR(SUM(F65:F66), 0)</f>
        <v>1.7999999999999999E-2</v>
      </c>
      <c r="G67" s="312">
        <f t="shared" ref="G67:M67" si="308">IFERROR(SUM(G65:G66), 0)</f>
        <v>0.03</v>
      </c>
      <c r="H67" s="312">
        <f t="shared" si="308"/>
        <v>1.6E-2</v>
      </c>
      <c r="I67" s="312">
        <f t="shared" si="308"/>
        <v>0</v>
      </c>
      <c r="J67" s="312">
        <f t="shared" si="308"/>
        <v>0</v>
      </c>
      <c r="K67" s="312">
        <f t="shared" si="308"/>
        <v>0</v>
      </c>
      <c r="L67" s="312">
        <f t="shared" si="308"/>
        <v>0</v>
      </c>
      <c r="M67" s="312">
        <f t="shared" si="308"/>
        <v>0</v>
      </c>
      <c r="N67" s="312">
        <f t="shared" si="267"/>
        <v>6.4000000000000001E-2</v>
      </c>
      <c r="O67" s="312">
        <f>IFERROR(SUM(O65:O66), 0)</f>
        <v>0.39</v>
      </c>
      <c r="P67" s="312">
        <f t="shared" ref="P67:V67" si="309">IFERROR(SUM(P65:P66), 0)</f>
        <v>0.64700000000000002</v>
      </c>
      <c r="Q67" s="312">
        <f t="shared" si="309"/>
        <v>0.34799999999999998</v>
      </c>
      <c r="R67" s="312">
        <f t="shared" si="309"/>
        <v>0</v>
      </c>
      <c r="S67" s="312">
        <f t="shared" si="309"/>
        <v>0</v>
      </c>
      <c r="T67" s="312">
        <f t="shared" si="309"/>
        <v>0</v>
      </c>
      <c r="U67" s="312">
        <f t="shared" si="309"/>
        <v>0</v>
      </c>
      <c r="V67" s="312">
        <f t="shared" si="309"/>
        <v>0</v>
      </c>
      <c r="W67" s="312">
        <f>IFERROR(SUM(O67:V67), 0)</f>
        <v>1.3849999999999998</v>
      </c>
      <c r="X67" s="751">
        <v>1.429</v>
      </c>
      <c r="Y67" s="751">
        <v>0.48299999999999998</v>
      </c>
      <c r="Z67" s="796">
        <v>1.1539999999999999</v>
      </c>
      <c r="AA67" s="349"/>
      <c r="AB67" s="795" t="s">
        <v>13898</v>
      </c>
      <c r="AC67" s="197"/>
      <c r="AD67" s="291"/>
      <c r="AE67" s="197"/>
      <c r="AF67" s="345"/>
      <c r="AG67" s="284">
        <f t="shared" si="291"/>
        <v>0</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0</v>
      </c>
      <c r="BB67" s="285">
        <f t="shared" ref="BB67" si="311" xml:space="preserve"> IF( ISNUMBER(Y67), 0, 1 )</f>
        <v>0</v>
      </c>
      <c r="BC67" s="285">
        <f t="shared" ref="BC67" si="312" xml:space="preserve"> IF( ISNUMBER(Z67), 0, 1 )</f>
        <v>0</v>
      </c>
      <c r="BD67" s="363"/>
      <c r="BF67" s="460" t="s">
        <v>13859</v>
      </c>
      <c r="BG67" s="354" t="s">
        <v>3632</v>
      </c>
      <c r="BH67" s="288" t="s">
        <v>13899</v>
      </c>
      <c r="BI67" s="288" t="s">
        <v>13900</v>
      </c>
      <c r="BJ67" s="288" t="s">
        <v>13901</v>
      </c>
      <c r="BK67" s="288" t="s">
        <v>13902</v>
      </c>
      <c r="BL67" s="288" t="s">
        <v>13903</v>
      </c>
      <c r="BM67" s="288" t="s">
        <v>13904</v>
      </c>
      <c r="BN67" s="288" t="s">
        <v>13905</v>
      </c>
      <c r="BO67" s="288" t="s">
        <v>13906</v>
      </c>
      <c r="BP67" s="288" t="s">
        <v>13907</v>
      </c>
      <c r="BQ67" s="288" t="s">
        <v>13908</v>
      </c>
      <c r="BR67" s="288" t="s">
        <v>13909</v>
      </c>
      <c r="BS67" s="288" t="s">
        <v>13910</v>
      </c>
      <c r="BT67" s="288" t="s">
        <v>13911</v>
      </c>
      <c r="BU67" s="288" t="s">
        <v>13912</v>
      </c>
      <c r="BV67" s="288" t="s">
        <v>13913</v>
      </c>
      <c r="BW67" s="288" t="s">
        <v>13914</v>
      </c>
      <c r="BX67" s="288" t="s">
        <v>13915</v>
      </c>
      <c r="BY67" s="288" t="s">
        <v>13916</v>
      </c>
      <c r="BZ67" s="740" t="s">
        <v>13917</v>
      </c>
      <c r="CA67" s="740" t="s">
        <v>13918</v>
      </c>
      <c r="CB67" s="1117" t="s">
        <v>13919</v>
      </c>
    </row>
    <row r="68" spans="1:80" ht="15.75" customHeight="1">
      <c r="A68" s="197"/>
      <c r="B68" s="792" t="s">
        <v>13920</v>
      </c>
      <c r="C68" s="2355" t="s">
        <v>3630</v>
      </c>
      <c r="D68" s="325" t="s">
        <v>681</v>
      </c>
      <c r="E68" s="325">
        <v>3</v>
      </c>
      <c r="F68" s="751">
        <v>0</v>
      </c>
      <c r="G68" s="751">
        <v>0</v>
      </c>
      <c r="H68" s="751">
        <v>0</v>
      </c>
      <c r="I68" s="751">
        <v>0</v>
      </c>
      <c r="J68" s="751">
        <v>0</v>
      </c>
      <c r="K68" s="751">
        <v>0</v>
      </c>
      <c r="L68" s="751">
        <v>0</v>
      </c>
      <c r="M68" s="751">
        <v>0</v>
      </c>
      <c r="N68" s="312">
        <f t="shared" si="267"/>
        <v>0</v>
      </c>
      <c r="O68" s="2382"/>
      <c r="P68" s="2382"/>
      <c r="Q68" s="2382"/>
      <c r="R68" s="2382"/>
      <c r="S68" s="2382"/>
      <c r="T68" s="2382"/>
      <c r="U68" s="2382"/>
      <c r="V68" s="2382"/>
      <c r="W68" s="2382"/>
      <c r="X68" s="2383"/>
      <c r="Y68" s="2383"/>
      <c r="Z68" s="2384"/>
      <c r="AA68" s="349"/>
      <c r="AB68" s="795" t="s">
        <v>13921</v>
      </c>
      <c r="AC68" s="197"/>
      <c r="AD68" s="291"/>
      <c r="AE68" s="197"/>
      <c r="AF68" s="345"/>
      <c r="AG68" s="284">
        <f t="shared" si="291"/>
        <v>0</v>
      </c>
      <c r="AH68" s="345"/>
      <c r="AI68" s="285">
        <f xml:space="preserve"> IF( ISNUMBER(F68), 0, 1 )</f>
        <v>0</v>
      </c>
      <c r="AJ68" s="285">
        <f t="shared" ref="AJ68:AJ69" si="313" xml:space="preserve"> IF( ISNUMBER(G68), 0, 1 )</f>
        <v>0</v>
      </c>
      <c r="AK68" s="285">
        <f t="shared" ref="AK68:AK69" si="314" xml:space="preserve"> IF( ISNUMBER(H68), 0, 1 )</f>
        <v>0</v>
      </c>
      <c r="AL68" s="285">
        <f t="shared" ref="AL68:AL69" si="315" xml:space="preserve"> IF( ISNUMBER(I68), 0, 1 )</f>
        <v>0</v>
      </c>
      <c r="AM68" s="285">
        <f t="shared" ref="AM68:AM69" si="316" xml:space="preserve"> IF( ISNUMBER(J68), 0, 1 )</f>
        <v>0</v>
      </c>
      <c r="AN68" s="285">
        <f t="shared" ref="AN68:AN69" si="317" xml:space="preserve"> IF( ISNUMBER(K68), 0, 1 )</f>
        <v>0</v>
      </c>
      <c r="AO68" s="285">
        <f t="shared" ref="AO68:AO69" si="318" xml:space="preserve"> IF( ISNUMBER(L68), 0, 1 )</f>
        <v>0</v>
      </c>
      <c r="AP68" s="285">
        <f t="shared" ref="AP68:AP69" si="319" xml:space="preserve"> IF( ISNUMBER(M68), 0, 1 )</f>
        <v>0</v>
      </c>
      <c r="AQ68" s="200"/>
      <c r="AR68" s="200"/>
      <c r="AS68" s="200"/>
      <c r="AT68" s="200"/>
      <c r="AU68" s="200"/>
      <c r="AV68" s="200"/>
      <c r="AW68" s="200"/>
      <c r="AX68" s="200"/>
      <c r="AY68" s="200"/>
      <c r="AZ68" s="200"/>
      <c r="BA68" s="200"/>
      <c r="BB68" s="200"/>
      <c r="BC68" s="200"/>
      <c r="BD68" s="363"/>
      <c r="BF68" s="460" t="s">
        <v>13920</v>
      </c>
      <c r="BG68" s="354" t="s">
        <v>3630</v>
      </c>
      <c r="BH68" s="287" t="s">
        <v>13922</v>
      </c>
      <c r="BI68" s="287" t="s">
        <v>13923</v>
      </c>
      <c r="BJ68" s="287" t="s">
        <v>13924</v>
      </c>
      <c r="BK68" s="287" t="s">
        <v>13925</v>
      </c>
      <c r="BL68" s="287" t="s">
        <v>13926</v>
      </c>
      <c r="BM68" s="287" t="s">
        <v>13927</v>
      </c>
      <c r="BN68" s="287" t="s">
        <v>13928</v>
      </c>
      <c r="BO68" s="287" t="s">
        <v>13929</v>
      </c>
      <c r="BP68" s="288" t="s">
        <v>13930</v>
      </c>
      <c r="BQ68" s="399"/>
      <c r="BR68" s="399"/>
      <c r="BS68" s="399"/>
      <c r="BT68" s="399"/>
      <c r="BU68" s="399"/>
      <c r="BV68" s="399"/>
      <c r="BW68" s="399"/>
      <c r="BX68" s="399"/>
      <c r="BY68" s="399"/>
      <c r="BZ68" s="744"/>
      <c r="CA68" s="744"/>
      <c r="CB68" s="745"/>
    </row>
    <row r="69" spans="1:80" ht="15.75" customHeight="1">
      <c r="A69" s="197"/>
      <c r="B69" s="792" t="s">
        <v>13920</v>
      </c>
      <c r="C69" s="2355" t="s">
        <v>3631</v>
      </c>
      <c r="D69" s="325" t="s">
        <v>681</v>
      </c>
      <c r="E69" s="325">
        <v>3</v>
      </c>
      <c r="F69" s="751">
        <v>0</v>
      </c>
      <c r="G69" s="751">
        <v>0</v>
      </c>
      <c r="H69" s="751">
        <v>0</v>
      </c>
      <c r="I69" s="751">
        <v>0</v>
      </c>
      <c r="J69" s="751">
        <v>0</v>
      </c>
      <c r="K69" s="751">
        <v>0</v>
      </c>
      <c r="L69" s="751">
        <v>0</v>
      </c>
      <c r="M69" s="751">
        <v>0</v>
      </c>
      <c r="N69" s="312">
        <f t="shared" si="267"/>
        <v>0</v>
      </c>
      <c r="O69" s="2382"/>
      <c r="P69" s="2382"/>
      <c r="Q69" s="2382"/>
      <c r="R69" s="2382"/>
      <c r="S69" s="2382"/>
      <c r="T69" s="2382"/>
      <c r="U69" s="2382"/>
      <c r="V69" s="2382"/>
      <c r="W69" s="2382"/>
      <c r="X69" s="2383"/>
      <c r="Y69" s="2383"/>
      <c r="Z69" s="2384"/>
      <c r="AA69" s="349"/>
      <c r="AB69" s="795" t="s">
        <v>13931</v>
      </c>
      <c r="AC69" s="197"/>
      <c r="AD69" s="291"/>
      <c r="AE69" s="197"/>
      <c r="AF69" s="345"/>
      <c r="AG69" s="284">
        <f t="shared" si="291"/>
        <v>0</v>
      </c>
      <c r="AH69" s="345"/>
      <c r="AI69" s="285">
        <f t="shared" ref="AI69" si="320" xml:space="preserve"> IF( ISNUMBER(F69), 0, 1 )</f>
        <v>0</v>
      </c>
      <c r="AJ69" s="285">
        <f t="shared" si="313"/>
        <v>0</v>
      </c>
      <c r="AK69" s="285">
        <f t="shared" si="314"/>
        <v>0</v>
      </c>
      <c r="AL69" s="285">
        <f t="shared" si="315"/>
        <v>0</v>
      </c>
      <c r="AM69" s="285">
        <f t="shared" si="316"/>
        <v>0</v>
      </c>
      <c r="AN69" s="285">
        <f t="shared" si="317"/>
        <v>0</v>
      </c>
      <c r="AO69" s="285">
        <f t="shared" si="318"/>
        <v>0</v>
      </c>
      <c r="AP69" s="285">
        <f t="shared" si="319"/>
        <v>0</v>
      </c>
      <c r="AQ69" s="200"/>
      <c r="AR69" s="200"/>
      <c r="AS69" s="200"/>
      <c r="AT69" s="200"/>
      <c r="AU69" s="200"/>
      <c r="AV69" s="200"/>
      <c r="AW69" s="200"/>
      <c r="AX69" s="200"/>
      <c r="AY69" s="200"/>
      <c r="AZ69" s="200"/>
      <c r="BA69" s="200"/>
      <c r="BB69" s="200"/>
      <c r="BC69" s="200"/>
      <c r="BD69" s="363"/>
      <c r="BF69" s="460" t="s">
        <v>13920</v>
      </c>
      <c r="BG69" s="354" t="s">
        <v>3631</v>
      </c>
      <c r="BH69" s="287" t="s">
        <v>13932</v>
      </c>
      <c r="BI69" s="287" t="s">
        <v>13933</v>
      </c>
      <c r="BJ69" s="287" t="s">
        <v>13934</v>
      </c>
      <c r="BK69" s="287" t="s">
        <v>13935</v>
      </c>
      <c r="BL69" s="287" t="s">
        <v>13936</v>
      </c>
      <c r="BM69" s="287" t="s">
        <v>13937</v>
      </c>
      <c r="BN69" s="287" t="s">
        <v>13938</v>
      </c>
      <c r="BO69" s="287" t="s">
        <v>13939</v>
      </c>
      <c r="BP69" s="288" t="s">
        <v>13940</v>
      </c>
      <c r="BQ69" s="399"/>
      <c r="BR69" s="399"/>
      <c r="BS69" s="399"/>
      <c r="BT69" s="399"/>
      <c r="BU69" s="399"/>
      <c r="BV69" s="399"/>
      <c r="BW69" s="399"/>
      <c r="BX69" s="399"/>
      <c r="BY69" s="399"/>
      <c r="BZ69" s="744"/>
      <c r="CA69" s="744"/>
      <c r="CB69" s="745"/>
    </row>
    <row r="70" spans="1:80" ht="15.75" customHeight="1">
      <c r="A70" s="197"/>
      <c r="B70" s="792" t="s">
        <v>13920</v>
      </c>
      <c r="C70" s="2355" t="s">
        <v>3632</v>
      </c>
      <c r="D70" s="325" t="s">
        <v>681</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2"/>
      <c r="P70" s="2382"/>
      <c r="Q70" s="2382"/>
      <c r="R70" s="2382"/>
      <c r="S70" s="2382"/>
      <c r="T70" s="2382"/>
      <c r="U70" s="2382"/>
      <c r="V70" s="2382"/>
      <c r="W70" s="2382"/>
      <c r="X70" s="751">
        <v>0</v>
      </c>
      <c r="Y70" s="751">
        <v>0</v>
      </c>
      <c r="Z70" s="796">
        <v>0</v>
      </c>
      <c r="AA70" s="349"/>
      <c r="AB70" s="795" t="s">
        <v>13941</v>
      </c>
      <c r="AC70" s="197"/>
      <c r="AD70" s="291"/>
      <c r="AE70" s="197"/>
      <c r="AF70" s="345"/>
      <c r="AG70" s="284">
        <f t="shared" si="291"/>
        <v>0</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0</v>
      </c>
      <c r="BB70" s="285">
        <f t="shared" ref="BB70" si="323" xml:space="preserve"> IF( ISNUMBER(Y70), 0, 1 )</f>
        <v>0</v>
      </c>
      <c r="BC70" s="285">
        <f t="shared" ref="BC70" si="324" xml:space="preserve"> IF( ISNUMBER(Z70), 0, 1 )</f>
        <v>0</v>
      </c>
      <c r="BD70" s="363"/>
      <c r="BF70" s="460" t="s">
        <v>13920</v>
      </c>
      <c r="BG70" s="354" t="s">
        <v>3632</v>
      </c>
      <c r="BH70" s="288" t="s">
        <v>13942</v>
      </c>
      <c r="BI70" s="288" t="s">
        <v>13943</v>
      </c>
      <c r="BJ70" s="288" t="s">
        <v>13944</v>
      </c>
      <c r="BK70" s="288" t="s">
        <v>13945</v>
      </c>
      <c r="BL70" s="288" t="s">
        <v>13946</v>
      </c>
      <c r="BM70" s="288" t="s">
        <v>13947</v>
      </c>
      <c r="BN70" s="288" t="s">
        <v>13948</v>
      </c>
      <c r="BO70" s="288" t="s">
        <v>13949</v>
      </c>
      <c r="BP70" s="288" t="s">
        <v>13950</v>
      </c>
      <c r="BQ70" s="399"/>
      <c r="BR70" s="399"/>
      <c r="BS70" s="399"/>
      <c r="BT70" s="399"/>
      <c r="BU70" s="399"/>
      <c r="BV70" s="399"/>
      <c r="BW70" s="399"/>
      <c r="BX70" s="399"/>
      <c r="BY70" s="399"/>
      <c r="BZ70" s="740" t="s">
        <v>13951</v>
      </c>
      <c r="CA70" s="740" t="s">
        <v>13952</v>
      </c>
      <c r="CB70" s="1117" t="s">
        <v>13953</v>
      </c>
    </row>
    <row r="71" spans="1:80" ht="15.75" customHeight="1">
      <c r="A71" s="197"/>
      <c r="B71" s="792" t="s">
        <v>13954</v>
      </c>
      <c r="C71" s="2355" t="s">
        <v>3630</v>
      </c>
      <c r="D71" s="325" t="s">
        <v>681</v>
      </c>
      <c r="E71" s="325">
        <v>3</v>
      </c>
      <c r="F71" s="751">
        <v>0</v>
      </c>
      <c r="G71" s="751">
        <v>0</v>
      </c>
      <c r="H71" s="751">
        <v>0</v>
      </c>
      <c r="I71" s="751">
        <v>0</v>
      </c>
      <c r="J71" s="751">
        <v>0</v>
      </c>
      <c r="K71" s="751">
        <v>0</v>
      </c>
      <c r="L71" s="751">
        <v>0</v>
      </c>
      <c r="M71" s="751">
        <v>0</v>
      </c>
      <c r="N71" s="312">
        <f t="shared" si="267"/>
        <v>0</v>
      </c>
      <c r="O71" s="2382"/>
      <c r="P71" s="2382"/>
      <c r="Q71" s="2382"/>
      <c r="R71" s="2382"/>
      <c r="S71" s="2382"/>
      <c r="T71" s="2382"/>
      <c r="U71" s="2382"/>
      <c r="V71" s="2382"/>
      <c r="W71" s="2382"/>
      <c r="X71" s="2383"/>
      <c r="Y71" s="2383"/>
      <c r="Z71" s="2384"/>
      <c r="AA71" s="349"/>
      <c r="AB71" s="795" t="s">
        <v>13955</v>
      </c>
      <c r="AC71" s="197"/>
      <c r="AD71" s="291"/>
      <c r="AE71" s="197"/>
      <c r="AF71" s="345"/>
      <c r="AG71" s="284">
        <f t="shared" si="291"/>
        <v>0</v>
      </c>
      <c r="AH71" s="345"/>
      <c r="AI71" s="285">
        <f xml:space="preserve"> IF( ISNUMBER(F71), 0, 1 )</f>
        <v>0</v>
      </c>
      <c r="AJ71" s="285">
        <f t="shared" ref="AJ71:AJ72" si="325" xml:space="preserve"> IF( ISNUMBER(G71), 0, 1 )</f>
        <v>0</v>
      </c>
      <c r="AK71" s="285">
        <f t="shared" ref="AK71:AK72" si="326" xml:space="preserve"> IF( ISNUMBER(H71), 0, 1 )</f>
        <v>0</v>
      </c>
      <c r="AL71" s="285">
        <f t="shared" ref="AL71:AL72" si="327" xml:space="preserve"> IF( ISNUMBER(I71), 0, 1 )</f>
        <v>0</v>
      </c>
      <c r="AM71" s="285">
        <f t="shared" ref="AM71:AM72" si="328" xml:space="preserve"> IF( ISNUMBER(J71), 0, 1 )</f>
        <v>0</v>
      </c>
      <c r="AN71" s="285">
        <f t="shared" ref="AN71:AN72" si="329" xml:space="preserve"> IF( ISNUMBER(K71), 0, 1 )</f>
        <v>0</v>
      </c>
      <c r="AO71" s="285">
        <f t="shared" ref="AO71:AO72" si="330" xml:space="preserve"> IF( ISNUMBER(L71), 0, 1 )</f>
        <v>0</v>
      </c>
      <c r="AP71" s="285">
        <f t="shared" ref="AP71:AP72" si="331" xml:space="preserve"> IF( ISNUMBER(M71), 0, 1 )</f>
        <v>0</v>
      </c>
      <c r="AQ71" s="200"/>
      <c r="AR71" s="200"/>
      <c r="AS71" s="200"/>
      <c r="AT71" s="200"/>
      <c r="AU71" s="200"/>
      <c r="AV71" s="200"/>
      <c r="AW71" s="200"/>
      <c r="AX71" s="200"/>
      <c r="AY71" s="200"/>
      <c r="AZ71" s="200"/>
      <c r="BA71" s="200"/>
      <c r="BB71" s="200"/>
      <c r="BC71" s="200"/>
      <c r="BD71" s="363"/>
      <c r="BF71" s="460" t="s">
        <v>13954</v>
      </c>
      <c r="BG71" s="354" t="s">
        <v>3630</v>
      </c>
      <c r="BH71" s="287" t="s">
        <v>13956</v>
      </c>
      <c r="BI71" s="287" t="s">
        <v>13957</v>
      </c>
      <c r="BJ71" s="287" t="s">
        <v>13958</v>
      </c>
      <c r="BK71" s="287" t="s">
        <v>13959</v>
      </c>
      <c r="BL71" s="287" t="s">
        <v>13960</v>
      </c>
      <c r="BM71" s="287" t="s">
        <v>13961</v>
      </c>
      <c r="BN71" s="287" t="s">
        <v>13962</v>
      </c>
      <c r="BO71" s="287" t="s">
        <v>13963</v>
      </c>
      <c r="BP71" s="288" t="s">
        <v>13964</v>
      </c>
      <c r="BQ71" s="399"/>
      <c r="BR71" s="399"/>
      <c r="BS71" s="399"/>
      <c r="BT71" s="399"/>
      <c r="BU71" s="399"/>
      <c r="BV71" s="399"/>
      <c r="BW71" s="399"/>
      <c r="BX71" s="399"/>
      <c r="BY71" s="399"/>
      <c r="BZ71" s="744"/>
      <c r="CA71" s="744"/>
      <c r="CB71" s="745"/>
    </row>
    <row r="72" spans="1:80" ht="15.75" customHeight="1">
      <c r="A72" s="197"/>
      <c r="B72" s="792" t="s">
        <v>13954</v>
      </c>
      <c r="C72" s="2355" t="s">
        <v>3631</v>
      </c>
      <c r="D72" s="325" t="s">
        <v>681</v>
      </c>
      <c r="E72" s="325">
        <v>3</v>
      </c>
      <c r="F72" s="751">
        <v>0</v>
      </c>
      <c r="G72" s="751">
        <v>0</v>
      </c>
      <c r="H72" s="751">
        <v>0</v>
      </c>
      <c r="I72" s="751">
        <v>0</v>
      </c>
      <c r="J72" s="751">
        <v>0</v>
      </c>
      <c r="K72" s="751">
        <v>0</v>
      </c>
      <c r="L72" s="751">
        <v>0</v>
      </c>
      <c r="M72" s="751">
        <v>0</v>
      </c>
      <c r="N72" s="312">
        <f t="shared" si="267"/>
        <v>0</v>
      </c>
      <c r="O72" s="2382"/>
      <c r="P72" s="2382"/>
      <c r="Q72" s="2382"/>
      <c r="R72" s="2382"/>
      <c r="S72" s="2382"/>
      <c r="T72" s="2382"/>
      <c r="U72" s="2382"/>
      <c r="V72" s="2382"/>
      <c r="W72" s="2382"/>
      <c r="X72" s="2383"/>
      <c r="Y72" s="2383"/>
      <c r="Z72" s="2384"/>
      <c r="AA72" s="349"/>
      <c r="AB72" s="795" t="s">
        <v>13965</v>
      </c>
      <c r="AC72" s="197"/>
      <c r="AD72" s="291"/>
      <c r="AE72" s="197"/>
      <c r="AF72" s="345"/>
      <c r="AG72" s="284">
        <f t="shared" si="291"/>
        <v>0</v>
      </c>
      <c r="AH72" s="345"/>
      <c r="AI72" s="285">
        <f t="shared" ref="AI72" si="332" xml:space="preserve"> IF( ISNUMBER(F72), 0, 1 )</f>
        <v>0</v>
      </c>
      <c r="AJ72" s="285">
        <f t="shared" si="325"/>
        <v>0</v>
      </c>
      <c r="AK72" s="285">
        <f t="shared" si="326"/>
        <v>0</v>
      </c>
      <c r="AL72" s="285">
        <f t="shared" si="327"/>
        <v>0</v>
      </c>
      <c r="AM72" s="285">
        <f t="shared" si="328"/>
        <v>0</v>
      </c>
      <c r="AN72" s="285">
        <f t="shared" si="329"/>
        <v>0</v>
      </c>
      <c r="AO72" s="285">
        <f t="shared" si="330"/>
        <v>0</v>
      </c>
      <c r="AP72" s="285">
        <f t="shared" si="331"/>
        <v>0</v>
      </c>
      <c r="AQ72" s="200"/>
      <c r="AR72" s="200"/>
      <c r="AS72" s="200"/>
      <c r="AT72" s="200"/>
      <c r="AU72" s="200"/>
      <c r="AV72" s="200"/>
      <c r="AW72" s="200"/>
      <c r="AX72" s="200"/>
      <c r="AY72" s="200"/>
      <c r="AZ72" s="200"/>
      <c r="BA72" s="200"/>
      <c r="BB72" s="200"/>
      <c r="BC72" s="200"/>
      <c r="BD72" s="363"/>
      <c r="BF72" s="460" t="s">
        <v>13954</v>
      </c>
      <c r="BG72" s="354" t="s">
        <v>3631</v>
      </c>
      <c r="BH72" s="287" t="s">
        <v>13966</v>
      </c>
      <c r="BI72" s="287" t="s">
        <v>13967</v>
      </c>
      <c r="BJ72" s="287" t="s">
        <v>13968</v>
      </c>
      <c r="BK72" s="287" t="s">
        <v>13969</v>
      </c>
      <c r="BL72" s="287" t="s">
        <v>13970</v>
      </c>
      <c r="BM72" s="287" t="s">
        <v>13971</v>
      </c>
      <c r="BN72" s="287" t="s">
        <v>13972</v>
      </c>
      <c r="BO72" s="287" t="s">
        <v>13973</v>
      </c>
      <c r="BP72" s="288" t="s">
        <v>13974</v>
      </c>
      <c r="BQ72" s="399"/>
      <c r="BR72" s="399"/>
      <c r="BS72" s="399"/>
      <c r="BT72" s="399"/>
      <c r="BU72" s="399"/>
      <c r="BV72" s="399"/>
      <c r="BW72" s="399"/>
      <c r="BX72" s="399"/>
      <c r="BY72" s="399"/>
      <c r="BZ72" s="744"/>
      <c r="CA72" s="744"/>
      <c r="CB72" s="745"/>
    </row>
    <row r="73" spans="1:80" ht="15.75" customHeight="1">
      <c r="A73" s="197"/>
      <c r="B73" s="792" t="s">
        <v>13954</v>
      </c>
      <c r="C73" s="2355" t="s">
        <v>3632</v>
      </c>
      <c r="D73" s="325" t="s">
        <v>681</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2"/>
      <c r="P73" s="2382"/>
      <c r="Q73" s="2382"/>
      <c r="R73" s="2382"/>
      <c r="S73" s="2382"/>
      <c r="T73" s="2382"/>
      <c r="U73" s="2382"/>
      <c r="V73" s="2382"/>
      <c r="W73" s="2382"/>
      <c r="X73" s="751">
        <v>0</v>
      </c>
      <c r="Y73" s="751">
        <v>0</v>
      </c>
      <c r="Z73" s="796">
        <v>0</v>
      </c>
      <c r="AA73" s="349"/>
      <c r="AB73" s="795" t="s">
        <v>13975</v>
      </c>
      <c r="AC73" s="197"/>
      <c r="AD73" s="291"/>
      <c r="AE73" s="197"/>
      <c r="AF73" s="345"/>
      <c r="AG73" s="284">
        <f t="shared" si="291"/>
        <v>0</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0</v>
      </c>
      <c r="BB73" s="285">
        <f t="shared" ref="BB73" si="335" xml:space="preserve"> IF( ISNUMBER(Y73), 0, 1 )</f>
        <v>0</v>
      </c>
      <c r="BC73" s="285">
        <f t="shared" ref="BC73" si="336" xml:space="preserve"> IF( ISNUMBER(Z73), 0, 1 )</f>
        <v>0</v>
      </c>
      <c r="BD73" s="363"/>
      <c r="BF73" s="460" t="s">
        <v>13954</v>
      </c>
      <c r="BG73" s="354" t="s">
        <v>3632</v>
      </c>
      <c r="BH73" s="288" t="s">
        <v>13976</v>
      </c>
      <c r="BI73" s="288" t="s">
        <v>13977</v>
      </c>
      <c r="BJ73" s="288" t="s">
        <v>13978</v>
      </c>
      <c r="BK73" s="288" t="s">
        <v>13979</v>
      </c>
      <c r="BL73" s="288" t="s">
        <v>13980</v>
      </c>
      <c r="BM73" s="288" t="s">
        <v>13981</v>
      </c>
      <c r="BN73" s="288" t="s">
        <v>13982</v>
      </c>
      <c r="BO73" s="288" t="s">
        <v>13983</v>
      </c>
      <c r="BP73" s="288" t="s">
        <v>13984</v>
      </c>
      <c r="BQ73" s="399"/>
      <c r="BR73" s="399"/>
      <c r="BS73" s="399"/>
      <c r="BT73" s="399"/>
      <c r="BU73" s="399"/>
      <c r="BV73" s="399"/>
      <c r="BW73" s="399"/>
      <c r="BX73" s="399"/>
      <c r="BY73" s="399"/>
      <c r="BZ73" s="740" t="s">
        <v>13985</v>
      </c>
      <c r="CA73" s="740" t="s">
        <v>13986</v>
      </c>
      <c r="CB73" s="1117" t="s">
        <v>13987</v>
      </c>
    </row>
    <row r="74" spans="1:80" ht="15.75" customHeight="1">
      <c r="A74" s="197"/>
      <c r="B74" s="792" t="s">
        <v>13988</v>
      </c>
      <c r="C74" s="2355" t="s">
        <v>3630</v>
      </c>
      <c r="D74" s="325" t="s">
        <v>681</v>
      </c>
      <c r="E74" s="325">
        <v>3</v>
      </c>
      <c r="F74" s="751">
        <v>0</v>
      </c>
      <c r="G74" s="751">
        <v>0</v>
      </c>
      <c r="H74" s="751">
        <v>0</v>
      </c>
      <c r="I74" s="751">
        <v>0</v>
      </c>
      <c r="J74" s="751">
        <v>0</v>
      </c>
      <c r="K74" s="751">
        <v>0</v>
      </c>
      <c r="L74" s="751">
        <v>0</v>
      </c>
      <c r="M74" s="751">
        <v>0</v>
      </c>
      <c r="N74" s="312">
        <f t="shared" si="267"/>
        <v>0</v>
      </c>
      <c r="O74" s="2382"/>
      <c r="P74" s="2382"/>
      <c r="Q74" s="2382"/>
      <c r="R74" s="2382"/>
      <c r="S74" s="2382"/>
      <c r="T74" s="2382"/>
      <c r="U74" s="2382"/>
      <c r="V74" s="2382"/>
      <c r="W74" s="2382"/>
      <c r="X74" s="2383"/>
      <c r="Y74" s="2383"/>
      <c r="Z74" s="2384"/>
      <c r="AA74" s="349"/>
      <c r="AB74" s="795" t="s">
        <v>13989</v>
      </c>
      <c r="AC74" s="197"/>
      <c r="AD74" s="291"/>
      <c r="AE74" s="197"/>
      <c r="AF74" s="345"/>
      <c r="AG74" s="284">
        <f t="shared" si="291"/>
        <v>0</v>
      </c>
      <c r="AH74" s="345"/>
      <c r="AI74" s="285">
        <f xml:space="preserve"> IF( ISNUMBER(F74), 0, 1 )</f>
        <v>0</v>
      </c>
      <c r="AJ74" s="285">
        <f t="shared" ref="AJ74:AJ75" si="337" xml:space="preserve"> IF( ISNUMBER(G74), 0, 1 )</f>
        <v>0</v>
      </c>
      <c r="AK74" s="285">
        <f t="shared" ref="AK74:AK75" si="338" xml:space="preserve"> IF( ISNUMBER(H74), 0, 1 )</f>
        <v>0</v>
      </c>
      <c r="AL74" s="285">
        <f t="shared" ref="AL74:AL75" si="339" xml:space="preserve"> IF( ISNUMBER(I74), 0, 1 )</f>
        <v>0</v>
      </c>
      <c r="AM74" s="285">
        <f t="shared" ref="AM74:AM75" si="340" xml:space="preserve"> IF( ISNUMBER(J74), 0, 1 )</f>
        <v>0</v>
      </c>
      <c r="AN74" s="285">
        <f t="shared" ref="AN74:AN75" si="341" xml:space="preserve"> IF( ISNUMBER(K74), 0, 1 )</f>
        <v>0</v>
      </c>
      <c r="AO74" s="285">
        <f t="shared" ref="AO74:AO75" si="342" xml:space="preserve"> IF( ISNUMBER(L74), 0, 1 )</f>
        <v>0</v>
      </c>
      <c r="AP74" s="285">
        <f t="shared" ref="AP74:AP75" si="343" xml:space="preserve"> IF( ISNUMBER(M74), 0, 1 )</f>
        <v>0</v>
      </c>
      <c r="AQ74" s="200"/>
      <c r="AR74" s="200"/>
      <c r="AS74" s="200"/>
      <c r="AT74" s="200"/>
      <c r="AU74" s="200"/>
      <c r="AV74" s="200"/>
      <c r="AW74" s="200"/>
      <c r="AX74" s="200"/>
      <c r="AY74" s="200"/>
      <c r="AZ74" s="200"/>
      <c r="BA74" s="200"/>
      <c r="BB74" s="200"/>
      <c r="BC74" s="200"/>
      <c r="BD74" s="363"/>
      <c r="BF74" s="460" t="s">
        <v>13988</v>
      </c>
      <c r="BG74" s="354" t="s">
        <v>3630</v>
      </c>
      <c r="BH74" s="287" t="s">
        <v>13990</v>
      </c>
      <c r="BI74" s="287" t="s">
        <v>13991</v>
      </c>
      <c r="BJ74" s="287" t="s">
        <v>13992</v>
      </c>
      <c r="BK74" s="287" t="s">
        <v>13993</v>
      </c>
      <c r="BL74" s="287" t="s">
        <v>13994</v>
      </c>
      <c r="BM74" s="287" t="s">
        <v>13995</v>
      </c>
      <c r="BN74" s="287" t="s">
        <v>13996</v>
      </c>
      <c r="BO74" s="287" t="s">
        <v>13997</v>
      </c>
      <c r="BP74" s="288" t="s">
        <v>13998</v>
      </c>
      <c r="BQ74" s="399"/>
      <c r="BR74" s="399"/>
      <c r="BS74" s="399"/>
      <c r="BT74" s="399"/>
      <c r="BU74" s="399"/>
      <c r="BV74" s="399"/>
      <c r="BW74" s="399"/>
      <c r="BX74" s="399"/>
      <c r="BY74" s="399"/>
      <c r="BZ74" s="744"/>
      <c r="CA74" s="744"/>
      <c r="CB74" s="745"/>
    </row>
    <row r="75" spans="1:80" ht="15.75" customHeight="1">
      <c r="A75" s="197"/>
      <c r="B75" s="792" t="s">
        <v>13988</v>
      </c>
      <c r="C75" s="2355" t="s">
        <v>3631</v>
      </c>
      <c r="D75" s="325" t="s">
        <v>681</v>
      </c>
      <c r="E75" s="325">
        <v>3</v>
      </c>
      <c r="F75" s="751">
        <v>0</v>
      </c>
      <c r="G75" s="751">
        <v>0</v>
      </c>
      <c r="H75" s="751">
        <v>0</v>
      </c>
      <c r="I75" s="751">
        <v>0</v>
      </c>
      <c r="J75" s="751">
        <v>0</v>
      </c>
      <c r="K75" s="751">
        <v>0</v>
      </c>
      <c r="L75" s="751">
        <v>0</v>
      </c>
      <c r="M75" s="751">
        <v>0</v>
      </c>
      <c r="N75" s="312">
        <f t="shared" si="267"/>
        <v>0</v>
      </c>
      <c r="O75" s="2382"/>
      <c r="P75" s="2382"/>
      <c r="Q75" s="2382"/>
      <c r="R75" s="2382"/>
      <c r="S75" s="2382"/>
      <c r="T75" s="2382"/>
      <c r="U75" s="2382"/>
      <c r="V75" s="2382"/>
      <c r="W75" s="2382"/>
      <c r="X75" s="2383"/>
      <c r="Y75" s="2383"/>
      <c r="Z75" s="2384"/>
      <c r="AA75" s="349"/>
      <c r="AB75" s="795" t="s">
        <v>13999</v>
      </c>
      <c r="AC75" s="197"/>
      <c r="AD75" s="291"/>
      <c r="AE75" s="197"/>
      <c r="AF75" s="345"/>
      <c r="AG75" s="284">
        <f t="shared" si="291"/>
        <v>0</v>
      </c>
      <c r="AH75" s="345"/>
      <c r="AI75" s="285">
        <f t="shared" ref="AI75" si="344" xml:space="preserve"> IF( ISNUMBER(F75), 0, 1 )</f>
        <v>0</v>
      </c>
      <c r="AJ75" s="285">
        <f t="shared" si="337"/>
        <v>0</v>
      </c>
      <c r="AK75" s="285">
        <f t="shared" si="338"/>
        <v>0</v>
      </c>
      <c r="AL75" s="285">
        <f t="shared" si="339"/>
        <v>0</v>
      </c>
      <c r="AM75" s="285">
        <f t="shared" si="340"/>
        <v>0</v>
      </c>
      <c r="AN75" s="285">
        <f t="shared" si="341"/>
        <v>0</v>
      </c>
      <c r="AO75" s="285">
        <f t="shared" si="342"/>
        <v>0</v>
      </c>
      <c r="AP75" s="285">
        <f t="shared" si="343"/>
        <v>0</v>
      </c>
      <c r="AQ75" s="200"/>
      <c r="AR75" s="200"/>
      <c r="AS75" s="200"/>
      <c r="AT75" s="200"/>
      <c r="AU75" s="200"/>
      <c r="AV75" s="200"/>
      <c r="AW75" s="200"/>
      <c r="AX75" s="200"/>
      <c r="AY75" s="200"/>
      <c r="AZ75" s="200"/>
      <c r="BA75" s="200"/>
      <c r="BB75" s="200"/>
      <c r="BC75" s="200"/>
      <c r="BD75" s="363"/>
      <c r="BF75" s="460" t="s">
        <v>13988</v>
      </c>
      <c r="BG75" s="354" t="s">
        <v>3631</v>
      </c>
      <c r="BH75" s="287" t="s">
        <v>14000</v>
      </c>
      <c r="BI75" s="287" t="s">
        <v>14001</v>
      </c>
      <c r="BJ75" s="287" t="s">
        <v>14002</v>
      </c>
      <c r="BK75" s="287" t="s">
        <v>14003</v>
      </c>
      <c r="BL75" s="287" t="s">
        <v>14004</v>
      </c>
      <c r="BM75" s="287" t="s">
        <v>14005</v>
      </c>
      <c r="BN75" s="287" t="s">
        <v>14006</v>
      </c>
      <c r="BO75" s="287" t="s">
        <v>14007</v>
      </c>
      <c r="BP75" s="288" t="s">
        <v>14008</v>
      </c>
      <c r="BQ75" s="399"/>
      <c r="BR75" s="399"/>
      <c r="BS75" s="399"/>
      <c r="BT75" s="399"/>
      <c r="BU75" s="399"/>
      <c r="BV75" s="399"/>
      <c r="BW75" s="399"/>
      <c r="BX75" s="399"/>
      <c r="BY75" s="399"/>
      <c r="BZ75" s="744"/>
      <c r="CA75" s="744"/>
      <c r="CB75" s="745"/>
    </row>
    <row r="76" spans="1:80" ht="15.75" customHeight="1">
      <c r="A76" s="197"/>
      <c r="B76" s="792" t="s">
        <v>13988</v>
      </c>
      <c r="C76" s="2355" t="s">
        <v>3632</v>
      </c>
      <c r="D76" s="325" t="s">
        <v>681</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2"/>
      <c r="P76" s="2382"/>
      <c r="Q76" s="2382"/>
      <c r="R76" s="2382"/>
      <c r="S76" s="2382"/>
      <c r="T76" s="2382"/>
      <c r="U76" s="2382"/>
      <c r="V76" s="2382"/>
      <c r="W76" s="2382"/>
      <c r="X76" s="751">
        <v>0</v>
      </c>
      <c r="Y76" s="751">
        <v>0</v>
      </c>
      <c r="Z76" s="796">
        <v>0</v>
      </c>
      <c r="AA76" s="349"/>
      <c r="AB76" s="795" t="s">
        <v>14009</v>
      </c>
      <c r="AC76" s="197"/>
      <c r="AD76" s="291"/>
      <c r="AE76" s="197"/>
      <c r="AF76" s="345"/>
      <c r="AG76" s="284">
        <f t="shared" si="291"/>
        <v>0</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0</v>
      </c>
      <c r="BB76" s="285">
        <f t="shared" ref="BB76" si="347" xml:space="preserve"> IF( ISNUMBER(Y76), 0, 1 )</f>
        <v>0</v>
      </c>
      <c r="BC76" s="285">
        <f t="shared" ref="BC76" si="348" xml:space="preserve"> IF( ISNUMBER(Z76), 0, 1 )</f>
        <v>0</v>
      </c>
      <c r="BD76" s="363"/>
      <c r="BF76" s="460" t="s">
        <v>13988</v>
      </c>
      <c r="BG76" s="354" t="s">
        <v>3632</v>
      </c>
      <c r="BH76" s="288" t="s">
        <v>14010</v>
      </c>
      <c r="BI76" s="288" t="s">
        <v>14011</v>
      </c>
      <c r="BJ76" s="288" t="s">
        <v>14012</v>
      </c>
      <c r="BK76" s="288" t="s">
        <v>14013</v>
      </c>
      <c r="BL76" s="288" t="s">
        <v>14014</v>
      </c>
      <c r="BM76" s="288" t="s">
        <v>14015</v>
      </c>
      <c r="BN76" s="288" t="s">
        <v>14016</v>
      </c>
      <c r="BO76" s="288" t="s">
        <v>14017</v>
      </c>
      <c r="BP76" s="288" t="s">
        <v>14018</v>
      </c>
      <c r="BQ76" s="399"/>
      <c r="BR76" s="399"/>
      <c r="BS76" s="399"/>
      <c r="BT76" s="399"/>
      <c r="BU76" s="399"/>
      <c r="BV76" s="399"/>
      <c r="BW76" s="399"/>
      <c r="BX76" s="399"/>
      <c r="BY76" s="399"/>
      <c r="BZ76" s="740" t="s">
        <v>14019</v>
      </c>
      <c r="CA76" s="740" t="s">
        <v>14020</v>
      </c>
      <c r="CB76" s="1117" t="s">
        <v>14021</v>
      </c>
    </row>
    <row r="77" spans="1:80" ht="33" customHeight="1">
      <c r="A77" s="197"/>
      <c r="B77" s="792" t="s">
        <v>12869</v>
      </c>
      <c r="C77" s="2355" t="s">
        <v>3630</v>
      </c>
      <c r="D77" s="325" t="s">
        <v>681</v>
      </c>
      <c r="E77" s="325">
        <v>3</v>
      </c>
      <c r="F77" s="751">
        <v>0</v>
      </c>
      <c r="G77" s="751">
        <v>0</v>
      </c>
      <c r="H77" s="751">
        <v>0</v>
      </c>
      <c r="I77" s="751">
        <v>2.089</v>
      </c>
      <c r="J77" s="751">
        <v>0</v>
      </c>
      <c r="K77" s="751">
        <v>0</v>
      </c>
      <c r="L77" s="751">
        <v>0</v>
      </c>
      <c r="M77" s="751">
        <v>0</v>
      </c>
      <c r="N77" s="312">
        <f t="shared" si="267"/>
        <v>2.089</v>
      </c>
      <c r="O77" s="751">
        <v>0</v>
      </c>
      <c r="P77" s="751">
        <v>0</v>
      </c>
      <c r="Q77" s="751">
        <v>0</v>
      </c>
      <c r="R77" s="751">
        <v>1.536</v>
      </c>
      <c r="S77" s="751">
        <v>0</v>
      </c>
      <c r="T77" s="751">
        <v>0</v>
      </c>
      <c r="U77" s="751">
        <v>0</v>
      </c>
      <c r="V77" s="751">
        <v>0</v>
      </c>
      <c r="W77" s="312">
        <f t="shared" ref="W77:W84" si="349">IFERROR(SUM(O77:V77), 0)</f>
        <v>1.536</v>
      </c>
      <c r="X77" s="2383"/>
      <c r="Y77" s="2383"/>
      <c r="Z77" s="2384"/>
      <c r="AA77" s="349"/>
      <c r="AB77" s="795" t="s">
        <v>14022</v>
      </c>
      <c r="AC77" s="197"/>
      <c r="AD77" s="291"/>
      <c r="AE77" s="197"/>
      <c r="AF77" s="345"/>
      <c r="AG77" s="284">
        <f t="shared" si="291"/>
        <v>0</v>
      </c>
      <c r="AH77" s="1116"/>
      <c r="AI77" s="285">
        <f xml:space="preserve"> IF( ISNUMBER(F77), 0, 1 )</f>
        <v>0</v>
      </c>
      <c r="AJ77" s="285">
        <f t="shared" ref="AJ77:AJ78" si="350" xml:space="preserve"> IF( ISNUMBER(G77), 0, 1 )</f>
        <v>0</v>
      </c>
      <c r="AK77" s="285">
        <f t="shared" ref="AK77:AK78" si="351" xml:space="preserve"> IF( ISNUMBER(H77), 0, 1 )</f>
        <v>0</v>
      </c>
      <c r="AL77" s="285">
        <f t="shared" ref="AL77:AL78" si="352" xml:space="preserve"> IF( ISNUMBER(I77), 0, 1 )</f>
        <v>0</v>
      </c>
      <c r="AM77" s="285">
        <f t="shared" ref="AM77:AM78" si="353" xml:space="preserve"> IF( ISNUMBER(J77), 0, 1 )</f>
        <v>0</v>
      </c>
      <c r="AN77" s="285">
        <f t="shared" ref="AN77:AN78" si="354" xml:space="preserve"> IF( ISNUMBER(K77), 0, 1 )</f>
        <v>0</v>
      </c>
      <c r="AO77" s="285">
        <f t="shared" ref="AO77:AO78" si="355" xml:space="preserve"> IF( ISNUMBER(L77), 0, 1 )</f>
        <v>0</v>
      </c>
      <c r="AP77" s="285">
        <f t="shared" ref="AP77:AP78" si="356" xml:space="preserve"> IF( ISNUMBER(M77), 0, 1 )</f>
        <v>0</v>
      </c>
      <c r="AQ77" s="200"/>
      <c r="AR77" s="285">
        <f xml:space="preserve"> IF( ISNUMBER(O77), 0, 1 )</f>
        <v>0</v>
      </c>
      <c r="AS77" s="285">
        <f t="shared" ref="AS77:AS78" si="357" xml:space="preserve"> IF( ISNUMBER(P77), 0, 1 )</f>
        <v>0</v>
      </c>
      <c r="AT77" s="285">
        <f t="shared" ref="AT77:AT78" si="358" xml:space="preserve"> IF( ISNUMBER(Q77), 0, 1 )</f>
        <v>0</v>
      </c>
      <c r="AU77" s="285">
        <f t="shared" ref="AU77:AU78" si="359" xml:space="preserve"> IF( ISNUMBER(R77), 0, 1 )</f>
        <v>0</v>
      </c>
      <c r="AV77" s="285">
        <f t="shared" ref="AV77:AV78" si="360" xml:space="preserve"> IF( ISNUMBER(S77), 0, 1 )</f>
        <v>0</v>
      </c>
      <c r="AW77" s="285">
        <f t="shared" ref="AW77:AW78" si="361" xml:space="preserve"> IF( ISNUMBER(T77), 0, 1 )</f>
        <v>0</v>
      </c>
      <c r="AX77" s="285">
        <f t="shared" ref="AX77:AX78" si="362" xml:space="preserve"> IF( ISNUMBER(U77), 0, 1 )</f>
        <v>0</v>
      </c>
      <c r="AY77" s="285">
        <f t="shared" ref="AY77:AY78" si="363" xml:space="preserve"> IF( ISNUMBER(V77), 0, 1 )</f>
        <v>0</v>
      </c>
      <c r="AZ77" s="200"/>
      <c r="BA77" s="200"/>
      <c r="BB77" s="200"/>
      <c r="BC77" s="200"/>
      <c r="BD77" s="363"/>
      <c r="BF77" s="460" t="s">
        <v>12869</v>
      </c>
      <c r="BG77" s="354" t="s">
        <v>3630</v>
      </c>
      <c r="BH77" s="287" t="s">
        <v>14023</v>
      </c>
      <c r="BI77" s="287" t="s">
        <v>14024</v>
      </c>
      <c r="BJ77" s="287" t="s">
        <v>14025</v>
      </c>
      <c r="BK77" s="287" t="s">
        <v>14026</v>
      </c>
      <c r="BL77" s="287" t="s">
        <v>14027</v>
      </c>
      <c r="BM77" s="287" t="s">
        <v>14028</v>
      </c>
      <c r="BN77" s="287" t="s">
        <v>14029</v>
      </c>
      <c r="BO77" s="287" t="s">
        <v>14030</v>
      </c>
      <c r="BP77" s="288" t="s">
        <v>14031</v>
      </c>
      <c r="BQ77" s="287" t="s">
        <v>14032</v>
      </c>
      <c r="BR77" s="287" t="s">
        <v>14033</v>
      </c>
      <c r="BS77" s="287" t="s">
        <v>14034</v>
      </c>
      <c r="BT77" s="287" t="s">
        <v>14035</v>
      </c>
      <c r="BU77" s="287" t="s">
        <v>14036</v>
      </c>
      <c r="BV77" s="287" t="s">
        <v>14037</v>
      </c>
      <c r="BW77" s="287" t="s">
        <v>14038</v>
      </c>
      <c r="BX77" s="287" t="s">
        <v>14039</v>
      </c>
      <c r="BY77" s="288" t="s">
        <v>14040</v>
      </c>
      <c r="BZ77" s="744"/>
      <c r="CA77" s="744"/>
      <c r="CB77" s="745"/>
    </row>
    <row r="78" spans="1:80" ht="33" customHeight="1">
      <c r="A78" s="197"/>
      <c r="B78" s="792" t="s">
        <v>12869</v>
      </c>
      <c r="C78" s="2355" t="s">
        <v>3631</v>
      </c>
      <c r="D78" s="325" t="s">
        <v>681</v>
      </c>
      <c r="E78" s="325">
        <v>3</v>
      </c>
      <c r="F78" s="751">
        <v>0</v>
      </c>
      <c r="G78" s="751">
        <v>0</v>
      </c>
      <c r="H78" s="751">
        <v>0</v>
      </c>
      <c r="I78" s="751">
        <v>0</v>
      </c>
      <c r="J78" s="751">
        <v>0</v>
      </c>
      <c r="K78" s="751">
        <v>0</v>
      </c>
      <c r="L78" s="751">
        <v>0</v>
      </c>
      <c r="M78" s="751">
        <v>0</v>
      </c>
      <c r="N78" s="312">
        <f t="shared" si="267"/>
        <v>0</v>
      </c>
      <c r="O78" s="751">
        <v>0</v>
      </c>
      <c r="P78" s="751">
        <v>0</v>
      </c>
      <c r="Q78" s="751">
        <v>0</v>
      </c>
      <c r="R78" s="751">
        <v>0</v>
      </c>
      <c r="S78" s="751">
        <v>0</v>
      </c>
      <c r="T78" s="751">
        <v>0</v>
      </c>
      <c r="U78" s="751">
        <v>0</v>
      </c>
      <c r="V78" s="751">
        <v>0</v>
      </c>
      <c r="W78" s="312">
        <f t="shared" si="349"/>
        <v>0</v>
      </c>
      <c r="X78" s="2383"/>
      <c r="Y78" s="2383"/>
      <c r="Z78" s="2384"/>
      <c r="AA78" s="349"/>
      <c r="AB78" s="795" t="s">
        <v>14041</v>
      </c>
      <c r="AC78" s="197"/>
      <c r="AD78" s="291"/>
      <c r="AE78" s="197"/>
      <c r="AF78" s="345"/>
      <c r="AG78" s="284">
        <f t="shared" si="291"/>
        <v>0</v>
      </c>
      <c r="AH78" s="1057"/>
      <c r="AI78" s="285">
        <f t="shared" ref="AI78" si="364" xml:space="preserve"> IF( ISNUMBER(F78), 0, 1 )</f>
        <v>0</v>
      </c>
      <c r="AJ78" s="285">
        <f t="shared" si="350"/>
        <v>0</v>
      </c>
      <c r="AK78" s="285">
        <f t="shared" si="351"/>
        <v>0</v>
      </c>
      <c r="AL78" s="285">
        <f t="shared" si="352"/>
        <v>0</v>
      </c>
      <c r="AM78" s="285">
        <f t="shared" si="353"/>
        <v>0</v>
      </c>
      <c r="AN78" s="285">
        <f t="shared" si="354"/>
        <v>0</v>
      </c>
      <c r="AO78" s="285">
        <f t="shared" si="355"/>
        <v>0</v>
      </c>
      <c r="AP78" s="285">
        <f t="shared" si="356"/>
        <v>0</v>
      </c>
      <c r="AQ78" s="200"/>
      <c r="AR78" s="285">
        <f t="shared" ref="AR78" si="365" xml:space="preserve"> IF( ISNUMBER(O78), 0, 1 )</f>
        <v>0</v>
      </c>
      <c r="AS78" s="285">
        <f t="shared" si="357"/>
        <v>0</v>
      </c>
      <c r="AT78" s="285">
        <f t="shared" si="358"/>
        <v>0</v>
      </c>
      <c r="AU78" s="285">
        <f t="shared" si="359"/>
        <v>0</v>
      </c>
      <c r="AV78" s="285">
        <f t="shared" si="360"/>
        <v>0</v>
      </c>
      <c r="AW78" s="285">
        <f t="shared" si="361"/>
        <v>0</v>
      </c>
      <c r="AX78" s="285">
        <f t="shared" si="362"/>
        <v>0</v>
      </c>
      <c r="AY78" s="285">
        <f t="shared" si="363"/>
        <v>0</v>
      </c>
      <c r="AZ78" s="200"/>
      <c r="BA78" s="200"/>
      <c r="BB78" s="200"/>
      <c r="BC78" s="200"/>
      <c r="BD78" s="363"/>
      <c r="BF78" s="460" t="s">
        <v>12869</v>
      </c>
      <c r="BG78" s="354" t="s">
        <v>3631</v>
      </c>
      <c r="BH78" s="287" t="s">
        <v>14042</v>
      </c>
      <c r="BI78" s="287" t="s">
        <v>14043</v>
      </c>
      <c r="BJ78" s="287" t="s">
        <v>14044</v>
      </c>
      <c r="BK78" s="287" t="s">
        <v>14045</v>
      </c>
      <c r="BL78" s="287" t="s">
        <v>14046</v>
      </c>
      <c r="BM78" s="287" t="s">
        <v>14047</v>
      </c>
      <c r="BN78" s="287" t="s">
        <v>14048</v>
      </c>
      <c r="BO78" s="287" t="s">
        <v>14049</v>
      </c>
      <c r="BP78" s="288" t="s">
        <v>14050</v>
      </c>
      <c r="BQ78" s="287" t="s">
        <v>14051</v>
      </c>
      <c r="BR78" s="287" t="s">
        <v>14052</v>
      </c>
      <c r="BS78" s="287" t="s">
        <v>14053</v>
      </c>
      <c r="BT78" s="287" t="s">
        <v>14054</v>
      </c>
      <c r="BU78" s="287" t="s">
        <v>14055</v>
      </c>
      <c r="BV78" s="287" t="s">
        <v>14056</v>
      </c>
      <c r="BW78" s="287" t="s">
        <v>14057</v>
      </c>
      <c r="BX78" s="287" t="s">
        <v>14058</v>
      </c>
      <c r="BY78" s="288" t="s">
        <v>14059</v>
      </c>
      <c r="BZ78" s="744"/>
      <c r="CA78" s="744"/>
      <c r="CB78" s="745"/>
    </row>
    <row r="79" spans="1:80" ht="33" customHeight="1">
      <c r="A79" s="197"/>
      <c r="B79" s="792" t="s">
        <v>12869</v>
      </c>
      <c r="C79" s="2355" t="s">
        <v>3632</v>
      </c>
      <c r="D79" s="325" t="s">
        <v>681</v>
      </c>
      <c r="E79" s="325">
        <v>3</v>
      </c>
      <c r="F79" s="312">
        <f>IFERROR(SUM(F77:F78), 0)</f>
        <v>0</v>
      </c>
      <c r="G79" s="312">
        <f t="shared" ref="G79:M79" si="366">IFERROR(SUM(G77:G78), 0)</f>
        <v>0</v>
      </c>
      <c r="H79" s="312">
        <f t="shared" si="366"/>
        <v>0</v>
      </c>
      <c r="I79" s="312">
        <f t="shared" si="366"/>
        <v>2.089</v>
      </c>
      <c r="J79" s="312">
        <f t="shared" si="366"/>
        <v>0</v>
      </c>
      <c r="K79" s="312">
        <f t="shared" si="366"/>
        <v>0</v>
      </c>
      <c r="L79" s="312">
        <f t="shared" si="366"/>
        <v>0</v>
      </c>
      <c r="M79" s="312">
        <f t="shared" si="366"/>
        <v>0</v>
      </c>
      <c r="N79" s="312">
        <f t="shared" si="267"/>
        <v>2.089</v>
      </c>
      <c r="O79" s="312">
        <f>IFERROR(SUM(O77:O78), 0)</f>
        <v>0</v>
      </c>
      <c r="P79" s="312">
        <f t="shared" ref="P79:V79" si="367">IFERROR(SUM(P77:P78), 0)</f>
        <v>0</v>
      </c>
      <c r="Q79" s="312">
        <f t="shared" si="367"/>
        <v>0</v>
      </c>
      <c r="R79" s="312">
        <f t="shared" si="367"/>
        <v>1.536</v>
      </c>
      <c r="S79" s="312">
        <f t="shared" si="367"/>
        <v>0</v>
      </c>
      <c r="T79" s="312">
        <f t="shared" si="367"/>
        <v>0</v>
      </c>
      <c r="U79" s="312">
        <f t="shared" si="367"/>
        <v>0</v>
      </c>
      <c r="V79" s="312">
        <f t="shared" si="367"/>
        <v>0</v>
      </c>
      <c r="W79" s="312">
        <f t="shared" si="349"/>
        <v>1.536</v>
      </c>
      <c r="X79" s="751">
        <v>3.0110000000000001</v>
      </c>
      <c r="Y79" s="751">
        <v>18.479999999999997</v>
      </c>
      <c r="Z79" s="796">
        <v>44.193999999999996</v>
      </c>
      <c r="AA79" s="349"/>
      <c r="AB79" s="795" t="s">
        <v>14060</v>
      </c>
      <c r="AC79" s="197"/>
      <c r="AD79" s="291"/>
      <c r="AE79" s="197"/>
      <c r="AF79" s="345"/>
      <c r="AG79" s="284">
        <f t="shared" si="291"/>
        <v>0</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0</v>
      </c>
      <c r="BB79" s="285">
        <f t="shared" ref="BB79" si="369" xml:space="preserve"> IF( ISNUMBER(Y79), 0, 1 )</f>
        <v>0</v>
      </c>
      <c r="BC79" s="285">
        <f t="shared" ref="BC79" si="370" xml:space="preserve"> IF( ISNUMBER(Z79), 0, 1 )</f>
        <v>0</v>
      </c>
      <c r="BD79" s="363"/>
      <c r="BF79" s="460" t="s">
        <v>12869</v>
      </c>
      <c r="BG79" s="354" t="s">
        <v>3632</v>
      </c>
      <c r="BH79" s="288" t="s">
        <v>14061</v>
      </c>
      <c r="BI79" s="288" t="s">
        <v>14062</v>
      </c>
      <c r="BJ79" s="288" t="s">
        <v>14063</v>
      </c>
      <c r="BK79" s="288" t="s">
        <v>14064</v>
      </c>
      <c r="BL79" s="288" t="s">
        <v>14065</v>
      </c>
      <c r="BM79" s="288" t="s">
        <v>14066</v>
      </c>
      <c r="BN79" s="288" t="s">
        <v>14067</v>
      </c>
      <c r="BO79" s="288" t="s">
        <v>14068</v>
      </c>
      <c r="BP79" s="288" t="s">
        <v>14069</v>
      </c>
      <c r="BQ79" s="288" t="s">
        <v>14070</v>
      </c>
      <c r="BR79" s="288" t="s">
        <v>14071</v>
      </c>
      <c r="BS79" s="288" t="s">
        <v>14072</v>
      </c>
      <c r="BT79" s="288" t="s">
        <v>14073</v>
      </c>
      <c r="BU79" s="288" t="s">
        <v>14074</v>
      </c>
      <c r="BV79" s="288" t="s">
        <v>14075</v>
      </c>
      <c r="BW79" s="288" t="s">
        <v>14076</v>
      </c>
      <c r="BX79" s="288" t="s">
        <v>14077</v>
      </c>
      <c r="BY79" s="288" t="s">
        <v>14078</v>
      </c>
      <c r="BZ79" s="740" t="s">
        <v>14079</v>
      </c>
      <c r="CA79" s="740" t="s">
        <v>14080</v>
      </c>
      <c r="CB79" s="1117" t="s">
        <v>14081</v>
      </c>
    </row>
    <row r="80" spans="1:80" ht="15.75" customHeight="1">
      <c r="A80" s="197"/>
      <c r="B80" s="792" t="s">
        <v>12940</v>
      </c>
      <c r="C80" s="2355" t="s">
        <v>3630</v>
      </c>
      <c r="D80" s="325" t="s">
        <v>681</v>
      </c>
      <c r="E80" s="325">
        <v>3</v>
      </c>
      <c r="F80" s="751">
        <v>0</v>
      </c>
      <c r="G80" s="751">
        <v>0</v>
      </c>
      <c r="H80" s="751">
        <v>0</v>
      </c>
      <c r="I80" s="751">
        <v>0</v>
      </c>
      <c r="J80" s="751">
        <v>0</v>
      </c>
      <c r="K80" s="751">
        <v>0</v>
      </c>
      <c r="L80" s="751">
        <v>0</v>
      </c>
      <c r="M80" s="751">
        <v>0</v>
      </c>
      <c r="N80" s="312">
        <f t="shared" si="267"/>
        <v>0</v>
      </c>
      <c r="O80" s="751">
        <v>0</v>
      </c>
      <c r="P80" s="751">
        <v>0</v>
      </c>
      <c r="Q80" s="751">
        <v>0</v>
      </c>
      <c r="R80" s="751">
        <v>0</v>
      </c>
      <c r="S80" s="751">
        <v>0</v>
      </c>
      <c r="T80" s="751">
        <v>0</v>
      </c>
      <c r="U80" s="751">
        <v>0</v>
      </c>
      <c r="V80" s="751">
        <v>0</v>
      </c>
      <c r="W80" s="312">
        <f t="shared" si="349"/>
        <v>0</v>
      </c>
      <c r="X80" s="2383"/>
      <c r="Y80" s="2383"/>
      <c r="Z80" s="2384"/>
      <c r="AA80" s="349"/>
      <c r="AB80" s="795" t="s">
        <v>14082</v>
      </c>
      <c r="AC80" s="197"/>
      <c r="AD80" s="291"/>
      <c r="AE80" s="197"/>
      <c r="AF80" s="345"/>
      <c r="AG80" s="284">
        <f t="shared" si="291"/>
        <v>0</v>
      </c>
      <c r="AH80" s="1116"/>
      <c r="AI80" s="285">
        <f xml:space="preserve"> IF( ISNUMBER(F80), 0, 1 )</f>
        <v>0</v>
      </c>
      <c r="AJ80" s="285">
        <f t="shared" ref="AJ80:AJ81" si="371" xml:space="preserve"> IF( ISNUMBER(G80), 0, 1 )</f>
        <v>0</v>
      </c>
      <c r="AK80" s="285">
        <f t="shared" ref="AK80:AK81" si="372" xml:space="preserve"> IF( ISNUMBER(H80), 0, 1 )</f>
        <v>0</v>
      </c>
      <c r="AL80" s="285">
        <f t="shared" ref="AL80:AL81" si="373" xml:space="preserve"> IF( ISNUMBER(I80), 0, 1 )</f>
        <v>0</v>
      </c>
      <c r="AM80" s="285">
        <f t="shared" ref="AM80:AM81" si="374" xml:space="preserve"> IF( ISNUMBER(J80), 0, 1 )</f>
        <v>0</v>
      </c>
      <c r="AN80" s="285">
        <f t="shared" ref="AN80:AN81" si="375" xml:space="preserve"> IF( ISNUMBER(K80), 0, 1 )</f>
        <v>0</v>
      </c>
      <c r="AO80" s="285">
        <f t="shared" ref="AO80:AO81" si="376" xml:space="preserve"> IF( ISNUMBER(L80), 0, 1 )</f>
        <v>0</v>
      </c>
      <c r="AP80" s="285">
        <f t="shared" ref="AP80:AP81" si="377" xml:space="preserve"> IF( ISNUMBER(M80), 0, 1 )</f>
        <v>0</v>
      </c>
      <c r="AQ80" s="200"/>
      <c r="AR80" s="285">
        <f xml:space="preserve"> IF( ISNUMBER(O80), 0, 1 )</f>
        <v>0</v>
      </c>
      <c r="AS80" s="285">
        <f t="shared" ref="AS80:AS81" si="378" xml:space="preserve"> IF( ISNUMBER(P80), 0, 1 )</f>
        <v>0</v>
      </c>
      <c r="AT80" s="285">
        <f t="shared" ref="AT80:AT81" si="379" xml:space="preserve"> IF( ISNUMBER(Q80), 0, 1 )</f>
        <v>0</v>
      </c>
      <c r="AU80" s="285">
        <f t="shared" ref="AU80:AU81" si="380" xml:space="preserve"> IF( ISNUMBER(R80), 0, 1 )</f>
        <v>0</v>
      </c>
      <c r="AV80" s="285">
        <f t="shared" ref="AV80:AV81" si="381" xml:space="preserve"> IF( ISNUMBER(S80), 0, 1 )</f>
        <v>0</v>
      </c>
      <c r="AW80" s="285">
        <f t="shared" ref="AW80:AW81" si="382" xml:space="preserve"> IF( ISNUMBER(T80), 0, 1 )</f>
        <v>0</v>
      </c>
      <c r="AX80" s="285">
        <f t="shared" ref="AX80:AX81" si="383" xml:space="preserve"> IF( ISNUMBER(U80), 0, 1 )</f>
        <v>0</v>
      </c>
      <c r="AY80" s="285">
        <f t="shared" ref="AY80:AY81" si="384" xml:space="preserve"> IF( ISNUMBER(V80), 0, 1 )</f>
        <v>0</v>
      </c>
      <c r="AZ80" s="200"/>
      <c r="BA80" s="200"/>
      <c r="BB80" s="200"/>
      <c r="BC80" s="200"/>
      <c r="BD80" s="363"/>
      <c r="BF80" s="460" t="s">
        <v>12940</v>
      </c>
      <c r="BG80" s="354" t="s">
        <v>3630</v>
      </c>
      <c r="BH80" s="287" t="s">
        <v>14083</v>
      </c>
      <c r="BI80" s="287" t="s">
        <v>14084</v>
      </c>
      <c r="BJ80" s="287" t="s">
        <v>14085</v>
      </c>
      <c r="BK80" s="287" t="s">
        <v>14086</v>
      </c>
      <c r="BL80" s="287" t="s">
        <v>14087</v>
      </c>
      <c r="BM80" s="287" t="s">
        <v>14088</v>
      </c>
      <c r="BN80" s="287" t="s">
        <v>14089</v>
      </c>
      <c r="BO80" s="287" t="s">
        <v>14090</v>
      </c>
      <c r="BP80" s="288" t="s">
        <v>14091</v>
      </c>
      <c r="BQ80" s="287" t="s">
        <v>14092</v>
      </c>
      <c r="BR80" s="287" t="s">
        <v>14093</v>
      </c>
      <c r="BS80" s="287" t="s">
        <v>14094</v>
      </c>
      <c r="BT80" s="287" t="s">
        <v>14095</v>
      </c>
      <c r="BU80" s="287" t="s">
        <v>14096</v>
      </c>
      <c r="BV80" s="287" t="s">
        <v>14097</v>
      </c>
      <c r="BW80" s="287" t="s">
        <v>14098</v>
      </c>
      <c r="BX80" s="287" t="s">
        <v>14099</v>
      </c>
      <c r="BY80" s="288" t="s">
        <v>14100</v>
      </c>
      <c r="BZ80" s="744"/>
      <c r="CA80" s="744"/>
      <c r="CB80" s="745"/>
    </row>
    <row r="81" spans="1:80" ht="15.75" customHeight="1">
      <c r="A81" s="197"/>
      <c r="B81" s="792" t="s">
        <v>12940</v>
      </c>
      <c r="C81" s="2355" t="s">
        <v>3631</v>
      </c>
      <c r="D81" s="325" t="s">
        <v>681</v>
      </c>
      <c r="E81" s="325">
        <v>3</v>
      </c>
      <c r="F81" s="751">
        <v>0</v>
      </c>
      <c r="G81" s="751">
        <v>0</v>
      </c>
      <c r="H81" s="751">
        <v>0</v>
      </c>
      <c r="I81" s="751">
        <v>0</v>
      </c>
      <c r="J81" s="751">
        <v>0</v>
      </c>
      <c r="K81" s="751">
        <v>0</v>
      </c>
      <c r="L81" s="751">
        <v>0</v>
      </c>
      <c r="M81" s="751">
        <v>0</v>
      </c>
      <c r="N81" s="312">
        <f t="shared" si="267"/>
        <v>0</v>
      </c>
      <c r="O81" s="751">
        <v>0</v>
      </c>
      <c r="P81" s="751">
        <v>0</v>
      </c>
      <c r="Q81" s="751">
        <v>0</v>
      </c>
      <c r="R81" s="751">
        <v>0</v>
      </c>
      <c r="S81" s="751">
        <v>0</v>
      </c>
      <c r="T81" s="751">
        <v>0</v>
      </c>
      <c r="U81" s="751">
        <v>0</v>
      </c>
      <c r="V81" s="751">
        <v>0</v>
      </c>
      <c r="W81" s="312">
        <f t="shared" si="349"/>
        <v>0</v>
      </c>
      <c r="X81" s="2383"/>
      <c r="Y81" s="2383"/>
      <c r="Z81" s="2384"/>
      <c r="AA81" s="349"/>
      <c r="AB81" s="795" t="s">
        <v>14101</v>
      </c>
      <c r="AC81" s="197"/>
      <c r="AD81" s="291"/>
      <c r="AE81" s="197"/>
      <c r="AF81" s="345"/>
      <c r="AG81" s="284">
        <f t="shared" si="291"/>
        <v>0</v>
      </c>
      <c r="AH81" s="1057"/>
      <c r="AI81" s="285">
        <f t="shared" ref="AI81" si="385" xml:space="preserve"> IF( ISNUMBER(F81), 0, 1 )</f>
        <v>0</v>
      </c>
      <c r="AJ81" s="285">
        <f t="shared" si="371"/>
        <v>0</v>
      </c>
      <c r="AK81" s="285">
        <f t="shared" si="372"/>
        <v>0</v>
      </c>
      <c r="AL81" s="285">
        <f t="shared" si="373"/>
        <v>0</v>
      </c>
      <c r="AM81" s="285">
        <f t="shared" si="374"/>
        <v>0</v>
      </c>
      <c r="AN81" s="285">
        <f t="shared" si="375"/>
        <v>0</v>
      </c>
      <c r="AO81" s="285">
        <f t="shared" si="376"/>
        <v>0</v>
      </c>
      <c r="AP81" s="285">
        <f t="shared" si="377"/>
        <v>0</v>
      </c>
      <c r="AQ81" s="200"/>
      <c r="AR81" s="285">
        <f t="shared" ref="AR81" si="386" xml:space="preserve"> IF( ISNUMBER(O81), 0, 1 )</f>
        <v>0</v>
      </c>
      <c r="AS81" s="285">
        <f t="shared" si="378"/>
        <v>0</v>
      </c>
      <c r="AT81" s="285">
        <f t="shared" si="379"/>
        <v>0</v>
      </c>
      <c r="AU81" s="285">
        <f t="shared" si="380"/>
        <v>0</v>
      </c>
      <c r="AV81" s="285">
        <f t="shared" si="381"/>
        <v>0</v>
      </c>
      <c r="AW81" s="285">
        <f t="shared" si="382"/>
        <v>0</v>
      </c>
      <c r="AX81" s="285">
        <f t="shared" si="383"/>
        <v>0</v>
      </c>
      <c r="AY81" s="285">
        <f t="shared" si="384"/>
        <v>0</v>
      </c>
      <c r="AZ81" s="200"/>
      <c r="BA81" s="200"/>
      <c r="BB81" s="200"/>
      <c r="BC81" s="200"/>
      <c r="BD81" s="363"/>
      <c r="BF81" s="460" t="s">
        <v>12940</v>
      </c>
      <c r="BG81" s="354" t="s">
        <v>3631</v>
      </c>
      <c r="BH81" s="287" t="s">
        <v>14102</v>
      </c>
      <c r="BI81" s="287" t="s">
        <v>14103</v>
      </c>
      <c r="BJ81" s="287" t="s">
        <v>14104</v>
      </c>
      <c r="BK81" s="287" t="s">
        <v>14105</v>
      </c>
      <c r="BL81" s="287" t="s">
        <v>14106</v>
      </c>
      <c r="BM81" s="287" t="s">
        <v>14107</v>
      </c>
      <c r="BN81" s="287" t="s">
        <v>14108</v>
      </c>
      <c r="BO81" s="287" t="s">
        <v>14109</v>
      </c>
      <c r="BP81" s="288" t="s">
        <v>14110</v>
      </c>
      <c r="BQ81" s="287" t="s">
        <v>14111</v>
      </c>
      <c r="BR81" s="287" t="s">
        <v>14112</v>
      </c>
      <c r="BS81" s="287" t="s">
        <v>14113</v>
      </c>
      <c r="BT81" s="287" t="s">
        <v>14114</v>
      </c>
      <c r="BU81" s="287" t="s">
        <v>14115</v>
      </c>
      <c r="BV81" s="287" t="s">
        <v>14116</v>
      </c>
      <c r="BW81" s="287" t="s">
        <v>14117</v>
      </c>
      <c r="BX81" s="287" t="s">
        <v>14118</v>
      </c>
      <c r="BY81" s="288" t="s">
        <v>14119</v>
      </c>
      <c r="BZ81" s="744"/>
      <c r="CA81" s="744"/>
      <c r="CB81" s="745"/>
    </row>
    <row r="82" spans="1:80" ht="15.75" customHeight="1">
      <c r="A82" s="197"/>
      <c r="B82" s="792" t="s">
        <v>12940</v>
      </c>
      <c r="C82" s="2355" t="s">
        <v>3632</v>
      </c>
      <c r="D82" s="325" t="s">
        <v>681</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v>0</v>
      </c>
      <c r="Y82" s="751">
        <v>0</v>
      </c>
      <c r="Z82" s="796">
        <v>0</v>
      </c>
      <c r="AA82" s="349"/>
      <c r="AB82" s="795" t="s">
        <v>14120</v>
      </c>
      <c r="AC82" s="197"/>
      <c r="AD82" s="291"/>
      <c r="AE82" s="197"/>
      <c r="AF82" s="345"/>
      <c r="AG82" s="284">
        <f t="shared" si="291"/>
        <v>0</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0</v>
      </c>
      <c r="BB82" s="285">
        <f t="shared" ref="BB82" si="390" xml:space="preserve"> IF( ISNUMBER(Y82), 0, 1 )</f>
        <v>0</v>
      </c>
      <c r="BC82" s="285">
        <f t="shared" ref="BC82" si="391" xml:space="preserve"> IF( ISNUMBER(Z82), 0, 1 )</f>
        <v>0</v>
      </c>
      <c r="BD82" s="363"/>
      <c r="BF82" s="460" t="s">
        <v>12940</v>
      </c>
      <c r="BG82" s="354" t="s">
        <v>3632</v>
      </c>
      <c r="BH82" s="288" t="s">
        <v>14121</v>
      </c>
      <c r="BI82" s="288" t="s">
        <v>14122</v>
      </c>
      <c r="BJ82" s="288" t="s">
        <v>14123</v>
      </c>
      <c r="BK82" s="288" t="s">
        <v>14124</v>
      </c>
      <c r="BL82" s="288" t="s">
        <v>14125</v>
      </c>
      <c r="BM82" s="288" t="s">
        <v>14126</v>
      </c>
      <c r="BN82" s="288" t="s">
        <v>14127</v>
      </c>
      <c r="BO82" s="288" t="s">
        <v>14128</v>
      </c>
      <c r="BP82" s="288" t="s">
        <v>14129</v>
      </c>
      <c r="BQ82" s="288" t="s">
        <v>14130</v>
      </c>
      <c r="BR82" s="288" t="s">
        <v>14131</v>
      </c>
      <c r="BS82" s="288" t="s">
        <v>14132</v>
      </c>
      <c r="BT82" s="288" t="s">
        <v>14133</v>
      </c>
      <c r="BU82" s="288" t="s">
        <v>14134</v>
      </c>
      <c r="BV82" s="288" t="s">
        <v>14135</v>
      </c>
      <c r="BW82" s="288" t="s">
        <v>14136</v>
      </c>
      <c r="BX82" s="288" t="s">
        <v>14137</v>
      </c>
      <c r="BY82" s="288" t="s">
        <v>14138</v>
      </c>
      <c r="BZ82" s="740" t="s">
        <v>14139</v>
      </c>
      <c r="CA82" s="740" t="s">
        <v>14140</v>
      </c>
      <c r="CB82" s="1117" t="s">
        <v>14141</v>
      </c>
    </row>
    <row r="83" spans="1:80" ht="15.75" customHeight="1">
      <c r="A83" s="197"/>
      <c r="B83" s="792" t="s">
        <v>12965</v>
      </c>
      <c r="C83" s="2355" t="s">
        <v>3630</v>
      </c>
      <c r="D83" s="325" t="s">
        <v>681</v>
      </c>
      <c r="E83" s="325">
        <v>3</v>
      </c>
      <c r="F83" s="751">
        <v>0</v>
      </c>
      <c r="G83" s="751">
        <v>0</v>
      </c>
      <c r="H83" s="751">
        <v>0</v>
      </c>
      <c r="I83" s="751">
        <v>0</v>
      </c>
      <c r="J83" s="751">
        <v>0</v>
      </c>
      <c r="K83" s="751">
        <v>0</v>
      </c>
      <c r="L83" s="751">
        <v>0</v>
      </c>
      <c r="M83" s="751">
        <v>0</v>
      </c>
      <c r="N83" s="312">
        <f t="shared" si="267"/>
        <v>0</v>
      </c>
      <c r="O83" s="751">
        <v>0</v>
      </c>
      <c r="P83" s="751">
        <v>0</v>
      </c>
      <c r="Q83" s="751">
        <v>0</v>
      </c>
      <c r="R83" s="751">
        <v>0</v>
      </c>
      <c r="S83" s="751">
        <v>0</v>
      </c>
      <c r="T83" s="751">
        <v>0</v>
      </c>
      <c r="U83" s="751">
        <v>0</v>
      </c>
      <c r="V83" s="751">
        <v>0</v>
      </c>
      <c r="W83" s="312">
        <f t="shared" si="349"/>
        <v>0</v>
      </c>
      <c r="X83" s="2383"/>
      <c r="Y83" s="2383"/>
      <c r="Z83" s="2384"/>
      <c r="AA83" s="349"/>
      <c r="AB83" s="795" t="s">
        <v>14142</v>
      </c>
      <c r="AC83" s="197"/>
      <c r="AD83" s="291"/>
      <c r="AE83" s="197"/>
      <c r="AF83" s="345"/>
      <c r="AG83" s="284">
        <f t="shared" si="291"/>
        <v>0</v>
      </c>
      <c r="AH83" s="1116"/>
      <c r="AI83" s="285">
        <f xml:space="preserve"> IF( ISNUMBER(F83), 0, 1 )</f>
        <v>0</v>
      </c>
      <c r="AJ83" s="285">
        <f t="shared" ref="AJ83:AJ84" si="392" xml:space="preserve"> IF( ISNUMBER(G83), 0, 1 )</f>
        <v>0</v>
      </c>
      <c r="AK83" s="285">
        <f t="shared" ref="AK83:AK84" si="393" xml:space="preserve"> IF( ISNUMBER(H83), 0, 1 )</f>
        <v>0</v>
      </c>
      <c r="AL83" s="285">
        <f t="shared" ref="AL83:AL84" si="394" xml:space="preserve"> IF( ISNUMBER(I83), 0, 1 )</f>
        <v>0</v>
      </c>
      <c r="AM83" s="285">
        <f t="shared" ref="AM83:AM84" si="395" xml:space="preserve"> IF( ISNUMBER(J83), 0, 1 )</f>
        <v>0</v>
      </c>
      <c r="AN83" s="285">
        <f t="shared" ref="AN83:AN84" si="396" xml:space="preserve"> IF( ISNUMBER(K83), 0, 1 )</f>
        <v>0</v>
      </c>
      <c r="AO83" s="285">
        <f t="shared" ref="AO83:AO84" si="397" xml:space="preserve"> IF( ISNUMBER(L83), 0, 1 )</f>
        <v>0</v>
      </c>
      <c r="AP83" s="285">
        <f t="shared" ref="AP83:AP84" si="398" xml:space="preserve"> IF( ISNUMBER(M83), 0, 1 )</f>
        <v>0</v>
      </c>
      <c r="AQ83" s="200"/>
      <c r="AR83" s="285">
        <f xml:space="preserve"> IF( ISNUMBER(O83), 0, 1 )</f>
        <v>0</v>
      </c>
      <c r="AS83" s="285">
        <f t="shared" ref="AS83:AS84" si="399" xml:space="preserve"> IF( ISNUMBER(P83), 0, 1 )</f>
        <v>0</v>
      </c>
      <c r="AT83" s="285">
        <f t="shared" ref="AT83:AT84" si="400" xml:space="preserve"> IF( ISNUMBER(Q83), 0, 1 )</f>
        <v>0</v>
      </c>
      <c r="AU83" s="285">
        <f t="shared" ref="AU83:AU84" si="401" xml:space="preserve"> IF( ISNUMBER(R83), 0, 1 )</f>
        <v>0</v>
      </c>
      <c r="AV83" s="285">
        <f t="shared" ref="AV83:AV84" si="402" xml:space="preserve"> IF( ISNUMBER(S83), 0, 1 )</f>
        <v>0</v>
      </c>
      <c r="AW83" s="285">
        <f t="shared" ref="AW83:AW84" si="403" xml:space="preserve"> IF( ISNUMBER(T83), 0, 1 )</f>
        <v>0</v>
      </c>
      <c r="AX83" s="285">
        <f t="shared" ref="AX83:AX84" si="404" xml:space="preserve"> IF( ISNUMBER(U83), 0, 1 )</f>
        <v>0</v>
      </c>
      <c r="AY83" s="285">
        <f t="shared" ref="AY83:AY84" si="405" xml:space="preserve"> IF( ISNUMBER(V83), 0, 1 )</f>
        <v>0</v>
      </c>
      <c r="AZ83" s="200"/>
      <c r="BA83" s="200"/>
      <c r="BB83" s="200"/>
      <c r="BC83" s="200"/>
      <c r="BD83" s="363"/>
      <c r="BF83" s="460" t="s">
        <v>12965</v>
      </c>
      <c r="BG83" s="354" t="s">
        <v>3630</v>
      </c>
      <c r="BH83" s="287" t="s">
        <v>14143</v>
      </c>
      <c r="BI83" s="287" t="s">
        <v>14144</v>
      </c>
      <c r="BJ83" s="287" t="s">
        <v>14145</v>
      </c>
      <c r="BK83" s="287" t="s">
        <v>14146</v>
      </c>
      <c r="BL83" s="287" t="s">
        <v>14147</v>
      </c>
      <c r="BM83" s="287" t="s">
        <v>14148</v>
      </c>
      <c r="BN83" s="287" t="s">
        <v>14149</v>
      </c>
      <c r="BO83" s="287" t="s">
        <v>14150</v>
      </c>
      <c r="BP83" s="288" t="s">
        <v>14151</v>
      </c>
      <c r="BQ83" s="287" t="s">
        <v>14152</v>
      </c>
      <c r="BR83" s="287" t="s">
        <v>14153</v>
      </c>
      <c r="BS83" s="287" t="s">
        <v>14154</v>
      </c>
      <c r="BT83" s="287" t="s">
        <v>14155</v>
      </c>
      <c r="BU83" s="287" t="s">
        <v>14156</v>
      </c>
      <c r="BV83" s="287" t="s">
        <v>14157</v>
      </c>
      <c r="BW83" s="287" t="s">
        <v>14158</v>
      </c>
      <c r="BX83" s="287" t="s">
        <v>14159</v>
      </c>
      <c r="BY83" s="288" t="s">
        <v>14160</v>
      </c>
      <c r="BZ83" s="744"/>
      <c r="CA83" s="744"/>
      <c r="CB83" s="745"/>
    </row>
    <row r="84" spans="1:80" ht="15.75" customHeight="1">
      <c r="A84" s="197"/>
      <c r="B84" s="792" t="s">
        <v>12965</v>
      </c>
      <c r="C84" s="2355" t="s">
        <v>3631</v>
      </c>
      <c r="D84" s="325" t="s">
        <v>681</v>
      </c>
      <c r="E84" s="325">
        <v>3</v>
      </c>
      <c r="F84" s="751">
        <v>0.04</v>
      </c>
      <c r="G84" s="751">
        <v>1E-3</v>
      </c>
      <c r="H84" s="751">
        <v>0</v>
      </c>
      <c r="I84" s="751">
        <v>4.3999999999999997E-2</v>
      </c>
      <c r="J84" s="751">
        <v>0</v>
      </c>
      <c r="K84" s="751">
        <v>0</v>
      </c>
      <c r="L84" s="751">
        <v>5.0000000000000001E-3</v>
      </c>
      <c r="M84" s="751">
        <v>0</v>
      </c>
      <c r="N84" s="312">
        <f t="shared" si="267"/>
        <v>0.09</v>
      </c>
      <c r="O84" s="751">
        <v>0</v>
      </c>
      <c r="P84" s="751">
        <v>0</v>
      </c>
      <c r="Q84" s="751">
        <v>0</v>
      </c>
      <c r="R84" s="751">
        <v>0</v>
      </c>
      <c r="S84" s="751">
        <v>0</v>
      </c>
      <c r="T84" s="751">
        <v>0</v>
      </c>
      <c r="U84" s="751">
        <v>0</v>
      </c>
      <c r="V84" s="751">
        <v>0</v>
      </c>
      <c r="W84" s="312">
        <f t="shared" si="349"/>
        <v>0</v>
      </c>
      <c r="X84" s="2383"/>
      <c r="Y84" s="2383"/>
      <c r="Z84" s="2384"/>
      <c r="AA84" s="349"/>
      <c r="AB84" s="795" t="s">
        <v>14161</v>
      </c>
      <c r="AC84" s="197"/>
      <c r="AD84" s="291"/>
      <c r="AE84" s="197"/>
      <c r="AF84" s="345"/>
      <c r="AG84" s="284">
        <f t="shared" si="291"/>
        <v>0</v>
      </c>
      <c r="AH84" s="1057"/>
      <c r="AI84" s="285">
        <f t="shared" ref="AI84" si="406" xml:space="preserve"> IF( ISNUMBER(F84), 0, 1 )</f>
        <v>0</v>
      </c>
      <c r="AJ84" s="285">
        <f t="shared" si="392"/>
        <v>0</v>
      </c>
      <c r="AK84" s="285">
        <f t="shared" si="393"/>
        <v>0</v>
      </c>
      <c r="AL84" s="285">
        <f t="shared" si="394"/>
        <v>0</v>
      </c>
      <c r="AM84" s="285">
        <f t="shared" si="395"/>
        <v>0</v>
      </c>
      <c r="AN84" s="285">
        <f t="shared" si="396"/>
        <v>0</v>
      </c>
      <c r="AO84" s="285">
        <f t="shared" si="397"/>
        <v>0</v>
      </c>
      <c r="AP84" s="285">
        <f t="shared" si="398"/>
        <v>0</v>
      </c>
      <c r="AQ84" s="200"/>
      <c r="AR84" s="285">
        <f t="shared" ref="AR84" si="407" xml:space="preserve"> IF( ISNUMBER(O84), 0, 1 )</f>
        <v>0</v>
      </c>
      <c r="AS84" s="285">
        <f t="shared" si="399"/>
        <v>0</v>
      </c>
      <c r="AT84" s="285">
        <f t="shared" si="400"/>
        <v>0</v>
      </c>
      <c r="AU84" s="285">
        <f t="shared" si="401"/>
        <v>0</v>
      </c>
      <c r="AV84" s="285">
        <f t="shared" si="402"/>
        <v>0</v>
      </c>
      <c r="AW84" s="285">
        <f t="shared" si="403"/>
        <v>0</v>
      </c>
      <c r="AX84" s="285">
        <f t="shared" si="404"/>
        <v>0</v>
      </c>
      <c r="AY84" s="285">
        <f t="shared" si="405"/>
        <v>0</v>
      </c>
      <c r="AZ84" s="200"/>
      <c r="BA84" s="200"/>
      <c r="BB84" s="200"/>
      <c r="BC84" s="200"/>
      <c r="BD84" s="363"/>
      <c r="BF84" s="460" t="s">
        <v>12965</v>
      </c>
      <c r="BG84" s="354" t="s">
        <v>3631</v>
      </c>
      <c r="BH84" s="287" t="s">
        <v>14162</v>
      </c>
      <c r="BI84" s="287" t="s">
        <v>14163</v>
      </c>
      <c r="BJ84" s="287" t="s">
        <v>14164</v>
      </c>
      <c r="BK84" s="287" t="s">
        <v>14165</v>
      </c>
      <c r="BL84" s="287" t="s">
        <v>14166</v>
      </c>
      <c r="BM84" s="287" t="s">
        <v>14167</v>
      </c>
      <c r="BN84" s="287" t="s">
        <v>14168</v>
      </c>
      <c r="BO84" s="287" t="s">
        <v>14169</v>
      </c>
      <c r="BP84" s="288" t="s">
        <v>14170</v>
      </c>
      <c r="BQ84" s="287" t="s">
        <v>14171</v>
      </c>
      <c r="BR84" s="287" t="s">
        <v>14172</v>
      </c>
      <c r="BS84" s="287" t="s">
        <v>14173</v>
      </c>
      <c r="BT84" s="287" t="s">
        <v>14174</v>
      </c>
      <c r="BU84" s="287" t="s">
        <v>14175</v>
      </c>
      <c r="BV84" s="287" t="s">
        <v>14176</v>
      </c>
      <c r="BW84" s="287" t="s">
        <v>14177</v>
      </c>
      <c r="BX84" s="287" t="s">
        <v>14178</v>
      </c>
      <c r="BY84" s="288" t="s">
        <v>14179</v>
      </c>
      <c r="BZ84" s="744"/>
      <c r="CA84" s="744"/>
      <c r="CB84" s="745"/>
    </row>
    <row r="85" spans="1:80" ht="15.75" customHeight="1">
      <c r="A85" s="197"/>
      <c r="B85" s="792" t="s">
        <v>12965</v>
      </c>
      <c r="C85" s="2355" t="s">
        <v>3632</v>
      </c>
      <c r="D85" s="325" t="s">
        <v>681</v>
      </c>
      <c r="E85" s="325">
        <v>3</v>
      </c>
      <c r="F85" s="312">
        <f>IFERROR(SUM(F83:F84), 0)</f>
        <v>0.04</v>
      </c>
      <c r="G85" s="312">
        <f t="shared" ref="G85:M85" si="408">IFERROR(SUM(G83:G84), 0)</f>
        <v>1E-3</v>
      </c>
      <c r="H85" s="312">
        <f t="shared" si="408"/>
        <v>0</v>
      </c>
      <c r="I85" s="312">
        <f t="shared" si="408"/>
        <v>4.3999999999999997E-2</v>
      </c>
      <c r="J85" s="312">
        <f t="shared" si="408"/>
        <v>0</v>
      </c>
      <c r="K85" s="312">
        <f t="shared" si="408"/>
        <v>0</v>
      </c>
      <c r="L85" s="312">
        <f t="shared" si="408"/>
        <v>5.0000000000000001E-3</v>
      </c>
      <c r="M85" s="312">
        <f t="shared" si="408"/>
        <v>0</v>
      </c>
      <c r="N85" s="312">
        <f t="shared" si="267"/>
        <v>0.09</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v>0.24199999999999999</v>
      </c>
      <c r="Y85" s="751">
        <v>1.88</v>
      </c>
      <c r="Z85" s="796">
        <v>4.4950000000000001</v>
      </c>
      <c r="AA85" s="349"/>
      <c r="AB85" s="795" t="s">
        <v>14180</v>
      </c>
      <c r="AC85" s="197"/>
      <c r="AD85" s="291"/>
      <c r="AE85" s="197"/>
      <c r="AF85" s="345"/>
      <c r="AG85" s="284">
        <f t="shared" si="291"/>
        <v>0</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0</v>
      </c>
      <c r="BB85" s="285">
        <f t="shared" ref="BB85:BB95" si="411" xml:space="preserve"> IF( ISNUMBER(Y85), 0, 1 )</f>
        <v>0</v>
      </c>
      <c r="BC85" s="285">
        <f t="shared" ref="BC85:BC95" si="412" xml:space="preserve"> IF( ISNUMBER(Z85), 0, 1 )</f>
        <v>0</v>
      </c>
      <c r="BD85" s="363"/>
      <c r="BF85" s="460" t="s">
        <v>12965</v>
      </c>
      <c r="BG85" s="354" t="s">
        <v>3632</v>
      </c>
      <c r="BH85" s="288" t="s">
        <v>14181</v>
      </c>
      <c r="BI85" s="288" t="s">
        <v>14182</v>
      </c>
      <c r="BJ85" s="288" t="s">
        <v>14183</v>
      </c>
      <c r="BK85" s="288" t="s">
        <v>14184</v>
      </c>
      <c r="BL85" s="288" t="s">
        <v>14185</v>
      </c>
      <c r="BM85" s="288" t="s">
        <v>14186</v>
      </c>
      <c r="BN85" s="288" t="s">
        <v>14187</v>
      </c>
      <c r="BO85" s="288" t="s">
        <v>14188</v>
      </c>
      <c r="BP85" s="288" t="s">
        <v>14189</v>
      </c>
      <c r="BQ85" s="288" t="s">
        <v>14190</v>
      </c>
      <c r="BR85" s="288" t="s">
        <v>14191</v>
      </c>
      <c r="BS85" s="288" t="s">
        <v>14192</v>
      </c>
      <c r="BT85" s="288" t="s">
        <v>14193</v>
      </c>
      <c r="BU85" s="288" t="s">
        <v>14194</v>
      </c>
      <c r="BV85" s="288" t="s">
        <v>14195</v>
      </c>
      <c r="BW85" s="288" t="s">
        <v>14196</v>
      </c>
      <c r="BX85" s="288" t="s">
        <v>14197</v>
      </c>
      <c r="BY85" s="288" t="s">
        <v>14198</v>
      </c>
      <c r="BZ85" s="740" t="s">
        <v>14199</v>
      </c>
      <c r="CA85" s="740" t="s">
        <v>14200</v>
      </c>
      <c r="CB85" s="1117" t="s">
        <v>14201</v>
      </c>
    </row>
    <row r="86" spans="1:80" ht="15.75" customHeight="1">
      <c r="A86" s="197"/>
      <c r="B86" s="2390" t="s">
        <v>12990</v>
      </c>
      <c r="C86" s="2355" t="s">
        <v>3630</v>
      </c>
      <c r="D86" s="325" t="s">
        <v>681</v>
      </c>
      <c r="E86" s="325">
        <v>3</v>
      </c>
      <c r="F86" s="751">
        <v>0</v>
      </c>
      <c r="G86" s="751">
        <v>0</v>
      </c>
      <c r="H86" s="751">
        <v>0</v>
      </c>
      <c r="I86" s="751">
        <v>0</v>
      </c>
      <c r="J86" s="751">
        <v>0</v>
      </c>
      <c r="K86" s="751">
        <v>0</v>
      </c>
      <c r="L86" s="751">
        <v>0</v>
      </c>
      <c r="M86" s="751">
        <v>0</v>
      </c>
      <c r="N86" s="312">
        <f t="shared" si="267"/>
        <v>0</v>
      </c>
      <c r="O86" s="2382"/>
      <c r="P86" s="2382"/>
      <c r="Q86" s="2382"/>
      <c r="R86" s="2382"/>
      <c r="S86" s="2382"/>
      <c r="T86" s="2382"/>
      <c r="U86" s="2382"/>
      <c r="V86" s="2382"/>
      <c r="W86" s="2382"/>
      <c r="X86" s="751">
        <v>0</v>
      </c>
      <c r="Y86" s="751">
        <v>0</v>
      </c>
      <c r="Z86" s="796">
        <v>0</v>
      </c>
      <c r="AA86" s="349"/>
      <c r="AB86" s="795" t="s">
        <v>14202</v>
      </c>
      <c r="AC86" s="197"/>
      <c r="AD86" s="291"/>
      <c r="AE86" s="197"/>
      <c r="AF86" s="345"/>
      <c r="AG86" s="284">
        <f t="shared" si="291"/>
        <v>0</v>
      </c>
      <c r="AH86" s="345"/>
      <c r="AI86" s="285">
        <f t="shared" ref="AI86:AI95" si="413" xml:space="preserve"> IF( ISNUMBER(F86), 0, 1 )</f>
        <v>0</v>
      </c>
      <c r="AJ86" s="285">
        <f t="shared" ref="AJ86:AJ95" si="414" xml:space="preserve"> IF( ISNUMBER(G86), 0, 1 )</f>
        <v>0</v>
      </c>
      <c r="AK86" s="285">
        <f t="shared" ref="AK86:AK95" si="415" xml:space="preserve"> IF( ISNUMBER(H86), 0, 1 )</f>
        <v>0</v>
      </c>
      <c r="AL86" s="285">
        <f t="shared" ref="AL86:AL95" si="416" xml:space="preserve"> IF( ISNUMBER(I86), 0, 1 )</f>
        <v>0</v>
      </c>
      <c r="AM86" s="285">
        <f t="shared" ref="AM86:AM95" si="417" xml:space="preserve"> IF( ISNUMBER(J86), 0, 1 )</f>
        <v>0</v>
      </c>
      <c r="AN86" s="285">
        <f t="shared" ref="AN86:AN95" si="418" xml:space="preserve"> IF( ISNUMBER(K86), 0, 1 )</f>
        <v>0</v>
      </c>
      <c r="AO86" s="285">
        <f t="shared" ref="AO86:AO95" si="419" xml:space="preserve"> IF( ISNUMBER(L86), 0, 1 )</f>
        <v>0</v>
      </c>
      <c r="AP86" s="285">
        <f t="shared" ref="AP86:AP95" si="420" xml:space="preserve"> IF( ISNUMBER(M86), 0, 1 )</f>
        <v>0</v>
      </c>
      <c r="AQ86" s="200"/>
      <c r="AR86" s="200"/>
      <c r="AS86" s="200"/>
      <c r="AT86" s="200"/>
      <c r="AU86" s="200"/>
      <c r="AV86" s="200"/>
      <c r="AW86" s="200"/>
      <c r="AX86" s="200"/>
      <c r="AY86" s="200"/>
      <c r="AZ86" s="200"/>
      <c r="BA86" s="285">
        <f t="shared" si="410"/>
        <v>0</v>
      </c>
      <c r="BB86" s="285">
        <f t="shared" si="411"/>
        <v>0</v>
      </c>
      <c r="BC86" s="285">
        <f t="shared" si="412"/>
        <v>0</v>
      </c>
      <c r="BD86" s="363"/>
      <c r="BF86" s="775" t="s">
        <v>12990</v>
      </c>
      <c r="BG86" s="354" t="s">
        <v>3630</v>
      </c>
      <c r="BH86" s="287" t="s">
        <v>14203</v>
      </c>
      <c r="BI86" s="287" t="s">
        <v>14204</v>
      </c>
      <c r="BJ86" s="287" t="s">
        <v>14205</v>
      </c>
      <c r="BK86" s="287" t="s">
        <v>14206</v>
      </c>
      <c r="BL86" s="287" t="s">
        <v>14207</v>
      </c>
      <c r="BM86" s="287" t="s">
        <v>14208</v>
      </c>
      <c r="BN86" s="287" t="s">
        <v>14209</v>
      </c>
      <c r="BO86" s="287" t="s">
        <v>14210</v>
      </c>
      <c r="BP86" s="288" t="s">
        <v>14211</v>
      </c>
      <c r="BQ86" s="399"/>
      <c r="BR86" s="399"/>
      <c r="BS86" s="399"/>
      <c r="BT86" s="399"/>
      <c r="BU86" s="399"/>
      <c r="BV86" s="399"/>
      <c r="BW86" s="399"/>
      <c r="BX86" s="399"/>
      <c r="BY86" s="399"/>
      <c r="BZ86" s="740" t="s">
        <v>14212</v>
      </c>
      <c r="CA86" s="740" t="s">
        <v>14213</v>
      </c>
      <c r="CB86" s="1117" t="s">
        <v>14214</v>
      </c>
    </row>
    <row r="87" spans="1:80" ht="15.75" customHeight="1">
      <c r="A87" s="197"/>
      <c r="B87" s="2390" t="s">
        <v>12990</v>
      </c>
      <c r="C87" s="2355" t="s">
        <v>3631</v>
      </c>
      <c r="D87" s="325" t="s">
        <v>681</v>
      </c>
      <c r="E87" s="325">
        <v>3</v>
      </c>
      <c r="F87" s="751">
        <v>0</v>
      </c>
      <c r="G87" s="751">
        <v>0</v>
      </c>
      <c r="H87" s="751">
        <v>0</v>
      </c>
      <c r="I87" s="751">
        <v>0</v>
      </c>
      <c r="J87" s="751">
        <v>0</v>
      </c>
      <c r="K87" s="751">
        <v>0</v>
      </c>
      <c r="L87" s="751">
        <v>0</v>
      </c>
      <c r="M87" s="751">
        <v>0</v>
      </c>
      <c r="N87" s="312">
        <f t="shared" si="267"/>
        <v>0</v>
      </c>
      <c r="O87" s="2382"/>
      <c r="P87" s="2382"/>
      <c r="Q87" s="2382"/>
      <c r="R87" s="2382"/>
      <c r="S87" s="2382"/>
      <c r="T87" s="2382"/>
      <c r="U87" s="2382"/>
      <c r="V87" s="2382"/>
      <c r="W87" s="2382"/>
      <c r="X87" s="751">
        <v>0</v>
      </c>
      <c r="Y87" s="751">
        <v>0</v>
      </c>
      <c r="Z87" s="796">
        <v>0</v>
      </c>
      <c r="AA87" s="349"/>
      <c r="AB87" s="795" t="s">
        <v>14215</v>
      </c>
      <c r="AC87" s="197"/>
      <c r="AD87" s="291"/>
      <c r="AE87" s="197"/>
      <c r="AF87" s="345"/>
      <c r="AG87" s="284">
        <f t="shared" si="291"/>
        <v>0</v>
      </c>
      <c r="AH87" s="345"/>
      <c r="AI87" s="285">
        <f t="shared" si="413"/>
        <v>0</v>
      </c>
      <c r="AJ87" s="285">
        <f t="shared" si="414"/>
        <v>0</v>
      </c>
      <c r="AK87" s="285">
        <f t="shared" si="415"/>
        <v>0</v>
      </c>
      <c r="AL87" s="285">
        <f t="shared" si="416"/>
        <v>0</v>
      </c>
      <c r="AM87" s="285">
        <f t="shared" si="417"/>
        <v>0</v>
      </c>
      <c r="AN87" s="285">
        <f t="shared" si="418"/>
        <v>0</v>
      </c>
      <c r="AO87" s="285">
        <f t="shared" si="419"/>
        <v>0</v>
      </c>
      <c r="AP87" s="285">
        <f t="shared" si="420"/>
        <v>0</v>
      </c>
      <c r="AQ87" s="200"/>
      <c r="AR87" s="200"/>
      <c r="AS87" s="200"/>
      <c r="AT87" s="200"/>
      <c r="AU87" s="200"/>
      <c r="AV87" s="200"/>
      <c r="AW87" s="200"/>
      <c r="AX87" s="200"/>
      <c r="AY87" s="200"/>
      <c r="AZ87" s="200"/>
      <c r="BA87" s="285">
        <f t="shared" si="410"/>
        <v>0</v>
      </c>
      <c r="BB87" s="285">
        <f t="shared" si="411"/>
        <v>0</v>
      </c>
      <c r="BC87" s="285">
        <f t="shared" si="412"/>
        <v>0</v>
      </c>
      <c r="BD87" s="363"/>
      <c r="BF87" s="775" t="s">
        <v>12990</v>
      </c>
      <c r="BG87" s="354" t="s">
        <v>3631</v>
      </c>
      <c r="BH87" s="287" t="s">
        <v>14216</v>
      </c>
      <c r="BI87" s="287" t="s">
        <v>14217</v>
      </c>
      <c r="BJ87" s="287" t="s">
        <v>14218</v>
      </c>
      <c r="BK87" s="287" t="s">
        <v>14219</v>
      </c>
      <c r="BL87" s="287" t="s">
        <v>14220</v>
      </c>
      <c r="BM87" s="287" t="s">
        <v>14221</v>
      </c>
      <c r="BN87" s="287" t="s">
        <v>14222</v>
      </c>
      <c r="BO87" s="287" t="s">
        <v>14223</v>
      </c>
      <c r="BP87" s="288" t="s">
        <v>14224</v>
      </c>
      <c r="BQ87" s="399"/>
      <c r="BR87" s="399"/>
      <c r="BS87" s="399"/>
      <c r="BT87" s="399"/>
      <c r="BU87" s="399"/>
      <c r="BV87" s="399"/>
      <c r="BW87" s="399"/>
      <c r="BX87" s="399"/>
      <c r="BY87" s="399"/>
      <c r="BZ87" s="740" t="s">
        <v>14225</v>
      </c>
      <c r="CA87" s="740" t="s">
        <v>14226</v>
      </c>
      <c r="CB87" s="1117" t="s">
        <v>14227</v>
      </c>
    </row>
    <row r="88" spans="1:80" ht="15.75" customHeight="1">
      <c r="A88" s="197"/>
      <c r="B88" s="2390" t="s">
        <v>13011</v>
      </c>
      <c r="C88" s="2355" t="s">
        <v>3630</v>
      </c>
      <c r="D88" s="325" t="s">
        <v>681</v>
      </c>
      <c r="E88" s="325">
        <v>3</v>
      </c>
      <c r="F88" s="751">
        <v>0</v>
      </c>
      <c r="G88" s="751">
        <v>0</v>
      </c>
      <c r="H88" s="751">
        <v>0</v>
      </c>
      <c r="I88" s="751">
        <v>0</v>
      </c>
      <c r="J88" s="751">
        <v>0</v>
      </c>
      <c r="K88" s="751">
        <v>0</v>
      </c>
      <c r="L88" s="751">
        <v>0</v>
      </c>
      <c r="M88" s="751">
        <v>0</v>
      </c>
      <c r="N88" s="312">
        <f t="shared" si="267"/>
        <v>0</v>
      </c>
      <c r="O88" s="2382"/>
      <c r="P88" s="2382"/>
      <c r="Q88" s="2382"/>
      <c r="R88" s="2382"/>
      <c r="S88" s="2382"/>
      <c r="T88" s="2382"/>
      <c r="U88" s="2382"/>
      <c r="V88" s="2382"/>
      <c r="W88" s="2382"/>
      <c r="X88" s="751">
        <v>0</v>
      </c>
      <c r="Y88" s="751">
        <v>0</v>
      </c>
      <c r="Z88" s="796">
        <v>0</v>
      </c>
      <c r="AA88" s="349"/>
      <c r="AB88" s="795" t="s">
        <v>14228</v>
      </c>
      <c r="AC88" s="197"/>
      <c r="AD88" s="291"/>
      <c r="AE88" s="197"/>
      <c r="AF88" s="345"/>
      <c r="AG88" s="284">
        <f t="shared" si="291"/>
        <v>0</v>
      </c>
      <c r="AH88" s="345"/>
      <c r="AI88" s="285">
        <f t="shared" si="413"/>
        <v>0</v>
      </c>
      <c r="AJ88" s="285">
        <f t="shared" si="414"/>
        <v>0</v>
      </c>
      <c r="AK88" s="285">
        <f t="shared" si="415"/>
        <v>0</v>
      </c>
      <c r="AL88" s="285">
        <f t="shared" si="416"/>
        <v>0</v>
      </c>
      <c r="AM88" s="285">
        <f t="shared" si="417"/>
        <v>0</v>
      </c>
      <c r="AN88" s="285">
        <f t="shared" si="418"/>
        <v>0</v>
      </c>
      <c r="AO88" s="285">
        <f t="shared" si="419"/>
        <v>0</v>
      </c>
      <c r="AP88" s="285">
        <f t="shared" si="420"/>
        <v>0</v>
      </c>
      <c r="AQ88" s="200"/>
      <c r="AR88" s="200"/>
      <c r="AS88" s="200"/>
      <c r="AT88" s="200"/>
      <c r="AU88" s="200"/>
      <c r="AV88" s="200"/>
      <c r="AW88" s="200"/>
      <c r="AX88" s="200"/>
      <c r="AY88" s="200"/>
      <c r="AZ88" s="200"/>
      <c r="BA88" s="285">
        <f t="shared" si="410"/>
        <v>0</v>
      </c>
      <c r="BB88" s="285">
        <f t="shared" si="411"/>
        <v>0</v>
      </c>
      <c r="BC88" s="285">
        <f t="shared" si="412"/>
        <v>0</v>
      </c>
      <c r="BD88" s="363"/>
      <c r="BF88" s="775" t="s">
        <v>13011</v>
      </c>
      <c r="BG88" s="354" t="s">
        <v>3630</v>
      </c>
      <c r="BH88" s="287" t="s">
        <v>14229</v>
      </c>
      <c r="BI88" s="287" t="s">
        <v>14230</v>
      </c>
      <c r="BJ88" s="287" t="s">
        <v>14231</v>
      </c>
      <c r="BK88" s="287" t="s">
        <v>14232</v>
      </c>
      <c r="BL88" s="287" t="s">
        <v>14233</v>
      </c>
      <c r="BM88" s="287" t="s">
        <v>14234</v>
      </c>
      <c r="BN88" s="287" t="s">
        <v>14235</v>
      </c>
      <c r="BO88" s="287" t="s">
        <v>14236</v>
      </c>
      <c r="BP88" s="288" t="s">
        <v>14237</v>
      </c>
      <c r="BQ88" s="399"/>
      <c r="BR88" s="399"/>
      <c r="BS88" s="399"/>
      <c r="BT88" s="399"/>
      <c r="BU88" s="399"/>
      <c r="BV88" s="399"/>
      <c r="BW88" s="399"/>
      <c r="BX88" s="399"/>
      <c r="BY88" s="399"/>
      <c r="BZ88" s="740" t="s">
        <v>14238</v>
      </c>
      <c r="CA88" s="740" t="s">
        <v>14239</v>
      </c>
      <c r="CB88" s="1117" t="s">
        <v>14240</v>
      </c>
    </row>
    <row r="89" spans="1:80" ht="15.75" customHeight="1">
      <c r="A89" s="197"/>
      <c r="B89" s="2390" t="s">
        <v>13011</v>
      </c>
      <c r="C89" s="2355" t="s">
        <v>3631</v>
      </c>
      <c r="D89" s="325" t="s">
        <v>681</v>
      </c>
      <c r="E89" s="325">
        <v>3</v>
      </c>
      <c r="F89" s="751">
        <v>0</v>
      </c>
      <c r="G89" s="751">
        <v>0</v>
      </c>
      <c r="H89" s="751">
        <v>0</v>
      </c>
      <c r="I89" s="751">
        <v>0</v>
      </c>
      <c r="J89" s="751">
        <v>0</v>
      </c>
      <c r="K89" s="751">
        <v>0</v>
      </c>
      <c r="L89" s="751">
        <v>0</v>
      </c>
      <c r="M89" s="751">
        <v>0</v>
      </c>
      <c r="N89" s="312">
        <f t="shared" si="267"/>
        <v>0</v>
      </c>
      <c r="O89" s="2382"/>
      <c r="P89" s="2382"/>
      <c r="Q89" s="2382"/>
      <c r="R89" s="2382"/>
      <c r="S89" s="2382"/>
      <c r="T89" s="2382"/>
      <c r="U89" s="2382"/>
      <c r="V89" s="2382"/>
      <c r="W89" s="2382"/>
      <c r="X89" s="751">
        <v>0</v>
      </c>
      <c r="Y89" s="751">
        <v>0</v>
      </c>
      <c r="Z89" s="796">
        <v>0</v>
      </c>
      <c r="AA89" s="349"/>
      <c r="AB89" s="795" t="s">
        <v>14241</v>
      </c>
      <c r="AC89" s="197"/>
      <c r="AD89" s="291"/>
      <c r="AE89" s="197"/>
      <c r="AF89" s="345"/>
      <c r="AG89" s="284">
        <f t="shared" si="291"/>
        <v>0</v>
      </c>
      <c r="AH89" s="345"/>
      <c r="AI89" s="285">
        <f t="shared" si="413"/>
        <v>0</v>
      </c>
      <c r="AJ89" s="285">
        <f t="shared" si="414"/>
        <v>0</v>
      </c>
      <c r="AK89" s="285">
        <f t="shared" si="415"/>
        <v>0</v>
      </c>
      <c r="AL89" s="285">
        <f t="shared" si="416"/>
        <v>0</v>
      </c>
      <c r="AM89" s="285">
        <f t="shared" si="417"/>
        <v>0</v>
      </c>
      <c r="AN89" s="285">
        <f t="shared" si="418"/>
        <v>0</v>
      </c>
      <c r="AO89" s="285">
        <f t="shared" si="419"/>
        <v>0</v>
      </c>
      <c r="AP89" s="285">
        <f t="shared" si="420"/>
        <v>0</v>
      </c>
      <c r="AQ89" s="200"/>
      <c r="AR89" s="200"/>
      <c r="AS89" s="200"/>
      <c r="AT89" s="200"/>
      <c r="AU89" s="200"/>
      <c r="AV89" s="200"/>
      <c r="AW89" s="200"/>
      <c r="AX89" s="200"/>
      <c r="AY89" s="200"/>
      <c r="AZ89" s="200"/>
      <c r="BA89" s="285">
        <f t="shared" si="410"/>
        <v>0</v>
      </c>
      <c r="BB89" s="285">
        <f t="shared" si="411"/>
        <v>0</v>
      </c>
      <c r="BC89" s="285">
        <f t="shared" si="412"/>
        <v>0</v>
      </c>
      <c r="BD89" s="363"/>
      <c r="BF89" s="775" t="s">
        <v>13011</v>
      </c>
      <c r="BG89" s="354" t="s">
        <v>3631</v>
      </c>
      <c r="BH89" s="287" t="s">
        <v>14242</v>
      </c>
      <c r="BI89" s="287" t="s">
        <v>14243</v>
      </c>
      <c r="BJ89" s="287" t="s">
        <v>14244</v>
      </c>
      <c r="BK89" s="287" t="s">
        <v>14245</v>
      </c>
      <c r="BL89" s="287" t="s">
        <v>14246</v>
      </c>
      <c r="BM89" s="287" t="s">
        <v>14247</v>
      </c>
      <c r="BN89" s="287" t="s">
        <v>14248</v>
      </c>
      <c r="BO89" s="287" t="s">
        <v>14249</v>
      </c>
      <c r="BP89" s="288" t="s">
        <v>14250</v>
      </c>
      <c r="BQ89" s="399"/>
      <c r="BR89" s="399"/>
      <c r="BS89" s="399"/>
      <c r="BT89" s="399"/>
      <c r="BU89" s="399"/>
      <c r="BV89" s="399"/>
      <c r="BW89" s="399"/>
      <c r="BX89" s="399"/>
      <c r="BY89" s="399"/>
      <c r="BZ89" s="740" t="s">
        <v>14251</v>
      </c>
      <c r="CA89" s="740" t="s">
        <v>14252</v>
      </c>
      <c r="CB89" s="1117" t="s">
        <v>14253</v>
      </c>
    </row>
    <row r="90" spans="1:80" ht="15.75" customHeight="1">
      <c r="A90" s="197"/>
      <c r="B90" s="2390" t="s">
        <v>13032</v>
      </c>
      <c r="C90" s="2355" t="s">
        <v>3630</v>
      </c>
      <c r="D90" s="325" t="s">
        <v>681</v>
      </c>
      <c r="E90" s="325">
        <v>3</v>
      </c>
      <c r="F90" s="751">
        <v>0</v>
      </c>
      <c r="G90" s="751">
        <v>0</v>
      </c>
      <c r="H90" s="751">
        <v>0</v>
      </c>
      <c r="I90" s="751">
        <v>0</v>
      </c>
      <c r="J90" s="751">
        <v>0</v>
      </c>
      <c r="K90" s="751">
        <v>0</v>
      </c>
      <c r="L90" s="751">
        <v>0</v>
      </c>
      <c r="M90" s="751">
        <v>0</v>
      </c>
      <c r="N90" s="312">
        <f t="shared" si="267"/>
        <v>0</v>
      </c>
      <c r="O90" s="2382"/>
      <c r="P90" s="2382"/>
      <c r="Q90" s="2382"/>
      <c r="R90" s="2382"/>
      <c r="S90" s="2382"/>
      <c r="T90" s="2382"/>
      <c r="U90" s="2382"/>
      <c r="V90" s="2382"/>
      <c r="W90" s="2382"/>
      <c r="X90" s="751">
        <v>0</v>
      </c>
      <c r="Y90" s="751">
        <v>0</v>
      </c>
      <c r="Z90" s="796">
        <v>0</v>
      </c>
      <c r="AA90" s="349"/>
      <c r="AB90" s="795" t="s">
        <v>14254</v>
      </c>
      <c r="AC90" s="197"/>
      <c r="AD90" s="291"/>
      <c r="AE90" s="197"/>
      <c r="AF90" s="345"/>
      <c r="AG90" s="284">
        <f t="shared" si="291"/>
        <v>0</v>
      </c>
      <c r="AH90" s="345"/>
      <c r="AI90" s="285">
        <f t="shared" si="413"/>
        <v>0</v>
      </c>
      <c r="AJ90" s="285">
        <f t="shared" si="414"/>
        <v>0</v>
      </c>
      <c r="AK90" s="285">
        <f t="shared" si="415"/>
        <v>0</v>
      </c>
      <c r="AL90" s="285">
        <f t="shared" si="416"/>
        <v>0</v>
      </c>
      <c r="AM90" s="285">
        <f t="shared" si="417"/>
        <v>0</v>
      </c>
      <c r="AN90" s="285">
        <f t="shared" si="418"/>
        <v>0</v>
      </c>
      <c r="AO90" s="285">
        <f t="shared" si="419"/>
        <v>0</v>
      </c>
      <c r="AP90" s="285">
        <f t="shared" si="420"/>
        <v>0</v>
      </c>
      <c r="AQ90" s="200"/>
      <c r="AR90" s="200"/>
      <c r="AS90" s="200"/>
      <c r="AT90" s="200"/>
      <c r="AU90" s="200"/>
      <c r="AV90" s="200"/>
      <c r="AW90" s="200"/>
      <c r="AX90" s="200"/>
      <c r="AY90" s="200"/>
      <c r="AZ90" s="200"/>
      <c r="BA90" s="285">
        <f t="shared" si="410"/>
        <v>0</v>
      </c>
      <c r="BB90" s="285">
        <f t="shared" si="411"/>
        <v>0</v>
      </c>
      <c r="BC90" s="285">
        <f t="shared" si="412"/>
        <v>0</v>
      </c>
      <c r="BD90" s="363"/>
      <c r="BF90" s="775" t="s">
        <v>13032</v>
      </c>
      <c r="BG90" s="354" t="s">
        <v>3630</v>
      </c>
      <c r="BH90" s="287" t="s">
        <v>14255</v>
      </c>
      <c r="BI90" s="287" t="s">
        <v>14256</v>
      </c>
      <c r="BJ90" s="287" t="s">
        <v>14257</v>
      </c>
      <c r="BK90" s="287" t="s">
        <v>14258</v>
      </c>
      <c r="BL90" s="287" t="s">
        <v>14259</v>
      </c>
      <c r="BM90" s="287" t="s">
        <v>14260</v>
      </c>
      <c r="BN90" s="287" t="s">
        <v>14261</v>
      </c>
      <c r="BO90" s="287" t="s">
        <v>14262</v>
      </c>
      <c r="BP90" s="288" t="s">
        <v>14263</v>
      </c>
      <c r="BQ90" s="399"/>
      <c r="BR90" s="399"/>
      <c r="BS90" s="399"/>
      <c r="BT90" s="399"/>
      <c r="BU90" s="399"/>
      <c r="BV90" s="399"/>
      <c r="BW90" s="399"/>
      <c r="BX90" s="399"/>
      <c r="BY90" s="399"/>
      <c r="BZ90" s="740" t="s">
        <v>14264</v>
      </c>
      <c r="CA90" s="740" t="s">
        <v>14265</v>
      </c>
      <c r="CB90" s="1117" t="s">
        <v>14266</v>
      </c>
    </row>
    <row r="91" spans="1:80" ht="15.75" customHeight="1">
      <c r="A91" s="197"/>
      <c r="B91" s="2390" t="s">
        <v>13032</v>
      </c>
      <c r="C91" s="2355" t="s">
        <v>3631</v>
      </c>
      <c r="D91" s="325" t="s">
        <v>681</v>
      </c>
      <c r="E91" s="325">
        <v>3</v>
      </c>
      <c r="F91" s="751">
        <v>0</v>
      </c>
      <c r="G91" s="751">
        <v>0</v>
      </c>
      <c r="H91" s="751">
        <v>0</v>
      </c>
      <c r="I91" s="751">
        <v>0</v>
      </c>
      <c r="J91" s="751">
        <v>0</v>
      </c>
      <c r="K91" s="751">
        <v>0</v>
      </c>
      <c r="L91" s="751">
        <v>0</v>
      </c>
      <c r="M91" s="751">
        <v>0</v>
      </c>
      <c r="N91" s="312">
        <f t="shared" si="267"/>
        <v>0</v>
      </c>
      <c r="O91" s="2382"/>
      <c r="P91" s="2382"/>
      <c r="Q91" s="2382"/>
      <c r="R91" s="2382"/>
      <c r="S91" s="2382"/>
      <c r="T91" s="2382"/>
      <c r="U91" s="2382"/>
      <c r="V91" s="2382"/>
      <c r="W91" s="2382"/>
      <c r="X91" s="751">
        <v>0</v>
      </c>
      <c r="Y91" s="751">
        <v>0</v>
      </c>
      <c r="Z91" s="796">
        <v>0</v>
      </c>
      <c r="AA91" s="349"/>
      <c r="AB91" s="795" t="s">
        <v>14267</v>
      </c>
      <c r="AC91" s="197"/>
      <c r="AD91" s="291"/>
      <c r="AE91" s="197"/>
      <c r="AF91" s="345"/>
      <c r="AG91" s="284">
        <f t="shared" si="291"/>
        <v>0</v>
      </c>
      <c r="AH91" s="345"/>
      <c r="AI91" s="285">
        <f t="shared" si="413"/>
        <v>0</v>
      </c>
      <c r="AJ91" s="285">
        <f t="shared" si="414"/>
        <v>0</v>
      </c>
      <c r="AK91" s="285">
        <f t="shared" si="415"/>
        <v>0</v>
      </c>
      <c r="AL91" s="285">
        <f t="shared" si="416"/>
        <v>0</v>
      </c>
      <c r="AM91" s="285">
        <f t="shared" si="417"/>
        <v>0</v>
      </c>
      <c r="AN91" s="285">
        <f t="shared" si="418"/>
        <v>0</v>
      </c>
      <c r="AO91" s="285">
        <f t="shared" si="419"/>
        <v>0</v>
      </c>
      <c r="AP91" s="285">
        <f t="shared" si="420"/>
        <v>0</v>
      </c>
      <c r="AQ91" s="200"/>
      <c r="AR91" s="200"/>
      <c r="AS91" s="200"/>
      <c r="AT91" s="200"/>
      <c r="AU91" s="200"/>
      <c r="AV91" s="200"/>
      <c r="AW91" s="200"/>
      <c r="AX91" s="200"/>
      <c r="AY91" s="200"/>
      <c r="AZ91" s="200"/>
      <c r="BA91" s="285">
        <f t="shared" si="410"/>
        <v>0</v>
      </c>
      <c r="BB91" s="285">
        <f t="shared" si="411"/>
        <v>0</v>
      </c>
      <c r="BC91" s="285">
        <f t="shared" si="412"/>
        <v>0</v>
      </c>
      <c r="BD91" s="363"/>
      <c r="BF91" s="775" t="s">
        <v>13032</v>
      </c>
      <c r="BG91" s="354" t="s">
        <v>3631</v>
      </c>
      <c r="BH91" s="287" t="s">
        <v>14268</v>
      </c>
      <c r="BI91" s="287" t="s">
        <v>14269</v>
      </c>
      <c r="BJ91" s="287" t="s">
        <v>14270</v>
      </c>
      <c r="BK91" s="287" t="s">
        <v>14271</v>
      </c>
      <c r="BL91" s="287" t="s">
        <v>14272</v>
      </c>
      <c r="BM91" s="287" t="s">
        <v>14273</v>
      </c>
      <c r="BN91" s="287" t="s">
        <v>14274</v>
      </c>
      <c r="BO91" s="287" t="s">
        <v>14275</v>
      </c>
      <c r="BP91" s="288" t="s">
        <v>14276</v>
      </c>
      <c r="BQ91" s="399"/>
      <c r="BR91" s="399"/>
      <c r="BS91" s="399"/>
      <c r="BT91" s="399"/>
      <c r="BU91" s="399"/>
      <c r="BV91" s="399"/>
      <c r="BW91" s="399"/>
      <c r="BX91" s="399"/>
      <c r="BY91" s="399"/>
      <c r="BZ91" s="740" t="s">
        <v>14277</v>
      </c>
      <c r="CA91" s="740" t="s">
        <v>14278</v>
      </c>
      <c r="CB91" s="1117" t="s">
        <v>14279</v>
      </c>
    </row>
    <row r="92" spans="1:80" ht="15.75" customHeight="1">
      <c r="A92" s="197"/>
      <c r="B92" s="2390" t="s">
        <v>13053</v>
      </c>
      <c r="C92" s="2355" t="s">
        <v>3630</v>
      </c>
      <c r="D92" s="325" t="s">
        <v>681</v>
      </c>
      <c r="E92" s="325">
        <v>3</v>
      </c>
      <c r="F92" s="751">
        <v>0</v>
      </c>
      <c r="G92" s="751">
        <v>0</v>
      </c>
      <c r="H92" s="751">
        <v>0</v>
      </c>
      <c r="I92" s="751">
        <v>0</v>
      </c>
      <c r="J92" s="751">
        <v>0</v>
      </c>
      <c r="K92" s="751">
        <v>0</v>
      </c>
      <c r="L92" s="751">
        <v>0</v>
      </c>
      <c r="M92" s="751">
        <v>0</v>
      </c>
      <c r="N92" s="312">
        <f t="shared" si="267"/>
        <v>0</v>
      </c>
      <c r="O92" s="2382"/>
      <c r="P92" s="2382"/>
      <c r="Q92" s="2382"/>
      <c r="R92" s="2382"/>
      <c r="S92" s="2382"/>
      <c r="T92" s="2382"/>
      <c r="U92" s="2382"/>
      <c r="V92" s="2382"/>
      <c r="W92" s="2382"/>
      <c r="X92" s="751">
        <v>0</v>
      </c>
      <c r="Y92" s="751">
        <v>0</v>
      </c>
      <c r="Z92" s="796">
        <v>0</v>
      </c>
      <c r="AA92" s="106"/>
      <c r="AB92" s="795" t="s">
        <v>14280</v>
      </c>
      <c r="AC92" s="197"/>
      <c r="AD92" s="291"/>
      <c r="AE92" s="197"/>
      <c r="AF92" s="345"/>
      <c r="AG92" s="284">
        <f t="shared" si="291"/>
        <v>0</v>
      </c>
      <c r="AH92" s="345"/>
      <c r="AI92" s="285">
        <f t="shared" si="413"/>
        <v>0</v>
      </c>
      <c r="AJ92" s="285">
        <f t="shared" si="414"/>
        <v>0</v>
      </c>
      <c r="AK92" s="285">
        <f t="shared" si="415"/>
        <v>0</v>
      </c>
      <c r="AL92" s="285">
        <f t="shared" si="416"/>
        <v>0</v>
      </c>
      <c r="AM92" s="285">
        <f t="shared" si="417"/>
        <v>0</v>
      </c>
      <c r="AN92" s="285">
        <f t="shared" si="418"/>
        <v>0</v>
      </c>
      <c r="AO92" s="285">
        <f t="shared" si="419"/>
        <v>0</v>
      </c>
      <c r="AP92" s="285">
        <f t="shared" si="420"/>
        <v>0</v>
      </c>
      <c r="AQ92" s="200"/>
      <c r="AR92" s="200"/>
      <c r="AS92" s="200"/>
      <c r="AT92" s="200"/>
      <c r="AU92" s="200"/>
      <c r="AV92" s="200"/>
      <c r="AW92" s="200"/>
      <c r="AX92" s="200"/>
      <c r="AY92" s="200"/>
      <c r="AZ92" s="200"/>
      <c r="BA92" s="285">
        <f t="shared" si="410"/>
        <v>0</v>
      </c>
      <c r="BB92" s="285">
        <f t="shared" si="411"/>
        <v>0</v>
      </c>
      <c r="BC92" s="285">
        <f t="shared" si="412"/>
        <v>0</v>
      </c>
      <c r="BD92" s="363"/>
      <c r="BF92" s="775" t="s">
        <v>13053</v>
      </c>
      <c r="BG92" s="354" t="s">
        <v>3630</v>
      </c>
      <c r="BH92" s="287" t="s">
        <v>14281</v>
      </c>
      <c r="BI92" s="287" t="s">
        <v>14282</v>
      </c>
      <c r="BJ92" s="287" t="s">
        <v>14283</v>
      </c>
      <c r="BK92" s="287" t="s">
        <v>14284</v>
      </c>
      <c r="BL92" s="287" t="s">
        <v>14285</v>
      </c>
      <c r="BM92" s="287" t="s">
        <v>14286</v>
      </c>
      <c r="BN92" s="287" t="s">
        <v>14287</v>
      </c>
      <c r="BO92" s="287" t="s">
        <v>14288</v>
      </c>
      <c r="BP92" s="288" t="s">
        <v>14289</v>
      </c>
      <c r="BQ92" s="399"/>
      <c r="BR92" s="399"/>
      <c r="BS92" s="399"/>
      <c r="BT92" s="399"/>
      <c r="BU92" s="399"/>
      <c r="BV92" s="399"/>
      <c r="BW92" s="399"/>
      <c r="BX92" s="399"/>
      <c r="BY92" s="399"/>
      <c r="BZ92" s="740" t="s">
        <v>14290</v>
      </c>
      <c r="CA92" s="740" t="s">
        <v>14291</v>
      </c>
      <c r="CB92" s="1117" t="s">
        <v>14292</v>
      </c>
    </row>
    <row r="93" spans="1:80" ht="15.75" customHeight="1">
      <c r="A93" s="197"/>
      <c r="B93" s="2390" t="s">
        <v>13053</v>
      </c>
      <c r="C93" s="2355" t="s">
        <v>3631</v>
      </c>
      <c r="D93" s="325" t="s">
        <v>681</v>
      </c>
      <c r="E93" s="325">
        <v>3</v>
      </c>
      <c r="F93" s="751">
        <v>0</v>
      </c>
      <c r="G93" s="751">
        <v>0</v>
      </c>
      <c r="H93" s="751">
        <v>0</v>
      </c>
      <c r="I93" s="751">
        <v>0</v>
      </c>
      <c r="J93" s="751">
        <v>0</v>
      </c>
      <c r="K93" s="751">
        <v>0</v>
      </c>
      <c r="L93" s="751">
        <v>0</v>
      </c>
      <c r="M93" s="751">
        <v>0</v>
      </c>
      <c r="N93" s="312">
        <f t="shared" si="267"/>
        <v>0</v>
      </c>
      <c r="O93" s="2382"/>
      <c r="P93" s="2382"/>
      <c r="Q93" s="2382"/>
      <c r="R93" s="2382"/>
      <c r="S93" s="2382"/>
      <c r="T93" s="2382"/>
      <c r="U93" s="2382"/>
      <c r="V93" s="2382"/>
      <c r="W93" s="2382"/>
      <c r="X93" s="751">
        <v>0</v>
      </c>
      <c r="Y93" s="751">
        <v>0</v>
      </c>
      <c r="Z93" s="796">
        <v>0</v>
      </c>
      <c r="AA93" s="106"/>
      <c r="AB93" s="795" t="s">
        <v>14293</v>
      </c>
      <c r="AC93" s="197"/>
      <c r="AD93" s="291"/>
      <c r="AE93" s="197"/>
      <c r="AF93" s="345"/>
      <c r="AG93" s="284">
        <f t="shared" si="291"/>
        <v>0</v>
      </c>
      <c r="AH93" s="345"/>
      <c r="AI93" s="285">
        <f t="shared" si="413"/>
        <v>0</v>
      </c>
      <c r="AJ93" s="285">
        <f t="shared" si="414"/>
        <v>0</v>
      </c>
      <c r="AK93" s="285">
        <f t="shared" si="415"/>
        <v>0</v>
      </c>
      <c r="AL93" s="285">
        <f t="shared" si="416"/>
        <v>0</v>
      </c>
      <c r="AM93" s="285">
        <f t="shared" si="417"/>
        <v>0</v>
      </c>
      <c r="AN93" s="285">
        <f t="shared" si="418"/>
        <v>0</v>
      </c>
      <c r="AO93" s="285">
        <f t="shared" si="419"/>
        <v>0</v>
      </c>
      <c r="AP93" s="285">
        <f t="shared" si="420"/>
        <v>0</v>
      </c>
      <c r="AQ93" s="200"/>
      <c r="AR93" s="200"/>
      <c r="AS93" s="200"/>
      <c r="AT93" s="200"/>
      <c r="AU93" s="200"/>
      <c r="AV93" s="200"/>
      <c r="AW93" s="200"/>
      <c r="AX93" s="200"/>
      <c r="AY93" s="200"/>
      <c r="AZ93" s="200"/>
      <c r="BA93" s="285">
        <f t="shared" si="410"/>
        <v>0</v>
      </c>
      <c r="BB93" s="285">
        <f t="shared" si="411"/>
        <v>0</v>
      </c>
      <c r="BC93" s="285">
        <f t="shared" si="412"/>
        <v>0</v>
      </c>
      <c r="BD93" s="363"/>
      <c r="BF93" s="775" t="s">
        <v>13053</v>
      </c>
      <c r="BG93" s="354" t="s">
        <v>3631</v>
      </c>
      <c r="BH93" s="287" t="s">
        <v>14294</v>
      </c>
      <c r="BI93" s="287" t="s">
        <v>14295</v>
      </c>
      <c r="BJ93" s="287" t="s">
        <v>14296</v>
      </c>
      <c r="BK93" s="287" t="s">
        <v>14297</v>
      </c>
      <c r="BL93" s="287" t="s">
        <v>14298</v>
      </c>
      <c r="BM93" s="287" t="s">
        <v>14299</v>
      </c>
      <c r="BN93" s="287" t="s">
        <v>14300</v>
      </c>
      <c r="BO93" s="287" t="s">
        <v>14301</v>
      </c>
      <c r="BP93" s="288" t="s">
        <v>14302</v>
      </c>
      <c r="BQ93" s="399"/>
      <c r="BR93" s="399"/>
      <c r="BS93" s="399"/>
      <c r="BT93" s="399"/>
      <c r="BU93" s="399"/>
      <c r="BV93" s="399"/>
      <c r="BW93" s="399"/>
      <c r="BX93" s="399"/>
      <c r="BY93" s="399"/>
      <c r="BZ93" s="740" t="s">
        <v>14303</v>
      </c>
      <c r="CA93" s="740" t="s">
        <v>14304</v>
      </c>
      <c r="CB93" s="1117" t="s">
        <v>14305</v>
      </c>
    </row>
    <row r="94" spans="1:80" ht="15.75" customHeight="1">
      <c r="A94" s="197"/>
      <c r="B94" s="2390" t="s">
        <v>13074</v>
      </c>
      <c r="C94" s="2355" t="s">
        <v>3630</v>
      </c>
      <c r="D94" s="325" t="s">
        <v>681</v>
      </c>
      <c r="E94" s="325">
        <v>3</v>
      </c>
      <c r="F94" s="751">
        <v>0</v>
      </c>
      <c r="G94" s="751">
        <v>0</v>
      </c>
      <c r="H94" s="751">
        <v>0</v>
      </c>
      <c r="I94" s="751">
        <v>0</v>
      </c>
      <c r="J94" s="751">
        <v>0</v>
      </c>
      <c r="K94" s="751">
        <v>0</v>
      </c>
      <c r="L94" s="751">
        <v>0</v>
      </c>
      <c r="M94" s="751">
        <v>0</v>
      </c>
      <c r="N94" s="312">
        <f t="shared" si="267"/>
        <v>0</v>
      </c>
      <c r="O94" s="2382"/>
      <c r="P94" s="2382"/>
      <c r="Q94" s="2382"/>
      <c r="R94" s="2382"/>
      <c r="S94" s="2382"/>
      <c r="T94" s="2382"/>
      <c r="U94" s="2382"/>
      <c r="V94" s="2382"/>
      <c r="W94" s="2382"/>
      <c r="X94" s="751">
        <v>0</v>
      </c>
      <c r="Y94" s="751">
        <v>0</v>
      </c>
      <c r="Z94" s="796">
        <v>0</v>
      </c>
      <c r="AA94" s="106"/>
      <c r="AB94" s="795" t="s">
        <v>14306</v>
      </c>
      <c r="AC94" s="197"/>
      <c r="AD94" s="291"/>
      <c r="AE94" s="197"/>
      <c r="AF94" s="345"/>
      <c r="AG94" s="284">
        <f t="shared" si="291"/>
        <v>0</v>
      </c>
      <c r="AH94" s="345"/>
      <c r="AI94" s="285">
        <f t="shared" si="413"/>
        <v>0</v>
      </c>
      <c r="AJ94" s="285">
        <f t="shared" si="414"/>
        <v>0</v>
      </c>
      <c r="AK94" s="285">
        <f t="shared" si="415"/>
        <v>0</v>
      </c>
      <c r="AL94" s="285">
        <f t="shared" si="416"/>
        <v>0</v>
      </c>
      <c r="AM94" s="285">
        <f t="shared" si="417"/>
        <v>0</v>
      </c>
      <c r="AN94" s="285">
        <f t="shared" si="418"/>
        <v>0</v>
      </c>
      <c r="AO94" s="285">
        <f t="shared" si="419"/>
        <v>0</v>
      </c>
      <c r="AP94" s="285">
        <f t="shared" si="420"/>
        <v>0</v>
      </c>
      <c r="AQ94" s="200"/>
      <c r="AR94" s="200"/>
      <c r="AS94" s="200"/>
      <c r="AT94" s="200"/>
      <c r="AU94" s="200"/>
      <c r="AV94" s="200"/>
      <c r="AW94" s="200"/>
      <c r="AX94" s="200"/>
      <c r="AY94" s="200"/>
      <c r="AZ94" s="200"/>
      <c r="BA94" s="285">
        <f t="shared" si="410"/>
        <v>0</v>
      </c>
      <c r="BB94" s="285">
        <f t="shared" si="411"/>
        <v>0</v>
      </c>
      <c r="BC94" s="285">
        <f t="shared" si="412"/>
        <v>0</v>
      </c>
      <c r="BD94" s="363"/>
      <c r="BF94" s="775" t="s">
        <v>13074</v>
      </c>
      <c r="BG94" s="354" t="s">
        <v>3630</v>
      </c>
      <c r="BH94" s="287" t="s">
        <v>14307</v>
      </c>
      <c r="BI94" s="287" t="s">
        <v>14308</v>
      </c>
      <c r="BJ94" s="287" t="s">
        <v>14309</v>
      </c>
      <c r="BK94" s="287" t="s">
        <v>14310</v>
      </c>
      <c r="BL94" s="287" t="s">
        <v>14311</v>
      </c>
      <c r="BM94" s="287" t="s">
        <v>14312</v>
      </c>
      <c r="BN94" s="287" t="s">
        <v>14313</v>
      </c>
      <c r="BO94" s="287" t="s">
        <v>14314</v>
      </c>
      <c r="BP94" s="288" t="s">
        <v>14315</v>
      </c>
      <c r="BQ94" s="399"/>
      <c r="BR94" s="399"/>
      <c r="BS94" s="399"/>
      <c r="BT94" s="399"/>
      <c r="BU94" s="399"/>
      <c r="BV94" s="399"/>
      <c r="BW94" s="399"/>
      <c r="BX94" s="399"/>
      <c r="BY94" s="399"/>
      <c r="BZ94" s="740" t="s">
        <v>14316</v>
      </c>
      <c r="CA94" s="740" t="s">
        <v>14317</v>
      </c>
      <c r="CB94" s="1117" t="s">
        <v>14318</v>
      </c>
    </row>
    <row r="95" spans="1:80" ht="15.75" customHeight="1">
      <c r="A95" s="197"/>
      <c r="B95" s="2390" t="s">
        <v>13074</v>
      </c>
      <c r="C95" s="2355" t="s">
        <v>3631</v>
      </c>
      <c r="D95" s="325" t="s">
        <v>681</v>
      </c>
      <c r="E95" s="325">
        <v>3</v>
      </c>
      <c r="F95" s="751">
        <v>0</v>
      </c>
      <c r="G95" s="751">
        <v>0</v>
      </c>
      <c r="H95" s="751">
        <v>0</v>
      </c>
      <c r="I95" s="751">
        <v>0</v>
      </c>
      <c r="J95" s="751">
        <v>0</v>
      </c>
      <c r="K95" s="751">
        <v>0</v>
      </c>
      <c r="L95" s="751">
        <v>0</v>
      </c>
      <c r="M95" s="751">
        <v>0</v>
      </c>
      <c r="N95" s="312">
        <f t="shared" si="267"/>
        <v>0</v>
      </c>
      <c r="O95" s="2382"/>
      <c r="P95" s="2382"/>
      <c r="Q95" s="2382"/>
      <c r="R95" s="2382"/>
      <c r="S95" s="2382"/>
      <c r="T95" s="2382"/>
      <c r="U95" s="2382"/>
      <c r="V95" s="2382"/>
      <c r="W95" s="2382"/>
      <c r="X95" s="751">
        <v>0</v>
      </c>
      <c r="Y95" s="751">
        <v>0</v>
      </c>
      <c r="Z95" s="796">
        <v>0</v>
      </c>
      <c r="AA95" s="106"/>
      <c r="AB95" s="795" t="s">
        <v>14319</v>
      </c>
      <c r="AC95" s="197"/>
      <c r="AD95" s="291"/>
      <c r="AE95" s="197"/>
      <c r="AF95" s="345"/>
      <c r="AG95" s="284">
        <f t="shared" si="291"/>
        <v>0</v>
      </c>
      <c r="AH95" s="345"/>
      <c r="AI95" s="285">
        <f t="shared" si="413"/>
        <v>0</v>
      </c>
      <c r="AJ95" s="285">
        <f t="shared" si="414"/>
        <v>0</v>
      </c>
      <c r="AK95" s="285">
        <f t="shared" si="415"/>
        <v>0</v>
      </c>
      <c r="AL95" s="285">
        <f t="shared" si="416"/>
        <v>0</v>
      </c>
      <c r="AM95" s="285">
        <f t="shared" si="417"/>
        <v>0</v>
      </c>
      <c r="AN95" s="285">
        <f t="shared" si="418"/>
        <v>0</v>
      </c>
      <c r="AO95" s="285">
        <f t="shared" si="419"/>
        <v>0</v>
      </c>
      <c r="AP95" s="285">
        <f t="shared" si="420"/>
        <v>0</v>
      </c>
      <c r="AQ95" s="200"/>
      <c r="AR95" s="200"/>
      <c r="AS95" s="200"/>
      <c r="AT95" s="200"/>
      <c r="AU95" s="200"/>
      <c r="AV95" s="200"/>
      <c r="AW95" s="200"/>
      <c r="AX95" s="200"/>
      <c r="AY95" s="200"/>
      <c r="AZ95" s="200"/>
      <c r="BA95" s="285">
        <f t="shared" si="410"/>
        <v>0</v>
      </c>
      <c r="BB95" s="285">
        <f t="shared" si="411"/>
        <v>0</v>
      </c>
      <c r="BC95" s="285">
        <f t="shared" si="412"/>
        <v>0</v>
      </c>
      <c r="BD95" s="363"/>
      <c r="BF95" s="775" t="s">
        <v>13074</v>
      </c>
      <c r="BG95" s="354" t="s">
        <v>3631</v>
      </c>
      <c r="BH95" s="287" t="s">
        <v>14320</v>
      </c>
      <c r="BI95" s="287" t="s">
        <v>14321</v>
      </c>
      <c r="BJ95" s="287" t="s">
        <v>14322</v>
      </c>
      <c r="BK95" s="287" t="s">
        <v>14323</v>
      </c>
      <c r="BL95" s="287" t="s">
        <v>14324</v>
      </c>
      <c r="BM95" s="287" t="s">
        <v>14325</v>
      </c>
      <c r="BN95" s="287" t="s">
        <v>14326</v>
      </c>
      <c r="BO95" s="287" t="s">
        <v>14327</v>
      </c>
      <c r="BP95" s="288" t="s">
        <v>14328</v>
      </c>
      <c r="BQ95" s="399"/>
      <c r="BR95" s="399"/>
      <c r="BS95" s="399"/>
      <c r="BT95" s="399"/>
      <c r="BU95" s="399"/>
      <c r="BV95" s="399"/>
      <c r="BW95" s="399"/>
      <c r="BX95" s="399"/>
      <c r="BY95" s="399"/>
      <c r="BZ95" s="740" t="s">
        <v>14329</v>
      </c>
      <c r="CA95" s="740" t="s">
        <v>14330</v>
      </c>
      <c r="CB95" s="1117" t="s">
        <v>14331</v>
      </c>
    </row>
    <row r="96" spans="1:80" ht="15.75" customHeight="1" thickBot="1">
      <c r="A96" s="197"/>
      <c r="B96" s="453" t="s">
        <v>13095</v>
      </c>
      <c r="C96" s="2353" t="s">
        <v>3632</v>
      </c>
      <c r="D96" s="332" t="s">
        <v>681</v>
      </c>
      <c r="E96" s="332">
        <v>3</v>
      </c>
      <c r="F96" s="314">
        <f>IFERROR(SUM(F61,F64,F67,F70,F73,F76,F79,F82,F85,F86:F95), 0)</f>
        <v>0.38900000000000001</v>
      </c>
      <c r="G96" s="314">
        <f t="shared" ref="G96:L96" si="421">IFERROR(SUM(G61,G64,G67,G70,G73,G76,G79,G82,G85,G86:G95), 0)</f>
        <v>0.58200000000000007</v>
      </c>
      <c r="H96" s="314">
        <f t="shared" si="421"/>
        <v>0.313</v>
      </c>
      <c r="I96" s="314">
        <f t="shared" si="421"/>
        <v>6.5949999999999998</v>
      </c>
      <c r="J96" s="314">
        <f t="shared" si="421"/>
        <v>0</v>
      </c>
      <c r="K96" s="314">
        <f t="shared" si="421"/>
        <v>0</v>
      </c>
      <c r="L96" s="314">
        <f t="shared" si="421"/>
        <v>5.0000000000000001E-3</v>
      </c>
      <c r="M96" s="314">
        <f>IFERROR(SUM(M61,M64,M67,M70,M73,M76,M79,M82,M85,M86:M95), 0)</f>
        <v>0</v>
      </c>
      <c r="N96" s="314">
        <f t="shared" si="267"/>
        <v>7.8839999999999995</v>
      </c>
      <c r="O96" s="2389"/>
      <c r="P96" s="2389"/>
      <c r="Q96" s="2389"/>
      <c r="R96" s="2389"/>
      <c r="S96" s="2389"/>
      <c r="T96" s="2389"/>
      <c r="U96" s="2389"/>
      <c r="V96" s="2389"/>
      <c r="W96" s="2389"/>
      <c r="X96" s="314">
        <f>IFERROR(SUM(X67,X70,X73,X76,X79,X82,X85:X95), 0)</f>
        <v>4.6820000000000004</v>
      </c>
      <c r="Y96" s="314">
        <f t="shared" ref="Y96:Z96" si="422">IFERROR(SUM(Y67,Y70,Y73,Y76,Y79,Y82,Y85:Y95), 0)</f>
        <v>20.842999999999996</v>
      </c>
      <c r="Z96" s="315">
        <f t="shared" si="422"/>
        <v>49.842999999999996</v>
      </c>
      <c r="AA96" s="106"/>
      <c r="AB96" s="813" t="s">
        <v>14332</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13095</v>
      </c>
      <c r="BG96" s="1081" t="s">
        <v>3632</v>
      </c>
      <c r="BH96" s="298" t="s">
        <v>14333</v>
      </c>
      <c r="BI96" s="298" t="s">
        <v>14334</v>
      </c>
      <c r="BJ96" s="298" t="s">
        <v>14335</v>
      </c>
      <c r="BK96" s="298" t="s">
        <v>14336</v>
      </c>
      <c r="BL96" s="298" t="s">
        <v>14337</v>
      </c>
      <c r="BM96" s="298" t="s">
        <v>14338</v>
      </c>
      <c r="BN96" s="298" t="s">
        <v>14339</v>
      </c>
      <c r="BO96" s="298" t="s">
        <v>14340</v>
      </c>
      <c r="BP96" s="298" t="s">
        <v>14341</v>
      </c>
      <c r="BQ96" s="408"/>
      <c r="BR96" s="408"/>
      <c r="BS96" s="408"/>
      <c r="BT96" s="408"/>
      <c r="BU96" s="408"/>
      <c r="BV96" s="408"/>
      <c r="BW96" s="408"/>
      <c r="BX96" s="408"/>
      <c r="BY96" s="408"/>
      <c r="BZ96" s="298" t="s">
        <v>14342</v>
      </c>
      <c r="CA96" s="298" t="s">
        <v>14343</v>
      </c>
      <c r="CB96" s="299" t="s">
        <v>14344</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13106</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13106</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13107</v>
      </c>
      <c r="C99" s="1063" t="s">
        <v>3630</v>
      </c>
      <c r="D99" s="277" t="s">
        <v>681</v>
      </c>
      <c r="E99" s="277">
        <v>3</v>
      </c>
      <c r="F99" s="279">
        <f t="shared" ref="F99:M100" si="423">IFERROR(SUM(F10,F13,F16,F19,F22,F25,F28,F31,F35,F38,F41,F44,F47,F50,F53,F59,F62,F65,F68,F71,F74,F77,F80,F83,F86,F88,F90,F92,F94), 0)</f>
        <v>0.45800000000000002</v>
      </c>
      <c r="G99" s="279">
        <f t="shared" si="423"/>
        <v>0.76200000000000001</v>
      </c>
      <c r="H99" s="279">
        <f t="shared" si="423"/>
        <v>0.41000000000000003</v>
      </c>
      <c r="I99" s="279">
        <f t="shared" si="423"/>
        <v>29.088999999999999</v>
      </c>
      <c r="J99" s="279">
        <f t="shared" si="423"/>
        <v>0</v>
      </c>
      <c r="K99" s="279">
        <f t="shared" si="423"/>
        <v>0</v>
      </c>
      <c r="L99" s="279">
        <f t="shared" si="423"/>
        <v>0</v>
      </c>
      <c r="M99" s="279">
        <f t="shared" si="423"/>
        <v>0</v>
      </c>
      <c r="N99" s="279">
        <f t="shared" ref="N99:N101" si="424">IFERROR(SUM(F99:M99), 0)</f>
        <v>30.718999999999998</v>
      </c>
      <c r="O99" s="662"/>
      <c r="P99" s="662"/>
      <c r="Q99" s="662"/>
      <c r="R99" s="662"/>
      <c r="S99" s="662"/>
      <c r="T99" s="662"/>
      <c r="U99" s="662"/>
      <c r="V99" s="662"/>
      <c r="W99" s="662"/>
      <c r="X99" s="662"/>
      <c r="Y99" s="662"/>
      <c r="Z99" s="663"/>
      <c r="AA99" s="197"/>
      <c r="AB99" s="791" t="s">
        <v>14345</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13107</v>
      </c>
      <c r="BG99" s="1063" t="s">
        <v>3630</v>
      </c>
      <c r="BH99" s="279" t="s">
        <v>11294</v>
      </c>
      <c r="BI99" s="279" t="s">
        <v>11295</v>
      </c>
      <c r="BJ99" s="279" t="s">
        <v>11296</v>
      </c>
      <c r="BK99" s="279" t="s">
        <v>11297</v>
      </c>
      <c r="BL99" s="279" t="s">
        <v>11298</v>
      </c>
      <c r="BM99" s="279" t="s">
        <v>11299</v>
      </c>
      <c r="BN99" s="279" t="s">
        <v>11300</v>
      </c>
      <c r="BO99" s="279" t="s">
        <v>11301</v>
      </c>
      <c r="BP99" s="279" t="s">
        <v>14346</v>
      </c>
      <c r="BQ99" s="662"/>
      <c r="BR99" s="662"/>
      <c r="BS99" s="662"/>
      <c r="BT99" s="662"/>
      <c r="BU99" s="662"/>
      <c r="BV99" s="662"/>
      <c r="BW99" s="662"/>
      <c r="BX99" s="662"/>
      <c r="BY99" s="662"/>
      <c r="BZ99" s="662"/>
      <c r="CA99" s="662"/>
      <c r="CB99" s="663"/>
    </row>
    <row r="100" spans="1:80" ht="15.75" customHeight="1">
      <c r="A100" s="197"/>
      <c r="B100" s="460" t="s">
        <v>13107</v>
      </c>
      <c r="C100" s="354" t="s">
        <v>3631</v>
      </c>
      <c r="D100" s="286" t="s">
        <v>681</v>
      </c>
      <c r="E100" s="286">
        <v>3</v>
      </c>
      <c r="F100" s="288">
        <f t="shared" si="423"/>
        <v>0.05</v>
      </c>
      <c r="G100" s="288">
        <f t="shared" si="423"/>
        <v>1.3000000000000001E-2</v>
      </c>
      <c r="H100" s="288">
        <f t="shared" si="423"/>
        <v>7.0000000000000001E-3</v>
      </c>
      <c r="I100" s="288">
        <f t="shared" si="423"/>
        <v>0.19400000000000001</v>
      </c>
      <c r="J100" s="288">
        <f t="shared" si="423"/>
        <v>0</v>
      </c>
      <c r="K100" s="288">
        <f t="shared" si="423"/>
        <v>0</v>
      </c>
      <c r="L100" s="288">
        <f t="shared" si="423"/>
        <v>5.0000000000000001E-3</v>
      </c>
      <c r="M100" s="288">
        <f t="shared" si="423"/>
        <v>0</v>
      </c>
      <c r="N100" s="288">
        <f t="shared" si="424"/>
        <v>0.26900000000000002</v>
      </c>
      <c r="O100" s="399"/>
      <c r="P100" s="399"/>
      <c r="Q100" s="399"/>
      <c r="R100" s="399"/>
      <c r="S100" s="399"/>
      <c r="T100" s="399"/>
      <c r="U100" s="399"/>
      <c r="V100" s="399"/>
      <c r="W100" s="399"/>
      <c r="X100" s="399"/>
      <c r="Y100" s="399"/>
      <c r="Z100" s="665"/>
      <c r="AA100" s="197"/>
      <c r="AB100" s="795" t="s">
        <v>14347</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13107</v>
      </c>
      <c r="BG100" s="354" t="s">
        <v>3631</v>
      </c>
      <c r="BH100" s="288" t="s">
        <v>11223</v>
      </c>
      <c r="BI100" s="288" t="s">
        <v>11224</v>
      </c>
      <c r="BJ100" s="288" t="s">
        <v>11225</v>
      </c>
      <c r="BK100" s="288" t="s">
        <v>11226</v>
      </c>
      <c r="BL100" s="288" t="s">
        <v>11227</v>
      </c>
      <c r="BM100" s="288" t="s">
        <v>11228</v>
      </c>
      <c r="BN100" s="288" t="s">
        <v>11229</v>
      </c>
      <c r="BO100" s="288" t="s">
        <v>11230</v>
      </c>
      <c r="BP100" s="288" t="s">
        <v>14348</v>
      </c>
      <c r="BQ100" s="399"/>
      <c r="BR100" s="399"/>
      <c r="BS100" s="399"/>
      <c r="BT100" s="399"/>
      <c r="BU100" s="399"/>
      <c r="BV100" s="399"/>
      <c r="BW100" s="399"/>
      <c r="BX100" s="399"/>
      <c r="BY100" s="399"/>
      <c r="BZ100" s="399"/>
      <c r="CA100" s="399"/>
      <c r="CB100" s="665"/>
    </row>
    <row r="101" spans="1:80" ht="15.75" customHeight="1" thickBot="1">
      <c r="A101" s="197"/>
      <c r="B101" s="463" t="s">
        <v>13107</v>
      </c>
      <c r="C101" s="1081" t="s">
        <v>3632</v>
      </c>
      <c r="D101" s="355" t="s">
        <v>681</v>
      </c>
      <c r="E101" s="355">
        <v>3</v>
      </c>
      <c r="F101" s="298">
        <f>IFERROR(F99 + F100, 0)</f>
        <v>0.50800000000000001</v>
      </c>
      <c r="G101" s="298">
        <f t="shared" ref="G101:L101" si="425">IFERROR(G99 + G100, 0)</f>
        <v>0.77500000000000002</v>
      </c>
      <c r="H101" s="298">
        <f t="shared" si="425"/>
        <v>0.41700000000000004</v>
      </c>
      <c r="I101" s="298">
        <f t="shared" si="425"/>
        <v>29.282999999999998</v>
      </c>
      <c r="J101" s="298">
        <f>IFERROR(J99 + J100, 0)</f>
        <v>0</v>
      </c>
      <c r="K101" s="298">
        <f t="shared" si="425"/>
        <v>0</v>
      </c>
      <c r="L101" s="298">
        <f t="shared" si="425"/>
        <v>5.0000000000000001E-3</v>
      </c>
      <c r="M101" s="298">
        <f>IFERROR(M99 + M100, 0)</f>
        <v>0</v>
      </c>
      <c r="N101" s="298">
        <f t="shared" si="424"/>
        <v>30.987999999999996</v>
      </c>
      <c r="O101" s="408"/>
      <c r="P101" s="408"/>
      <c r="Q101" s="408"/>
      <c r="R101" s="408"/>
      <c r="S101" s="408"/>
      <c r="T101" s="408"/>
      <c r="U101" s="408"/>
      <c r="V101" s="408"/>
      <c r="W101" s="408"/>
      <c r="X101" s="298">
        <f>IFERROR(SUM(X56, X96), 0)</f>
        <v>50.878</v>
      </c>
      <c r="Y101" s="298">
        <f t="shared" ref="Y101:Z101" si="426">IFERROR(SUM(Y56, Y96), 0)</f>
        <v>90.942999999999984</v>
      </c>
      <c r="Z101" s="299">
        <f t="shared" si="426"/>
        <v>217.49</v>
      </c>
      <c r="AA101" s="197"/>
      <c r="AB101" s="813" t="s">
        <v>14349</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13107</v>
      </c>
      <c r="BG101" s="1081" t="s">
        <v>3632</v>
      </c>
      <c r="BH101" s="298" t="s">
        <v>14350</v>
      </c>
      <c r="BI101" s="298" t="s">
        <v>14351</v>
      </c>
      <c r="BJ101" s="298" t="s">
        <v>14352</v>
      </c>
      <c r="BK101" s="298" t="s">
        <v>14353</v>
      </c>
      <c r="BL101" s="298" t="s">
        <v>14354</v>
      </c>
      <c r="BM101" s="298" t="s">
        <v>14355</v>
      </c>
      <c r="BN101" s="298" t="s">
        <v>14356</v>
      </c>
      <c r="BO101" s="298" t="s">
        <v>14357</v>
      </c>
      <c r="BP101" s="298" t="s">
        <v>14358</v>
      </c>
      <c r="BQ101" s="408"/>
      <c r="BR101" s="408"/>
      <c r="BS101" s="408"/>
      <c r="BT101" s="408"/>
      <c r="BU101" s="408"/>
      <c r="BV101" s="408"/>
      <c r="BW101" s="408"/>
      <c r="BX101" s="408"/>
      <c r="BY101" s="408"/>
      <c r="BZ101" s="298" t="s">
        <v>14359</v>
      </c>
      <c r="CA101" s="298" t="s">
        <v>14360</v>
      </c>
      <c r="CB101" s="299" t="s">
        <v>14361</v>
      </c>
    </row>
    <row r="102" spans="1:80" ht="15.75"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6"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tabColor rgb="FF00B050"/>
    <pageSetUpPr fitToPage="1"/>
  </sheetPr>
  <dimension ref="A1:AA23"/>
  <sheetViews>
    <sheetView showGridLines="0" zoomScale="70" zoomScaleNormal="70" zoomScaleSheetLayoutView="100" workbookViewId="0">
      <selection activeCell="G19" sqref="G19"/>
    </sheetView>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89" customFormat="1" ht="29.25" customHeight="1">
      <c r="B1" s="2872" t="s">
        <v>14362</v>
      </c>
      <c r="C1" s="2873"/>
      <c r="D1" s="2873"/>
      <c r="E1" s="219"/>
      <c r="F1" s="219"/>
      <c r="G1" s="219"/>
      <c r="H1" s="2853"/>
      <c r="I1" s="2853"/>
      <c r="M1" s="825"/>
      <c r="O1" s="825"/>
      <c r="U1" s="825"/>
      <c r="W1" s="1121" t="s">
        <v>7220</v>
      </c>
      <c r="X1" s="219"/>
      <c r="Y1" s="219"/>
      <c r="Z1" s="219"/>
      <c r="AA1" s="219"/>
    </row>
    <row r="2" spans="1:27" s="389" customFormat="1" ht="29.25" customHeight="1">
      <c r="B2" s="2872" t="str">
        <f>SelectCompany!B4</f>
        <v>Northumbrian Water</v>
      </c>
      <c r="C2" s="2873"/>
      <c r="D2" s="2873"/>
      <c r="E2" s="219"/>
      <c r="F2" s="219"/>
      <c r="G2" s="219"/>
      <c r="H2" s="219"/>
      <c r="I2" s="219"/>
      <c r="M2" s="825"/>
      <c r="O2" s="825"/>
      <c r="U2" s="825"/>
      <c r="W2" s="1121"/>
      <c r="X2" s="219"/>
      <c r="Y2" s="219"/>
      <c r="Z2" s="219"/>
      <c r="AA2" s="219"/>
    </row>
    <row r="3" spans="1:27" ht="45" customHeight="1">
      <c r="B3" s="2854" t="s">
        <v>14363</v>
      </c>
      <c r="C3" s="2854"/>
      <c r="D3" s="2854"/>
      <c r="E3" s="2854"/>
      <c r="F3" s="2854"/>
      <c r="G3" s="2854"/>
      <c r="H3" s="2854"/>
      <c r="I3" s="2854"/>
      <c r="J3" s="2854"/>
      <c r="K3" s="2854"/>
      <c r="M3" s="363"/>
      <c r="N3" s="2208" t="s">
        <v>7222</v>
      </c>
      <c r="O3" s="363"/>
      <c r="U3" s="363"/>
      <c r="W3" s="2854" t="s">
        <v>14363</v>
      </c>
      <c r="X3" s="2854"/>
      <c r="Y3" s="2854"/>
      <c r="Z3" s="2854"/>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11" t="s">
        <v>7224</v>
      </c>
      <c r="C5" s="2859" t="s">
        <v>7225</v>
      </c>
      <c r="D5" s="2859" t="s">
        <v>670</v>
      </c>
      <c r="E5" s="2859" t="s">
        <v>9202</v>
      </c>
      <c r="F5" s="2859"/>
      <c r="G5" s="2875"/>
      <c r="H5" s="242"/>
      <c r="I5" s="2860" t="s">
        <v>7229</v>
      </c>
      <c r="K5" s="2790" t="s">
        <v>7230</v>
      </c>
      <c r="M5" s="828"/>
      <c r="O5" s="828"/>
      <c r="U5" s="828"/>
      <c r="W5" s="2811" t="s">
        <v>7224</v>
      </c>
      <c r="X5" s="2859" t="s">
        <v>9202</v>
      </c>
      <c r="Y5" s="2859"/>
      <c r="Z5" s="2875"/>
      <c r="AA5" s="219"/>
    </row>
    <row r="6" spans="1:27" s="197" customFormat="1" ht="15.75" customHeight="1">
      <c r="B6" s="2874"/>
      <c r="C6" s="2865"/>
      <c r="D6" s="2865"/>
      <c r="E6" s="2865" t="s">
        <v>11030</v>
      </c>
      <c r="F6" s="2865"/>
      <c r="G6" s="2876"/>
      <c r="H6" s="242"/>
      <c r="I6" s="2861"/>
      <c r="K6" s="2791"/>
      <c r="M6" s="828"/>
      <c r="O6" s="828"/>
      <c r="U6" s="828"/>
      <c r="W6" s="2874"/>
      <c r="X6" s="2865" t="s">
        <v>11030</v>
      </c>
      <c r="Y6" s="2865"/>
      <c r="Z6" s="2876"/>
      <c r="AA6" s="219"/>
    </row>
    <row r="7" spans="1:27" s="197" customFormat="1" ht="15.75" customHeight="1" thickBot="1">
      <c r="B7" s="2812"/>
      <c r="C7" s="2866"/>
      <c r="D7" s="2866"/>
      <c r="E7" s="862" t="s">
        <v>3630</v>
      </c>
      <c r="F7" s="862" t="s">
        <v>3631</v>
      </c>
      <c r="G7" s="1124" t="s">
        <v>3632</v>
      </c>
      <c r="H7" s="1059"/>
      <c r="I7" s="2862"/>
      <c r="K7" s="2792"/>
      <c r="M7" s="828"/>
      <c r="N7" s="888"/>
      <c r="O7" s="828"/>
      <c r="P7" s="2668" t="s">
        <v>7223</v>
      </c>
      <c r="Q7" s="2668"/>
      <c r="R7" s="2668"/>
      <c r="S7" s="2668"/>
      <c r="T7" s="2668"/>
      <c r="U7" s="828"/>
      <c r="W7" s="2812"/>
      <c r="X7" s="862" t="s">
        <v>3630</v>
      </c>
      <c r="Y7" s="862" t="s">
        <v>3631</v>
      </c>
      <c r="Z7" s="1124" t="s">
        <v>3632</v>
      </c>
      <c r="AA7" s="246"/>
    </row>
    <row r="8" spans="1:27" s="197" customFormat="1" ht="15.75" customHeight="1" thickTop="1" thickBot="1">
      <c r="B8" s="1059"/>
      <c r="C8" s="1059"/>
      <c r="D8" s="1059"/>
      <c r="E8" s="1059"/>
      <c r="F8" s="1059"/>
      <c r="G8" s="1059"/>
      <c r="H8" s="1059"/>
      <c r="I8" s="1059"/>
      <c r="M8" s="828"/>
      <c r="O8" s="828"/>
      <c r="P8" s="269" t="s">
        <v>7231</v>
      </c>
      <c r="U8" s="828"/>
      <c r="W8" s="1059"/>
      <c r="X8" s="1059"/>
      <c r="Y8" s="1059"/>
      <c r="Z8" s="1059"/>
      <c r="AA8" s="246"/>
    </row>
    <row r="9" spans="1:27" s="197" customFormat="1" ht="15.75" customHeight="1" thickTop="1">
      <c r="B9" s="451" t="s">
        <v>14364</v>
      </c>
      <c r="C9" s="277" t="s">
        <v>681</v>
      </c>
      <c r="D9" s="277">
        <v>3</v>
      </c>
      <c r="E9" s="694">
        <v>7.7039999999999997</v>
      </c>
      <c r="F9" s="694">
        <v>0</v>
      </c>
      <c r="G9" s="1596">
        <f>IFERROR(SUM(E9:F9), 0)</f>
        <v>7.7039999999999997</v>
      </c>
      <c r="H9" s="242"/>
      <c r="I9" s="1066" t="s">
        <v>14365</v>
      </c>
      <c r="K9" s="283"/>
      <c r="M9" s="828"/>
      <c r="N9" s="284">
        <f t="shared" ref="N9:N13" si="0">IF(SUM(P9:T9 ) = 0, 0, $P$8 )</f>
        <v>0</v>
      </c>
      <c r="O9" s="828"/>
      <c r="P9" s="285">
        <f xml:space="preserve"> IF( ISNUMBER(E9), 0, 1 )</f>
        <v>0</v>
      </c>
      <c r="Q9" s="285">
        <f t="shared" ref="Q9:Q13" si="1" xml:space="preserve"> IF( ISNUMBER(F9), 0, 1 )</f>
        <v>0</v>
      </c>
      <c r="U9" s="828"/>
      <c r="W9" s="451" t="s">
        <v>14364</v>
      </c>
      <c r="X9" s="904" t="s">
        <v>14366</v>
      </c>
      <c r="Y9" s="904" t="s">
        <v>14367</v>
      </c>
      <c r="Z9" s="416" t="s">
        <v>14368</v>
      </c>
      <c r="AA9" s="219"/>
    </row>
    <row r="10" spans="1:27" s="197" customFormat="1" ht="15.75" customHeight="1">
      <c r="B10" s="460" t="s">
        <v>14369</v>
      </c>
      <c r="C10" s="286" t="s">
        <v>681</v>
      </c>
      <c r="D10" s="286">
        <v>3</v>
      </c>
      <c r="E10" s="697">
        <v>5.1059999999999999</v>
      </c>
      <c r="F10" s="697">
        <v>0</v>
      </c>
      <c r="G10" s="1598">
        <f t="shared" ref="G10:G14" si="2">IFERROR(SUM(E10:F10), 0)</f>
        <v>5.1059999999999999</v>
      </c>
      <c r="H10" s="242"/>
      <c r="I10" s="1071" t="s">
        <v>14370</v>
      </c>
      <c r="K10" s="291"/>
      <c r="M10" s="828"/>
      <c r="N10" s="284">
        <f t="shared" si="0"/>
        <v>0</v>
      </c>
      <c r="O10" s="828"/>
      <c r="P10" s="285">
        <f t="shared" ref="P10:P13" si="3" xml:space="preserve"> IF( ISNUMBER(E10), 0, 1 )</f>
        <v>0</v>
      </c>
      <c r="Q10" s="285">
        <f t="shared" si="1"/>
        <v>0</v>
      </c>
      <c r="U10" s="828"/>
      <c r="W10" s="460" t="s">
        <v>14369</v>
      </c>
      <c r="X10" s="905" t="s">
        <v>14371</v>
      </c>
      <c r="Y10" s="905" t="s">
        <v>14372</v>
      </c>
      <c r="Z10" s="893" t="s">
        <v>14373</v>
      </c>
      <c r="AA10" s="219"/>
    </row>
    <row r="11" spans="1:27" s="197" customFormat="1" ht="15.75" customHeight="1">
      <c r="B11" s="460" t="s">
        <v>14374</v>
      </c>
      <c r="C11" s="286" t="s">
        <v>681</v>
      </c>
      <c r="D11" s="286">
        <v>3</v>
      </c>
      <c r="E11" s="697">
        <v>5.0049999999999999</v>
      </c>
      <c r="F11" s="697">
        <v>0</v>
      </c>
      <c r="G11" s="1598">
        <f t="shared" si="2"/>
        <v>5.0049999999999999</v>
      </c>
      <c r="H11" s="242"/>
      <c r="I11" s="1071" t="s">
        <v>14375</v>
      </c>
      <c r="K11" s="291"/>
      <c r="M11" s="828"/>
      <c r="N11" s="284">
        <f t="shared" si="0"/>
        <v>0</v>
      </c>
      <c r="O11" s="828"/>
      <c r="P11" s="285">
        <f t="shared" si="3"/>
        <v>0</v>
      </c>
      <c r="Q11" s="285">
        <f t="shared" si="1"/>
        <v>0</v>
      </c>
      <c r="U11" s="828"/>
      <c r="W11" s="460" t="s">
        <v>14374</v>
      </c>
      <c r="X11" s="905" t="s">
        <v>14376</v>
      </c>
      <c r="Y11" s="905" t="s">
        <v>14377</v>
      </c>
      <c r="Z11" s="893" t="s">
        <v>14378</v>
      </c>
      <c r="AA11" s="219"/>
    </row>
    <row r="12" spans="1:27" s="197" customFormat="1" ht="15.75" customHeight="1">
      <c r="B12" s="460" t="s">
        <v>14379</v>
      </c>
      <c r="C12" s="286" t="s">
        <v>681</v>
      </c>
      <c r="D12" s="286">
        <v>3</v>
      </c>
      <c r="E12" s="697">
        <v>1.7190000000000001</v>
      </c>
      <c r="F12" s="697">
        <v>0</v>
      </c>
      <c r="G12" s="1598">
        <f t="shared" si="2"/>
        <v>1.7190000000000001</v>
      </c>
      <c r="H12" s="242"/>
      <c r="I12" s="1071" t="s">
        <v>14380</v>
      </c>
      <c r="K12" s="291"/>
      <c r="M12" s="828"/>
      <c r="N12" s="284">
        <f t="shared" si="0"/>
        <v>0</v>
      </c>
      <c r="O12" s="828"/>
      <c r="P12" s="285">
        <f t="shared" si="3"/>
        <v>0</v>
      </c>
      <c r="Q12" s="285">
        <f t="shared" si="1"/>
        <v>0</v>
      </c>
      <c r="U12" s="828"/>
      <c r="W12" s="460" t="s">
        <v>14379</v>
      </c>
      <c r="X12" s="905" t="s">
        <v>14381</v>
      </c>
      <c r="Y12" s="905" t="s">
        <v>14382</v>
      </c>
      <c r="Z12" s="893" t="s">
        <v>14383</v>
      </c>
    </row>
    <row r="13" spans="1:27" s="197" customFormat="1" ht="15.75" customHeight="1">
      <c r="B13" s="460" t="s">
        <v>14384</v>
      </c>
      <c r="C13" s="286" t="s">
        <v>681</v>
      </c>
      <c r="D13" s="286">
        <v>3</v>
      </c>
      <c r="E13" s="697">
        <v>0.128</v>
      </c>
      <c r="F13" s="697">
        <v>0</v>
      </c>
      <c r="G13" s="1598">
        <f t="shared" si="2"/>
        <v>0.128</v>
      </c>
      <c r="H13" s="242"/>
      <c r="I13" s="1071" t="s">
        <v>14385</v>
      </c>
      <c r="K13" s="291"/>
      <c r="M13" s="828"/>
      <c r="N13" s="284">
        <f t="shared" si="0"/>
        <v>0</v>
      </c>
      <c r="O13" s="828"/>
      <c r="P13" s="285">
        <f t="shared" si="3"/>
        <v>0</v>
      </c>
      <c r="Q13" s="285">
        <f t="shared" si="1"/>
        <v>0</v>
      </c>
      <c r="U13" s="828"/>
      <c r="W13" s="460" t="s">
        <v>14384</v>
      </c>
      <c r="X13" s="905" t="s">
        <v>14386</v>
      </c>
      <c r="Y13" s="905" t="s">
        <v>14387</v>
      </c>
      <c r="Z13" s="893" t="s">
        <v>14388</v>
      </c>
    </row>
    <row r="14" spans="1:27" ht="15.75" customHeight="1" thickBot="1">
      <c r="A14" s="197"/>
      <c r="B14" s="463" t="s">
        <v>14389</v>
      </c>
      <c r="C14" s="355" t="s">
        <v>681</v>
      </c>
      <c r="D14" s="355">
        <v>3</v>
      </c>
      <c r="E14" s="1589">
        <f>IFERROR(E9 + E10 + E11 + E12 + E13, 0)</f>
        <v>19.661999999999999</v>
      </c>
      <c r="F14" s="1589">
        <f>IFERROR(F9 + F10 + F11 + F12 + F13, 0)</f>
        <v>0</v>
      </c>
      <c r="G14" s="1599">
        <f t="shared" si="2"/>
        <v>19.661999999999999</v>
      </c>
      <c r="H14" s="242"/>
      <c r="I14" s="1085" t="s">
        <v>14390</v>
      </c>
      <c r="J14" s="197"/>
      <c r="K14" s="302"/>
      <c r="L14" s="197"/>
      <c r="M14" s="828"/>
      <c r="N14" s="197"/>
      <c r="O14" s="828"/>
      <c r="P14" s="197"/>
      <c r="Q14" s="197"/>
      <c r="R14" s="197"/>
      <c r="S14" s="197"/>
      <c r="T14" s="197"/>
      <c r="U14" s="828"/>
      <c r="V14" s="197"/>
      <c r="W14" s="463" t="s">
        <v>14389</v>
      </c>
      <c r="X14" s="679" t="s">
        <v>14391</v>
      </c>
      <c r="Y14" s="679" t="s">
        <v>14392</v>
      </c>
      <c r="Z14" s="417" t="s">
        <v>14393</v>
      </c>
      <c r="AA14" s="219"/>
    </row>
    <row r="15" spans="1:27" ht="15.75"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tabColor rgb="FF00B050"/>
    <pageSetUpPr fitToPage="1"/>
  </sheetPr>
  <dimension ref="A1:AJ32"/>
  <sheetViews>
    <sheetView showGridLines="0" topLeftCell="A5" zoomScale="50" zoomScaleNormal="50" zoomScaleSheetLayoutView="100" workbookViewId="0">
      <selection activeCell="E29" sqref="E29"/>
    </sheetView>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89" customFormat="1" ht="29.25" customHeight="1">
      <c r="B1" s="2661" t="s">
        <v>14394</v>
      </c>
      <c r="C1" s="2661"/>
      <c r="D1" s="2661"/>
      <c r="E1" s="2661"/>
      <c r="F1" s="2661"/>
      <c r="G1" s="2661"/>
      <c r="H1" s="2661"/>
      <c r="I1" s="2661"/>
      <c r="J1" s="2661"/>
      <c r="K1" s="561"/>
      <c r="L1" s="561"/>
      <c r="M1" s="224"/>
      <c r="N1" s="224"/>
      <c r="O1" s="224"/>
      <c r="P1" s="1125"/>
      <c r="R1" s="825"/>
      <c r="AA1" s="825"/>
      <c r="AC1" s="2661" t="s">
        <v>7220</v>
      </c>
      <c r="AD1" s="2661"/>
      <c r="AE1" s="2661"/>
      <c r="AF1" s="2661"/>
      <c r="AG1" s="2661"/>
      <c r="AH1" s="2661"/>
      <c r="AI1" s="2661"/>
      <c r="AJ1" s="424"/>
    </row>
    <row r="2" spans="1:36" s="389" customFormat="1" ht="29.25" customHeight="1">
      <c r="B2" s="2661" t="str">
        <f>SelectCompany!B4</f>
        <v>Northumbrian Water</v>
      </c>
      <c r="C2" s="2661"/>
      <c r="D2" s="2661"/>
      <c r="E2" s="2661"/>
      <c r="F2" s="2661"/>
      <c r="G2" s="2661"/>
      <c r="H2" s="2661"/>
      <c r="I2" s="2661"/>
      <c r="J2" s="2661"/>
      <c r="K2" s="390"/>
      <c r="L2" s="390"/>
      <c r="M2" s="224"/>
      <c r="N2" s="224"/>
      <c r="O2" s="224"/>
      <c r="P2" s="1125"/>
      <c r="R2" s="825"/>
      <c r="AA2" s="825"/>
      <c r="AC2" s="2661"/>
      <c r="AD2" s="2661"/>
      <c r="AE2" s="2661"/>
      <c r="AF2" s="2661"/>
      <c r="AG2" s="2661"/>
      <c r="AH2" s="2661"/>
      <c r="AI2" s="2661"/>
      <c r="AJ2" s="390"/>
    </row>
    <row r="3" spans="1:36" ht="45" customHeight="1">
      <c r="B3" s="2807" t="s">
        <v>14395</v>
      </c>
      <c r="C3" s="2807"/>
      <c r="D3" s="2807"/>
      <c r="E3" s="2807"/>
      <c r="F3" s="2807"/>
      <c r="G3" s="2807"/>
      <c r="H3" s="2807"/>
      <c r="I3" s="2807"/>
      <c r="J3" s="2807"/>
      <c r="K3" s="2807"/>
      <c r="L3" s="2807"/>
      <c r="M3" s="2807"/>
      <c r="N3" s="2807"/>
      <c r="O3" s="260"/>
      <c r="P3" s="1126"/>
      <c r="Q3" s="2208" t="s">
        <v>7222</v>
      </c>
      <c r="R3" s="363"/>
      <c r="AA3" s="363"/>
      <c r="AC3" s="2807" t="s">
        <v>14395</v>
      </c>
      <c r="AD3" s="2807"/>
      <c r="AE3" s="2807"/>
      <c r="AF3" s="2807"/>
      <c r="AG3" s="2807"/>
      <c r="AH3" s="2807"/>
      <c r="AI3" s="2807"/>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11" t="s">
        <v>7224</v>
      </c>
      <c r="C5" s="2673" t="s">
        <v>7225</v>
      </c>
      <c r="D5" s="2673" t="s">
        <v>670</v>
      </c>
      <c r="E5" s="2825" t="s">
        <v>12179</v>
      </c>
      <c r="F5" s="2825"/>
      <c r="G5" s="2825"/>
      <c r="H5" s="2825"/>
      <c r="I5" s="2825"/>
      <c r="J5" s="2877" t="s">
        <v>7445</v>
      </c>
      <c r="K5" s="731"/>
      <c r="L5" s="2790" t="s">
        <v>7229</v>
      </c>
      <c r="M5" s="260"/>
      <c r="N5" s="2790" t="s">
        <v>7230</v>
      </c>
      <c r="O5" s="260"/>
      <c r="P5" s="1127"/>
      <c r="R5" s="828"/>
      <c r="AA5" s="828"/>
      <c r="AC5" s="2811" t="s">
        <v>7224</v>
      </c>
      <c r="AD5" s="2825" t="s">
        <v>12179</v>
      </c>
      <c r="AE5" s="2825"/>
      <c r="AF5" s="2825"/>
      <c r="AG5" s="2825"/>
      <c r="AH5" s="2825"/>
      <c r="AI5" s="2877"/>
      <c r="AJ5" s="731"/>
    </row>
    <row r="6" spans="1:36" s="197" customFormat="1" ht="15.75" customHeight="1">
      <c r="B6" s="2874"/>
      <c r="C6" s="2796"/>
      <c r="D6" s="2796"/>
      <c r="E6" s="2835"/>
      <c r="F6" s="2835"/>
      <c r="G6" s="2835"/>
      <c r="H6" s="2835"/>
      <c r="I6" s="2835"/>
      <c r="J6" s="2830"/>
      <c r="K6" s="106"/>
      <c r="L6" s="2791"/>
      <c r="M6" s="582"/>
      <c r="N6" s="2791"/>
      <c r="O6" s="582"/>
      <c r="P6" s="1127"/>
      <c r="Q6" s="888"/>
      <c r="R6" s="828"/>
      <c r="AA6" s="828"/>
      <c r="AC6" s="2874"/>
      <c r="AD6" s="2835"/>
      <c r="AE6" s="2835"/>
      <c r="AF6" s="2835"/>
      <c r="AG6" s="2835"/>
      <c r="AH6" s="2835"/>
      <c r="AI6" s="2830" t="s">
        <v>7445</v>
      </c>
      <c r="AJ6" s="106"/>
    </row>
    <row r="7" spans="1:36" s="197" customFormat="1" ht="60" customHeight="1" thickBot="1">
      <c r="B7" s="2812"/>
      <c r="C7" s="2674"/>
      <c r="D7" s="2674"/>
      <c r="E7" s="887" t="s">
        <v>11204</v>
      </c>
      <c r="F7" s="887" t="s">
        <v>11205</v>
      </c>
      <c r="G7" s="887" t="s">
        <v>11206</v>
      </c>
      <c r="H7" s="887" t="s">
        <v>11207</v>
      </c>
      <c r="I7" s="887" t="s">
        <v>11509</v>
      </c>
      <c r="J7" s="2831"/>
      <c r="K7" s="106"/>
      <c r="L7" s="2792"/>
      <c r="M7" s="1110"/>
      <c r="N7" s="2792"/>
      <c r="O7" s="1110"/>
      <c r="P7" s="1128"/>
      <c r="Q7" s="888"/>
      <c r="R7" s="828"/>
      <c r="S7" s="2668" t="s">
        <v>7223</v>
      </c>
      <c r="T7" s="2668"/>
      <c r="U7" s="2668"/>
      <c r="V7" s="2668"/>
      <c r="W7" s="2668"/>
      <c r="X7" s="2668"/>
      <c r="Y7" s="2668"/>
      <c r="Z7" s="2668"/>
      <c r="AA7" s="828"/>
      <c r="AC7" s="2812"/>
      <c r="AD7" s="887" t="s">
        <v>11204</v>
      </c>
      <c r="AE7" s="887" t="s">
        <v>11205</v>
      </c>
      <c r="AF7" s="887" t="s">
        <v>11206</v>
      </c>
      <c r="AG7" s="887" t="s">
        <v>11207</v>
      </c>
      <c r="AH7" s="887" t="s">
        <v>11509</v>
      </c>
      <c r="AI7" s="2831"/>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7231</v>
      </c>
      <c r="AA8" s="828"/>
      <c r="AC8" s="1110"/>
      <c r="AD8" s="1110"/>
      <c r="AE8" s="1110"/>
      <c r="AF8" s="1110"/>
      <c r="AG8" s="1110"/>
      <c r="AH8" s="1110"/>
      <c r="AI8" s="1110"/>
      <c r="AJ8" s="1129"/>
    </row>
    <row r="9" spans="1:36" s="197" customFormat="1" ht="15.75" customHeight="1" thickTop="1" thickBot="1">
      <c r="B9" s="1130" t="s">
        <v>3630</v>
      </c>
      <c r="C9" s="1110"/>
      <c r="D9" s="1110"/>
      <c r="E9" s="1110"/>
      <c r="F9" s="1110"/>
      <c r="G9" s="1110"/>
      <c r="H9" s="1110"/>
      <c r="I9" s="1110"/>
      <c r="J9" s="1110"/>
      <c r="K9" s="1110"/>
      <c r="L9" s="1110"/>
      <c r="M9" s="1110"/>
      <c r="N9" s="1110"/>
      <c r="O9" s="1110"/>
      <c r="P9" s="1128"/>
      <c r="R9" s="828"/>
      <c r="S9" s="269"/>
      <c r="AA9" s="828"/>
      <c r="AC9" s="1130" t="s">
        <v>3630</v>
      </c>
      <c r="AD9" s="1110"/>
      <c r="AE9" s="1110"/>
      <c r="AF9" s="1110"/>
      <c r="AG9" s="1110"/>
      <c r="AH9" s="1110"/>
      <c r="AI9" s="1110"/>
      <c r="AJ9" s="1129"/>
    </row>
    <row r="10" spans="1:36" s="197" customFormat="1" ht="15.75" customHeight="1" thickTop="1">
      <c r="B10" s="451" t="s">
        <v>14364</v>
      </c>
      <c r="C10" s="277" t="s">
        <v>681</v>
      </c>
      <c r="D10" s="277">
        <v>3</v>
      </c>
      <c r="E10" s="694">
        <v>0</v>
      </c>
      <c r="F10" s="694">
        <v>1E-3</v>
      </c>
      <c r="G10" s="694">
        <v>0</v>
      </c>
      <c r="H10" s="694">
        <v>0</v>
      </c>
      <c r="I10" s="694">
        <v>0</v>
      </c>
      <c r="J10" s="1596">
        <f t="shared" ref="J10:J15" si="0">IFERROR(SUM(E10:I10), 0)</f>
        <v>1E-3</v>
      </c>
      <c r="K10" s="83"/>
      <c r="L10" s="281" t="s">
        <v>14396</v>
      </c>
      <c r="M10" s="737"/>
      <c r="N10" s="283"/>
      <c r="O10" s="737"/>
      <c r="P10" s="1127"/>
      <c r="Q10" s="284">
        <f>IF(SUM(S10:W10 ) = 0, 0, $S$8 )</f>
        <v>0</v>
      </c>
      <c r="R10" s="828"/>
      <c r="S10" s="285">
        <f t="shared" ref="S10" si="1" xml:space="preserve"> IF( ISNUMBER(E10), 0, 1 )</f>
        <v>0</v>
      </c>
      <c r="T10" s="285">
        <f t="shared" ref="T10:T14" si="2" xml:space="preserve"> IF( ISNUMBER(F10), 0, 1 )</f>
        <v>0</v>
      </c>
      <c r="U10" s="285">
        <f t="shared" ref="U10:U14" si="3" xml:space="preserve"> IF( ISNUMBER(G10), 0, 1 )</f>
        <v>0</v>
      </c>
      <c r="V10" s="285">
        <f t="shared" ref="V10:V14" si="4" xml:space="preserve"> IF( ISNUMBER(H10), 0, 1 )</f>
        <v>0</v>
      </c>
      <c r="W10" s="285">
        <f t="shared" ref="W10:W14" si="5" xml:space="preserve"> IF( ISNUMBER(I10), 0, 1 )</f>
        <v>0</v>
      </c>
      <c r="AA10" s="828"/>
      <c r="AC10" s="451" t="s">
        <v>14364</v>
      </c>
      <c r="AD10" s="904" t="s">
        <v>14397</v>
      </c>
      <c r="AE10" s="904" t="s">
        <v>14398</v>
      </c>
      <c r="AF10" s="904" t="s">
        <v>14399</v>
      </c>
      <c r="AG10" s="904" t="s">
        <v>14400</v>
      </c>
      <c r="AH10" s="904" t="s">
        <v>14401</v>
      </c>
      <c r="AI10" s="416" t="s">
        <v>14402</v>
      </c>
      <c r="AJ10" s="383"/>
    </row>
    <row r="11" spans="1:36" s="197" customFormat="1" ht="15.75" customHeight="1">
      <c r="B11" s="460" t="s">
        <v>14403</v>
      </c>
      <c r="C11" s="286" t="s">
        <v>681</v>
      </c>
      <c r="D11" s="286">
        <v>3</v>
      </c>
      <c r="E11" s="697">
        <v>4.0000000000000001E-3</v>
      </c>
      <c r="F11" s="697">
        <v>7.0000000000000001E-3</v>
      </c>
      <c r="G11" s="697">
        <v>3.0000000000000001E-3</v>
      </c>
      <c r="H11" s="697">
        <v>0</v>
      </c>
      <c r="I11" s="697">
        <v>0</v>
      </c>
      <c r="J11" s="1598">
        <f t="shared" si="0"/>
        <v>1.3999999999999999E-2</v>
      </c>
      <c r="K11" s="83"/>
      <c r="L11" s="290" t="s">
        <v>14404</v>
      </c>
      <c r="M11" s="737"/>
      <c r="N11" s="291"/>
      <c r="O11" s="737"/>
      <c r="P11" s="1127"/>
      <c r="Q11" s="284">
        <f t="shared" ref="Q11:Q14" si="6">IF(SUM(S11:W11 ) = 0, 0, $S$8 )</f>
        <v>0</v>
      </c>
      <c r="R11" s="828"/>
      <c r="S11" s="285">
        <f t="shared" ref="S11:S14" si="7" xml:space="preserve"> IF( ISNUMBER(E11), 0, 1 )</f>
        <v>0</v>
      </c>
      <c r="T11" s="285">
        <f t="shared" si="2"/>
        <v>0</v>
      </c>
      <c r="U11" s="285">
        <f t="shared" si="3"/>
        <v>0</v>
      </c>
      <c r="V11" s="285">
        <f t="shared" si="4"/>
        <v>0</v>
      </c>
      <c r="W11" s="285">
        <f t="shared" si="5"/>
        <v>0</v>
      </c>
      <c r="AA11" s="828"/>
      <c r="AC11" s="460" t="s">
        <v>14403</v>
      </c>
      <c r="AD11" s="905" t="s">
        <v>14405</v>
      </c>
      <c r="AE11" s="905" t="s">
        <v>14406</v>
      </c>
      <c r="AF11" s="905" t="s">
        <v>14407</v>
      </c>
      <c r="AG11" s="905" t="s">
        <v>14408</v>
      </c>
      <c r="AH11" s="905" t="s">
        <v>14409</v>
      </c>
      <c r="AI11" s="893" t="s">
        <v>14410</v>
      </c>
      <c r="AJ11" s="383"/>
    </row>
    <row r="12" spans="1:36" s="197" customFormat="1" ht="15.75" customHeight="1">
      <c r="B12" s="460" t="s">
        <v>14374</v>
      </c>
      <c r="C12" s="286" t="s">
        <v>681</v>
      </c>
      <c r="D12" s="286">
        <v>3</v>
      </c>
      <c r="E12" s="697">
        <v>1.2999999999999999E-2</v>
      </c>
      <c r="F12" s="697">
        <v>2.1999999999999999E-2</v>
      </c>
      <c r="G12" s="697">
        <v>1.2E-2</v>
      </c>
      <c r="H12" s="697">
        <v>0</v>
      </c>
      <c r="I12" s="697">
        <v>0</v>
      </c>
      <c r="J12" s="1598">
        <f t="shared" si="0"/>
        <v>4.7E-2</v>
      </c>
      <c r="K12" s="83"/>
      <c r="L12" s="290" t="s">
        <v>14411</v>
      </c>
      <c r="M12" s="737"/>
      <c r="N12" s="291"/>
      <c r="O12" s="737"/>
      <c r="P12" s="1127"/>
      <c r="Q12" s="284">
        <f t="shared" si="6"/>
        <v>0</v>
      </c>
      <c r="R12" s="828"/>
      <c r="S12" s="285">
        <f t="shared" si="7"/>
        <v>0</v>
      </c>
      <c r="T12" s="285">
        <f t="shared" si="2"/>
        <v>0</v>
      </c>
      <c r="U12" s="285">
        <f t="shared" si="3"/>
        <v>0</v>
      </c>
      <c r="V12" s="285">
        <f t="shared" si="4"/>
        <v>0</v>
      </c>
      <c r="W12" s="285">
        <f t="shared" si="5"/>
        <v>0</v>
      </c>
      <c r="AA12" s="828"/>
      <c r="AC12" s="460" t="s">
        <v>14374</v>
      </c>
      <c r="AD12" s="905" t="s">
        <v>14412</v>
      </c>
      <c r="AE12" s="905" t="s">
        <v>14413</v>
      </c>
      <c r="AF12" s="905" t="s">
        <v>14414</v>
      </c>
      <c r="AG12" s="905" t="s">
        <v>14415</v>
      </c>
      <c r="AH12" s="905" t="s">
        <v>14416</v>
      </c>
      <c r="AI12" s="893" t="s">
        <v>14417</v>
      </c>
      <c r="AJ12" s="383"/>
    </row>
    <row r="13" spans="1:36" s="197" customFormat="1" ht="15.75" customHeight="1">
      <c r="B13" s="460" t="s">
        <v>14379</v>
      </c>
      <c r="C13" s="286" t="s">
        <v>681</v>
      </c>
      <c r="D13" s="286">
        <v>3</v>
      </c>
      <c r="E13" s="697">
        <v>6.9000000000000006E-2</v>
      </c>
      <c r="F13" s="697">
        <v>0.114</v>
      </c>
      <c r="G13" s="697">
        <v>6.2E-2</v>
      </c>
      <c r="H13" s="697">
        <v>0</v>
      </c>
      <c r="I13" s="697">
        <v>0</v>
      </c>
      <c r="J13" s="1598">
        <f t="shared" si="0"/>
        <v>0.245</v>
      </c>
      <c r="K13" s="242"/>
      <c r="L13" s="1071" t="s">
        <v>14418</v>
      </c>
      <c r="N13" s="291"/>
      <c r="P13" s="1127"/>
      <c r="Q13" s="284">
        <f t="shared" si="6"/>
        <v>0</v>
      </c>
      <c r="R13" s="828"/>
      <c r="S13" s="285">
        <f t="shared" si="7"/>
        <v>0</v>
      </c>
      <c r="T13" s="285">
        <f t="shared" si="2"/>
        <v>0</v>
      </c>
      <c r="U13" s="285">
        <f t="shared" si="3"/>
        <v>0</v>
      </c>
      <c r="V13" s="285">
        <f t="shared" si="4"/>
        <v>0</v>
      </c>
      <c r="W13" s="285">
        <f t="shared" si="5"/>
        <v>0</v>
      </c>
      <c r="AA13" s="828"/>
      <c r="AC13" s="460" t="s">
        <v>14379</v>
      </c>
      <c r="AD13" s="905" t="s">
        <v>14419</v>
      </c>
      <c r="AE13" s="905" t="s">
        <v>14420</v>
      </c>
      <c r="AF13" s="905" t="s">
        <v>14421</v>
      </c>
      <c r="AG13" s="905" t="s">
        <v>14422</v>
      </c>
      <c r="AH13" s="905" t="s">
        <v>14423</v>
      </c>
      <c r="AI13" s="893" t="s">
        <v>14424</v>
      </c>
    </row>
    <row r="14" spans="1:36" s="200" customFormat="1" ht="15.75" customHeight="1">
      <c r="B14" s="460" t="s">
        <v>14384</v>
      </c>
      <c r="C14" s="286" t="s">
        <v>681</v>
      </c>
      <c r="D14" s="286">
        <v>3</v>
      </c>
      <c r="E14" s="697">
        <v>0.245</v>
      </c>
      <c r="F14" s="697">
        <v>0.40600000000000003</v>
      </c>
      <c r="G14" s="697">
        <v>0.219</v>
      </c>
      <c r="H14" s="697">
        <v>0</v>
      </c>
      <c r="I14" s="697">
        <v>0</v>
      </c>
      <c r="J14" s="1598">
        <f t="shared" si="0"/>
        <v>0.87</v>
      </c>
      <c r="K14" s="242"/>
      <c r="L14" s="1071" t="s">
        <v>14425</v>
      </c>
      <c r="N14" s="291"/>
      <c r="P14" s="1127"/>
      <c r="Q14" s="284">
        <f t="shared" si="6"/>
        <v>0</v>
      </c>
      <c r="R14" s="828"/>
      <c r="S14" s="285">
        <f t="shared" si="7"/>
        <v>0</v>
      </c>
      <c r="T14" s="285">
        <f t="shared" si="2"/>
        <v>0</v>
      </c>
      <c r="U14" s="285">
        <f t="shared" si="3"/>
        <v>0</v>
      </c>
      <c r="V14" s="285">
        <f t="shared" si="4"/>
        <v>0</v>
      </c>
      <c r="W14" s="285">
        <f t="shared" si="5"/>
        <v>0</v>
      </c>
      <c r="X14" s="197"/>
      <c r="Y14" s="197"/>
      <c r="Z14" s="197"/>
      <c r="AA14" s="828"/>
      <c r="AC14" s="460" t="s">
        <v>14384</v>
      </c>
      <c r="AD14" s="905" t="s">
        <v>14426</v>
      </c>
      <c r="AE14" s="905" t="s">
        <v>14427</v>
      </c>
      <c r="AF14" s="905" t="s">
        <v>14428</v>
      </c>
      <c r="AG14" s="905" t="s">
        <v>14429</v>
      </c>
      <c r="AH14" s="905" t="s">
        <v>14430</v>
      </c>
      <c r="AI14" s="893" t="s">
        <v>14431</v>
      </c>
    </row>
    <row r="15" spans="1:36" ht="30.75" thickBot="1">
      <c r="A15" s="197"/>
      <c r="B15" s="463" t="s">
        <v>14432</v>
      </c>
      <c r="C15" s="355" t="s">
        <v>681</v>
      </c>
      <c r="D15" s="355">
        <v>3</v>
      </c>
      <c r="E15" s="1589">
        <f>IFERROR(E10 + E11 + E12 + E13 + E14, 0)</f>
        <v>0.33100000000000002</v>
      </c>
      <c r="F15" s="1589">
        <f t="shared" ref="F15:I15" si="8">IFERROR(F10 + F11 + F12 + F13 + F14, 0)</f>
        <v>0.55000000000000004</v>
      </c>
      <c r="G15" s="1589">
        <f t="shared" si="8"/>
        <v>0.29599999999999999</v>
      </c>
      <c r="H15" s="1589">
        <f t="shared" si="8"/>
        <v>0</v>
      </c>
      <c r="I15" s="1589">
        <f t="shared" si="8"/>
        <v>0</v>
      </c>
      <c r="J15" s="1599">
        <f t="shared" si="0"/>
        <v>1.177</v>
      </c>
      <c r="K15" s="83"/>
      <c r="L15" s="356" t="s">
        <v>14433</v>
      </c>
      <c r="M15" s="737"/>
      <c r="N15" s="302"/>
      <c r="O15" s="737"/>
      <c r="P15" s="1127"/>
      <c r="Q15" s="197"/>
      <c r="R15" s="828"/>
      <c r="S15" s="197"/>
      <c r="T15" s="197"/>
      <c r="U15" s="197"/>
      <c r="V15" s="197"/>
      <c r="W15" s="197"/>
      <c r="X15" s="197"/>
      <c r="Y15" s="197"/>
      <c r="Z15" s="197"/>
      <c r="AA15" s="828"/>
      <c r="AB15" s="197"/>
      <c r="AC15" s="463" t="s">
        <v>14434</v>
      </c>
      <c r="AD15" s="679" t="s">
        <v>14435</v>
      </c>
      <c r="AE15" s="679" t="s">
        <v>14436</v>
      </c>
      <c r="AF15" s="679" t="s">
        <v>14437</v>
      </c>
      <c r="AG15" s="679" t="s">
        <v>14438</v>
      </c>
      <c r="AH15" s="679" t="s">
        <v>14439</v>
      </c>
      <c r="AI15" s="417" t="s">
        <v>14440</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3631</v>
      </c>
      <c r="C17" s="1110"/>
      <c r="D17" s="1110"/>
      <c r="E17" s="1681"/>
      <c r="F17" s="1681"/>
      <c r="G17" s="1681"/>
      <c r="H17" s="1681"/>
      <c r="I17" s="1681"/>
      <c r="J17" s="1681"/>
      <c r="K17" s="1110"/>
      <c r="L17" s="1110"/>
      <c r="M17" s="1110"/>
      <c r="N17" s="1110"/>
      <c r="O17" s="1110"/>
      <c r="P17" s="1128"/>
      <c r="R17" s="828"/>
      <c r="AA17" s="828"/>
      <c r="AC17" s="1131" t="s">
        <v>3631</v>
      </c>
      <c r="AD17" s="1110"/>
      <c r="AE17" s="1110"/>
      <c r="AF17" s="1110"/>
      <c r="AG17" s="1110"/>
      <c r="AH17" s="1110"/>
      <c r="AI17" s="1110"/>
      <c r="AJ17" s="1129"/>
    </row>
    <row r="18" spans="1:36" s="197" customFormat="1" ht="15.75" customHeight="1" thickTop="1">
      <c r="B18" s="451" t="s">
        <v>14364</v>
      </c>
      <c r="C18" s="277" t="s">
        <v>681</v>
      </c>
      <c r="D18" s="277">
        <v>3</v>
      </c>
      <c r="E18" s="694">
        <v>0</v>
      </c>
      <c r="F18" s="694">
        <v>0</v>
      </c>
      <c r="G18" s="694">
        <v>0</v>
      </c>
      <c r="H18" s="694">
        <v>0</v>
      </c>
      <c r="I18" s="694">
        <v>0</v>
      </c>
      <c r="J18" s="1596">
        <f t="shared" ref="J18:J23" si="9">IFERROR(SUM(E18:I18), 0)</f>
        <v>0</v>
      </c>
      <c r="K18" s="83"/>
      <c r="L18" s="281" t="s">
        <v>14441</v>
      </c>
      <c r="M18" s="737"/>
      <c r="N18" s="283"/>
      <c r="O18" s="737"/>
      <c r="P18" s="1127"/>
      <c r="Q18" s="284">
        <f t="shared" ref="Q18:Q22" si="10">IF(SUM(S18:W18 ) = 0, 0, $S$8 )</f>
        <v>0</v>
      </c>
      <c r="R18" s="828"/>
      <c r="S18" s="285">
        <f t="shared" ref="S18:S22" si="11" xml:space="preserve"> IF( ISNUMBER(E18), 0, 1 )</f>
        <v>0</v>
      </c>
      <c r="T18" s="285">
        <f t="shared" ref="T18:T22" si="12" xml:space="preserve"> IF( ISNUMBER(F18), 0, 1 )</f>
        <v>0</v>
      </c>
      <c r="U18" s="285">
        <f t="shared" ref="U18:U22" si="13" xml:space="preserve"> IF( ISNUMBER(G18), 0, 1 )</f>
        <v>0</v>
      </c>
      <c r="V18" s="285">
        <f t="shared" ref="V18:V22" si="14" xml:space="preserve"> IF( ISNUMBER(H18), 0, 1 )</f>
        <v>0</v>
      </c>
      <c r="W18" s="285">
        <f t="shared" ref="W18:W22" si="15" xml:space="preserve"> IF( ISNUMBER(I18), 0, 1 )</f>
        <v>0</v>
      </c>
      <c r="AA18" s="828"/>
      <c r="AC18" s="451" t="s">
        <v>14364</v>
      </c>
      <c r="AD18" s="904" t="s">
        <v>14442</v>
      </c>
      <c r="AE18" s="904" t="s">
        <v>14443</v>
      </c>
      <c r="AF18" s="904" t="s">
        <v>14444</v>
      </c>
      <c r="AG18" s="904" t="s">
        <v>14445</v>
      </c>
      <c r="AH18" s="904" t="s">
        <v>14446</v>
      </c>
      <c r="AI18" s="416" t="s">
        <v>14447</v>
      </c>
      <c r="AJ18" s="383"/>
    </row>
    <row r="19" spans="1:36" s="197" customFormat="1" ht="15.75" customHeight="1">
      <c r="B19" s="460" t="s">
        <v>14403</v>
      </c>
      <c r="C19" s="286" t="s">
        <v>681</v>
      </c>
      <c r="D19" s="286">
        <v>3</v>
      </c>
      <c r="E19" s="697">
        <v>0</v>
      </c>
      <c r="F19" s="697">
        <v>0</v>
      </c>
      <c r="G19" s="697">
        <v>0</v>
      </c>
      <c r="H19" s="697">
        <v>0</v>
      </c>
      <c r="I19" s="697">
        <v>0</v>
      </c>
      <c r="J19" s="1598">
        <f t="shared" si="9"/>
        <v>0</v>
      </c>
      <c r="K19" s="83"/>
      <c r="L19" s="290" t="s">
        <v>14448</v>
      </c>
      <c r="M19" s="737"/>
      <c r="N19" s="291"/>
      <c r="O19" s="737"/>
      <c r="P19" s="1127"/>
      <c r="Q19" s="284">
        <f t="shared" si="10"/>
        <v>0</v>
      </c>
      <c r="R19" s="828"/>
      <c r="S19" s="285">
        <f t="shared" si="11"/>
        <v>0</v>
      </c>
      <c r="T19" s="285">
        <f t="shared" si="12"/>
        <v>0</v>
      </c>
      <c r="U19" s="285">
        <f t="shared" si="13"/>
        <v>0</v>
      </c>
      <c r="V19" s="285">
        <f t="shared" si="14"/>
        <v>0</v>
      </c>
      <c r="W19" s="285">
        <f t="shared" si="15"/>
        <v>0</v>
      </c>
      <c r="AA19" s="828"/>
      <c r="AC19" s="460" t="s">
        <v>14403</v>
      </c>
      <c r="AD19" s="905" t="s">
        <v>14449</v>
      </c>
      <c r="AE19" s="905" t="s">
        <v>14450</v>
      </c>
      <c r="AF19" s="905" t="s">
        <v>14451</v>
      </c>
      <c r="AG19" s="905" t="s">
        <v>14452</v>
      </c>
      <c r="AH19" s="905" t="s">
        <v>14453</v>
      </c>
      <c r="AI19" s="893" t="s">
        <v>14454</v>
      </c>
      <c r="AJ19" s="383"/>
    </row>
    <row r="20" spans="1:36" s="197" customFormat="1" ht="15.75" customHeight="1">
      <c r="B20" s="460" t="s">
        <v>14374</v>
      </c>
      <c r="C20" s="286" t="s">
        <v>681</v>
      </c>
      <c r="D20" s="286">
        <v>3</v>
      </c>
      <c r="E20" s="697">
        <v>0</v>
      </c>
      <c r="F20" s="697">
        <v>0</v>
      </c>
      <c r="G20" s="697">
        <v>0</v>
      </c>
      <c r="H20" s="697">
        <v>0</v>
      </c>
      <c r="I20" s="697">
        <v>0</v>
      </c>
      <c r="J20" s="1598">
        <f t="shared" si="9"/>
        <v>0</v>
      </c>
      <c r="K20" s="83"/>
      <c r="L20" s="290" t="s">
        <v>14455</v>
      </c>
      <c r="M20" s="737"/>
      <c r="N20" s="291"/>
      <c r="O20" s="737"/>
      <c r="P20" s="1127"/>
      <c r="Q20" s="284">
        <f t="shared" si="10"/>
        <v>0</v>
      </c>
      <c r="R20" s="828"/>
      <c r="S20" s="285">
        <f t="shared" si="11"/>
        <v>0</v>
      </c>
      <c r="T20" s="285">
        <f t="shared" si="12"/>
        <v>0</v>
      </c>
      <c r="U20" s="285">
        <f t="shared" si="13"/>
        <v>0</v>
      </c>
      <c r="V20" s="285">
        <f t="shared" si="14"/>
        <v>0</v>
      </c>
      <c r="W20" s="285">
        <f t="shared" si="15"/>
        <v>0</v>
      </c>
      <c r="AA20" s="828"/>
      <c r="AC20" s="460" t="s">
        <v>14374</v>
      </c>
      <c r="AD20" s="905" t="s">
        <v>14456</v>
      </c>
      <c r="AE20" s="905" t="s">
        <v>14457</v>
      </c>
      <c r="AF20" s="905" t="s">
        <v>14458</v>
      </c>
      <c r="AG20" s="905" t="s">
        <v>14459</v>
      </c>
      <c r="AH20" s="905" t="s">
        <v>14460</v>
      </c>
      <c r="AI20" s="893" t="s">
        <v>14461</v>
      </c>
      <c r="AJ20" s="383"/>
    </row>
    <row r="21" spans="1:36" s="197" customFormat="1" ht="15.75" customHeight="1">
      <c r="B21" s="460" t="s">
        <v>14379</v>
      </c>
      <c r="C21" s="286" t="s">
        <v>681</v>
      </c>
      <c r="D21" s="286">
        <v>3</v>
      </c>
      <c r="E21" s="697">
        <v>0</v>
      </c>
      <c r="F21" s="697">
        <v>0</v>
      </c>
      <c r="G21" s="697">
        <v>0</v>
      </c>
      <c r="H21" s="697">
        <v>0</v>
      </c>
      <c r="I21" s="697">
        <v>0</v>
      </c>
      <c r="J21" s="1598">
        <f t="shared" si="9"/>
        <v>0</v>
      </c>
      <c r="K21" s="242"/>
      <c r="L21" s="1071" t="s">
        <v>14462</v>
      </c>
      <c r="N21" s="291"/>
      <c r="P21" s="1127"/>
      <c r="Q21" s="284">
        <f t="shared" si="10"/>
        <v>0</v>
      </c>
      <c r="R21" s="828"/>
      <c r="S21" s="285">
        <f t="shared" si="11"/>
        <v>0</v>
      </c>
      <c r="T21" s="285">
        <f t="shared" si="12"/>
        <v>0</v>
      </c>
      <c r="U21" s="285">
        <f t="shared" si="13"/>
        <v>0</v>
      </c>
      <c r="V21" s="285">
        <f t="shared" si="14"/>
        <v>0</v>
      </c>
      <c r="W21" s="285">
        <f t="shared" si="15"/>
        <v>0</v>
      </c>
      <c r="AA21" s="828"/>
      <c r="AC21" s="460" t="s">
        <v>14379</v>
      </c>
      <c r="AD21" s="905" t="s">
        <v>14463</v>
      </c>
      <c r="AE21" s="905" t="s">
        <v>14464</v>
      </c>
      <c r="AF21" s="905" t="s">
        <v>14465</v>
      </c>
      <c r="AG21" s="905" t="s">
        <v>14466</v>
      </c>
      <c r="AH21" s="905" t="s">
        <v>14467</v>
      </c>
      <c r="AI21" s="893" t="s">
        <v>14468</v>
      </c>
    </row>
    <row r="22" spans="1:36" s="200" customFormat="1" ht="15.75" customHeight="1">
      <c r="B22" s="460" t="s">
        <v>14384</v>
      </c>
      <c r="C22" s="286" t="s">
        <v>681</v>
      </c>
      <c r="D22" s="286">
        <v>3</v>
      </c>
      <c r="E22" s="697">
        <v>0</v>
      </c>
      <c r="F22" s="697">
        <v>0</v>
      </c>
      <c r="G22" s="697">
        <v>0</v>
      </c>
      <c r="H22" s="697">
        <v>0</v>
      </c>
      <c r="I22" s="697">
        <v>0</v>
      </c>
      <c r="J22" s="1598">
        <f t="shared" si="9"/>
        <v>0</v>
      </c>
      <c r="K22" s="242"/>
      <c r="L22" s="1071" t="s">
        <v>14469</v>
      </c>
      <c r="N22" s="291"/>
      <c r="P22" s="1127"/>
      <c r="Q22" s="284">
        <f t="shared" si="10"/>
        <v>0</v>
      </c>
      <c r="R22" s="828"/>
      <c r="S22" s="285">
        <f t="shared" si="11"/>
        <v>0</v>
      </c>
      <c r="T22" s="285">
        <f t="shared" si="12"/>
        <v>0</v>
      </c>
      <c r="U22" s="285">
        <f t="shared" si="13"/>
        <v>0</v>
      </c>
      <c r="V22" s="285">
        <f t="shared" si="14"/>
        <v>0</v>
      </c>
      <c r="W22" s="285">
        <f t="shared" si="15"/>
        <v>0</v>
      </c>
      <c r="X22" s="197"/>
      <c r="Y22" s="197"/>
      <c r="Z22" s="197"/>
      <c r="AA22" s="828"/>
      <c r="AC22" s="460" t="s">
        <v>14384</v>
      </c>
      <c r="AD22" s="905" t="s">
        <v>14470</v>
      </c>
      <c r="AE22" s="905" t="s">
        <v>14471</v>
      </c>
      <c r="AF22" s="905" t="s">
        <v>14472</v>
      </c>
      <c r="AG22" s="905" t="s">
        <v>14473</v>
      </c>
      <c r="AH22" s="905" t="s">
        <v>14474</v>
      </c>
      <c r="AI22" s="893" t="s">
        <v>14475</v>
      </c>
    </row>
    <row r="23" spans="1:36" ht="15.75" customHeight="1" thickBot="1">
      <c r="A23" s="197"/>
      <c r="B23" s="463" t="s">
        <v>14476</v>
      </c>
      <c r="C23" s="355" t="s">
        <v>681</v>
      </c>
      <c r="D23" s="355">
        <v>3</v>
      </c>
      <c r="E23" s="1589">
        <f>IFERROR(E18 + E19 + E20 + E21 + E22, 0)</f>
        <v>0</v>
      </c>
      <c r="F23" s="1589">
        <f t="shared" ref="F23:I23" si="16">IFERROR(F18 + F19 + F20 + F21 + F22, 0)</f>
        <v>0</v>
      </c>
      <c r="G23" s="1589">
        <f t="shared" si="16"/>
        <v>0</v>
      </c>
      <c r="H23" s="1589">
        <f t="shared" si="16"/>
        <v>0</v>
      </c>
      <c r="I23" s="1589">
        <f t="shared" si="16"/>
        <v>0</v>
      </c>
      <c r="J23" s="1599">
        <f t="shared" si="9"/>
        <v>0</v>
      </c>
      <c r="K23" s="83"/>
      <c r="L23" s="356" t="s">
        <v>14477</v>
      </c>
      <c r="M23" s="737"/>
      <c r="N23" s="302"/>
      <c r="O23" s="737"/>
      <c r="P23" s="1127"/>
      <c r="Q23" s="197"/>
      <c r="R23" s="828"/>
      <c r="S23" s="197"/>
      <c r="T23" s="197"/>
      <c r="U23" s="197"/>
      <c r="V23" s="197"/>
      <c r="W23" s="197"/>
      <c r="X23" s="197"/>
      <c r="Y23" s="197"/>
      <c r="Z23" s="197"/>
      <c r="AA23" s="828"/>
      <c r="AB23" s="197"/>
      <c r="AC23" s="463" t="s">
        <v>14434</v>
      </c>
      <c r="AD23" s="679" t="s">
        <v>14478</v>
      </c>
      <c r="AE23" s="679" t="s">
        <v>14479</v>
      </c>
      <c r="AF23" s="679" t="s">
        <v>14480</v>
      </c>
      <c r="AG23" s="679" t="s">
        <v>14481</v>
      </c>
      <c r="AH23" s="679" t="s">
        <v>14482</v>
      </c>
      <c r="AI23" s="417" t="s">
        <v>14483</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3632</v>
      </c>
      <c r="C25" s="1110"/>
      <c r="D25" s="1110"/>
      <c r="E25" s="1681"/>
      <c r="F25" s="1681"/>
      <c r="G25" s="1681"/>
      <c r="H25" s="1681"/>
      <c r="I25" s="1681"/>
      <c r="J25" s="1681"/>
      <c r="K25" s="1110"/>
      <c r="L25" s="1110"/>
      <c r="M25" s="1110"/>
      <c r="N25" s="1110"/>
      <c r="O25" s="1110"/>
      <c r="P25" s="1128"/>
      <c r="R25" s="828"/>
      <c r="AA25" s="828"/>
      <c r="AC25" s="1131" t="s">
        <v>3632</v>
      </c>
      <c r="AD25" s="1110"/>
      <c r="AE25" s="1110"/>
      <c r="AF25" s="1110"/>
      <c r="AG25" s="1110"/>
      <c r="AH25" s="1110"/>
      <c r="AI25" s="1110"/>
      <c r="AJ25" s="1129"/>
    </row>
    <row r="26" spans="1:36" s="197" customFormat="1" ht="15.75" customHeight="1" thickTop="1" thickBot="1">
      <c r="B26" s="469" t="s">
        <v>14484</v>
      </c>
      <c r="C26" s="371" t="s">
        <v>681</v>
      </c>
      <c r="D26" s="371">
        <v>3</v>
      </c>
      <c r="E26" s="1586">
        <f>IFERROR(E15+E23,0)</f>
        <v>0.33100000000000002</v>
      </c>
      <c r="F26" s="1586">
        <f t="shared" ref="F26:J26" si="17">IFERROR(F15+F23,0)</f>
        <v>0.55000000000000004</v>
      </c>
      <c r="G26" s="1586">
        <f t="shared" si="17"/>
        <v>0.29599999999999999</v>
      </c>
      <c r="H26" s="1586">
        <f t="shared" si="17"/>
        <v>0</v>
      </c>
      <c r="I26" s="1586">
        <f t="shared" si="17"/>
        <v>0</v>
      </c>
      <c r="J26" s="1581">
        <f t="shared" si="17"/>
        <v>1.177</v>
      </c>
      <c r="K26" s="83"/>
      <c r="L26" s="374" t="s">
        <v>14485</v>
      </c>
      <c r="M26" s="737"/>
      <c r="N26" s="375"/>
      <c r="O26" s="737"/>
      <c r="P26" s="1127"/>
      <c r="R26" s="828"/>
      <c r="AA26" s="828"/>
      <c r="AC26" s="469" t="s">
        <v>14389</v>
      </c>
      <c r="AD26" s="1132" t="s">
        <v>14486</v>
      </c>
      <c r="AE26" s="979" t="s">
        <v>14487</v>
      </c>
      <c r="AF26" s="979" t="s">
        <v>14488</v>
      </c>
      <c r="AG26" s="979" t="s">
        <v>14489</v>
      </c>
      <c r="AH26" s="979" t="s">
        <v>14490</v>
      </c>
      <c r="AI26" s="687" t="s">
        <v>14491</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214" priority="4" operator="equal">
      <formula>0</formula>
    </cfRule>
  </conditionalFormatting>
  <conditionalFormatting sqref="Q18:Q22">
    <cfRule type="cellIs" dxfId="21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tabColor rgb="FF00B050"/>
    <pageSetUpPr fitToPage="1"/>
  </sheetPr>
  <dimension ref="A1:AB29"/>
  <sheetViews>
    <sheetView showGridLines="0" topLeftCell="A2" zoomScale="50" zoomScaleNormal="50" zoomScaleSheetLayoutView="100" workbookViewId="0">
      <selection activeCell="C29" sqref="C29"/>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5" width="10.125" style="224" bestFit="1" customWidth="1"/>
    <col min="6" max="6" width="9.375" style="224" bestFit="1" customWidth="1"/>
    <col min="7" max="7" width="11.875" style="224" bestFit="1" customWidth="1"/>
    <col min="8" max="8" width="6.125" style="224" bestFit="1" customWidth="1"/>
    <col min="9" max="9" width="1.625" style="224" customWidth="1"/>
    <col min="10" max="10" width="9.75" style="224" bestFit="1" customWidth="1"/>
    <col min="11" max="11" width="1.625" style="224" customWidth="1"/>
    <col min="12" max="12" width="47.625" style="224" bestFit="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89" customFormat="1" ht="29.25" customHeight="1">
      <c r="B1" s="2879" t="s">
        <v>14492</v>
      </c>
      <c r="C1" s="2879"/>
      <c r="D1" s="2879"/>
      <c r="E1" s="2879"/>
      <c r="F1" s="2879"/>
      <c r="G1" s="2879"/>
      <c r="H1" s="2879"/>
      <c r="I1" s="528"/>
      <c r="J1" s="261"/>
      <c r="K1" s="261"/>
      <c r="L1" s="261"/>
      <c r="M1" s="261"/>
      <c r="N1" s="825"/>
      <c r="P1" s="825"/>
      <c r="U1" s="825"/>
      <c r="W1" s="2879" t="s">
        <v>7220</v>
      </c>
      <c r="X1" s="2879"/>
      <c r="Y1" s="2879"/>
      <c r="Z1" s="2879"/>
      <c r="AA1" s="2879"/>
      <c r="AB1" s="528"/>
    </row>
    <row r="2" spans="1:28" s="389" customFormat="1" ht="29.25" customHeight="1">
      <c r="B2" s="2879" t="str">
        <f>SelectCompany!B4</f>
        <v>Northumbrian Water</v>
      </c>
      <c r="C2" s="2879"/>
      <c r="D2" s="2879"/>
      <c r="E2" s="2879"/>
      <c r="F2" s="2879"/>
      <c r="G2" s="2879"/>
      <c r="H2" s="2879"/>
      <c r="I2" s="528"/>
      <c r="J2" s="261"/>
      <c r="K2" s="261"/>
      <c r="L2" s="261"/>
      <c r="M2" s="261"/>
      <c r="N2" s="825"/>
      <c r="P2" s="825"/>
      <c r="U2" s="825"/>
      <c r="W2" s="2879"/>
      <c r="X2" s="2879"/>
      <c r="Y2" s="2879"/>
      <c r="Z2" s="2879"/>
      <c r="AA2" s="2879"/>
      <c r="AB2" s="528"/>
    </row>
    <row r="3" spans="1:28" ht="44.25" customHeight="1">
      <c r="B3" s="2807" t="s">
        <v>14493</v>
      </c>
      <c r="C3" s="2807"/>
      <c r="D3" s="2807"/>
      <c r="E3" s="2807"/>
      <c r="F3" s="2807"/>
      <c r="G3" s="2807"/>
      <c r="H3" s="2807"/>
      <c r="I3" s="2807"/>
      <c r="J3" s="2807"/>
      <c r="K3" s="2807"/>
      <c r="L3" s="2807"/>
      <c r="M3" s="261"/>
      <c r="N3" s="363"/>
      <c r="O3" s="650" t="s">
        <v>7222</v>
      </c>
      <c r="P3" s="363"/>
      <c r="U3" s="363"/>
      <c r="W3" s="2807" t="s">
        <v>14494</v>
      </c>
      <c r="X3" s="2807"/>
      <c r="Y3" s="2807"/>
      <c r="Z3" s="2807"/>
      <c r="AA3" s="2807"/>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5" thickTop="1" thickBot="1">
      <c r="A5" s="197"/>
      <c r="B5" s="445" t="s">
        <v>7224</v>
      </c>
      <c r="C5" s="446" t="s">
        <v>7225</v>
      </c>
      <c r="D5" s="446" t="s">
        <v>670</v>
      </c>
      <c r="E5" s="446" t="s">
        <v>8160</v>
      </c>
      <c r="F5" s="446" t="s">
        <v>9202</v>
      </c>
      <c r="G5" s="446" t="s">
        <v>8969</v>
      </c>
      <c r="H5" s="447" t="s">
        <v>7445</v>
      </c>
      <c r="I5" s="197"/>
      <c r="J5" s="449" t="s">
        <v>7229</v>
      </c>
      <c r="K5" s="482"/>
      <c r="L5" s="449" t="s">
        <v>7230</v>
      </c>
      <c r="M5" s="482"/>
      <c r="N5" s="363"/>
      <c r="O5" s="888"/>
      <c r="P5" s="363"/>
      <c r="Q5" s="2668" t="s">
        <v>7223</v>
      </c>
      <c r="R5" s="2878"/>
      <c r="S5" s="2878"/>
      <c r="T5" s="2878"/>
      <c r="U5" s="758"/>
      <c r="V5" s="1133"/>
      <c r="W5" s="445" t="s">
        <v>7224</v>
      </c>
      <c r="X5" s="446" t="s">
        <v>8160</v>
      </c>
      <c r="Y5" s="446" t="s">
        <v>9202</v>
      </c>
      <c r="Z5" s="446" t="s">
        <v>8969</v>
      </c>
      <c r="AA5" s="447" t="s">
        <v>7445</v>
      </c>
    </row>
    <row r="6" spans="1:28" s="197" customFormat="1" ht="15.75" customHeight="1" thickTop="1" thickBot="1">
      <c r="B6" s="1134"/>
      <c r="C6" s="1134"/>
      <c r="D6" s="1134"/>
      <c r="E6" s="692"/>
      <c r="F6" s="692"/>
      <c r="G6" s="692"/>
      <c r="H6" s="692"/>
      <c r="I6" s="200"/>
      <c r="J6" s="692"/>
      <c r="K6" s="692"/>
      <c r="L6" s="692"/>
      <c r="M6" s="692"/>
      <c r="N6" s="828"/>
      <c r="P6" s="828"/>
      <c r="Q6" s="269" t="s">
        <v>7231</v>
      </c>
      <c r="U6" s="828"/>
      <c r="W6" s="1134"/>
      <c r="X6" s="692"/>
      <c r="Y6" s="692"/>
      <c r="Z6" s="692"/>
      <c r="AA6" s="692"/>
      <c r="AB6" s="705"/>
    </row>
    <row r="7" spans="1:28" s="197" customFormat="1" ht="15.75" customHeight="1" thickTop="1" thickBot="1">
      <c r="B7" s="393" t="s">
        <v>3630</v>
      </c>
      <c r="C7" s="394"/>
      <c r="D7" s="394"/>
      <c r="E7" s="482"/>
      <c r="F7" s="482"/>
      <c r="G7" s="1001"/>
      <c r="H7" s="997"/>
      <c r="I7" s="997"/>
      <c r="J7" s="1004"/>
      <c r="K7" s="1005"/>
      <c r="L7" s="1005"/>
      <c r="M7" s="1005"/>
      <c r="N7" s="828"/>
      <c r="P7" s="828"/>
      <c r="U7" s="828"/>
      <c r="W7" s="393" t="s">
        <v>3630</v>
      </c>
    </row>
    <row r="8" spans="1:28" s="197" customFormat="1" ht="15.75" customHeight="1" thickTop="1">
      <c r="B8" s="451" t="s">
        <v>14495</v>
      </c>
      <c r="C8" s="277" t="s">
        <v>681</v>
      </c>
      <c r="D8" s="277">
        <v>3</v>
      </c>
      <c r="E8" s="278">
        <v>0</v>
      </c>
      <c r="F8" s="278">
        <v>0.81100000000000005</v>
      </c>
      <c r="G8" s="278">
        <v>0</v>
      </c>
      <c r="H8" s="280">
        <f>IFERROR(SUM(E8:G8), 0)</f>
        <v>0.81100000000000005</v>
      </c>
      <c r="I8" s="997"/>
      <c r="J8" s="1040" t="s">
        <v>14496</v>
      </c>
      <c r="K8" s="174"/>
      <c r="L8" s="283"/>
      <c r="M8" s="174"/>
      <c r="N8" s="828"/>
      <c r="O8" s="284">
        <f>IF(SUM(Q8:T8 ) = 0, 0, $Q$6 )</f>
        <v>0</v>
      </c>
      <c r="P8" s="828"/>
      <c r="Q8" s="285">
        <f t="shared" ref="Q8:Q10" si="0" xml:space="preserve"> IF( ISNUMBER(E8), 0, 1 )</f>
        <v>0</v>
      </c>
      <c r="R8" s="285">
        <f t="shared" ref="R8:R10" si="1" xml:space="preserve"> IF( ISNUMBER(F8), 0, 1 )</f>
        <v>0</v>
      </c>
      <c r="S8" s="285">
        <f t="shared" ref="S8:S10" si="2" xml:space="preserve"> IF( ISNUMBER(G8), 0, 1 )</f>
        <v>0</v>
      </c>
      <c r="U8" s="828"/>
      <c r="W8" s="451" t="s">
        <v>14495</v>
      </c>
      <c r="X8" s="278" t="s">
        <v>2953</v>
      </c>
      <c r="Y8" s="278" t="s">
        <v>2955</v>
      </c>
      <c r="Z8" s="278" t="s">
        <v>2957</v>
      </c>
      <c r="AA8" s="280" t="s">
        <v>2959</v>
      </c>
    </row>
    <row r="9" spans="1:28" s="197" customFormat="1" ht="30">
      <c r="B9" s="460" t="s">
        <v>14497</v>
      </c>
      <c r="C9" s="286" t="s">
        <v>681</v>
      </c>
      <c r="D9" s="286">
        <v>3</v>
      </c>
      <c r="E9" s="287">
        <v>0</v>
      </c>
      <c r="F9" s="287">
        <v>0</v>
      </c>
      <c r="G9" s="287">
        <v>0</v>
      </c>
      <c r="H9" s="289">
        <f>IFERROR(SUM(E9:G9), 0)</f>
        <v>0</v>
      </c>
      <c r="I9" s="997"/>
      <c r="J9" s="1041" t="s">
        <v>14498</v>
      </c>
      <c r="K9" s="174"/>
      <c r="L9" s="291"/>
      <c r="M9" s="174"/>
      <c r="N9" s="828"/>
      <c r="O9" s="284">
        <f t="shared" ref="O9:O10" si="3">IF(SUM(Q9:T9 ) = 0, 0, $Q$6 )</f>
        <v>0</v>
      </c>
      <c r="P9" s="828"/>
      <c r="Q9" s="285">
        <f t="shared" si="0"/>
        <v>0</v>
      </c>
      <c r="R9" s="285">
        <f t="shared" si="1"/>
        <v>0</v>
      </c>
      <c r="S9" s="285">
        <f t="shared" si="2"/>
        <v>0</v>
      </c>
      <c r="U9" s="828"/>
      <c r="W9" s="460" t="s">
        <v>14497</v>
      </c>
      <c r="X9" s="287" t="s">
        <v>2961</v>
      </c>
      <c r="Y9" s="287" t="s">
        <v>2963</v>
      </c>
      <c r="Z9" s="287" t="s">
        <v>2965</v>
      </c>
      <c r="AA9" s="289" t="s">
        <v>2967</v>
      </c>
    </row>
    <row r="10" spans="1:28" s="197" customFormat="1" ht="15.75" customHeight="1">
      <c r="B10" s="460" t="s">
        <v>14499</v>
      </c>
      <c r="C10" s="286" t="s">
        <v>681</v>
      </c>
      <c r="D10" s="286">
        <v>3</v>
      </c>
      <c r="E10" s="287">
        <v>0</v>
      </c>
      <c r="F10" s="287">
        <v>0</v>
      </c>
      <c r="G10" s="287">
        <v>0.23699999999999999</v>
      </c>
      <c r="H10" s="289">
        <f>IFERROR(SUM(E10:G10), 0)</f>
        <v>0.23699999999999999</v>
      </c>
      <c r="I10" s="997"/>
      <c r="J10" s="1041" t="s">
        <v>14500</v>
      </c>
      <c r="K10" s="174"/>
      <c r="L10" s="291"/>
      <c r="M10" s="174"/>
      <c r="N10" s="828"/>
      <c r="O10" s="284">
        <f t="shared" si="3"/>
        <v>0</v>
      </c>
      <c r="P10" s="828"/>
      <c r="Q10" s="285">
        <f t="shared" si="0"/>
        <v>0</v>
      </c>
      <c r="R10" s="285">
        <f t="shared" si="1"/>
        <v>0</v>
      </c>
      <c r="S10" s="285">
        <f t="shared" si="2"/>
        <v>0</v>
      </c>
      <c r="U10" s="828"/>
      <c r="W10" s="460" t="s">
        <v>14499</v>
      </c>
      <c r="X10" s="287" t="s">
        <v>2969</v>
      </c>
      <c r="Y10" s="287" t="s">
        <v>2971</v>
      </c>
      <c r="Z10" s="287" t="s">
        <v>2973</v>
      </c>
      <c r="AA10" s="289" t="s">
        <v>2975</v>
      </c>
    </row>
    <row r="11" spans="1:28" s="197" customFormat="1" ht="15.75" customHeight="1" thickBot="1">
      <c r="B11" s="463" t="s">
        <v>14501</v>
      </c>
      <c r="C11" s="355" t="s">
        <v>681</v>
      </c>
      <c r="D11" s="355">
        <v>3</v>
      </c>
      <c r="E11" s="298">
        <f>IFERROR(SUM(E8:E10), 0)</f>
        <v>0</v>
      </c>
      <c r="F11" s="298">
        <f t="shared" ref="F11:G11" si="4">IFERROR(SUM(F8:F10), 0)</f>
        <v>0.81100000000000005</v>
      </c>
      <c r="G11" s="298">
        <f t="shared" si="4"/>
        <v>0.23699999999999999</v>
      </c>
      <c r="H11" s="299">
        <f>IFERROR(SUM(E11:G11), 0)</f>
        <v>1.048</v>
      </c>
      <c r="I11" s="997"/>
      <c r="J11" s="1043" t="s">
        <v>14502</v>
      </c>
      <c r="K11" s="174"/>
      <c r="L11" s="302"/>
      <c r="M11" s="174"/>
      <c r="N11" s="828"/>
      <c r="P11" s="828"/>
      <c r="U11" s="828"/>
      <c r="W11" s="463" t="s">
        <v>14501</v>
      </c>
      <c r="X11" s="298" t="s">
        <v>2977</v>
      </c>
      <c r="Y11" s="298" t="s">
        <v>2979</v>
      </c>
      <c r="Z11" s="298" t="s">
        <v>2981</v>
      </c>
      <c r="AA11" s="299" t="s">
        <v>2983</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3631</v>
      </c>
      <c r="C14" s="394"/>
      <c r="D14" s="394"/>
      <c r="E14" s="482"/>
      <c r="F14" s="482"/>
      <c r="G14" s="1001"/>
      <c r="H14" s="997"/>
      <c r="I14" s="997"/>
      <c r="J14" s="1005"/>
      <c r="K14" s="1005"/>
      <c r="L14" s="1005"/>
      <c r="M14" s="1005"/>
      <c r="N14" s="828"/>
      <c r="P14" s="828"/>
      <c r="U14" s="828"/>
      <c r="W14" s="393" t="s">
        <v>3631</v>
      </c>
      <c r="X14" s="482"/>
      <c r="Y14" s="482"/>
      <c r="Z14" s="1001"/>
      <c r="AA14" s="997"/>
    </row>
    <row r="15" spans="1:28" s="197" customFormat="1" ht="15.75" customHeight="1" thickTop="1">
      <c r="B15" s="451" t="s">
        <v>14503</v>
      </c>
      <c r="C15" s="277" t="s">
        <v>681</v>
      </c>
      <c r="D15" s="277">
        <v>3</v>
      </c>
      <c r="E15" s="278">
        <v>0</v>
      </c>
      <c r="F15" s="278">
        <v>0</v>
      </c>
      <c r="G15" s="278">
        <v>0</v>
      </c>
      <c r="H15" s="280">
        <f>IFERROR(SUM(E15:G15), 0)</f>
        <v>0</v>
      </c>
      <c r="I15" s="997"/>
      <c r="J15" s="1040" t="s">
        <v>14504</v>
      </c>
      <c r="K15" s="174"/>
      <c r="L15" s="283"/>
      <c r="M15" s="174"/>
      <c r="N15" s="828"/>
      <c r="O15" s="284">
        <f>IF(SUM(Q15:T15 ) = 0, 0, $Q$6 )</f>
        <v>0</v>
      </c>
      <c r="P15" s="828"/>
      <c r="Q15" s="285">
        <f t="shared" ref="Q15:Q17" si="5" xml:space="preserve"> IF( ISNUMBER(E15), 0, 1 )</f>
        <v>0</v>
      </c>
      <c r="R15" s="285">
        <f t="shared" ref="R15:R17" si="6" xml:space="preserve"> IF( ISNUMBER(F15), 0, 1 )</f>
        <v>0</v>
      </c>
      <c r="S15" s="285">
        <f t="shared" ref="S15:S17" si="7" xml:space="preserve"> IF( ISNUMBER(G15), 0, 1 )</f>
        <v>0</v>
      </c>
      <c r="U15" s="828"/>
      <c r="W15" s="451" t="s">
        <v>14503</v>
      </c>
      <c r="X15" s="278" t="s">
        <v>2985</v>
      </c>
      <c r="Y15" s="278" t="s">
        <v>2987</v>
      </c>
      <c r="Z15" s="278" t="s">
        <v>2989</v>
      </c>
      <c r="AA15" s="280" t="s">
        <v>2991</v>
      </c>
    </row>
    <row r="16" spans="1:28" s="197" customFormat="1" ht="30">
      <c r="B16" s="460" t="s">
        <v>14505</v>
      </c>
      <c r="C16" s="286" t="s">
        <v>681</v>
      </c>
      <c r="D16" s="286">
        <v>3</v>
      </c>
      <c r="E16" s="287">
        <v>0</v>
      </c>
      <c r="F16" s="287">
        <v>0</v>
      </c>
      <c r="G16" s="287">
        <v>0</v>
      </c>
      <c r="H16" s="289">
        <f>IFERROR(SUM(E16:G16), 0)</f>
        <v>0</v>
      </c>
      <c r="I16" s="997"/>
      <c r="J16" s="1041" t="s">
        <v>14506</v>
      </c>
      <c r="K16" s="174"/>
      <c r="L16" s="291"/>
      <c r="M16" s="174"/>
      <c r="N16" s="828"/>
      <c r="O16" s="284">
        <f t="shared" ref="O16:O17" si="8">IF(SUM(Q16:T16 ) = 0, 0, $Q$6 )</f>
        <v>0</v>
      </c>
      <c r="P16" s="828"/>
      <c r="Q16" s="285">
        <f t="shared" si="5"/>
        <v>0</v>
      </c>
      <c r="R16" s="285">
        <f t="shared" si="6"/>
        <v>0</v>
      </c>
      <c r="S16" s="285">
        <f t="shared" si="7"/>
        <v>0</v>
      </c>
      <c r="U16" s="828"/>
      <c r="W16" s="460" t="s">
        <v>14505</v>
      </c>
      <c r="X16" s="287" t="s">
        <v>2993</v>
      </c>
      <c r="Y16" s="287" t="s">
        <v>2995</v>
      </c>
      <c r="Z16" s="287" t="s">
        <v>2997</v>
      </c>
      <c r="AA16" s="289" t="s">
        <v>2999</v>
      </c>
    </row>
    <row r="17" spans="1:28" s="197" customFormat="1" ht="15.75" customHeight="1">
      <c r="B17" s="460" t="s">
        <v>14507</v>
      </c>
      <c r="C17" s="286" t="s">
        <v>681</v>
      </c>
      <c r="D17" s="286">
        <v>3</v>
      </c>
      <c r="E17" s="287">
        <v>0</v>
      </c>
      <c r="F17" s="287">
        <v>0</v>
      </c>
      <c r="G17" s="287">
        <v>0.23599999999999999</v>
      </c>
      <c r="H17" s="289">
        <f>IFERROR(SUM(E17:G17), 0)</f>
        <v>0.23599999999999999</v>
      </c>
      <c r="I17" s="997"/>
      <c r="J17" s="1041" t="s">
        <v>14508</v>
      </c>
      <c r="K17" s="174"/>
      <c r="L17" s="291"/>
      <c r="M17" s="174"/>
      <c r="N17" s="828"/>
      <c r="O17" s="284">
        <f t="shared" si="8"/>
        <v>0</v>
      </c>
      <c r="P17" s="828"/>
      <c r="Q17" s="285">
        <f t="shared" si="5"/>
        <v>0</v>
      </c>
      <c r="R17" s="285">
        <f t="shared" si="6"/>
        <v>0</v>
      </c>
      <c r="S17" s="285">
        <f t="shared" si="7"/>
        <v>0</v>
      </c>
      <c r="U17" s="828"/>
      <c r="W17" s="460" t="s">
        <v>14507</v>
      </c>
      <c r="X17" s="287" t="s">
        <v>3001</v>
      </c>
      <c r="Y17" s="287" t="s">
        <v>3003</v>
      </c>
      <c r="Z17" s="287" t="s">
        <v>3005</v>
      </c>
      <c r="AA17" s="289" t="s">
        <v>3007</v>
      </c>
    </row>
    <row r="18" spans="1:28" s="197" customFormat="1" ht="15.75" customHeight="1" thickBot="1">
      <c r="B18" s="463" t="s">
        <v>14509</v>
      </c>
      <c r="C18" s="355" t="s">
        <v>681</v>
      </c>
      <c r="D18" s="355">
        <v>3</v>
      </c>
      <c r="E18" s="298">
        <f>IFERROR(SUM(E15:E17), 0)</f>
        <v>0</v>
      </c>
      <c r="F18" s="298">
        <f t="shared" ref="F18:G18" si="9">IFERROR(SUM(F15:F17), 0)</f>
        <v>0</v>
      </c>
      <c r="G18" s="298">
        <f t="shared" si="9"/>
        <v>0.23599999999999999</v>
      </c>
      <c r="H18" s="299">
        <f>IFERROR(SUM(E18:G18), 0)</f>
        <v>0.23599999999999999</v>
      </c>
      <c r="I18" s="997"/>
      <c r="J18" s="1043" t="s">
        <v>14510</v>
      </c>
      <c r="K18" s="174"/>
      <c r="L18" s="302"/>
      <c r="M18" s="174"/>
      <c r="N18" s="828"/>
      <c r="P18" s="828"/>
      <c r="U18" s="828"/>
      <c r="W18" s="463" t="s">
        <v>14509</v>
      </c>
      <c r="X18" s="298" t="s">
        <v>3009</v>
      </c>
      <c r="Y18" s="298" t="s">
        <v>3011</v>
      </c>
      <c r="Z18" s="298" t="s">
        <v>3013</v>
      </c>
      <c r="AA18" s="299" t="s">
        <v>3015</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3632</v>
      </c>
      <c r="C20" s="394"/>
      <c r="D20" s="394"/>
      <c r="E20" s="482"/>
      <c r="F20" s="482"/>
      <c r="G20" s="1001"/>
      <c r="H20" s="997"/>
      <c r="I20" s="997"/>
      <c r="J20" s="1005"/>
      <c r="K20" s="1005"/>
      <c r="L20" s="1005"/>
      <c r="M20" s="1005"/>
      <c r="N20" s="828"/>
      <c r="P20" s="828"/>
      <c r="U20" s="828"/>
      <c r="W20" s="393" t="s">
        <v>3632</v>
      </c>
      <c r="X20" s="482"/>
      <c r="Y20" s="482"/>
      <c r="Z20" s="1001"/>
      <c r="AA20" s="997"/>
      <c r="AB20" s="997"/>
    </row>
    <row r="21" spans="1:28" s="197" customFormat="1" ht="15.75" customHeight="1" thickTop="1">
      <c r="B21" s="451" t="s">
        <v>14511</v>
      </c>
      <c r="C21" s="277" t="s">
        <v>681</v>
      </c>
      <c r="D21" s="277">
        <v>3</v>
      </c>
      <c r="E21" s="2391">
        <f>E8+E15</f>
        <v>0</v>
      </c>
      <c r="F21" s="2391">
        <f t="shared" ref="F21:G21" si="10">F8+F15</f>
        <v>0.81100000000000005</v>
      </c>
      <c r="G21" s="2391">
        <f t="shared" si="10"/>
        <v>0</v>
      </c>
      <c r="H21" s="2392">
        <f>IFERROR(SUM(E21:G21), 0)</f>
        <v>0.81100000000000005</v>
      </c>
      <c r="I21" s="997"/>
      <c r="J21" s="1040" t="s">
        <v>14512</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14511</v>
      </c>
      <c r="X21" s="278" t="s">
        <v>14513</v>
      </c>
      <c r="Y21" s="278" t="s">
        <v>14514</v>
      </c>
      <c r="Z21" s="278" t="s">
        <v>14515</v>
      </c>
      <c r="AA21" s="280" t="s">
        <v>14516</v>
      </c>
      <c r="AB21" s="997"/>
    </row>
    <row r="22" spans="1:28" s="197" customFormat="1" ht="30">
      <c r="B22" s="460" t="s">
        <v>14517</v>
      </c>
      <c r="C22" s="286" t="s">
        <v>681</v>
      </c>
      <c r="D22" s="286">
        <v>3</v>
      </c>
      <c r="E22" s="2335">
        <f>E9+E16</f>
        <v>0</v>
      </c>
      <c r="F22" s="2335">
        <f t="shared" ref="F22:G22" si="14">F9+F16</f>
        <v>0</v>
      </c>
      <c r="G22" s="2335">
        <f t="shared" si="14"/>
        <v>0</v>
      </c>
      <c r="H22" s="625">
        <f>IFERROR(SUM(E22:G22), 0)</f>
        <v>0</v>
      </c>
      <c r="I22" s="997"/>
      <c r="J22" s="1041" t="s">
        <v>14518</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14517</v>
      </c>
      <c r="X22" s="287" t="s">
        <v>14519</v>
      </c>
      <c r="Y22" s="287" t="s">
        <v>14520</v>
      </c>
      <c r="Z22" s="287" t="s">
        <v>14521</v>
      </c>
      <c r="AA22" s="289" t="s">
        <v>14522</v>
      </c>
      <c r="AB22" s="997"/>
    </row>
    <row r="23" spans="1:28" s="197" customFormat="1" ht="15.75" customHeight="1">
      <c r="B23" s="460" t="s">
        <v>14523</v>
      </c>
      <c r="C23" s="286" t="s">
        <v>681</v>
      </c>
      <c r="D23" s="286">
        <v>3</v>
      </c>
      <c r="E23" s="2335">
        <f>E10+E17</f>
        <v>0</v>
      </c>
      <c r="F23" s="2335">
        <f t="shared" ref="F23:G23" si="17">F10+F17</f>
        <v>0</v>
      </c>
      <c r="G23" s="2335">
        <f t="shared" si="17"/>
        <v>0.47299999999999998</v>
      </c>
      <c r="H23" s="625">
        <f>IFERROR(SUM(E23:G23), 0)</f>
        <v>0.47299999999999998</v>
      </c>
      <c r="I23" s="997"/>
      <c r="J23" s="1041" t="s">
        <v>14524</v>
      </c>
      <c r="K23" s="174"/>
      <c r="L23" s="291"/>
      <c r="M23" s="174"/>
      <c r="N23" s="828"/>
      <c r="O23" s="284">
        <f t="shared" si="15"/>
        <v>0</v>
      </c>
      <c r="P23" s="828"/>
      <c r="Q23" s="285">
        <f t="shared" si="16"/>
        <v>0</v>
      </c>
      <c r="R23" s="285">
        <f t="shared" si="12"/>
        <v>0</v>
      </c>
      <c r="S23" s="285">
        <f t="shared" si="13"/>
        <v>0</v>
      </c>
      <c r="U23" s="828"/>
      <c r="W23" s="460" t="s">
        <v>14523</v>
      </c>
      <c r="X23" s="287" t="s">
        <v>14525</v>
      </c>
      <c r="Y23" s="287" t="s">
        <v>14526</v>
      </c>
      <c r="Z23" s="287" t="s">
        <v>14527</v>
      </c>
      <c r="AA23" s="289" t="s">
        <v>14528</v>
      </c>
      <c r="AB23" s="997"/>
    </row>
    <row r="24" spans="1:28" s="197" customFormat="1" ht="15.75" customHeight="1" thickBot="1">
      <c r="B24" s="463" t="s">
        <v>14529</v>
      </c>
      <c r="C24" s="355" t="s">
        <v>681</v>
      </c>
      <c r="D24" s="355">
        <v>3</v>
      </c>
      <c r="E24" s="708">
        <f>IFERROR(SUM(E21:E23), 0)</f>
        <v>0</v>
      </c>
      <c r="F24" s="708">
        <f t="shared" ref="F24:G24" si="18">IFERROR(SUM(F21:F23), 0)</f>
        <v>0.81100000000000005</v>
      </c>
      <c r="G24" s="708">
        <f t="shared" si="18"/>
        <v>0.47299999999999998</v>
      </c>
      <c r="H24" s="714">
        <f>IFERROR(SUM(E24:G24), 0)</f>
        <v>1.284</v>
      </c>
      <c r="I24" s="997"/>
      <c r="J24" s="1043" t="s">
        <v>14530</v>
      </c>
      <c r="K24" s="174"/>
      <c r="L24" s="302"/>
      <c r="M24" s="174"/>
      <c r="N24" s="828"/>
      <c r="P24" s="828"/>
      <c r="U24" s="828"/>
      <c r="W24" s="463" t="s">
        <v>14529</v>
      </c>
      <c r="X24" s="298" t="s">
        <v>14531</v>
      </c>
      <c r="Y24" s="298" t="s">
        <v>14532</v>
      </c>
      <c r="Z24" s="298" t="s">
        <v>14533</v>
      </c>
      <c r="AA24" s="299" t="s">
        <v>14534</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21:O23">
    <cfRule type="cellIs" dxfId="212" priority="3" operator="equal">
      <formula>0</formula>
    </cfRule>
  </conditionalFormatting>
  <conditionalFormatting sqref="O15:O17">
    <cfRule type="cellIs" dxfId="211" priority="2" operator="equal">
      <formula>0</formula>
    </cfRule>
  </conditionalFormatting>
  <conditionalFormatting sqref="O8:O10">
    <cfRule type="cellIs" dxfId="210" priority="1"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tabColor rgb="FF00B050"/>
    <pageSetUpPr fitToPage="1"/>
  </sheetPr>
  <dimension ref="B1:W33"/>
  <sheetViews>
    <sheetView showGridLines="0" topLeftCell="A3" zoomScale="60" zoomScaleNormal="60" zoomScaleSheetLayoutView="100" workbookViewId="0">
      <selection activeCell="E8" sqref="E8"/>
    </sheetView>
  </sheetViews>
  <sheetFormatPr defaultColWidth="8.625" defaultRowHeight="15"/>
  <cols>
    <col min="1" max="1" width="1.625" style="106" customWidth="1"/>
    <col min="2" max="2" width="44.25" style="415" bestFit="1" customWidth="1"/>
    <col min="3" max="3" width="7" style="106" customWidth="1"/>
    <col min="4" max="4" width="5.125" style="106" customWidth="1"/>
    <col min="5" max="7" width="12.5" style="106" customWidth="1"/>
    <col min="8" max="8" width="1.625" style="106" customWidth="1"/>
    <col min="9" max="9" width="12.5" style="455"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797" t="s">
        <v>14535</v>
      </c>
      <c r="C1" s="2797"/>
      <c r="D1" s="2797"/>
      <c r="E1" s="2797"/>
      <c r="F1" s="2797"/>
      <c r="G1" s="723"/>
      <c r="H1" s="723"/>
      <c r="I1" s="723"/>
      <c r="M1" s="994"/>
      <c r="O1" s="994"/>
      <c r="R1" s="994"/>
      <c r="T1" s="2797" t="s">
        <v>7220</v>
      </c>
      <c r="U1" s="2797"/>
      <c r="V1" s="2797"/>
      <c r="W1" s="723"/>
    </row>
    <row r="2" spans="2:23" ht="29.25" customHeight="1">
      <c r="B2" s="2797" t="str">
        <f>SelectCompany!B4</f>
        <v>Northumbrian Water</v>
      </c>
      <c r="C2" s="2797"/>
      <c r="D2" s="2797"/>
      <c r="E2" s="2797"/>
      <c r="F2" s="2797"/>
      <c r="G2" s="529"/>
      <c r="H2" s="529"/>
      <c r="I2" s="529"/>
      <c r="M2" s="994"/>
      <c r="O2" s="994"/>
      <c r="R2" s="994"/>
      <c r="T2" s="2797"/>
      <c r="U2" s="2797"/>
      <c r="V2" s="2797"/>
      <c r="W2" s="529"/>
    </row>
    <row r="3" spans="2:23" ht="45" customHeight="1">
      <c r="B3" s="2807" t="s">
        <v>14536</v>
      </c>
      <c r="C3" s="2807"/>
      <c r="D3" s="2807"/>
      <c r="E3" s="2807"/>
      <c r="F3" s="2807"/>
      <c r="G3" s="2807"/>
      <c r="H3" s="2807"/>
      <c r="I3" s="2807"/>
      <c r="J3" s="2807"/>
      <c r="K3" s="2807"/>
      <c r="M3" s="994"/>
      <c r="N3" s="650" t="s">
        <v>7222</v>
      </c>
      <c r="O3" s="994"/>
      <c r="R3" s="994"/>
      <c r="T3" s="2807" t="s">
        <v>14536</v>
      </c>
      <c r="U3" s="2807"/>
      <c r="V3" s="2807"/>
      <c r="W3" s="2807"/>
    </row>
    <row r="4" spans="2:23" ht="14.25" customHeight="1" thickBot="1">
      <c r="B4" s="247"/>
      <c r="C4" s="224"/>
      <c r="D4" s="224"/>
      <c r="E4" s="224"/>
      <c r="F4" s="224"/>
      <c r="G4" s="224"/>
      <c r="H4" s="224"/>
      <c r="I4" s="730"/>
      <c r="M4" s="994"/>
      <c r="O4" s="994"/>
      <c r="R4" s="994"/>
      <c r="T4" s="224"/>
      <c r="U4" s="224"/>
      <c r="V4" s="224"/>
      <c r="W4" s="224"/>
    </row>
    <row r="5" spans="2:23" ht="46.5" thickTop="1" thickBot="1">
      <c r="B5" s="445" t="s">
        <v>7224</v>
      </c>
      <c r="C5" s="446" t="s">
        <v>7225</v>
      </c>
      <c r="D5" s="446" t="s">
        <v>670</v>
      </c>
      <c r="E5" s="446" t="s">
        <v>9397</v>
      </c>
      <c r="F5" s="446" t="s">
        <v>9398</v>
      </c>
      <c r="G5" s="447" t="s">
        <v>7445</v>
      </c>
      <c r="H5" s="197"/>
      <c r="I5" s="449" t="s">
        <v>7229</v>
      </c>
      <c r="K5" s="449" t="s">
        <v>7230</v>
      </c>
      <c r="M5" s="994"/>
      <c r="N5" s="888"/>
      <c r="O5" s="994"/>
      <c r="R5" s="994"/>
      <c r="T5" s="445" t="s">
        <v>7224</v>
      </c>
      <c r="U5" s="446" t="s">
        <v>9397</v>
      </c>
      <c r="V5" s="446" t="s">
        <v>9398</v>
      </c>
      <c r="W5" s="447" t="s">
        <v>7445</v>
      </c>
    </row>
    <row r="6" spans="2:23" ht="15.75" customHeight="1" thickTop="1" thickBot="1">
      <c r="B6" s="482"/>
      <c r="C6" s="482"/>
      <c r="D6" s="482"/>
      <c r="E6" s="482"/>
      <c r="F6" s="482"/>
      <c r="G6" s="482"/>
      <c r="H6" s="197"/>
      <c r="I6" s="911"/>
      <c r="M6" s="994"/>
      <c r="O6" s="994"/>
      <c r="P6" s="2668" t="s">
        <v>7223</v>
      </c>
      <c r="Q6" s="2668"/>
      <c r="R6" s="994"/>
      <c r="T6" s="482"/>
      <c r="U6" s="482"/>
      <c r="V6" s="482"/>
      <c r="W6" s="482"/>
    </row>
    <row r="7" spans="2:23" ht="15.75" customHeight="1" thickTop="1" thickBot="1">
      <c r="B7" s="393" t="s">
        <v>14537</v>
      </c>
      <c r="C7" s="394"/>
      <c r="D7" s="394"/>
      <c r="E7" s="482"/>
      <c r="F7" s="482"/>
      <c r="G7" s="349"/>
      <c r="H7" s="197"/>
      <c r="I7" s="730"/>
      <c r="M7" s="994"/>
      <c r="O7" s="994"/>
      <c r="P7" s="269" t="s">
        <v>7231</v>
      </c>
      <c r="Q7" s="263"/>
      <c r="R7" s="994"/>
      <c r="T7" s="393" t="s">
        <v>14537</v>
      </c>
      <c r="U7" s="482"/>
      <c r="V7" s="482"/>
      <c r="W7" s="349"/>
    </row>
    <row r="8" spans="2:23" ht="15.75" customHeight="1" thickTop="1">
      <c r="B8" s="451" t="s">
        <v>14538</v>
      </c>
      <c r="C8" s="277" t="s">
        <v>1523</v>
      </c>
      <c r="D8" s="277">
        <v>0</v>
      </c>
      <c r="E8" s="1159">
        <v>9580</v>
      </c>
      <c r="F8" s="1159">
        <v>14124</v>
      </c>
      <c r="G8" s="1341">
        <f>IFERROR(E8 + F8, 0)</f>
        <v>23704</v>
      </c>
      <c r="H8" s="197"/>
      <c r="I8" s="281" t="s">
        <v>14539</v>
      </c>
      <c r="K8" s="1136"/>
      <c r="M8" s="994"/>
      <c r="N8" s="284">
        <f>IF( SUM( P8:Q8 ) = 0, 0, $P$7 )</f>
        <v>0</v>
      </c>
      <c r="O8" s="994"/>
      <c r="P8" s="285">
        <f xml:space="preserve"> IF( ISNUMBER(E8), 0, 1 )</f>
        <v>0</v>
      </c>
      <c r="Q8" s="285">
        <f t="shared" ref="Q8:Q9" si="0" xml:space="preserve"> IF( ISNUMBER(F8), 0, 1 )</f>
        <v>0</v>
      </c>
      <c r="R8" s="994"/>
      <c r="T8" s="451" t="s">
        <v>14538</v>
      </c>
      <c r="U8" s="904" t="s">
        <v>14540</v>
      </c>
      <c r="V8" s="904" t="s">
        <v>14541</v>
      </c>
      <c r="W8" s="1135" t="s">
        <v>14542</v>
      </c>
    </row>
    <row r="9" spans="2:23" ht="15.75" customHeight="1">
      <c r="B9" s="460" t="s">
        <v>14543</v>
      </c>
      <c r="C9" s="286" t="s">
        <v>1523</v>
      </c>
      <c r="D9" s="286">
        <v>0</v>
      </c>
      <c r="E9" s="1323">
        <v>525</v>
      </c>
      <c r="F9" s="1323">
        <v>760</v>
      </c>
      <c r="G9" s="1332">
        <f>IFERROR(E9 + F9, 0)</f>
        <v>1285</v>
      </c>
      <c r="H9" s="197"/>
      <c r="I9" s="290" t="s">
        <v>14544</v>
      </c>
      <c r="K9" s="1138"/>
      <c r="M9" s="994"/>
      <c r="N9" s="284">
        <f>IF( SUM( P9:Q9 ) = 0, 0, $P$7 )</f>
        <v>0</v>
      </c>
      <c r="O9" s="994"/>
      <c r="P9" s="285">
        <f t="shared" ref="P9" si="1" xml:space="preserve"> IF( ISNUMBER(E9), 0, 1 )</f>
        <v>0</v>
      </c>
      <c r="Q9" s="285">
        <f t="shared" si="0"/>
        <v>0</v>
      </c>
      <c r="R9" s="994"/>
      <c r="T9" s="460" t="s">
        <v>14543</v>
      </c>
      <c r="U9" s="905" t="s">
        <v>14545</v>
      </c>
      <c r="V9" s="905" t="s">
        <v>14546</v>
      </c>
      <c r="W9" s="1137" t="s">
        <v>14547</v>
      </c>
    </row>
    <row r="10" spans="2:23" ht="15.75" customHeight="1" thickBot="1">
      <c r="B10" s="463" t="s">
        <v>14548</v>
      </c>
      <c r="C10" s="355" t="s">
        <v>1523</v>
      </c>
      <c r="D10" s="355">
        <v>0</v>
      </c>
      <c r="E10" s="1324">
        <f>IFERROR(E8 + E9, 0)</f>
        <v>10105</v>
      </c>
      <c r="F10" s="1324">
        <f>IFERROR(F8 + F9, 0)</f>
        <v>14884</v>
      </c>
      <c r="G10" s="1353">
        <f>IFERROR(E10 + F10, 0)</f>
        <v>24989</v>
      </c>
      <c r="H10" s="197"/>
      <c r="I10" s="356" t="s">
        <v>14549</v>
      </c>
      <c r="K10" s="1141"/>
      <c r="M10" s="994"/>
      <c r="N10" s="270"/>
      <c r="O10" s="994"/>
      <c r="P10" s="270"/>
      <c r="Q10" s="270"/>
      <c r="R10" s="994"/>
      <c r="T10" s="463" t="s">
        <v>14548</v>
      </c>
      <c r="U10" s="1139" t="s">
        <v>14550</v>
      </c>
      <c r="V10" s="1139" t="s">
        <v>14551</v>
      </c>
      <c r="W10" s="1140" t="s">
        <v>14552</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14553</v>
      </c>
      <c r="C12" s="371" t="s">
        <v>1523</v>
      </c>
      <c r="D12" s="371">
        <v>0</v>
      </c>
      <c r="E12" s="1648">
        <v>2160</v>
      </c>
      <c r="F12" s="1683"/>
      <c r="G12" s="1684"/>
      <c r="H12" s="1147"/>
      <c r="I12" s="716" t="s">
        <v>14554</v>
      </c>
      <c r="K12" s="440"/>
      <c r="M12" s="1148"/>
      <c r="N12" s="284">
        <f>IF( SUM( P12:Q12 ) = 0, 0, $P$7 )</f>
        <v>0</v>
      </c>
      <c r="O12" s="1148"/>
      <c r="P12" s="285">
        <f xml:space="preserve"> IF( ISNUMBER(E12), 0, 1 )</f>
        <v>0</v>
      </c>
      <c r="Q12" s="270"/>
      <c r="R12" s="1148"/>
      <c r="T12" s="469" t="s">
        <v>14553</v>
      </c>
      <c r="U12" s="978" t="s">
        <v>14555</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14556</v>
      </c>
      <c r="C14" s="394"/>
      <c r="D14" s="394"/>
      <c r="E14" s="1686"/>
      <c r="F14" s="1686"/>
      <c r="G14" s="1687"/>
      <c r="H14" s="106"/>
      <c r="I14" s="730"/>
      <c r="M14" s="1152"/>
      <c r="N14" s="270"/>
      <c r="O14" s="1152"/>
      <c r="P14" s="270"/>
      <c r="Q14" s="270"/>
      <c r="R14" s="1152"/>
      <c r="T14" s="393" t="s">
        <v>14556</v>
      </c>
      <c r="U14" s="482"/>
      <c r="V14" s="482"/>
      <c r="W14" s="349"/>
    </row>
    <row r="15" spans="2:23" s="1151" customFormat="1" ht="15.75" customHeight="1" thickTop="1">
      <c r="B15" s="451" t="s">
        <v>14557</v>
      </c>
      <c r="C15" s="277" t="s">
        <v>1523</v>
      </c>
      <c r="D15" s="277">
        <v>0</v>
      </c>
      <c r="E15" s="1159">
        <v>11945</v>
      </c>
      <c r="F15" s="1159">
        <v>6086</v>
      </c>
      <c r="G15" s="1341">
        <f t="shared" ref="G15:G21" si="2">IFERROR(E15 + F15, 0)</f>
        <v>18031</v>
      </c>
      <c r="H15" s="106"/>
      <c r="I15" s="281" t="s">
        <v>14558</v>
      </c>
      <c r="K15" s="1153"/>
      <c r="M15" s="1152"/>
      <c r="N15" s="284">
        <f t="shared" ref="N15:N16" si="3">IF( SUM( P15:Q15 ) = 0, 0, $P$7 )</f>
        <v>0</v>
      </c>
      <c r="O15" s="1152"/>
      <c r="P15" s="285">
        <f t="shared" ref="P15:P16" si="4" xml:space="preserve"> IF( ISNUMBER(E15), 0, 1 )</f>
        <v>0</v>
      </c>
      <c r="Q15" s="285">
        <f t="shared" ref="Q15:Q16" si="5" xml:space="preserve"> IF( ISNUMBER(F15), 0, 1 )</f>
        <v>0</v>
      </c>
      <c r="R15" s="1152"/>
      <c r="T15" s="451" t="s">
        <v>14557</v>
      </c>
      <c r="U15" s="904" t="s">
        <v>14559</v>
      </c>
      <c r="V15" s="904" t="s">
        <v>14560</v>
      </c>
      <c r="W15" s="1135" t="s">
        <v>14561</v>
      </c>
    </row>
    <row r="16" spans="2:23" ht="15.75" customHeight="1">
      <c r="B16" s="460" t="s">
        <v>14562</v>
      </c>
      <c r="C16" s="286" t="s">
        <v>1523</v>
      </c>
      <c r="D16" s="286">
        <v>0</v>
      </c>
      <c r="E16" s="1323">
        <v>529</v>
      </c>
      <c r="F16" s="1323">
        <v>357</v>
      </c>
      <c r="G16" s="1332">
        <f t="shared" si="2"/>
        <v>886</v>
      </c>
      <c r="I16" s="290" t="s">
        <v>14563</v>
      </c>
      <c r="K16" s="1154"/>
      <c r="M16" s="994"/>
      <c r="N16" s="284">
        <f t="shared" si="3"/>
        <v>0</v>
      </c>
      <c r="O16" s="994"/>
      <c r="P16" s="285">
        <f t="shared" si="4"/>
        <v>0</v>
      </c>
      <c r="Q16" s="285">
        <f t="shared" si="5"/>
        <v>0</v>
      </c>
      <c r="R16" s="994"/>
      <c r="T16" s="460" t="s">
        <v>14562</v>
      </c>
      <c r="U16" s="905" t="s">
        <v>14564</v>
      </c>
      <c r="V16" s="905" t="s">
        <v>14565</v>
      </c>
      <c r="W16" s="1137" t="s">
        <v>14566</v>
      </c>
    </row>
    <row r="17" spans="2:23" ht="15.75" customHeight="1">
      <c r="B17" s="460" t="s">
        <v>14567</v>
      </c>
      <c r="C17" s="286" t="s">
        <v>1523</v>
      </c>
      <c r="D17" s="286">
        <v>0</v>
      </c>
      <c r="E17" s="1318">
        <f>IFERROR(E15 + E16, 0)</f>
        <v>12474</v>
      </c>
      <c r="F17" s="1318">
        <f>IFERROR(F15 + F16, 0)</f>
        <v>6443</v>
      </c>
      <c r="G17" s="1332">
        <f t="shared" si="2"/>
        <v>18917</v>
      </c>
      <c r="I17" s="290" t="s">
        <v>14568</v>
      </c>
      <c r="K17" s="1154"/>
      <c r="M17" s="994"/>
      <c r="N17" s="270"/>
      <c r="O17" s="994"/>
      <c r="P17" s="270"/>
      <c r="Q17" s="270"/>
      <c r="R17" s="994"/>
      <c r="T17" s="460" t="s">
        <v>14567</v>
      </c>
      <c r="U17" s="1155" t="s">
        <v>14569</v>
      </c>
      <c r="V17" s="1155" t="s">
        <v>14570</v>
      </c>
      <c r="W17" s="1137" t="s">
        <v>14571</v>
      </c>
    </row>
    <row r="18" spans="2:23" ht="15.75" customHeight="1">
      <c r="B18" s="460" t="s">
        <v>14572</v>
      </c>
      <c r="C18" s="286" t="s">
        <v>1523</v>
      </c>
      <c r="D18" s="286">
        <v>0</v>
      </c>
      <c r="E18" s="1323">
        <v>1678</v>
      </c>
      <c r="F18" s="1323">
        <v>261</v>
      </c>
      <c r="G18" s="1332">
        <f t="shared" si="2"/>
        <v>1939</v>
      </c>
      <c r="I18" s="290" t="s">
        <v>14573</v>
      </c>
      <c r="K18" s="1154"/>
      <c r="M18" s="994"/>
      <c r="N18" s="284">
        <f t="shared" ref="N18:N19" si="6">IF( SUM( P18:Q18 ) = 0, 0, $P$7 )</f>
        <v>0</v>
      </c>
      <c r="O18" s="994"/>
      <c r="P18" s="285">
        <f t="shared" ref="P18:P19" si="7" xml:space="preserve"> IF( ISNUMBER(E18), 0, 1 )</f>
        <v>0</v>
      </c>
      <c r="Q18" s="285">
        <f t="shared" ref="Q18:Q19" si="8" xml:space="preserve"> IF( ISNUMBER(F18), 0, 1 )</f>
        <v>0</v>
      </c>
      <c r="R18" s="994"/>
      <c r="T18" s="460" t="s">
        <v>14572</v>
      </c>
      <c r="U18" s="905" t="s">
        <v>14574</v>
      </c>
      <c r="V18" s="905" t="s">
        <v>14575</v>
      </c>
      <c r="W18" s="1137" t="s">
        <v>14576</v>
      </c>
    </row>
    <row r="19" spans="2:23" ht="15.75" customHeight="1">
      <c r="B19" s="460" t="s">
        <v>14577</v>
      </c>
      <c r="C19" s="286" t="s">
        <v>1523</v>
      </c>
      <c r="D19" s="286">
        <v>0</v>
      </c>
      <c r="E19" s="1323">
        <v>27</v>
      </c>
      <c r="F19" s="1323">
        <v>0</v>
      </c>
      <c r="G19" s="1332">
        <f t="shared" si="2"/>
        <v>27</v>
      </c>
      <c r="I19" s="290" t="s">
        <v>14578</v>
      </c>
      <c r="K19" s="1154"/>
      <c r="M19" s="994"/>
      <c r="N19" s="284">
        <f t="shared" si="6"/>
        <v>0</v>
      </c>
      <c r="O19" s="994"/>
      <c r="P19" s="285">
        <f t="shared" si="7"/>
        <v>0</v>
      </c>
      <c r="Q19" s="285">
        <f t="shared" si="8"/>
        <v>0</v>
      </c>
      <c r="R19" s="994"/>
      <c r="T19" s="460" t="s">
        <v>14577</v>
      </c>
      <c r="U19" s="905" t="s">
        <v>14579</v>
      </c>
      <c r="V19" s="905" t="s">
        <v>14580</v>
      </c>
      <c r="W19" s="1137" t="s">
        <v>14581</v>
      </c>
    </row>
    <row r="20" spans="2:23" ht="15.75" customHeight="1">
      <c r="B20" s="460" t="s">
        <v>14582</v>
      </c>
      <c r="C20" s="286" t="s">
        <v>1523</v>
      </c>
      <c r="D20" s="286">
        <v>0</v>
      </c>
      <c r="E20" s="1318">
        <f>IFERROR(E18 + E19, 0)</f>
        <v>1705</v>
      </c>
      <c r="F20" s="1318">
        <f>IFERROR(F18 + F19, 0)</f>
        <v>261</v>
      </c>
      <c r="G20" s="1332">
        <f t="shared" si="2"/>
        <v>1966</v>
      </c>
      <c r="I20" s="290" t="s">
        <v>14583</v>
      </c>
      <c r="K20" s="1154"/>
      <c r="M20" s="994"/>
      <c r="N20" s="270"/>
      <c r="O20" s="994"/>
      <c r="P20" s="270"/>
      <c r="Q20" s="270"/>
      <c r="R20" s="994"/>
      <c r="T20" s="460" t="s">
        <v>14582</v>
      </c>
      <c r="U20" s="1155" t="s">
        <v>14584</v>
      </c>
      <c r="V20" s="1155" t="s">
        <v>14585</v>
      </c>
      <c r="W20" s="1137" t="s">
        <v>14586</v>
      </c>
    </row>
    <row r="21" spans="2:23" ht="15.75" customHeight="1" thickBot="1">
      <c r="B21" s="463" t="s">
        <v>14587</v>
      </c>
      <c r="C21" s="355" t="s">
        <v>1523</v>
      </c>
      <c r="D21" s="355">
        <v>0</v>
      </c>
      <c r="E21" s="1324">
        <f>IFERROR(E17 + E20, 0)</f>
        <v>14179</v>
      </c>
      <c r="F21" s="1324">
        <f>IFERROR(F17 + F20, 0)</f>
        <v>6704</v>
      </c>
      <c r="G21" s="1353">
        <f t="shared" si="2"/>
        <v>20883</v>
      </c>
      <c r="I21" s="356" t="s">
        <v>14588</v>
      </c>
      <c r="K21" s="1141"/>
      <c r="M21" s="994"/>
      <c r="N21" s="270"/>
      <c r="O21" s="994"/>
      <c r="P21" s="270"/>
      <c r="Q21" s="270"/>
      <c r="R21" s="994"/>
      <c r="T21" s="463" t="s">
        <v>14587</v>
      </c>
      <c r="U21" s="1139" t="s">
        <v>14589</v>
      </c>
      <c r="V21" s="1139" t="s">
        <v>14590</v>
      </c>
      <c r="W21" s="1140" t="s">
        <v>14591</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14592</v>
      </c>
      <c r="C23" s="371" t="s">
        <v>1523</v>
      </c>
      <c r="D23" s="371">
        <v>0</v>
      </c>
      <c r="E23" s="1648">
        <v>2160</v>
      </c>
      <c r="F23" s="1688"/>
      <c r="G23" s="1689"/>
      <c r="H23" s="1147"/>
      <c r="I23" s="716" t="s">
        <v>14593</v>
      </c>
      <c r="K23" s="1158"/>
      <c r="M23" s="994"/>
      <c r="N23" s="284">
        <f>IF( SUM( P23:Q23 ) = 0, 0, $P$7 )</f>
        <v>0</v>
      </c>
      <c r="O23" s="994"/>
      <c r="P23" s="285">
        <f xml:space="preserve"> IF( ISNUMBER(E23), 0, 1 )</f>
        <v>0</v>
      </c>
      <c r="Q23" s="270"/>
      <c r="R23" s="994"/>
      <c r="T23" s="469" t="s">
        <v>14592</v>
      </c>
      <c r="U23" s="978" t="s">
        <v>14594</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14595</v>
      </c>
      <c r="C25" s="394"/>
      <c r="D25" s="394"/>
      <c r="E25" s="1686"/>
      <c r="F25" s="1685"/>
      <c r="G25" s="1685"/>
      <c r="I25" s="730"/>
      <c r="M25" s="994"/>
      <c r="N25" s="270"/>
      <c r="O25" s="994"/>
      <c r="P25" s="270"/>
      <c r="Q25" s="270"/>
      <c r="R25" s="994"/>
      <c r="T25" s="393" t="s">
        <v>14595</v>
      </c>
      <c r="U25" s="482"/>
    </row>
    <row r="26" spans="2:23" ht="15.75" customHeight="1" thickTop="1">
      <c r="B26" s="451" t="s">
        <v>14596</v>
      </c>
      <c r="C26" s="277" t="s">
        <v>3217</v>
      </c>
      <c r="D26" s="277">
        <v>0</v>
      </c>
      <c r="E26" s="1159">
        <v>49.2</v>
      </c>
      <c r="F26" s="1690"/>
      <c r="G26" s="1691"/>
      <c r="I26" s="281" t="s">
        <v>14597</v>
      </c>
      <c r="K26" s="1136"/>
      <c r="M26" s="994"/>
      <c r="N26" s="284">
        <f t="shared" ref="N26:N27" si="9">IF( SUM( P26:Q26 ) = 0, 0, $P$7 )</f>
        <v>0</v>
      </c>
      <c r="O26" s="994"/>
      <c r="P26" s="285">
        <f t="shared" ref="P26:P27" si="10" xml:space="preserve"> IF( ISNUMBER(E26), 0, 1 )</f>
        <v>0</v>
      </c>
      <c r="Q26" s="270"/>
      <c r="R26" s="994"/>
      <c r="T26" s="451" t="s">
        <v>14596</v>
      </c>
      <c r="U26" s="1159" t="s">
        <v>14598</v>
      </c>
      <c r="V26" s="1160"/>
      <c r="W26" s="1161"/>
    </row>
    <row r="27" spans="2:23" ht="15.75" customHeight="1" thickBot="1">
      <c r="B27" s="463" t="s">
        <v>14599</v>
      </c>
      <c r="C27" s="355" t="s">
        <v>3217</v>
      </c>
      <c r="D27" s="355">
        <v>0</v>
      </c>
      <c r="E27" s="1162">
        <v>23</v>
      </c>
      <c r="F27" s="1692"/>
      <c r="G27" s="1693"/>
      <c r="I27" s="356" t="s">
        <v>14600</v>
      </c>
      <c r="K27" s="1141"/>
      <c r="M27" s="994"/>
      <c r="N27" s="284">
        <f t="shared" si="9"/>
        <v>0</v>
      </c>
      <c r="O27" s="994"/>
      <c r="P27" s="285">
        <f t="shared" si="10"/>
        <v>0</v>
      </c>
      <c r="Q27" s="270"/>
      <c r="R27" s="994"/>
      <c r="T27" s="463" t="s">
        <v>14599</v>
      </c>
      <c r="U27" s="1162" t="s">
        <v>14601</v>
      </c>
      <c r="V27" s="1163"/>
      <c r="W27" s="1164"/>
    </row>
    <row r="28" spans="2:23" ht="15.75"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
    <cfRule type="cellIs" dxfId="209" priority="10" operator="equal">
      <formula>0</formula>
    </cfRule>
  </conditionalFormatting>
  <conditionalFormatting sqref="N18:N19">
    <cfRule type="cellIs" dxfId="208" priority="3" operator="equal">
      <formula>0</formula>
    </cfRule>
  </conditionalFormatting>
  <conditionalFormatting sqref="N23">
    <cfRule type="cellIs" dxfId="207" priority="2" operator="equal">
      <formula>0</formula>
    </cfRule>
  </conditionalFormatting>
  <conditionalFormatting sqref="N26:N27">
    <cfRule type="cellIs" dxfId="206" priority="1" operator="equal">
      <formula>0</formula>
    </cfRule>
  </conditionalFormatting>
  <conditionalFormatting sqref="N9">
    <cfRule type="cellIs" dxfId="205" priority="6" operator="equal">
      <formula>0</formula>
    </cfRule>
  </conditionalFormatting>
  <conditionalFormatting sqref="N12">
    <cfRule type="cellIs" dxfId="204" priority="5" operator="equal">
      <formula>0</formula>
    </cfRule>
  </conditionalFormatting>
  <conditionalFormatting sqref="N15:N16">
    <cfRule type="cellIs" dxfId="203"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tabColor rgb="FF00B050"/>
    <pageSetUpPr fitToPage="1"/>
  </sheetPr>
  <dimension ref="A1:BM63"/>
  <sheetViews>
    <sheetView showGridLines="0" zoomScale="50" zoomScaleNormal="50" zoomScaleSheetLayoutView="100" workbookViewId="0">
      <selection activeCell="K68" sqref="K68"/>
    </sheetView>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55" customWidth="1"/>
    <col min="17" max="17" width="13.75" style="455" customWidth="1"/>
    <col min="18" max="20" width="12.625" style="455" customWidth="1"/>
    <col min="21" max="21" width="1.625" style="455" customWidth="1"/>
    <col min="22" max="22" width="12.625" style="455"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797" t="s">
        <v>14602</v>
      </c>
      <c r="C1" s="2797"/>
      <c r="D1" s="2797"/>
      <c r="E1" s="2797"/>
      <c r="F1" s="723"/>
      <c r="G1" s="723"/>
      <c r="H1" s="723"/>
      <c r="I1" s="723"/>
      <c r="J1" s="723"/>
      <c r="K1" s="723"/>
      <c r="L1" s="723"/>
      <c r="M1" s="723"/>
      <c r="N1" s="723"/>
      <c r="O1" s="723"/>
      <c r="P1" s="723"/>
      <c r="Q1" s="723"/>
      <c r="R1" s="723"/>
      <c r="S1" s="723"/>
      <c r="T1" s="723"/>
      <c r="U1" s="723"/>
      <c r="V1" s="723"/>
      <c r="Z1" s="1165"/>
      <c r="AA1" s="284"/>
      <c r="AB1" s="1165"/>
      <c r="AS1" s="1165"/>
      <c r="AU1" s="2797" t="s">
        <v>7220</v>
      </c>
      <c r="AV1" s="2797"/>
      <c r="AW1" s="2797"/>
      <c r="AX1" s="2797"/>
    </row>
    <row r="2" spans="1:65" ht="29.25" customHeight="1">
      <c r="B2" s="2797" t="str">
        <f>SelectCompany!B4</f>
        <v>Northumbrian Water</v>
      </c>
      <c r="C2" s="2797"/>
      <c r="D2" s="2797"/>
      <c r="E2" s="2797"/>
      <c r="F2" s="529"/>
      <c r="G2" s="529"/>
      <c r="H2" s="529"/>
      <c r="I2" s="529"/>
      <c r="J2" s="529"/>
      <c r="K2" s="529"/>
      <c r="L2" s="529"/>
      <c r="M2" s="529"/>
      <c r="N2" s="529"/>
      <c r="O2" s="529"/>
      <c r="P2" s="529"/>
      <c r="Q2" s="529"/>
      <c r="R2" s="529"/>
      <c r="S2" s="529"/>
      <c r="T2" s="529"/>
      <c r="U2" s="529"/>
      <c r="V2" s="529"/>
      <c r="Z2" s="1165"/>
      <c r="AA2" s="284"/>
      <c r="AB2" s="1165"/>
      <c r="AS2" s="1165"/>
      <c r="AU2" s="2797"/>
      <c r="AV2" s="2797"/>
      <c r="AW2" s="2797"/>
      <c r="AX2" s="2797"/>
    </row>
    <row r="3" spans="1:65" ht="45" customHeight="1">
      <c r="B3" s="2807" t="s">
        <v>14603</v>
      </c>
      <c r="C3" s="2807"/>
      <c r="D3" s="2807"/>
      <c r="E3" s="2807"/>
      <c r="F3" s="2807"/>
      <c r="G3" s="2807"/>
      <c r="H3" s="2807"/>
      <c r="I3" s="2807"/>
      <c r="J3" s="2807"/>
      <c r="K3" s="2807"/>
      <c r="L3" s="2807"/>
      <c r="M3" s="2807"/>
      <c r="N3" s="2807"/>
      <c r="O3" s="2807"/>
      <c r="P3" s="2807"/>
      <c r="Q3" s="2807"/>
      <c r="R3" s="2807"/>
      <c r="S3" s="2807"/>
      <c r="T3" s="2807"/>
      <c r="U3" s="2807"/>
      <c r="V3" s="2807"/>
      <c r="W3" s="2807"/>
      <c r="X3" s="2807"/>
      <c r="Z3" s="1165"/>
      <c r="AA3" s="650" t="s">
        <v>7222</v>
      </c>
      <c r="AB3" s="1165"/>
      <c r="AS3" s="1165"/>
      <c r="AU3" s="2883" t="s">
        <v>14603</v>
      </c>
      <c r="AV3" s="2883"/>
      <c r="AW3" s="2883"/>
      <c r="AX3" s="2883"/>
      <c r="AY3" s="2883"/>
      <c r="AZ3" s="2883"/>
      <c r="BA3" s="2883"/>
      <c r="BB3" s="2883"/>
      <c r="BC3" s="2883"/>
      <c r="BD3" s="2883"/>
      <c r="BE3" s="2883"/>
      <c r="BF3" s="2883"/>
      <c r="BG3" s="2883"/>
      <c r="BH3" s="2883"/>
      <c r="BI3" s="2883"/>
      <c r="BJ3" s="2883"/>
      <c r="BK3" s="2883"/>
      <c r="BL3" s="2883"/>
      <c r="BM3" s="2883"/>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6.5" thickTop="1" thickBot="1">
      <c r="B5" s="445" t="s">
        <v>7224</v>
      </c>
      <c r="C5" s="446" t="s">
        <v>7225</v>
      </c>
      <c r="D5" s="446" t="s">
        <v>670</v>
      </c>
      <c r="E5" s="446" t="s">
        <v>9204</v>
      </c>
      <c r="F5" s="446" t="s">
        <v>9212</v>
      </c>
      <c r="G5" s="446" t="s">
        <v>7445</v>
      </c>
      <c r="H5" s="447" t="s">
        <v>14604</v>
      </c>
      <c r="I5" s="482"/>
      <c r="K5" s="197"/>
      <c r="L5" s="197"/>
      <c r="P5" s="106"/>
      <c r="Q5" s="106"/>
      <c r="R5" s="106"/>
      <c r="S5" s="106"/>
      <c r="T5" s="106"/>
      <c r="U5" s="106"/>
      <c r="V5" s="449" t="s">
        <v>7229</v>
      </c>
      <c r="X5" s="449" t="s">
        <v>7230</v>
      </c>
      <c r="Z5" s="1165"/>
      <c r="AA5" s="284"/>
      <c r="AB5" s="1165"/>
      <c r="AS5" s="1165"/>
      <c r="AU5" s="445" t="s">
        <v>7224</v>
      </c>
      <c r="AV5" s="446" t="s">
        <v>7225</v>
      </c>
      <c r="AW5" s="446" t="s">
        <v>670</v>
      </c>
      <c r="AX5" s="446" t="s">
        <v>9204</v>
      </c>
      <c r="AY5" s="446" t="s">
        <v>9212</v>
      </c>
      <c r="AZ5" s="446" t="s">
        <v>7445</v>
      </c>
      <c r="BA5" s="447" t="s">
        <v>14604</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668" t="s">
        <v>7223</v>
      </c>
      <c r="AD6" s="2668"/>
      <c r="AE6" s="2668"/>
      <c r="AF6" s="2668"/>
      <c r="AG6" s="2668"/>
      <c r="AH6" s="2668"/>
      <c r="AI6" s="2668"/>
      <c r="AJ6" s="2668"/>
      <c r="AK6" s="2668"/>
      <c r="AL6" s="2668"/>
      <c r="AM6" s="2668"/>
      <c r="AN6" s="2668"/>
      <c r="AO6" s="2668"/>
      <c r="AP6" s="2668"/>
      <c r="AQ6" s="2668"/>
      <c r="AR6" s="2668"/>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14605</v>
      </c>
      <c r="C7" s="482"/>
      <c r="D7" s="482"/>
      <c r="E7" s="482"/>
      <c r="F7" s="482"/>
      <c r="G7" s="349"/>
      <c r="H7" s="349"/>
      <c r="I7" s="349"/>
      <c r="P7" s="106"/>
      <c r="Q7" s="106"/>
      <c r="R7" s="106"/>
      <c r="S7" s="106"/>
      <c r="V7" s="106"/>
      <c r="W7" s="282"/>
      <c r="X7" s="282"/>
      <c r="Y7" s="282"/>
      <c r="Z7" s="1165"/>
      <c r="AA7" s="284"/>
      <c r="AB7" s="1165"/>
      <c r="AC7" s="269" t="s">
        <v>7231</v>
      </c>
      <c r="AS7" s="1165"/>
      <c r="AU7" s="393" t="s">
        <v>14605</v>
      </c>
      <c r="AV7" s="482"/>
      <c r="AW7" s="482"/>
      <c r="AX7" s="482"/>
      <c r="AY7" s="482"/>
      <c r="AZ7" s="349"/>
      <c r="BA7" s="349"/>
      <c r="BB7" s="349"/>
      <c r="BM7" s="455"/>
    </row>
    <row r="8" spans="1:65" s="224" customFormat="1" ht="15.75" customHeight="1" thickTop="1">
      <c r="A8" s="197"/>
      <c r="B8" s="451" t="s">
        <v>14606</v>
      </c>
      <c r="C8" s="277" t="s">
        <v>3222</v>
      </c>
      <c r="D8" s="277">
        <v>3</v>
      </c>
      <c r="E8" s="809">
        <v>268.11099999999999</v>
      </c>
      <c r="F8" s="809">
        <v>509.786</v>
      </c>
      <c r="G8" s="1166">
        <f t="shared" ref="G8:G15" si="0">IFERROR(E8 + F8, 0)</f>
        <v>777.89699999999993</v>
      </c>
      <c r="H8" s="810">
        <v>22.332999999999998</v>
      </c>
      <c r="I8" s="436"/>
      <c r="J8" s="436"/>
      <c r="K8" s="436"/>
      <c r="L8" s="436"/>
      <c r="M8" s="436"/>
      <c r="N8" s="436"/>
      <c r="O8" s="436"/>
      <c r="P8" s="436"/>
      <c r="Q8" s="436"/>
      <c r="R8" s="436"/>
      <c r="S8" s="436"/>
      <c r="T8" s="436"/>
      <c r="U8" s="197"/>
      <c r="V8" s="281" t="s">
        <v>14607</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5"/>
      <c r="AU8" s="451" t="s">
        <v>14606</v>
      </c>
      <c r="AV8" s="277" t="s">
        <v>3222</v>
      </c>
      <c r="AW8" s="277">
        <v>3</v>
      </c>
      <c r="AX8" s="809" t="s">
        <v>14608</v>
      </c>
      <c r="AY8" s="809" t="s">
        <v>14609</v>
      </c>
      <c r="AZ8" s="1166" t="s">
        <v>14610</v>
      </c>
      <c r="BA8" s="810" t="s">
        <v>14611</v>
      </c>
      <c r="BB8" s="436"/>
      <c r="BC8" s="436"/>
      <c r="BD8" s="436"/>
      <c r="BE8" s="436"/>
      <c r="BF8" s="436"/>
      <c r="BG8" s="436"/>
      <c r="BH8" s="436"/>
      <c r="BI8" s="436"/>
      <c r="BJ8" s="436"/>
      <c r="BK8" s="436"/>
      <c r="BL8" s="436"/>
      <c r="BM8" s="436"/>
    </row>
    <row r="9" spans="1:65" s="224" customFormat="1" ht="15.75" customHeight="1">
      <c r="A9" s="197"/>
      <c r="B9" s="460" t="s">
        <v>14612</v>
      </c>
      <c r="C9" s="286" t="s">
        <v>3222</v>
      </c>
      <c r="D9" s="286">
        <v>3</v>
      </c>
      <c r="E9" s="799">
        <v>27.036999999999999</v>
      </c>
      <c r="F9" s="799">
        <v>41.487000000000002</v>
      </c>
      <c r="G9" s="797">
        <f t="shared" si="0"/>
        <v>68.524000000000001</v>
      </c>
      <c r="H9" s="800">
        <v>3.1379999999999999</v>
      </c>
      <c r="I9" s="436"/>
      <c r="J9" s="436"/>
      <c r="K9" s="436"/>
      <c r="L9" s="436"/>
      <c r="M9" s="436"/>
      <c r="N9" s="436"/>
      <c r="O9" s="436"/>
      <c r="P9" s="436"/>
      <c r="Q9" s="436"/>
      <c r="R9" s="436"/>
      <c r="S9" s="436"/>
      <c r="T9" s="436"/>
      <c r="U9" s="197"/>
      <c r="V9" s="290" t="s">
        <v>14613</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5"/>
      <c r="AU9" s="460" t="s">
        <v>14612</v>
      </c>
      <c r="AV9" s="286" t="s">
        <v>3222</v>
      </c>
      <c r="AW9" s="286">
        <v>3</v>
      </c>
      <c r="AX9" s="799" t="s">
        <v>14614</v>
      </c>
      <c r="AY9" s="799" t="s">
        <v>14615</v>
      </c>
      <c r="AZ9" s="797" t="s">
        <v>14616</v>
      </c>
      <c r="BA9" s="800" t="s">
        <v>14617</v>
      </c>
      <c r="BB9" s="436"/>
      <c r="BC9" s="436"/>
      <c r="BD9" s="436"/>
      <c r="BE9" s="436"/>
      <c r="BF9" s="436"/>
      <c r="BG9" s="436"/>
      <c r="BH9" s="436"/>
      <c r="BI9" s="436"/>
      <c r="BJ9" s="436"/>
      <c r="BK9" s="436"/>
      <c r="BL9" s="436"/>
      <c r="BM9" s="436"/>
    </row>
    <row r="10" spans="1:65" s="224" customFormat="1" ht="15.75" customHeight="1">
      <c r="A10" s="197"/>
      <c r="B10" s="460" t="s">
        <v>14618</v>
      </c>
      <c r="C10" s="286" t="s">
        <v>3222</v>
      </c>
      <c r="D10" s="286">
        <v>3</v>
      </c>
      <c r="E10" s="799">
        <v>636.56399999999996</v>
      </c>
      <c r="F10" s="799">
        <v>488.72199999999998</v>
      </c>
      <c r="G10" s="797">
        <f t="shared" si="0"/>
        <v>1125.2860000000001</v>
      </c>
      <c r="H10" s="800">
        <v>43.968000000000004</v>
      </c>
      <c r="I10" s="436"/>
      <c r="J10" s="436"/>
      <c r="K10" s="436"/>
      <c r="L10" s="436"/>
      <c r="M10" s="436"/>
      <c r="N10" s="436"/>
      <c r="O10" s="436"/>
      <c r="P10" s="436"/>
      <c r="Q10" s="436"/>
      <c r="R10" s="436"/>
      <c r="S10" s="436"/>
      <c r="T10" s="436"/>
      <c r="U10" s="197"/>
      <c r="V10" s="290" t="s">
        <v>14619</v>
      </c>
      <c r="W10" s="282"/>
      <c r="X10" s="291"/>
      <c r="Y10" s="282"/>
      <c r="Z10" s="345"/>
      <c r="AA10" s="284">
        <f t="shared" si="3"/>
        <v>0</v>
      </c>
      <c r="AB10" s="345"/>
      <c r="AC10" s="285">
        <f t="shared" si="4"/>
        <v>0</v>
      </c>
      <c r="AD10" s="285">
        <f t="shared" si="2"/>
        <v>0</v>
      </c>
      <c r="AF10" s="285">
        <f t="shared" si="1"/>
        <v>0</v>
      </c>
      <c r="AS10" s="1165"/>
      <c r="AU10" s="460" t="s">
        <v>14618</v>
      </c>
      <c r="AV10" s="286" t="s">
        <v>3222</v>
      </c>
      <c r="AW10" s="286">
        <v>3</v>
      </c>
      <c r="AX10" s="799" t="s">
        <v>14620</v>
      </c>
      <c r="AY10" s="799" t="s">
        <v>14621</v>
      </c>
      <c r="AZ10" s="797" t="s">
        <v>14622</v>
      </c>
      <c r="BA10" s="800" t="s">
        <v>14623</v>
      </c>
      <c r="BB10" s="436"/>
      <c r="BC10" s="436"/>
      <c r="BD10" s="436"/>
      <c r="BE10" s="436"/>
      <c r="BF10" s="436"/>
      <c r="BG10" s="436"/>
      <c r="BH10" s="436"/>
      <c r="BI10" s="436"/>
      <c r="BJ10" s="436"/>
      <c r="BK10" s="436"/>
      <c r="BL10" s="436"/>
      <c r="BM10" s="436"/>
    </row>
    <row r="11" spans="1:65" s="224" customFormat="1" ht="15.75" customHeight="1">
      <c r="A11" s="197"/>
      <c r="B11" s="460" t="s">
        <v>14624</v>
      </c>
      <c r="C11" s="286" t="s">
        <v>3222</v>
      </c>
      <c r="D11" s="286">
        <v>3</v>
      </c>
      <c r="E11" s="797">
        <f>IFERROR(SUM(E8:E10), 0)</f>
        <v>931.71199999999999</v>
      </c>
      <c r="F11" s="797">
        <f>IFERROR(SUM(F8:F10), 0)</f>
        <v>1039.9949999999999</v>
      </c>
      <c r="G11" s="797">
        <f t="shared" si="0"/>
        <v>1971.7069999999999</v>
      </c>
      <c r="H11" s="798">
        <f>IFERROR(SUM(H8:H10), 0)</f>
        <v>69.438999999999993</v>
      </c>
      <c r="I11" s="436"/>
      <c r="J11" s="436"/>
      <c r="K11" s="436"/>
      <c r="L11" s="436"/>
      <c r="M11" s="436"/>
      <c r="N11" s="436"/>
      <c r="O11" s="436"/>
      <c r="P11" s="436"/>
      <c r="Q11" s="436"/>
      <c r="R11" s="436"/>
      <c r="S11" s="436"/>
      <c r="T11" s="436"/>
      <c r="U11" s="197"/>
      <c r="V11" s="290" t="s">
        <v>14625</v>
      </c>
      <c r="W11" s="282"/>
      <c r="X11" s="291"/>
      <c r="Y11" s="282"/>
      <c r="Z11" s="345"/>
      <c r="AA11" s="284"/>
      <c r="AB11" s="345"/>
      <c r="AS11" s="1165"/>
      <c r="AU11" s="460" t="s">
        <v>14624</v>
      </c>
      <c r="AV11" s="286" t="s">
        <v>3222</v>
      </c>
      <c r="AW11" s="286">
        <v>3</v>
      </c>
      <c r="AX11" s="797" t="s">
        <v>14626</v>
      </c>
      <c r="AY11" s="797" t="s">
        <v>14627</v>
      </c>
      <c r="AZ11" s="797" t="s">
        <v>14628</v>
      </c>
      <c r="BA11" s="798" t="s">
        <v>14629</v>
      </c>
      <c r="BB11" s="436"/>
      <c r="BC11" s="436"/>
      <c r="BD11" s="436"/>
      <c r="BE11" s="436"/>
      <c r="BF11" s="436"/>
      <c r="BG11" s="436"/>
      <c r="BH11" s="436"/>
      <c r="BI11" s="436"/>
      <c r="BJ11" s="436"/>
      <c r="BK11" s="436"/>
      <c r="BL11" s="436"/>
      <c r="BM11" s="436"/>
    </row>
    <row r="12" spans="1:65" s="224" customFormat="1" ht="15.75" customHeight="1">
      <c r="A12" s="197"/>
      <c r="B12" s="460" t="s">
        <v>14630</v>
      </c>
      <c r="C12" s="286" t="s">
        <v>3222</v>
      </c>
      <c r="D12" s="286">
        <v>3</v>
      </c>
      <c r="E12" s="799">
        <v>3.1579999999999999</v>
      </c>
      <c r="F12" s="799">
        <v>38.726999999999997</v>
      </c>
      <c r="G12" s="797">
        <f t="shared" si="0"/>
        <v>41.884999999999998</v>
      </c>
      <c r="H12" s="800">
        <v>9.4499999999999993</v>
      </c>
      <c r="I12" s="436"/>
      <c r="J12" s="436"/>
      <c r="K12" s="436"/>
      <c r="L12" s="436"/>
      <c r="M12" s="436"/>
      <c r="N12" s="436"/>
      <c r="O12" s="436"/>
      <c r="P12" s="436"/>
      <c r="Q12" s="436"/>
      <c r="R12" s="436"/>
      <c r="S12" s="436"/>
      <c r="T12" s="436"/>
      <c r="U12" s="197"/>
      <c r="V12" s="290" t="s">
        <v>14631</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5"/>
      <c r="AU12" s="460" t="s">
        <v>14630</v>
      </c>
      <c r="AV12" s="286" t="s">
        <v>3222</v>
      </c>
      <c r="AW12" s="286">
        <v>3</v>
      </c>
      <c r="AX12" s="799" t="s">
        <v>14632</v>
      </c>
      <c r="AY12" s="799" t="s">
        <v>14633</v>
      </c>
      <c r="AZ12" s="797" t="s">
        <v>14634</v>
      </c>
      <c r="BA12" s="800" t="s">
        <v>14635</v>
      </c>
      <c r="BB12" s="436"/>
      <c r="BC12" s="436"/>
      <c r="BD12" s="436"/>
      <c r="BE12" s="436"/>
      <c r="BF12" s="436"/>
      <c r="BG12" s="436"/>
      <c r="BH12" s="436"/>
      <c r="BI12" s="436"/>
      <c r="BJ12" s="436"/>
      <c r="BK12" s="436"/>
      <c r="BL12" s="436"/>
      <c r="BM12" s="436"/>
    </row>
    <row r="13" spans="1:65" s="224" customFormat="1" ht="15.75" customHeight="1">
      <c r="A13" s="197"/>
      <c r="B13" s="460" t="s">
        <v>14636</v>
      </c>
      <c r="C13" s="286" t="s">
        <v>3222</v>
      </c>
      <c r="D13" s="286">
        <v>3</v>
      </c>
      <c r="E13" s="799">
        <v>4.351</v>
      </c>
      <c r="F13" s="799">
        <v>1.22</v>
      </c>
      <c r="G13" s="797">
        <f t="shared" si="0"/>
        <v>5.5709999999999997</v>
      </c>
      <c r="H13" s="800">
        <v>3.984</v>
      </c>
      <c r="I13" s="436"/>
      <c r="J13" s="436"/>
      <c r="K13" s="436"/>
      <c r="L13" s="436"/>
      <c r="M13" s="436"/>
      <c r="N13" s="436"/>
      <c r="O13" s="436"/>
      <c r="P13" s="436"/>
      <c r="Q13" s="436"/>
      <c r="R13" s="436"/>
      <c r="S13" s="436"/>
      <c r="T13" s="436"/>
      <c r="U13" s="197"/>
      <c r="V13" s="290" t="s">
        <v>14637</v>
      </c>
      <c r="W13" s="282"/>
      <c r="X13" s="291"/>
      <c r="Y13" s="282"/>
      <c r="Z13" s="345"/>
      <c r="AA13" s="284">
        <f t="shared" si="5"/>
        <v>0</v>
      </c>
      <c r="AB13" s="345"/>
      <c r="AC13" s="285">
        <f t="shared" si="6"/>
        <v>0</v>
      </c>
      <c r="AD13" s="285">
        <f t="shared" si="7"/>
        <v>0</v>
      </c>
      <c r="AF13" s="285">
        <f t="shared" si="8"/>
        <v>0</v>
      </c>
      <c r="AS13" s="1165"/>
      <c r="AU13" s="460" t="s">
        <v>14636</v>
      </c>
      <c r="AV13" s="286" t="s">
        <v>3222</v>
      </c>
      <c r="AW13" s="286">
        <v>3</v>
      </c>
      <c r="AX13" s="799" t="s">
        <v>14638</v>
      </c>
      <c r="AY13" s="799" t="s">
        <v>14639</v>
      </c>
      <c r="AZ13" s="797" t="s">
        <v>14640</v>
      </c>
      <c r="BA13" s="800" t="s">
        <v>14641</v>
      </c>
      <c r="BB13" s="436"/>
      <c r="BC13" s="436"/>
      <c r="BD13" s="436"/>
      <c r="BE13" s="436"/>
      <c r="BF13" s="436"/>
      <c r="BG13" s="436"/>
      <c r="BH13" s="436"/>
      <c r="BI13" s="436"/>
      <c r="BJ13" s="436"/>
      <c r="BK13" s="436"/>
      <c r="BL13" s="436"/>
      <c r="BM13" s="436"/>
    </row>
    <row r="14" spans="1:65" ht="15.75" customHeight="1">
      <c r="B14" s="460" t="s">
        <v>14642</v>
      </c>
      <c r="C14" s="286" t="s">
        <v>3222</v>
      </c>
      <c r="D14" s="286">
        <v>3</v>
      </c>
      <c r="E14" s="799">
        <v>4.5720000000000001</v>
      </c>
      <c r="F14" s="799">
        <v>38.161999999999999</v>
      </c>
      <c r="G14" s="797">
        <f t="shared" si="0"/>
        <v>42.734000000000002</v>
      </c>
      <c r="H14" s="800">
        <v>13.468</v>
      </c>
      <c r="I14" s="436"/>
      <c r="J14" s="436"/>
      <c r="K14" s="436"/>
      <c r="L14" s="436"/>
      <c r="M14" s="436"/>
      <c r="N14" s="436"/>
      <c r="O14" s="436"/>
      <c r="P14" s="436"/>
      <c r="Q14" s="436"/>
      <c r="R14" s="436"/>
      <c r="S14" s="436"/>
      <c r="T14" s="436"/>
      <c r="V14" s="290" t="s">
        <v>14643</v>
      </c>
      <c r="W14" s="282"/>
      <c r="X14" s="291"/>
      <c r="Y14" s="282"/>
      <c r="Z14" s="1165"/>
      <c r="AA14" s="284">
        <f t="shared" si="5"/>
        <v>0</v>
      </c>
      <c r="AB14" s="1165"/>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5"/>
      <c r="AU14" s="460" t="s">
        <v>14642</v>
      </c>
      <c r="AV14" s="286" t="s">
        <v>3222</v>
      </c>
      <c r="AW14" s="286">
        <v>3</v>
      </c>
      <c r="AX14" s="799" t="s">
        <v>14644</v>
      </c>
      <c r="AY14" s="799" t="s">
        <v>14645</v>
      </c>
      <c r="AZ14" s="797" t="s">
        <v>14646</v>
      </c>
      <c r="BA14" s="800" t="s">
        <v>14647</v>
      </c>
      <c r="BB14" s="436"/>
      <c r="BC14" s="436"/>
      <c r="BD14" s="436"/>
      <c r="BE14" s="436"/>
      <c r="BF14" s="436"/>
      <c r="BG14" s="436"/>
      <c r="BH14" s="436"/>
      <c r="BI14" s="436"/>
      <c r="BJ14" s="436"/>
      <c r="BK14" s="436"/>
      <c r="BL14" s="436"/>
      <c r="BM14" s="436"/>
    </row>
    <row r="15" spans="1:65" ht="15.75" customHeight="1">
      <c r="B15" s="460" t="s">
        <v>14648</v>
      </c>
      <c r="C15" s="286" t="s">
        <v>3222</v>
      </c>
      <c r="D15" s="286">
        <v>3</v>
      </c>
      <c r="E15" s="797">
        <f>IFERROR(SUM(E12:E14), 0)</f>
        <v>12.081</v>
      </c>
      <c r="F15" s="797">
        <f>IFERROR(SUM(F12:F14), 0)</f>
        <v>78.108999999999995</v>
      </c>
      <c r="G15" s="797">
        <f t="shared" si="0"/>
        <v>90.19</v>
      </c>
      <c r="H15" s="798">
        <f>IFERROR(SUM(H12:H14), 0)</f>
        <v>26.902000000000001</v>
      </c>
      <c r="I15" s="436"/>
      <c r="J15" s="436"/>
      <c r="K15" s="436"/>
      <c r="L15" s="436"/>
      <c r="M15" s="436"/>
      <c r="N15" s="436"/>
      <c r="O15" s="436"/>
      <c r="P15" s="436"/>
      <c r="Q15" s="436"/>
      <c r="R15" s="436"/>
      <c r="S15" s="436"/>
      <c r="T15" s="436"/>
      <c r="V15" s="290" t="s">
        <v>14649</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14648</v>
      </c>
      <c r="AV15" s="286" t="s">
        <v>3222</v>
      </c>
      <c r="AW15" s="286">
        <v>3</v>
      </c>
      <c r="AX15" s="797" t="s">
        <v>14650</v>
      </c>
      <c r="AY15" s="797" t="s">
        <v>14651</v>
      </c>
      <c r="AZ15" s="797" t="s">
        <v>14652</v>
      </c>
      <c r="BA15" s="798" t="s">
        <v>14653</v>
      </c>
      <c r="BB15" s="436"/>
      <c r="BC15" s="436"/>
      <c r="BD15" s="436"/>
      <c r="BE15" s="436"/>
      <c r="BF15" s="436"/>
      <c r="BG15" s="436"/>
      <c r="BH15" s="436"/>
      <c r="BI15" s="436"/>
      <c r="BJ15" s="436"/>
      <c r="BK15" s="436"/>
      <c r="BL15" s="436"/>
      <c r="BM15" s="436"/>
    </row>
    <row r="16" spans="1:65" ht="15.75" customHeight="1" thickBot="1">
      <c r="B16" s="463" t="s">
        <v>14654</v>
      </c>
      <c r="C16" s="355" t="s">
        <v>3222</v>
      </c>
      <c r="D16" s="355">
        <v>3</v>
      </c>
      <c r="E16" s="806">
        <f>IFERROR(E11 + E15, 0)</f>
        <v>943.79300000000001</v>
      </c>
      <c r="F16" s="806">
        <f>IFERROR(F11 + F15, 0)</f>
        <v>1118.1039999999998</v>
      </c>
      <c r="G16" s="806">
        <f>IFERROR(E16 + F16, 0)</f>
        <v>2061.8969999999999</v>
      </c>
      <c r="H16" s="807">
        <f>IFERROR(H11 + H15, 0)</f>
        <v>96.340999999999994</v>
      </c>
      <c r="I16" s="436"/>
      <c r="J16" s="436"/>
      <c r="K16" s="436"/>
      <c r="L16" s="436"/>
      <c r="M16" s="436"/>
      <c r="N16" s="436"/>
      <c r="O16" s="436"/>
      <c r="P16" s="436"/>
      <c r="Q16" s="436"/>
      <c r="R16" s="436"/>
      <c r="S16" s="436"/>
      <c r="T16" s="436"/>
      <c r="V16" s="356" t="s">
        <v>14655</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14654</v>
      </c>
      <c r="AV16" s="355" t="s">
        <v>3222</v>
      </c>
      <c r="AW16" s="355">
        <v>3</v>
      </c>
      <c r="AX16" s="806" t="s">
        <v>14656</v>
      </c>
      <c r="AY16" s="806" t="s">
        <v>14657</v>
      </c>
      <c r="AZ16" s="806" t="s">
        <v>14658</v>
      </c>
      <c r="BA16" s="807" t="s">
        <v>14659</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11" t="s">
        <v>7224</v>
      </c>
      <c r="C18" s="2673" t="s">
        <v>7225</v>
      </c>
      <c r="D18" s="2673" t="s">
        <v>11455</v>
      </c>
      <c r="E18" s="2673" t="s">
        <v>9397</v>
      </c>
      <c r="F18" s="2673"/>
      <c r="G18" s="2673"/>
      <c r="H18" s="2673" t="s">
        <v>9398</v>
      </c>
      <c r="I18" s="2673"/>
      <c r="J18" s="2675"/>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11" t="s">
        <v>7224</v>
      </c>
      <c r="AV18" s="2673" t="s">
        <v>7225</v>
      </c>
      <c r="AW18" s="2673" t="s">
        <v>11455</v>
      </c>
      <c r="AX18" s="2673" t="s">
        <v>9397</v>
      </c>
      <c r="AY18" s="2673"/>
      <c r="AZ18" s="2673"/>
      <c r="BA18" s="2673" t="s">
        <v>9398</v>
      </c>
      <c r="BB18" s="2673"/>
      <c r="BC18" s="2675"/>
      <c r="BF18" s="242"/>
      <c r="BG18" s="242"/>
      <c r="BH18" s="242"/>
      <c r="BI18" s="715"/>
      <c r="BJ18" s="715"/>
      <c r="BK18" s="715"/>
      <c r="BL18" s="715"/>
      <c r="BM18" s="715"/>
    </row>
    <row r="19" spans="2:65" s="436" customFormat="1" ht="15.75" customHeight="1" thickBot="1">
      <c r="B19" s="2712"/>
      <c r="C19" s="2674"/>
      <c r="D19" s="2674"/>
      <c r="E19" s="271" t="s">
        <v>9204</v>
      </c>
      <c r="F19" s="271" t="s">
        <v>9212</v>
      </c>
      <c r="G19" s="271" t="s">
        <v>7445</v>
      </c>
      <c r="H19" s="271" t="s">
        <v>9204</v>
      </c>
      <c r="I19" s="271" t="s">
        <v>9212</v>
      </c>
      <c r="J19" s="672" t="s">
        <v>7445</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12"/>
      <c r="AV19" s="2674"/>
      <c r="AW19" s="2674"/>
      <c r="AX19" s="271" t="s">
        <v>9204</v>
      </c>
      <c r="AY19" s="271" t="s">
        <v>9212</v>
      </c>
      <c r="AZ19" s="271" t="s">
        <v>7445</v>
      </c>
      <c r="BA19" s="271" t="s">
        <v>9204</v>
      </c>
      <c r="BB19" s="271" t="s">
        <v>9212</v>
      </c>
      <c r="BC19" s="672" t="s">
        <v>7445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14660</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14660</v>
      </c>
      <c r="AV21" s="482"/>
      <c r="AW21" s="482"/>
      <c r="AX21" s="482"/>
      <c r="AY21" s="482"/>
      <c r="AZ21" s="482"/>
      <c r="BA21" s="482"/>
      <c r="BB21" s="482"/>
      <c r="BC21" s="482"/>
    </row>
    <row r="22" spans="2:65" s="436" customFormat="1" ht="15.75" customHeight="1" thickTop="1">
      <c r="B22" s="451" t="s">
        <v>14661</v>
      </c>
      <c r="C22" s="277" t="s">
        <v>3222</v>
      </c>
      <c r="D22" s="277">
        <v>3</v>
      </c>
      <c r="E22" s="809">
        <v>904.67499999999995</v>
      </c>
      <c r="F22" s="809">
        <v>998.50800000000004</v>
      </c>
      <c r="G22" s="1166">
        <f>IFERROR(E22 + F22, 0)</f>
        <v>1903.183</v>
      </c>
      <c r="H22" s="809">
        <v>663.601</v>
      </c>
      <c r="I22" s="809">
        <v>530.20876923076901</v>
      </c>
      <c r="J22" s="1168">
        <f>IFERROR(H22 + I22, 0)</f>
        <v>1193.809769230769</v>
      </c>
      <c r="U22" s="730"/>
      <c r="V22" s="281" t="s">
        <v>14662</v>
      </c>
      <c r="X22" s="433"/>
      <c r="Z22" s="1167"/>
      <c r="AA22" s="284">
        <f>IF( SUM( AC22:AR22 ) = 0, 0, $AC$7 )</f>
        <v>0</v>
      </c>
      <c r="AB22" s="1167"/>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5"/>
      <c r="AU22" s="451" t="s">
        <v>14661</v>
      </c>
      <c r="AV22" s="277" t="s">
        <v>3222</v>
      </c>
      <c r="AW22" s="277">
        <v>3</v>
      </c>
      <c r="AX22" s="809" t="s">
        <v>14663</v>
      </c>
      <c r="AY22" s="809" t="s">
        <v>14664</v>
      </c>
      <c r="AZ22" s="1166" t="s">
        <v>14665</v>
      </c>
      <c r="BA22" s="809" t="s">
        <v>14666</v>
      </c>
      <c r="BB22" s="809" t="s">
        <v>14667</v>
      </c>
      <c r="BC22" s="1168" t="s">
        <v>14668</v>
      </c>
    </row>
    <row r="23" spans="2:65" s="436" customFormat="1" ht="15.75" customHeight="1">
      <c r="B23" s="460" t="s">
        <v>14669</v>
      </c>
      <c r="C23" s="286" t="s">
        <v>3222</v>
      </c>
      <c r="D23" s="286">
        <v>3</v>
      </c>
      <c r="E23" s="1169"/>
      <c r="F23" s="1169"/>
      <c r="G23" s="799">
        <v>66.301000000000002</v>
      </c>
      <c r="H23" s="1169"/>
      <c r="I23" s="1170"/>
      <c r="J23" s="800">
        <v>47.106000000000002</v>
      </c>
      <c r="U23" s="730"/>
      <c r="V23" s="290" t="s">
        <v>14670</v>
      </c>
      <c r="X23" s="437"/>
      <c r="Z23" s="1167"/>
      <c r="AA23" s="284">
        <f>IF( SUM( AC23:AR23 ) = 0, 0, $AC$7 )</f>
        <v>0</v>
      </c>
      <c r="AB23" s="1167"/>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5"/>
      <c r="AU23" s="460" t="s">
        <v>14669</v>
      </c>
      <c r="AV23" s="286" t="s">
        <v>3222</v>
      </c>
      <c r="AW23" s="286">
        <v>3</v>
      </c>
      <c r="AX23" s="1169"/>
      <c r="AY23" s="1169"/>
      <c r="AZ23" s="799" t="s">
        <v>14671</v>
      </c>
      <c r="BA23" s="1169"/>
      <c r="BB23" s="1170"/>
      <c r="BC23" s="800" t="s">
        <v>14672</v>
      </c>
    </row>
    <row r="24" spans="2:65" s="436" customFormat="1" ht="15.75" customHeight="1">
      <c r="B24" s="460" t="s">
        <v>14673</v>
      </c>
      <c r="C24" s="286" t="s">
        <v>3222</v>
      </c>
      <c r="D24" s="286">
        <v>3</v>
      </c>
      <c r="E24" s="1169"/>
      <c r="F24" s="1169"/>
      <c r="G24" s="797">
        <f>IFERROR(G22 + G23, 0)</f>
        <v>1969.4839999999999</v>
      </c>
      <c r="H24" s="1169"/>
      <c r="I24" s="1170"/>
      <c r="J24" s="798">
        <f>IFERROR(J22 + J23, 0)</f>
        <v>1240.915769230769</v>
      </c>
      <c r="U24" s="730"/>
      <c r="V24" s="290" t="s">
        <v>14674</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14673</v>
      </c>
      <c r="AV24" s="286" t="s">
        <v>3222</v>
      </c>
      <c r="AW24" s="286">
        <v>3</v>
      </c>
      <c r="AX24" s="1169"/>
      <c r="AY24" s="1169"/>
      <c r="AZ24" s="797" t="s">
        <v>14675</v>
      </c>
      <c r="BA24" s="1169"/>
      <c r="BB24" s="1170"/>
      <c r="BC24" s="1171" t="s">
        <v>14676</v>
      </c>
    </row>
    <row r="25" spans="2:65" s="436" customFormat="1" ht="15.75" customHeight="1">
      <c r="B25" s="460" t="s">
        <v>14677</v>
      </c>
      <c r="C25" s="286" t="s">
        <v>3222</v>
      </c>
      <c r="D25" s="286">
        <v>3</v>
      </c>
      <c r="E25" s="799">
        <v>7.73</v>
      </c>
      <c r="F25" s="799">
        <v>76.888999999999996</v>
      </c>
      <c r="G25" s="797">
        <f>IFERROR(E25 + F25, 0)</f>
        <v>84.619</v>
      </c>
      <c r="H25" s="799">
        <v>8.923</v>
      </c>
      <c r="I25" s="799">
        <v>39.381999999999998</v>
      </c>
      <c r="J25" s="798">
        <f>IFERROR(H25+I25,0)</f>
        <v>48.305</v>
      </c>
      <c r="U25" s="730"/>
      <c r="V25" s="290" t="s">
        <v>14678</v>
      </c>
      <c r="X25" s="437"/>
      <c r="Z25" s="1167"/>
      <c r="AA25" s="284">
        <f>IF( SUM( AC25:AR25 ) = 0, 0, $AC$7 )</f>
        <v>0</v>
      </c>
      <c r="AB25" s="1167"/>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5"/>
      <c r="AU25" s="460" t="s">
        <v>14677</v>
      </c>
      <c r="AV25" s="286" t="s">
        <v>3222</v>
      </c>
      <c r="AW25" s="286">
        <v>3</v>
      </c>
      <c r="AX25" s="799" t="s">
        <v>14679</v>
      </c>
      <c r="AY25" s="799" t="s">
        <v>14680</v>
      </c>
      <c r="AZ25" s="797" t="s">
        <v>14681</v>
      </c>
      <c r="BA25" s="799" t="s">
        <v>14682</v>
      </c>
      <c r="BB25" s="799" t="s">
        <v>14683</v>
      </c>
      <c r="BC25" s="798" t="s">
        <v>14684</v>
      </c>
    </row>
    <row r="26" spans="2:65" s="436" customFormat="1" ht="15.75" customHeight="1">
      <c r="B26" s="460" t="s">
        <v>14685</v>
      </c>
      <c r="C26" s="286" t="s">
        <v>3222</v>
      </c>
      <c r="D26" s="286">
        <v>3</v>
      </c>
      <c r="E26" s="1169"/>
      <c r="F26" s="1169"/>
      <c r="G26" s="799">
        <v>22.917999999999999</v>
      </c>
      <c r="H26" s="1169"/>
      <c r="I26" s="1170"/>
      <c r="J26" s="800">
        <v>17.452000000000002</v>
      </c>
      <c r="U26" s="730"/>
      <c r="V26" s="290" t="s">
        <v>14686</v>
      </c>
      <c r="X26" s="437"/>
      <c r="Z26" s="1167"/>
      <c r="AA26" s="284">
        <f>IF( SUM( AC26:AR26 ) = 0, 0, $AC$7 )</f>
        <v>0</v>
      </c>
      <c r="AB26" s="1167"/>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5"/>
      <c r="AU26" s="460" t="s">
        <v>14685</v>
      </c>
      <c r="AV26" s="286" t="s">
        <v>3222</v>
      </c>
      <c r="AW26" s="286">
        <v>3</v>
      </c>
      <c r="AX26" s="1169"/>
      <c r="AY26" s="1169"/>
      <c r="AZ26" s="799" t="s">
        <v>14687</v>
      </c>
      <c r="BA26" s="1169"/>
      <c r="BB26" s="1170"/>
      <c r="BC26" s="800" t="s">
        <v>14688</v>
      </c>
    </row>
    <row r="27" spans="2:65" s="436" customFormat="1" ht="15.75" customHeight="1">
      <c r="B27" s="460" t="s">
        <v>14689</v>
      </c>
      <c r="C27" s="286" t="s">
        <v>3222</v>
      </c>
      <c r="D27" s="286">
        <v>3</v>
      </c>
      <c r="E27" s="1169"/>
      <c r="F27" s="1169"/>
      <c r="G27" s="797">
        <f>IFERROR(G25 + G26, 0)</f>
        <v>107.53700000000001</v>
      </c>
      <c r="H27" s="1169"/>
      <c r="I27" s="1170"/>
      <c r="J27" s="798">
        <f>IFERROR(J25 + J26, 0)</f>
        <v>65.757000000000005</v>
      </c>
      <c r="U27" s="730"/>
      <c r="V27" s="290" t="s">
        <v>14690</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14689</v>
      </c>
      <c r="AV27" s="286" t="s">
        <v>3222</v>
      </c>
      <c r="AW27" s="286">
        <v>3</v>
      </c>
      <c r="AX27" s="1169"/>
      <c r="AY27" s="1169"/>
      <c r="AZ27" s="797" t="s">
        <v>14691</v>
      </c>
      <c r="BA27" s="1169"/>
      <c r="BB27" s="1170"/>
      <c r="BC27" s="1171" t="s">
        <v>14692</v>
      </c>
    </row>
    <row r="28" spans="2:65" s="436" customFormat="1" ht="15.75" customHeight="1" thickBot="1">
      <c r="B28" s="463" t="s">
        <v>14693</v>
      </c>
      <c r="C28" s="355" t="s">
        <v>3222</v>
      </c>
      <c r="D28" s="355">
        <v>3</v>
      </c>
      <c r="E28" s="1172"/>
      <c r="F28" s="1172"/>
      <c r="G28" s="806">
        <f>IFERROR(G27 + G24, 0)</f>
        <v>2077.0209999999997</v>
      </c>
      <c r="H28" s="1172"/>
      <c r="I28" s="1173"/>
      <c r="J28" s="807">
        <f>IFERROR(J27 + J24, 0)</f>
        <v>1306.6727692307691</v>
      </c>
      <c r="U28" s="730"/>
      <c r="V28" s="356" t="s">
        <v>14694</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14693</v>
      </c>
      <c r="AV28" s="355" t="s">
        <v>3222</v>
      </c>
      <c r="AW28" s="355">
        <v>3</v>
      </c>
      <c r="AX28" s="1172"/>
      <c r="AY28" s="1172"/>
      <c r="AZ28" s="806" t="s">
        <v>14695</v>
      </c>
      <c r="BA28" s="1172"/>
      <c r="BB28" s="1173"/>
      <c r="BC28" s="807" t="s">
        <v>14696</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5" thickTop="1">
      <c r="B30" s="2711" t="s">
        <v>7224</v>
      </c>
      <c r="C30" s="2673" t="s">
        <v>7225</v>
      </c>
      <c r="D30" s="2673" t="s">
        <v>11455</v>
      </c>
      <c r="E30" s="2673" t="s">
        <v>9397</v>
      </c>
      <c r="F30" s="2673"/>
      <c r="G30" s="2673"/>
      <c r="H30" s="2673"/>
      <c r="I30" s="2673"/>
      <c r="J30" s="2673"/>
      <c r="K30" s="2673"/>
      <c r="L30" s="2673"/>
      <c r="M30" s="2673"/>
      <c r="N30" s="2673"/>
      <c r="O30" s="2673"/>
      <c r="P30" s="2673"/>
      <c r="Q30" s="2673"/>
      <c r="R30" s="2673"/>
      <c r="S30" s="2673"/>
      <c r="T30" s="2675"/>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11" t="s">
        <v>7224</v>
      </c>
      <c r="AV30" s="2673" t="s">
        <v>7225</v>
      </c>
      <c r="AW30" s="2673" t="s">
        <v>11455</v>
      </c>
      <c r="AX30" s="2673" t="s">
        <v>9397</v>
      </c>
      <c r="AY30" s="2673"/>
      <c r="AZ30" s="2673"/>
      <c r="BA30" s="2673"/>
      <c r="BB30" s="2673"/>
      <c r="BC30" s="2673"/>
      <c r="BD30" s="2673"/>
      <c r="BE30" s="2673"/>
      <c r="BF30" s="2673"/>
      <c r="BG30" s="2673"/>
      <c r="BH30" s="2673"/>
      <c r="BI30" s="2673"/>
      <c r="BJ30" s="2673"/>
      <c r="BK30" s="2673"/>
      <c r="BL30" s="2673"/>
      <c r="BM30" s="2675"/>
    </row>
    <row r="31" spans="2:65" s="1151" customFormat="1" ht="15.75">
      <c r="B31" s="2795"/>
      <c r="C31" s="2796"/>
      <c r="D31" s="2796"/>
      <c r="E31" s="2796" t="s">
        <v>9204</v>
      </c>
      <c r="F31" s="2796"/>
      <c r="G31" s="2796"/>
      <c r="H31" s="2796"/>
      <c r="I31" s="2796"/>
      <c r="J31" s="2796"/>
      <c r="K31" s="2796" t="s">
        <v>9212</v>
      </c>
      <c r="L31" s="2796"/>
      <c r="M31" s="2796"/>
      <c r="N31" s="2796"/>
      <c r="O31" s="2796"/>
      <c r="P31" s="2796"/>
      <c r="Q31" s="2796" t="s">
        <v>14697</v>
      </c>
      <c r="R31" s="2796"/>
      <c r="S31" s="2796"/>
      <c r="T31" s="2837" t="s">
        <v>7445</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795"/>
      <c r="AV31" s="2796"/>
      <c r="AW31" s="2796"/>
      <c r="AX31" s="2796" t="s">
        <v>9204</v>
      </c>
      <c r="AY31" s="2796"/>
      <c r="AZ31" s="2796"/>
      <c r="BA31" s="2796"/>
      <c r="BB31" s="2796"/>
      <c r="BC31" s="2796"/>
      <c r="BD31" s="2796" t="s">
        <v>9212</v>
      </c>
      <c r="BE31" s="2796"/>
      <c r="BF31" s="2796"/>
      <c r="BG31" s="2796"/>
      <c r="BH31" s="2796"/>
      <c r="BI31" s="2796"/>
      <c r="BJ31" s="2796" t="s">
        <v>14697</v>
      </c>
      <c r="BK31" s="2796"/>
      <c r="BL31" s="2796"/>
      <c r="BM31" s="2837" t="s">
        <v>7445</v>
      </c>
    </row>
    <row r="32" spans="2:65" s="1151" customFormat="1" ht="30.75" thickBot="1">
      <c r="B32" s="2712"/>
      <c r="C32" s="2674"/>
      <c r="D32" s="2674"/>
      <c r="E32" s="271" t="s">
        <v>14698</v>
      </c>
      <c r="F32" s="271" t="s">
        <v>14699</v>
      </c>
      <c r="G32" s="271" t="s">
        <v>14700</v>
      </c>
      <c r="H32" s="271" t="s">
        <v>14701</v>
      </c>
      <c r="I32" s="271" t="s">
        <v>14702</v>
      </c>
      <c r="J32" s="271" t="s">
        <v>7445</v>
      </c>
      <c r="K32" s="271" t="s">
        <v>14698</v>
      </c>
      <c r="L32" s="271" t="s">
        <v>14699</v>
      </c>
      <c r="M32" s="271" t="s">
        <v>14700</v>
      </c>
      <c r="N32" s="271" t="s">
        <v>14701</v>
      </c>
      <c r="O32" s="271" t="s">
        <v>14702</v>
      </c>
      <c r="P32" s="271" t="s">
        <v>7445</v>
      </c>
      <c r="Q32" s="271" t="s">
        <v>14703</v>
      </c>
      <c r="R32" s="271" t="s">
        <v>7742</v>
      </c>
      <c r="S32" s="271" t="s">
        <v>7445</v>
      </c>
      <c r="T32" s="2676"/>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12"/>
      <c r="AV32" s="2674"/>
      <c r="AW32" s="2674"/>
      <c r="AX32" s="271" t="s">
        <v>14698</v>
      </c>
      <c r="AY32" s="271" t="s">
        <v>14699</v>
      </c>
      <c r="AZ32" s="271" t="s">
        <v>14700</v>
      </c>
      <c r="BA32" s="271" t="s">
        <v>14701</v>
      </c>
      <c r="BB32" s="271" t="s">
        <v>14702</v>
      </c>
      <c r="BC32" s="271" t="s">
        <v>7445</v>
      </c>
      <c r="BD32" s="271" t="s">
        <v>14698</v>
      </c>
      <c r="BE32" s="271" t="s">
        <v>14699</v>
      </c>
      <c r="BF32" s="271" t="s">
        <v>14700</v>
      </c>
      <c r="BG32" s="271" t="s">
        <v>14701</v>
      </c>
      <c r="BH32" s="271" t="s">
        <v>14702</v>
      </c>
      <c r="BI32" s="271" t="s">
        <v>7445</v>
      </c>
      <c r="BJ32" s="1175" t="s">
        <v>14703</v>
      </c>
      <c r="BK32" s="271" t="s">
        <v>7742</v>
      </c>
      <c r="BL32" s="271" t="s">
        <v>7445</v>
      </c>
      <c r="BM32" s="2676"/>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14704</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14705</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14706</v>
      </c>
      <c r="C35" s="277" t="s">
        <v>3222</v>
      </c>
      <c r="D35" s="277">
        <v>3</v>
      </c>
      <c r="E35" s="809">
        <v>0</v>
      </c>
      <c r="F35" s="809">
        <v>0</v>
      </c>
      <c r="G35" s="809">
        <v>0</v>
      </c>
      <c r="H35" s="809">
        <v>0</v>
      </c>
      <c r="I35" s="809">
        <v>0</v>
      </c>
      <c r="J35" s="1166">
        <f>IFERROR(E35 + F35 + G35+H35+I35, 0)</f>
        <v>0</v>
      </c>
      <c r="K35" s="809">
        <v>0</v>
      </c>
      <c r="L35" s="809">
        <v>8.4000000000000005E-2</v>
      </c>
      <c r="M35" s="809">
        <v>0.80800000000000005</v>
      </c>
      <c r="N35" s="809">
        <v>12.297000000000001</v>
      </c>
      <c r="O35" s="809">
        <v>1E-3</v>
      </c>
      <c r="P35" s="1166">
        <f>IFERROR(K35 + L35 + M35+N35+O35, 0)</f>
        <v>13.19</v>
      </c>
      <c r="Q35" s="1176"/>
      <c r="R35" s="1176"/>
      <c r="S35" s="1176"/>
      <c r="T35" s="1168">
        <f>IFERROR(J35 + P35, 0)</f>
        <v>13.19</v>
      </c>
      <c r="U35" s="282"/>
      <c r="V35" s="281" t="s">
        <v>14707</v>
      </c>
      <c r="X35" s="1177"/>
      <c r="Z35" s="1165"/>
      <c r="AA35" s="284">
        <f t="shared" ref="AA35:AA37" si="21">IF( SUM( AC35:AR35 ) = 0, 0, $AC$7 )</f>
        <v>0</v>
      </c>
      <c r="AB35" s="1165"/>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5"/>
      <c r="AU35" s="451" t="s">
        <v>14706</v>
      </c>
      <c r="AV35" s="277" t="s">
        <v>3222</v>
      </c>
      <c r="AW35" s="277">
        <v>3</v>
      </c>
      <c r="AX35" s="809" t="s">
        <v>14708</v>
      </c>
      <c r="AY35" s="809" t="s">
        <v>14709</v>
      </c>
      <c r="AZ35" s="809" t="s">
        <v>14710</v>
      </c>
      <c r="BA35" s="809" t="s">
        <v>14711</v>
      </c>
      <c r="BB35" s="809" t="s">
        <v>14712</v>
      </c>
      <c r="BC35" s="1166" t="s">
        <v>14713</v>
      </c>
      <c r="BD35" s="809" t="s">
        <v>14714</v>
      </c>
      <c r="BE35" s="809" t="s">
        <v>14715</v>
      </c>
      <c r="BF35" s="809" t="s">
        <v>14716</v>
      </c>
      <c r="BG35" s="809" t="s">
        <v>14717</v>
      </c>
      <c r="BH35" s="809" t="s">
        <v>14718</v>
      </c>
      <c r="BI35" s="1166" t="s">
        <v>14719</v>
      </c>
      <c r="BJ35" s="1176"/>
      <c r="BK35" s="1176"/>
      <c r="BL35" s="1176"/>
      <c r="BM35" s="1168" t="s">
        <v>14720</v>
      </c>
    </row>
    <row r="36" spans="2:65" ht="15.75" customHeight="1">
      <c r="B36" s="460" t="s">
        <v>14721</v>
      </c>
      <c r="C36" s="286" t="s">
        <v>3222</v>
      </c>
      <c r="D36" s="286">
        <v>3</v>
      </c>
      <c r="E36" s="799">
        <v>0</v>
      </c>
      <c r="F36" s="799">
        <v>0</v>
      </c>
      <c r="G36" s="799">
        <v>0</v>
      </c>
      <c r="H36" s="799">
        <v>0</v>
      </c>
      <c r="I36" s="799">
        <v>0</v>
      </c>
      <c r="J36" s="797">
        <f t="shared" ref="J36:J37" si="32">IFERROR(E36 + F36 + G36+H36+I36, 0)</f>
        <v>0</v>
      </c>
      <c r="K36" s="799">
        <v>0</v>
      </c>
      <c r="L36" s="799">
        <v>0.115</v>
      </c>
      <c r="M36" s="799">
        <v>5.0000000000000001E-3</v>
      </c>
      <c r="N36" s="799">
        <v>0.45</v>
      </c>
      <c r="O36" s="799">
        <v>0</v>
      </c>
      <c r="P36" s="797">
        <f t="shared" ref="P36:P37" si="33">IFERROR(K36 + L36 + M36+N36+O36, 0)</f>
        <v>0.57000000000000006</v>
      </c>
      <c r="Q36" s="1178"/>
      <c r="R36" s="1178"/>
      <c r="S36" s="1178"/>
      <c r="T36" s="798">
        <f>IFERROR(J36 + P36, 0)</f>
        <v>0.57000000000000006</v>
      </c>
      <c r="U36" s="282"/>
      <c r="V36" s="290" t="s">
        <v>14722</v>
      </c>
      <c r="X36" s="1179"/>
      <c r="Z36" s="1165"/>
      <c r="AA36" s="284">
        <f t="shared" si="21"/>
        <v>0</v>
      </c>
      <c r="AB36" s="1165"/>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5"/>
      <c r="AU36" s="460" t="s">
        <v>14723</v>
      </c>
      <c r="AV36" s="286" t="s">
        <v>3222</v>
      </c>
      <c r="AW36" s="286">
        <v>3</v>
      </c>
      <c r="AX36" s="799" t="s">
        <v>14724</v>
      </c>
      <c r="AY36" s="799" t="s">
        <v>14725</v>
      </c>
      <c r="AZ36" s="799" t="s">
        <v>14726</v>
      </c>
      <c r="BA36" s="799" t="s">
        <v>14727</v>
      </c>
      <c r="BB36" s="799" t="s">
        <v>14728</v>
      </c>
      <c r="BC36" s="797" t="s">
        <v>14729</v>
      </c>
      <c r="BD36" s="799" t="s">
        <v>14730</v>
      </c>
      <c r="BE36" s="799" t="s">
        <v>14731</v>
      </c>
      <c r="BF36" s="799" t="s">
        <v>14732</v>
      </c>
      <c r="BG36" s="799" t="s">
        <v>14733</v>
      </c>
      <c r="BH36" s="799" t="s">
        <v>14734</v>
      </c>
      <c r="BI36" s="797" t="s">
        <v>14735</v>
      </c>
      <c r="BJ36" s="1178"/>
      <c r="BK36" s="1178"/>
      <c r="BL36" s="1178"/>
      <c r="BM36" s="798" t="s">
        <v>14736</v>
      </c>
    </row>
    <row r="37" spans="2:65" ht="15.75" customHeight="1">
      <c r="B37" s="460" t="s">
        <v>14737</v>
      </c>
      <c r="C37" s="286" t="s">
        <v>3222</v>
      </c>
      <c r="D37" s="286">
        <v>3</v>
      </c>
      <c r="E37" s="799">
        <v>866.47299999999996</v>
      </c>
      <c r="F37" s="799">
        <v>3.3370000000000002</v>
      </c>
      <c r="G37" s="799">
        <v>0.13800000000000001</v>
      </c>
      <c r="H37" s="799">
        <v>16.113</v>
      </c>
      <c r="I37" s="799">
        <v>8.8469999999999995</v>
      </c>
      <c r="J37" s="797">
        <f t="shared" si="32"/>
        <v>894.9079999999999</v>
      </c>
      <c r="K37" s="799">
        <v>0</v>
      </c>
      <c r="L37" s="799">
        <v>863.64</v>
      </c>
      <c r="M37" s="799">
        <v>85.340999999999994</v>
      </c>
      <c r="N37" s="799">
        <v>54.698999999999998</v>
      </c>
      <c r="O37" s="799">
        <v>8.1820000000000004</v>
      </c>
      <c r="P37" s="797">
        <f t="shared" si="33"/>
        <v>1011.862</v>
      </c>
      <c r="Q37" s="1178"/>
      <c r="R37" s="1178"/>
      <c r="S37" s="1178"/>
      <c r="T37" s="798">
        <f>IFERROR(J37 + P37, 0)</f>
        <v>1906.77</v>
      </c>
      <c r="U37" s="282"/>
      <c r="V37" s="290" t="s">
        <v>14738</v>
      </c>
      <c r="X37" s="1154"/>
      <c r="Z37" s="1165"/>
      <c r="AA37" s="284">
        <f t="shared" si="21"/>
        <v>0</v>
      </c>
      <c r="AB37" s="1165"/>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5"/>
      <c r="AU37" s="460" t="s">
        <v>14737</v>
      </c>
      <c r="AV37" s="286" t="s">
        <v>3222</v>
      </c>
      <c r="AW37" s="286">
        <v>3</v>
      </c>
      <c r="AX37" s="799" t="s">
        <v>14739</v>
      </c>
      <c r="AY37" s="799" t="s">
        <v>14740</v>
      </c>
      <c r="AZ37" s="799" t="s">
        <v>14741</v>
      </c>
      <c r="BA37" s="799" t="s">
        <v>14742</v>
      </c>
      <c r="BB37" s="799" t="s">
        <v>14743</v>
      </c>
      <c r="BC37" s="797" t="s">
        <v>14744</v>
      </c>
      <c r="BD37" s="799" t="s">
        <v>14745</v>
      </c>
      <c r="BE37" s="799" t="s">
        <v>14746</v>
      </c>
      <c r="BF37" s="799" t="s">
        <v>14747</v>
      </c>
      <c r="BG37" s="799" t="s">
        <v>14748</v>
      </c>
      <c r="BH37" s="799" t="s">
        <v>14749</v>
      </c>
      <c r="BI37" s="797" t="s">
        <v>14750</v>
      </c>
      <c r="BJ37" s="1178"/>
      <c r="BK37" s="1178"/>
      <c r="BL37" s="1178"/>
      <c r="BM37" s="798" t="s">
        <v>14751</v>
      </c>
    </row>
    <row r="38" spans="2:65" ht="15.75" customHeight="1">
      <c r="B38" s="460" t="s">
        <v>14752</v>
      </c>
      <c r="C38" s="286" t="s">
        <v>3222</v>
      </c>
      <c r="D38" s="286">
        <v>3</v>
      </c>
      <c r="E38" s="1178"/>
      <c r="F38" s="1178"/>
      <c r="G38" s="1178"/>
      <c r="H38" s="1178"/>
      <c r="I38" s="1178"/>
      <c r="J38" s="1178"/>
      <c r="K38" s="1178"/>
      <c r="L38" s="1178"/>
      <c r="M38" s="1178"/>
      <c r="N38" s="1178"/>
      <c r="O38" s="1178"/>
      <c r="P38" s="1178"/>
      <c r="Q38" s="799">
        <v>0</v>
      </c>
      <c r="R38" s="799">
        <v>4.2000000000000003E-2</v>
      </c>
      <c r="S38" s="797">
        <f>IFERROR(Q38+R38, 0)</f>
        <v>4.2000000000000003E-2</v>
      </c>
      <c r="T38" s="2035">
        <f>IFERROR(S38, 0)</f>
        <v>4.2000000000000003E-2</v>
      </c>
      <c r="U38" s="282"/>
      <c r="V38" s="290" t="s">
        <v>14753</v>
      </c>
      <c r="X38" s="1154"/>
      <c r="Z38" s="1165"/>
      <c r="AA38" s="284">
        <f>IF( SUM( AC38:AR38 ) = 0, 0, $AC$7 )</f>
        <v>0</v>
      </c>
      <c r="AB38" s="1165"/>
      <c r="AC38" s="224"/>
      <c r="AD38" s="224"/>
      <c r="AE38" s="224"/>
      <c r="AF38" s="224"/>
      <c r="AG38" s="224"/>
      <c r="AH38" s="224"/>
      <c r="AI38" s="224"/>
      <c r="AJ38" s="224"/>
      <c r="AK38" s="224"/>
      <c r="AL38" s="224"/>
      <c r="AM38" s="224"/>
      <c r="AN38" s="224"/>
      <c r="AO38" s="285">
        <f t="shared" si="31"/>
        <v>0</v>
      </c>
      <c r="AP38" s="285">
        <f t="shared" si="31"/>
        <v>0</v>
      </c>
      <c r="AQ38" s="224"/>
      <c r="AR38" s="224"/>
      <c r="AS38" s="1165"/>
      <c r="AU38" s="460" t="s">
        <v>14752</v>
      </c>
      <c r="AV38" s="286" t="s">
        <v>3222</v>
      </c>
      <c r="AW38" s="286">
        <v>3</v>
      </c>
      <c r="AX38" s="1178"/>
      <c r="AY38" s="1178"/>
      <c r="AZ38" s="1178"/>
      <c r="BA38" s="1178"/>
      <c r="BB38" s="1178"/>
      <c r="BC38" s="1178"/>
      <c r="BD38" s="1178"/>
      <c r="BE38" s="1178"/>
      <c r="BF38" s="1178"/>
      <c r="BG38" s="1178"/>
      <c r="BH38" s="1178"/>
      <c r="BI38" s="1178"/>
      <c r="BJ38" s="799" t="s">
        <v>14754</v>
      </c>
      <c r="BK38" s="799" t="s">
        <v>14755</v>
      </c>
      <c r="BL38" s="797" t="s">
        <v>14756</v>
      </c>
      <c r="BM38" s="2035" t="s">
        <v>14757</v>
      </c>
    </row>
    <row r="39" spans="2:65" ht="15.75" customHeight="1">
      <c r="B39" s="460" t="s">
        <v>14758</v>
      </c>
      <c r="C39" s="286" t="s">
        <v>3222</v>
      </c>
      <c r="D39" s="286">
        <v>3</v>
      </c>
      <c r="E39" s="1178"/>
      <c r="F39" s="1178"/>
      <c r="G39" s="1178"/>
      <c r="H39" s="1178"/>
      <c r="I39" s="1178"/>
      <c r="J39" s="799">
        <v>36.724417648283129</v>
      </c>
      <c r="K39" s="1178"/>
      <c r="L39" s="1178"/>
      <c r="M39" s="1178"/>
      <c r="N39" s="1178"/>
      <c r="O39" s="1178"/>
      <c r="P39" s="799">
        <v>33.462999999999994</v>
      </c>
      <c r="Q39" s="1178"/>
      <c r="R39" s="1178"/>
      <c r="S39" s="1178"/>
      <c r="T39" s="798">
        <f t="shared" ref="T39:T43" si="34">IFERROR(J39 + P39, 0)</f>
        <v>70.187417648283116</v>
      </c>
      <c r="U39" s="282"/>
      <c r="V39" s="290" t="s">
        <v>14759</v>
      </c>
      <c r="X39" s="1154"/>
      <c r="Z39" s="1165"/>
      <c r="AA39" s="284">
        <f>IF( SUM( AC39:AR39 ) = 0, 0, $AC$7 )</f>
        <v>0</v>
      </c>
      <c r="AB39" s="1165"/>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5"/>
      <c r="AU39" s="460" t="s">
        <v>14758</v>
      </c>
      <c r="AV39" s="286" t="s">
        <v>3222</v>
      </c>
      <c r="AW39" s="286">
        <v>3</v>
      </c>
      <c r="AX39" s="1178"/>
      <c r="AY39" s="1178"/>
      <c r="AZ39" s="1178"/>
      <c r="BA39" s="1178"/>
      <c r="BB39" s="1178"/>
      <c r="BC39" s="799" t="s">
        <v>14760</v>
      </c>
      <c r="BD39" s="1178"/>
      <c r="BE39" s="1178"/>
      <c r="BF39" s="1178"/>
      <c r="BG39" s="1178"/>
      <c r="BH39" s="1178"/>
      <c r="BI39" s="799" t="s">
        <v>14761</v>
      </c>
      <c r="BJ39" s="1178"/>
      <c r="BK39" s="1178"/>
      <c r="BL39" s="1178"/>
      <c r="BM39" s="798" t="s">
        <v>14762</v>
      </c>
    </row>
    <row r="40" spans="2:65" ht="15.75" customHeight="1">
      <c r="B40" s="460" t="s">
        <v>14763</v>
      </c>
      <c r="C40" s="286" t="s">
        <v>3222</v>
      </c>
      <c r="D40" s="286">
        <v>3</v>
      </c>
      <c r="E40" s="1178"/>
      <c r="F40" s="1178"/>
      <c r="G40" s="1178"/>
      <c r="H40" s="1178"/>
      <c r="I40" s="1178"/>
      <c r="J40" s="797">
        <f>IFERROR(J37+J39, 0)</f>
        <v>931.63241764828308</v>
      </c>
      <c r="K40" s="1178"/>
      <c r="L40" s="1178"/>
      <c r="M40" s="1178"/>
      <c r="N40" s="1178"/>
      <c r="O40" s="1178"/>
      <c r="P40" s="797">
        <f>IFERROR(P37+P39, 0)</f>
        <v>1045.325</v>
      </c>
      <c r="Q40" s="1178"/>
      <c r="R40" s="1178"/>
      <c r="S40" s="1178"/>
      <c r="T40" s="798">
        <f>IFERROR(T37+T38+T39, 0)</f>
        <v>1976.999417648283</v>
      </c>
      <c r="U40" s="282"/>
      <c r="V40" s="290" t="s">
        <v>14764</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14763</v>
      </c>
      <c r="AV40" s="286" t="s">
        <v>3222</v>
      </c>
      <c r="AW40" s="286">
        <v>3</v>
      </c>
      <c r="AX40" s="1178"/>
      <c r="AY40" s="1178"/>
      <c r="AZ40" s="1178"/>
      <c r="BA40" s="1178"/>
      <c r="BB40" s="1178"/>
      <c r="BC40" s="797" t="s">
        <v>14765</v>
      </c>
      <c r="BD40" s="1178"/>
      <c r="BE40" s="1178"/>
      <c r="BF40" s="1178"/>
      <c r="BG40" s="1178"/>
      <c r="BH40" s="1178"/>
      <c r="BI40" s="797" t="s">
        <v>14766</v>
      </c>
      <c r="BJ40" s="1178"/>
      <c r="BK40" s="1178"/>
      <c r="BL40" s="1178"/>
      <c r="BM40" s="798" t="s">
        <v>14767</v>
      </c>
    </row>
    <row r="41" spans="2:65" ht="15.75" customHeight="1">
      <c r="B41" s="460" t="s">
        <v>14768</v>
      </c>
      <c r="C41" s="286" t="s">
        <v>3222</v>
      </c>
      <c r="D41" s="286">
        <v>3</v>
      </c>
      <c r="E41" s="799">
        <v>7.2089999999999996</v>
      </c>
      <c r="F41" s="799">
        <v>0.52</v>
      </c>
      <c r="G41" s="799">
        <v>2E-3</v>
      </c>
      <c r="H41" s="799">
        <v>0</v>
      </c>
      <c r="I41" s="799">
        <v>0</v>
      </c>
      <c r="J41" s="797">
        <f>IFERROR(E41 + F41 + G41+H41+I41, 0)</f>
        <v>7.730999999999999</v>
      </c>
      <c r="K41" s="799">
        <v>0</v>
      </c>
      <c r="L41" s="799">
        <v>73.241</v>
      </c>
      <c r="M41" s="799">
        <v>1.1890000000000001</v>
      </c>
      <c r="N41" s="799">
        <v>1.778</v>
      </c>
      <c r="O41" s="799">
        <v>1E-3</v>
      </c>
      <c r="P41" s="797">
        <f t="shared" ref="P41" si="36">IFERROR(K41 + L41 + M41+N41+O41, 0)</f>
        <v>76.209000000000017</v>
      </c>
      <c r="Q41" s="1178"/>
      <c r="R41" s="1178"/>
      <c r="S41" s="1178"/>
      <c r="T41" s="798">
        <f>IFERROR(J41 + P41, 0)</f>
        <v>83.940000000000012</v>
      </c>
      <c r="U41" s="282"/>
      <c r="V41" s="290" t="s">
        <v>14769</v>
      </c>
      <c r="X41" s="1154"/>
      <c r="Z41" s="1165"/>
      <c r="AA41" s="284">
        <f>IF( SUM( AC41:AR41 ) = 0, 0, $AC$7 )</f>
        <v>0</v>
      </c>
      <c r="AB41" s="1165"/>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5"/>
      <c r="AU41" s="460" t="s">
        <v>14768</v>
      </c>
      <c r="AV41" s="286" t="s">
        <v>3222</v>
      </c>
      <c r="AW41" s="286">
        <v>3</v>
      </c>
      <c r="AX41" s="799" t="s">
        <v>14770</v>
      </c>
      <c r="AY41" s="799" t="s">
        <v>14771</v>
      </c>
      <c r="AZ41" s="799" t="s">
        <v>14772</v>
      </c>
      <c r="BA41" s="799" t="s">
        <v>14773</v>
      </c>
      <c r="BB41" s="799" t="s">
        <v>14774</v>
      </c>
      <c r="BC41" s="797" t="s">
        <v>14775</v>
      </c>
      <c r="BD41" s="799" t="s">
        <v>14776</v>
      </c>
      <c r="BE41" s="799" t="s">
        <v>14777</v>
      </c>
      <c r="BF41" s="799" t="s">
        <v>14778</v>
      </c>
      <c r="BG41" s="799" t="s">
        <v>14779</v>
      </c>
      <c r="BH41" s="799" t="s">
        <v>14780</v>
      </c>
      <c r="BI41" s="797" t="s">
        <v>14781</v>
      </c>
      <c r="BJ41" s="1178"/>
      <c r="BK41" s="1178"/>
      <c r="BL41" s="1178"/>
      <c r="BM41" s="798" t="s">
        <v>14782</v>
      </c>
    </row>
    <row r="42" spans="2:65" ht="15.75" customHeight="1">
      <c r="B42" s="460" t="s">
        <v>14783</v>
      </c>
      <c r="C42" s="286" t="s">
        <v>3222</v>
      </c>
      <c r="D42" s="286">
        <v>3</v>
      </c>
      <c r="E42" s="1178"/>
      <c r="F42" s="1178"/>
      <c r="G42" s="1178"/>
      <c r="H42" s="1178"/>
      <c r="I42" s="1178"/>
      <c r="J42" s="1178"/>
      <c r="K42" s="1178"/>
      <c r="L42" s="1178"/>
      <c r="M42" s="1178"/>
      <c r="N42" s="1178"/>
      <c r="O42" s="1178"/>
      <c r="P42" s="1178"/>
      <c r="Q42" s="799">
        <v>0</v>
      </c>
      <c r="R42" s="799">
        <v>0.40699999999999997</v>
      </c>
      <c r="S42" s="797">
        <f>IFERROR(Q42+R42, 0)</f>
        <v>0.40699999999999997</v>
      </c>
      <c r="T42" s="2035">
        <f>IFERROR(S42, 0)</f>
        <v>0.40699999999999997</v>
      </c>
      <c r="U42" s="282"/>
      <c r="V42" s="290" t="s">
        <v>14784</v>
      </c>
      <c r="X42" s="1154"/>
      <c r="Z42" s="1165"/>
      <c r="AA42" s="284">
        <f>IF( SUM( AC42:AR42 ) = 0, 0, $AC$7 )</f>
        <v>0</v>
      </c>
      <c r="AB42" s="1165"/>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5"/>
      <c r="AU42" s="460" t="s">
        <v>14785</v>
      </c>
      <c r="AV42" s="286" t="s">
        <v>3222</v>
      </c>
      <c r="AW42" s="286">
        <v>3</v>
      </c>
      <c r="AX42" s="1178"/>
      <c r="AY42" s="1178"/>
      <c r="AZ42" s="1178"/>
      <c r="BA42" s="1178"/>
      <c r="BB42" s="1178"/>
      <c r="BC42" s="1178"/>
      <c r="BD42" s="1178"/>
      <c r="BE42" s="1178"/>
      <c r="BF42" s="1178"/>
      <c r="BG42" s="1178"/>
      <c r="BH42" s="1178"/>
      <c r="BI42" s="1178"/>
      <c r="BJ42" s="1180" t="s">
        <v>14786</v>
      </c>
      <c r="BK42" s="1180" t="s">
        <v>14787</v>
      </c>
      <c r="BL42" s="797" t="s">
        <v>14788</v>
      </c>
      <c r="BM42" s="2035" t="s">
        <v>14789</v>
      </c>
    </row>
    <row r="43" spans="2:65" ht="15.75" customHeight="1">
      <c r="B43" s="460" t="s">
        <v>14790</v>
      </c>
      <c r="C43" s="286" t="s">
        <v>3222</v>
      </c>
      <c r="D43" s="286">
        <v>3</v>
      </c>
      <c r="E43" s="1178"/>
      <c r="F43" s="1178"/>
      <c r="G43" s="1178"/>
      <c r="H43" s="1178"/>
      <c r="I43" s="1178"/>
      <c r="J43" s="799">
        <v>4.2370000000000001</v>
      </c>
      <c r="K43" s="1178"/>
      <c r="L43" s="1178"/>
      <c r="M43" s="1181"/>
      <c r="N43" s="1181"/>
      <c r="O43" s="1181"/>
      <c r="P43" s="799">
        <v>19.242999999999999</v>
      </c>
      <c r="Q43" s="1178"/>
      <c r="R43" s="1178"/>
      <c r="S43" s="1178"/>
      <c r="T43" s="798">
        <f t="shared" si="34"/>
        <v>23.479999999999997</v>
      </c>
      <c r="U43" s="282"/>
      <c r="V43" s="290" t="s">
        <v>14791</v>
      </c>
      <c r="X43" s="1154"/>
      <c r="Z43" s="1165"/>
      <c r="AA43" s="284">
        <f>IF( SUM( AC43:AR43 ) = 0, 0, $AC$7 )</f>
        <v>0</v>
      </c>
      <c r="AB43" s="1165"/>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5"/>
      <c r="AU43" s="460" t="s">
        <v>14790</v>
      </c>
      <c r="AV43" s="286" t="s">
        <v>3222</v>
      </c>
      <c r="AW43" s="286">
        <v>3</v>
      </c>
      <c r="AX43" s="1178"/>
      <c r="AY43" s="1178"/>
      <c r="AZ43" s="1178"/>
      <c r="BA43" s="1178"/>
      <c r="BB43" s="1178"/>
      <c r="BC43" s="799" t="s">
        <v>14792</v>
      </c>
      <c r="BD43" s="1178"/>
      <c r="BE43" s="1178"/>
      <c r="BF43" s="1181"/>
      <c r="BG43" s="1181"/>
      <c r="BH43" s="1181"/>
      <c r="BI43" s="799" t="s">
        <v>14793</v>
      </c>
      <c r="BJ43" s="1178"/>
      <c r="BK43" s="1178"/>
      <c r="BL43" s="1178"/>
      <c r="BM43" s="798" t="s">
        <v>14794</v>
      </c>
    </row>
    <row r="44" spans="2:65" ht="15.75" customHeight="1">
      <c r="B44" s="460" t="s">
        <v>14795</v>
      </c>
      <c r="C44" s="286" t="s">
        <v>3222</v>
      </c>
      <c r="D44" s="286">
        <v>3</v>
      </c>
      <c r="E44" s="1178"/>
      <c r="F44" s="1178"/>
      <c r="G44" s="1178"/>
      <c r="H44" s="1178"/>
      <c r="I44" s="1178"/>
      <c r="J44" s="797">
        <f>IFERROR(J43 + J41, 0)</f>
        <v>11.968</v>
      </c>
      <c r="K44" s="1178"/>
      <c r="L44" s="1178"/>
      <c r="M44" s="1181"/>
      <c r="N44" s="1181"/>
      <c r="O44" s="1181"/>
      <c r="P44" s="797">
        <f>IFERROR(P43 + P41, 0)</f>
        <v>95.452000000000012</v>
      </c>
      <c r="Q44" s="1178"/>
      <c r="R44" s="1178"/>
      <c r="S44" s="1178"/>
      <c r="T44" s="798">
        <f>IFERROR(T41+T42+T43, 0)</f>
        <v>107.827</v>
      </c>
      <c r="U44" s="282"/>
      <c r="V44" s="290" t="s">
        <v>14796</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14795</v>
      </c>
      <c r="AV44" s="286" t="s">
        <v>3222</v>
      </c>
      <c r="AW44" s="286">
        <v>3</v>
      </c>
      <c r="AX44" s="1178"/>
      <c r="AY44" s="1178"/>
      <c r="AZ44" s="1178"/>
      <c r="BA44" s="1178"/>
      <c r="BB44" s="1178"/>
      <c r="BC44" s="797" t="s">
        <v>14797</v>
      </c>
      <c r="BD44" s="1178"/>
      <c r="BE44" s="1178"/>
      <c r="BF44" s="1181"/>
      <c r="BG44" s="1181"/>
      <c r="BH44" s="1181"/>
      <c r="BI44" s="797" t="s">
        <v>14798</v>
      </c>
      <c r="BJ44" s="1178"/>
      <c r="BK44" s="1178"/>
      <c r="BL44" s="1178"/>
      <c r="BM44" s="798" t="s">
        <v>14799</v>
      </c>
    </row>
    <row r="45" spans="2:65" ht="15.75" customHeight="1" thickBot="1">
      <c r="B45" s="463" t="s">
        <v>14800</v>
      </c>
      <c r="C45" s="355" t="s">
        <v>3222</v>
      </c>
      <c r="D45" s="355">
        <v>3</v>
      </c>
      <c r="E45" s="1182"/>
      <c r="F45" s="1182"/>
      <c r="G45" s="1182"/>
      <c r="H45" s="1182"/>
      <c r="I45" s="1182"/>
      <c r="J45" s="806">
        <f>IFERROR(J44 + J40, 0)</f>
        <v>943.60041764828304</v>
      </c>
      <c r="K45" s="1182"/>
      <c r="L45" s="1182"/>
      <c r="M45" s="1183"/>
      <c r="N45" s="1183"/>
      <c r="O45" s="1183"/>
      <c r="P45" s="806">
        <f>IFERROR(P44 + P40, 0)</f>
        <v>1140.777</v>
      </c>
      <c r="Q45" s="1182"/>
      <c r="R45" s="1182"/>
      <c r="S45" s="1182"/>
      <c r="T45" s="807">
        <f>IFERROR(T40+T44, 0)</f>
        <v>2084.826417648283</v>
      </c>
      <c r="U45" s="730"/>
      <c r="V45" s="356" t="s">
        <v>14801</v>
      </c>
      <c r="X45" s="1141"/>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14800</v>
      </c>
      <c r="AV45" s="355" t="s">
        <v>3222</v>
      </c>
      <c r="AW45" s="355">
        <v>3</v>
      </c>
      <c r="AX45" s="1182"/>
      <c r="AY45" s="1182"/>
      <c r="AZ45" s="1182"/>
      <c r="BA45" s="1182"/>
      <c r="BB45" s="1182"/>
      <c r="BC45" s="806" t="s">
        <v>14802</v>
      </c>
      <c r="BD45" s="1182"/>
      <c r="BE45" s="1182"/>
      <c r="BF45" s="1183"/>
      <c r="BG45" s="1183"/>
      <c r="BH45" s="1183"/>
      <c r="BI45" s="806" t="s">
        <v>14803</v>
      </c>
      <c r="BJ45" s="1182"/>
      <c r="BK45" s="1182"/>
      <c r="BL45" s="1182"/>
      <c r="BM45" s="807" t="s">
        <v>14804</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7224</v>
      </c>
      <c r="C47" s="446" t="s">
        <v>7225</v>
      </c>
      <c r="D47" s="446" t="s">
        <v>670</v>
      </c>
      <c r="E47" s="446" t="s">
        <v>9397</v>
      </c>
      <c r="F47" s="447" t="s">
        <v>9398</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7224</v>
      </c>
      <c r="AV47" s="446" t="s">
        <v>7225</v>
      </c>
      <c r="AW47" s="446" t="s">
        <v>670</v>
      </c>
      <c r="AX47" s="446" t="s">
        <v>9397</v>
      </c>
      <c r="AY47" s="447" t="s">
        <v>9398</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14805</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14805</v>
      </c>
      <c r="AV49" s="482"/>
      <c r="AW49" s="482"/>
      <c r="AX49" s="482"/>
      <c r="AY49" s="482"/>
    </row>
    <row r="50" spans="2:65" ht="15.75" customHeight="1" thickTop="1">
      <c r="B50" s="451" t="s">
        <v>14806</v>
      </c>
      <c r="C50" s="277" t="s">
        <v>3222</v>
      </c>
      <c r="D50" s="277">
        <v>3</v>
      </c>
      <c r="E50" s="1184">
        <v>4796.8370000000004</v>
      </c>
      <c r="F50" s="1185">
        <v>2763.94</v>
      </c>
      <c r="P50" s="106"/>
      <c r="Q50" s="106"/>
      <c r="R50" s="106"/>
      <c r="S50" s="106"/>
      <c r="T50" s="106"/>
      <c r="U50" s="282"/>
      <c r="V50" s="281" t="s">
        <v>14807</v>
      </c>
      <c r="X50" s="1136"/>
      <c r="Z50" s="1165"/>
      <c r="AA50" s="284">
        <f>IF( SUM( AC50:AR50 ) = 0, 0, $AC$7 )</f>
        <v>0</v>
      </c>
      <c r="AB50" s="1165"/>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5"/>
      <c r="AU50" s="451" t="s">
        <v>14806</v>
      </c>
      <c r="AV50" s="277" t="s">
        <v>3222</v>
      </c>
      <c r="AW50" s="277">
        <v>3</v>
      </c>
      <c r="AX50" s="1184" t="s">
        <v>14808</v>
      </c>
      <c r="AY50" s="1185" t="s">
        <v>14809</v>
      </c>
    </row>
    <row r="51" spans="2:65" ht="15.75" customHeight="1" thickBot="1">
      <c r="B51" s="463" t="s">
        <v>14810</v>
      </c>
      <c r="C51" s="355" t="s">
        <v>3222</v>
      </c>
      <c r="D51" s="355">
        <v>3</v>
      </c>
      <c r="E51" s="1186"/>
      <c r="F51" s="1187">
        <v>35.893999999999998</v>
      </c>
      <c r="P51" s="106"/>
      <c r="Q51" s="106"/>
      <c r="R51" s="106"/>
      <c r="S51" s="106"/>
      <c r="T51" s="106"/>
      <c r="U51" s="282"/>
      <c r="V51" s="356" t="s">
        <v>14811</v>
      </c>
      <c r="X51" s="1141"/>
      <c r="Z51" s="1165"/>
      <c r="AA51" s="284">
        <f>IF( SUM( AC51:AR51 ) = 0, 0, $AC$7 )</f>
        <v>0</v>
      </c>
      <c r="AB51" s="1165"/>
      <c r="AC51" s="224"/>
      <c r="AD51" s="285">
        <f t="shared" si="51"/>
        <v>0</v>
      </c>
      <c r="AE51" s="224"/>
      <c r="AF51" s="224"/>
      <c r="AG51" s="224"/>
      <c r="AH51" s="224"/>
      <c r="AI51" s="224"/>
      <c r="AJ51" s="224"/>
      <c r="AK51" s="224"/>
      <c r="AL51" s="224"/>
      <c r="AM51" s="224"/>
      <c r="AN51" s="224"/>
      <c r="AO51" s="224"/>
      <c r="AP51" s="224"/>
      <c r="AQ51" s="224"/>
      <c r="AR51" s="224"/>
      <c r="AS51" s="1165"/>
      <c r="AU51" s="463" t="s">
        <v>14812</v>
      </c>
      <c r="AV51" s="355" t="s">
        <v>3222</v>
      </c>
      <c r="AW51" s="355">
        <v>3</v>
      </c>
      <c r="AX51" s="1186"/>
      <c r="AY51" s="1187" t="s">
        <v>14813</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5" thickTop="1" thickBot="1">
      <c r="B53" s="365"/>
      <c r="C53" s="83"/>
      <c r="E53" s="2880" t="s">
        <v>9397</v>
      </c>
      <c r="F53" s="2881"/>
      <c r="G53" s="2882"/>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880" t="s">
        <v>9397</v>
      </c>
      <c r="AY53" s="2881"/>
      <c r="AZ53" s="2882"/>
      <c r="BI53" s="455"/>
      <c r="BJ53" s="455"/>
      <c r="BK53" s="455"/>
      <c r="BL53" s="455"/>
      <c r="BM53" s="455"/>
    </row>
    <row r="54" spans="2:65" ht="31.5" thickTop="1" thickBot="1">
      <c r="B54" s="393" t="s">
        <v>14814</v>
      </c>
      <c r="C54" s="1189" t="s">
        <v>7225</v>
      </c>
      <c r="D54" s="1189" t="s">
        <v>670</v>
      </c>
      <c r="E54" s="1190" t="s">
        <v>14806</v>
      </c>
      <c r="F54" s="1190" t="s">
        <v>14812</v>
      </c>
      <c r="G54" s="1191" t="s">
        <v>7445</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14814</v>
      </c>
      <c r="AV54" s="1189" t="s">
        <v>7225</v>
      </c>
      <c r="AW54" s="1189" t="s">
        <v>670</v>
      </c>
      <c r="AX54" s="1190" t="s">
        <v>14806</v>
      </c>
      <c r="AY54" s="1190" t="s">
        <v>14812</v>
      </c>
      <c r="AZ54" s="1191" t="s">
        <v>7445</v>
      </c>
      <c r="BI54" s="455"/>
      <c r="BJ54" s="455"/>
      <c r="BK54" s="455"/>
      <c r="BL54" s="455"/>
      <c r="BM54" s="455"/>
    </row>
    <row r="55" spans="2:65" ht="15.75" customHeight="1" thickTop="1" thickBot="1">
      <c r="B55" s="451" t="s">
        <v>14815</v>
      </c>
      <c r="C55" s="318" t="s">
        <v>3222</v>
      </c>
      <c r="D55" s="318">
        <v>3</v>
      </c>
      <c r="E55" s="809">
        <v>4732.2389999999996</v>
      </c>
      <c r="F55" s="2599"/>
      <c r="G55" s="1168">
        <f t="shared" ref="G55:G56" si="52">IFERROR(E55 + F55,0)</f>
        <v>4732.2389999999996</v>
      </c>
      <c r="P55" s="106"/>
      <c r="Q55" s="106"/>
      <c r="R55" s="106"/>
      <c r="S55" s="106"/>
      <c r="T55" s="106"/>
      <c r="V55" s="281" t="s">
        <v>14816</v>
      </c>
      <c r="X55" s="1136" t="s">
        <v>14817</v>
      </c>
      <c r="Z55" s="1165"/>
      <c r="AA55" s="284" t="str">
        <f>IF( SUM( AC55:AR55 ) = 0, 0, $AC$7 )</f>
        <v>Please complete all cells in row</v>
      </c>
      <c r="AB55" s="1165"/>
      <c r="AC55" s="285">
        <f t="shared" ref="AC55:AC57" si="53" xml:space="preserve"> IF( ISNUMBER(E55), 0, 1 )</f>
        <v>0</v>
      </c>
      <c r="AD55" s="285">
        <f t="shared" ref="AD55:AD57" si="54" xml:space="preserve"> IF( ISNUMBER(F55), 0, 1 )</f>
        <v>1</v>
      </c>
      <c r="AE55" s="224"/>
      <c r="AF55" s="224"/>
      <c r="AG55" s="224"/>
      <c r="AH55" s="224"/>
      <c r="AI55" s="224"/>
      <c r="AJ55" s="224"/>
      <c r="AK55" s="224"/>
      <c r="AL55" s="224"/>
      <c r="AM55" s="224"/>
      <c r="AN55" s="224"/>
      <c r="AO55" s="224"/>
      <c r="AP55" s="224"/>
      <c r="AQ55" s="224"/>
      <c r="AR55" s="224"/>
      <c r="AS55" s="1165"/>
      <c r="AU55" s="814" t="s">
        <v>14815</v>
      </c>
      <c r="AV55" s="318" t="s">
        <v>3222</v>
      </c>
      <c r="AW55" s="318">
        <v>3</v>
      </c>
      <c r="AX55" s="1192" t="s">
        <v>14818</v>
      </c>
      <c r="AY55" s="1192" t="s">
        <v>14819</v>
      </c>
      <c r="AZ55" s="1193" t="s">
        <v>14820</v>
      </c>
    </row>
    <row r="56" spans="2:65" ht="15.75" customHeight="1" thickTop="1" thickBot="1">
      <c r="B56" s="460" t="s">
        <v>14821</v>
      </c>
      <c r="C56" s="325" t="s">
        <v>3222</v>
      </c>
      <c r="D56" s="325">
        <v>3</v>
      </c>
      <c r="E56" s="799">
        <v>2083.0720000000001</v>
      </c>
      <c r="F56" s="799"/>
      <c r="G56" s="798">
        <f t="shared" si="52"/>
        <v>2083.0720000000001</v>
      </c>
      <c r="P56" s="106"/>
      <c r="Q56" s="106"/>
      <c r="R56" s="106"/>
      <c r="S56" s="106"/>
      <c r="T56" s="106"/>
      <c r="V56" s="290" t="s">
        <v>14822</v>
      </c>
      <c r="X56" s="1136" t="s">
        <v>14817</v>
      </c>
      <c r="Z56" s="1165"/>
      <c r="AA56" s="284" t="str">
        <f>IF( SUM( AC56:AR56 ) = 0, 0, $AC$7 )</f>
        <v>Please complete all cells in row</v>
      </c>
      <c r="AB56" s="1165"/>
      <c r="AC56" s="285">
        <f t="shared" si="53"/>
        <v>0</v>
      </c>
      <c r="AD56" s="285">
        <f t="shared" si="54"/>
        <v>1</v>
      </c>
      <c r="AE56" s="224"/>
      <c r="AF56" s="224"/>
      <c r="AG56" s="224"/>
      <c r="AH56" s="224"/>
      <c r="AI56" s="224"/>
      <c r="AJ56" s="224"/>
      <c r="AK56" s="224"/>
      <c r="AL56" s="224"/>
      <c r="AM56" s="224"/>
      <c r="AN56" s="224"/>
      <c r="AO56" s="224"/>
      <c r="AP56" s="224"/>
      <c r="AQ56" s="224"/>
      <c r="AR56" s="224"/>
      <c r="AS56" s="1165"/>
      <c r="AU56" s="792" t="s">
        <v>14823</v>
      </c>
      <c r="AV56" s="325" t="s">
        <v>3222</v>
      </c>
      <c r="AW56" s="325">
        <v>3</v>
      </c>
      <c r="AX56" s="1194" t="s">
        <v>14824</v>
      </c>
      <c r="AY56" s="1194" t="s">
        <v>14825</v>
      </c>
      <c r="AZ56" s="1195" t="s">
        <v>14826</v>
      </c>
    </row>
    <row r="57" spans="2:65" ht="15.75" customHeight="1" thickTop="1" thickBot="1">
      <c r="B57" s="463" t="s">
        <v>14827</v>
      </c>
      <c r="C57" s="332" t="s">
        <v>3222</v>
      </c>
      <c r="D57" s="332">
        <v>3</v>
      </c>
      <c r="E57" s="2098">
        <v>2649.1669999999999</v>
      </c>
      <c r="F57" s="2098"/>
      <c r="G57" s="807">
        <f>IFERROR(E57 + F57,0)</f>
        <v>2649.1669999999999</v>
      </c>
      <c r="P57" s="106"/>
      <c r="Q57" s="106"/>
      <c r="R57" s="106"/>
      <c r="S57" s="106"/>
      <c r="T57" s="106"/>
      <c r="V57" s="356" t="s">
        <v>14828</v>
      </c>
      <c r="X57" s="1136" t="s">
        <v>14817</v>
      </c>
      <c r="Z57" s="1165"/>
      <c r="AA57" s="284" t="str">
        <f>IF( SUM( AC57:AR57 ) = 0, 0, $AC$7 )</f>
        <v>Please complete all cells in row</v>
      </c>
      <c r="AB57" s="1165"/>
      <c r="AC57" s="285">
        <f t="shared" si="53"/>
        <v>0</v>
      </c>
      <c r="AD57" s="285">
        <f t="shared" si="54"/>
        <v>1</v>
      </c>
      <c r="AE57" s="224"/>
      <c r="AF57" s="224"/>
      <c r="AG57" s="224"/>
      <c r="AH57" s="224"/>
      <c r="AI57" s="224"/>
      <c r="AJ57" s="224"/>
      <c r="AK57" s="224"/>
      <c r="AL57" s="224"/>
      <c r="AM57" s="224"/>
      <c r="AN57" s="224"/>
      <c r="AO57" s="224"/>
      <c r="AP57" s="224"/>
      <c r="AQ57" s="224"/>
      <c r="AR57" s="224"/>
      <c r="AS57" s="1165"/>
      <c r="AU57" s="453" t="s">
        <v>14829</v>
      </c>
      <c r="AV57" s="332" t="s">
        <v>3222</v>
      </c>
      <c r="AW57" s="332">
        <v>3</v>
      </c>
      <c r="AX57" s="1196" t="s">
        <v>14830</v>
      </c>
      <c r="AY57" s="1196" t="s">
        <v>14831</v>
      </c>
      <c r="AZ57" s="1197" t="s">
        <v>14832</v>
      </c>
    </row>
    <row r="58" spans="2:65" ht="15.75"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202" priority="30" operator="equal">
      <formula>0</formula>
    </cfRule>
  </conditionalFormatting>
  <conditionalFormatting sqref="AA26">
    <cfRule type="cellIs" dxfId="201" priority="12" operator="equal">
      <formula>0</formula>
    </cfRule>
  </conditionalFormatting>
  <conditionalFormatting sqref="AA35:AA37">
    <cfRule type="cellIs" dxfId="200" priority="11" operator="equal">
      <formula>0</formula>
    </cfRule>
  </conditionalFormatting>
  <conditionalFormatting sqref="AA38">
    <cfRule type="cellIs" dxfId="199" priority="10" operator="equal">
      <formula>0</formula>
    </cfRule>
  </conditionalFormatting>
  <conditionalFormatting sqref="AA39">
    <cfRule type="cellIs" dxfId="198" priority="9" operator="equal">
      <formula>0</formula>
    </cfRule>
  </conditionalFormatting>
  <conditionalFormatting sqref="AA41">
    <cfRule type="cellIs" dxfId="197" priority="8" operator="equal">
      <formula>0</formula>
    </cfRule>
  </conditionalFormatting>
  <conditionalFormatting sqref="AA42">
    <cfRule type="cellIs" dxfId="196" priority="7" operator="equal">
      <formula>0</formula>
    </cfRule>
  </conditionalFormatting>
  <conditionalFormatting sqref="AA43">
    <cfRule type="cellIs" dxfId="195" priority="6" operator="equal">
      <formula>0</formula>
    </cfRule>
  </conditionalFormatting>
  <conditionalFormatting sqref="AA50">
    <cfRule type="cellIs" dxfId="194" priority="5" operator="equal">
      <formula>0</formula>
    </cfRule>
  </conditionalFormatting>
  <conditionalFormatting sqref="AA51">
    <cfRule type="cellIs" dxfId="193" priority="4" operator="equal">
      <formula>0</formula>
    </cfRule>
  </conditionalFormatting>
  <conditionalFormatting sqref="AA55">
    <cfRule type="cellIs" dxfId="192" priority="3" operator="equal">
      <formula>0</formula>
    </cfRule>
  </conditionalFormatting>
  <conditionalFormatting sqref="AA4:AA7">
    <cfRule type="cellIs" dxfId="191" priority="19" operator="equal">
      <formula>0</formula>
    </cfRule>
  </conditionalFormatting>
  <conditionalFormatting sqref="AA1:AA2">
    <cfRule type="cellIs" dxfId="190" priority="18" operator="equal">
      <formula>0</formula>
    </cfRule>
  </conditionalFormatting>
  <conditionalFormatting sqref="AA9:AA11 AA15:AA21 AA24 AA27:AA34 AA40 AA44:AA49 AA52:AA54 AA58:AA63">
    <cfRule type="cellIs" dxfId="189" priority="17" operator="equal">
      <formula>0</formula>
    </cfRule>
  </conditionalFormatting>
  <conditionalFormatting sqref="AA12:AA14">
    <cfRule type="cellIs" dxfId="188" priority="16" operator="equal">
      <formula>0</formula>
    </cfRule>
  </conditionalFormatting>
  <conditionalFormatting sqref="AA22">
    <cfRule type="cellIs" dxfId="187" priority="15" operator="equal">
      <formula>0</formula>
    </cfRule>
  </conditionalFormatting>
  <conditionalFormatting sqref="AA23">
    <cfRule type="cellIs" dxfId="186" priority="14" operator="equal">
      <formula>0</formula>
    </cfRule>
  </conditionalFormatting>
  <conditionalFormatting sqref="AA25">
    <cfRule type="cellIs" dxfId="185" priority="13" operator="equal">
      <formula>0</formula>
    </cfRule>
  </conditionalFormatting>
  <conditionalFormatting sqref="AA57">
    <cfRule type="cellIs" dxfId="184" priority="1" operator="equal">
      <formula>0</formula>
    </cfRule>
  </conditionalFormatting>
  <conditionalFormatting sqref="AA56">
    <cfRule type="cellIs" dxfId="183"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NES_APR2022_F1</v>
      </c>
      <c r="F1" s="219"/>
    </row>
    <row r="2" spans="1:6" ht="13.5" customHeight="1">
      <c r="A2" s="219" t="s">
        <v>3</v>
      </c>
      <c r="B2" s="249" t="s">
        <v>3636</v>
      </c>
      <c r="C2" s="250" t="s">
        <v>3637</v>
      </c>
      <c r="D2" s="249" t="s">
        <v>668</v>
      </c>
      <c r="E2" s="249" t="s">
        <v>3638</v>
      </c>
      <c r="F2" s="251" t="s">
        <v>3639</v>
      </c>
    </row>
    <row r="3" spans="1:6" ht="13.5" customHeight="1">
      <c r="B3" s="239"/>
      <c r="C3" s="250"/>
      <c r="D3" s="249"/>
      <c r="E3" s="249"/>
      <c r="F3" s="251"/>
    </row>
    <row r="4" spans="1:6" ht="13.5" customHeight="1">
      <c r="B4" s="219" t="str">
        <f>'1A'!Z8</f>
        <v>BO1180STAT</v>
      </c>
      <c r="C4" s="219" t="s">
        <v>3640</v>
      </c>
      <c r="E4" s="249" t="s">
        <v>3641</v>
      </c>
      <c r="F4" s="252">
        <f>IF(ISBLANK('1A'!F8),"##BLANK",'1A'!F8)</f>
        <v>849.91700000000003</v>
      </c>
    </row>
    <row r="5" spans="1:6" ht="13.5" customHeight="1">
      <c r="B5" s="219" t="str">
        <f>'1A'!AA8</f>
        <v>BO1180DSR</v>
      </c>
      <c r="C5" s="219" t="s">
        <v>3642</v>
      </c>
      <c r="E5" s="249" t="s">
        <v>3641</v>
      </c>
      <c r="F5" s="252">
        <f>IF(ISBLANK('1A'!G8),"##BLANK",'1A'!G8)</f>
        <v>-32.474000000000004</v>
      </c>
    </row>
    <row r="6" spans="1:6" ht="13.5" customHeight="1">
      <c r="B6" s="219" t="str">
        <f>'1A'!AB8</f>
        <v>BO1180NA</v>
      </c>
      <c r="C6" s="219" t="s">
        <v>3643</v>
      </c>
      <c r="E6" s="249" t="s">
        <v>3641</v>
      </c>
      <c r="F6" s="252">
        <f>IF(ISBLANK('1A'!H8),"##BLANK",'1A'!H8)</f>
        <v>34.744</v>
      </c>
    </row>
    <row r="7" spans="1:6" ht="13.5" customHeight="1">
      <c r="B7" s="219" t="str">
        <f>'1A'!AC8</f>
        <v>BO1180ADJ</v>
      </c>
      <c r="C7" s="219" t="s">
        <v>3644</v>
      </c>
      <c r="E7" s="249" t="s">
        <v>3641</v>
      </c>
      <c r="F7" s="252">
        <f>IF(ISBLANK('1A'!I8),"##BLANK",'1A'!I8)</f>
        <v>-67.218000000000004</v>
      </c>
    </row>
    <row r="8" spans="1:6" ht="13.5" customHeight="1">
      <c r="B8" s="219" t="str">
        <f>'1A'!AD8</f>
        <v>BO1180</v>
      </c>
      <c r="C8" s="219" t="s">
        <v>3645</v>
      </c>
      <c r="E8" s="249" t="s">
        <v>3641</v>
      </c>
      <c r="F8" s="252">
        <f>IF(ISBLANK('1A'!J8),"##BLANK",'1A'!J8)</f>
        <v>782.69900000000007</v>
      </c>
    </row>
    <row r="9" spans="1:6" ht="13.5" customHeight="1">
      <c r="B9" s="219" t="str">
        <f>'1A'!Z9</f>
        <v>BO2560STAT</v>
      </c>
      <c r="C9" s="219" t="s">
        <v>3646</v>
      </c>
      <c r="E9" s="249" t="s">
        <v>3641</v>
      </c>
      <c r="F9" s="252">
        <f>IF(ISBLANK('1A'!F9),"##BLANK",'1A'!F9)</f>
        <v>-638.495</v>
      </c>
    </row>
    <row r="10" spans="1:6" ht="13.5" customHeight="1">
      <c r="B10" s="219" t="str">
        <f>'1A'!AA9</f>
        <v>BO2560DSR</v>
      </c>
      <c r="C10" s="219" t="s">
        <v>3647</v>
      </c>
      <c r="E10" s="249" t="s">
        <v>3641</v>
      </c>
      <c r="F10" s="252">
        <f>IF(ISBLANK('1A'!G9),"##BLANK",'1A'!G9)</f>
        <v>20.378</v>
      </c>
    </row>
    <row r="11" spans="1:6" ht="13.5" customHeight="1">
      <c r="B11" s="219" t="str">
        <f>'1A'!AB9</f>
        <v>BO2560NA</v>
      </c>
      <c r="C11" s="219" t="s">
        <v>3648</v>
      </c>
      <c r="E11" s="249" t="s">
        <v>3641</v>
      </c>
      <c r="F11" s="252">
        <f>IF(ISBLANK('1A'!H9),"##BLANK",'1A'!H9)</f>
        <v>-28.041999999999998</v>
      </c>
    </row>
    <row r="12" spans="1:6" ht="13.5" customHeight="1">
      <c r="B12" s="219" t="str">
        <f>'1A'!AC9</f>
        <v>BO2560ADJ</v>
      </c>
      <c r="C12" s="219" t="s">
        <v>3649</v>
      </c>
      <c r="E12" s="249" t="s">
        <v>3641</v>
      </c>
      <c r="F12" s="252">
        <f>IF(ISBLANK('1A'!I9),"##BLANK",'1A'!I9)</f>
        <v>48.42</v>
      </c>
    </row>
    <row r="13" spans="1:6" ht="13.5" customHeight="1">
      <c r="B13" s="219" t="str">
        <f>'1A'!AD9</f>
        <v>BO2560</v>
      </c>
      <c r="C13" s="219" t="s">
        <v>3650</v>
      </c>
      <c r="E13" s="249" t="s">
        <v>3641</v>
      </c>
      <c r="F13" s="252">
        <f>IF(ISBLANK('1A'!J9),"##BLANK",'1A'!J9)</f>
        <v>-590.07500000000005</v>
      </c>
    </row>
    <row r="14" spans="1:6" ht="13.5" customHeight="1">
      <c r="B14" s="219" t="str">
        <f>'1A'!Z10</f>
        <v>BO1980STAT</v>
      </c>
      <c r="C14" s="219" t="s">
        <v>3651</v>
      </c>
      <c r="E14" s="249" t="s">
        <v>3641</v>
      </c>
      <c r="F14" s="252">
        <f>IF(ISBLANK('1A'!F10),"##BLANK",'1A'!F10)</f>
        <v>0</v>
      </c>
    </row>
    <row r="15" spans="1:6" ht="13.5" customHeight="1">
      <c r="B15" s="219" t="str">
        <f>'1A'!AA10</f>
        <v>BO1980DSR</v>
      </c>
      <c r="C15" s="219" t="s">
        <v>3652</v>
      </c>
      <c r="E15" s="249" t="s">
        <v>3641</v>
      </c>
      <c r="F15" s="252">
        <f>IF(ISBLANK('1A'!G10),"##BLANK",'1A'!G10)</f>
        <v>1.796</v>
      </c>
    </row>
    <row r="16" spans="1:6" ht="13.5" customHeight="1">
      <c r="B16" s="219" t="str">
        <f>'1A'!AB10</f>
        <v>BO1980NA</v>
      </c>
      <c r="C16" s="219" t="s">
        <v>3653</v>
      </c>
      <c r="E16" s="249" t="s">
        <v>3641</v>
      </c>
      <c r="F16" s="252">
        <f>IF(ISBLANK('1A'!H10),"##BLANK",'1A'!H10)</f>
        <v>0.26800000000000002</v>
      </c>
    </row>
    <row r="17" spans="2:6" ht="13.5" customHeight="1">
      <c r="B17" s="219" t="str">
        <f>'1A'!AC10</f>
        <v>BO1980ADJ</v>
      </c>
      <c r="C17" s="219" t="s">
        <v>3654</v>
      </c>
      <c r="E17" s="249" t="s">
        <v>3641</v>
      </c>
      <c r="F17" s="252">
        <f>IF(ISBLANK('1A'!I10),"##BLANK",'1A'!I10)</f>
        <v>1.528</v>
      </c>
    </row>
    <row r="18" spans="2:6" ht="13.5" customHeight="1">
      <c r="B18" s="219" t="str">
        <f>'1A'!AD10</f>
        <v>BO1980</v>
      </c>
      <c r="C18" s="219" t="s">
        <v>3655</v>
      </c>
      <c r="E18" s="249" t="s">
        <v>3641</v>
      </c>
      <c r="F18" s="252">
        <f>IF(ISBLANK('1A'!J10),"##BLANK",'1A'!J10)</f>
        <v>1.528</v>
      </c>
    </row>
    <row r="19" spans="2:6" ht="13.5" customHeight="1">
      <c r="B19" s="219" t="str">
        <f>'1A'!Z11</f>
        <v>BO2060STAT</v>
      </c>
      <c r="C19" s="219" t="s">
        <v>3656</v>
      </c>
      <c r="E19" s="249" t="s">
        <v>3641</v>
      </c>
      <c r="F19" s="252">
        <f>IF(ISBLANK('1A'!F11),"##BLANK",'1A'!F11)</f>
        <v>211.42200000000003</v>
      </c>
    </row>
    <row r="20" spans="2:6" ht="13.5" customHeight="1">
      <c r="B20" s="219" t="str">
        <f>'1A'!AA11</f>
        <v>BO2060DSR</v>
      </c>
      <c r="C20" s="219" t="s">
        <v>3657</v>
      </c>
      <c r="E20" s="249" t="s">
        <v>3641</v>
      </c>
      <c r="F20" s="252">
        <f>IF(ISBLANK('1A'!G11),"##BLANK",'1A'!G11)</f>
        <v>-10.300000000000004</v>
      </c>
    </row>
    <row r="21" spans="2:6" ht="13.5" customHeight="1">
      <c r="B21" s="219" t="str">
        <f>'1A'!AB11</f>
        <v>BO2060NA</v>
      </c>
      <c r="C21" s="219" t="s">
        <v>3658</v>
      </c>
      <c r="E21" s="249" t="s">
        <v>3641</v>
      </c>
      <c r="F21" s="252">
        <f>IF(ISBLANK('1A'!H11),"##BLANK",'1A'!H11)</f>
        <v>6.9700000000000015</v>
      </c>
    </row>
    <row r="22" spans="2:6" ht="13.5" customHeight="1">
      <c r="B22" s="219" t="str">
        <f>'1A'!AC11</f>
        <v>BO2060ADJ</v>
      </c>
      <c r="C22" s="219" t="s">
        <v>3659</v>
      </c>
      <c r="E22" s="249" t="s">
        <v>3641</v>
      </c>
      <c r="F22" s="252">
        <f>IF(ISBLANK('1A'!I11),"##BLANK",'1A'!I11)</f>
        <v>-17.270000000000007</v>
      </c>
    </row>
    <row r="23" spans="2:6" ht="13.5" customHeight="1">
      <c r="B23" s="219" t="str">
        <f>'1A'!AD11</f>
        <v>BO2060</v>
      </c>
      <c r="C23" s="219" t="s">
        <v>3660</v>
      </c>
      <c r="E23" s="249" t="s">
        <v>3641</v>
      </c>
      <c r="F23" s="252">
        <f>IF(ISBLANK('1A'!J11),"##BLANK",'1A'!J11)</f>
        <v>194.15200000000002</v>
      </c>
    </row>
    <row r="24" spans="2:6" ht="13.5" customHeight="1">
      <c r="B24" s="219" t="str">
        <f>'1A'!Z12</f>
        <v>BO3301STAT</v>
      </c>
      <c r="C24" s="219" t="s">
        <v>3661</v>
      </c>
      <c r="E24" s="249" t="s">
        <v>3641</v>
      </c>
      <c r="F24" s="252">
        <f>IF(ISBLANK('1A'!F12),"##BLANK",'1A'!F12)</f>
        <v>0</v>
      </c>
    </row>
    <row r="25" spans="2:6" ht="13.5" customHeight="1">
      <c r="B25" s="219" t="str">
        <f>'1A'!AA12</f>
        <v>BO3301DSR</v>
      </c>
      <c r="C25" s="219" t="s">
        <v>3662</v>
      </c>
      <c r="E25" s="249" t="s">
        <v>3641</v>
      </c>
      <c r="F25" s="252">
        <f>IF(ISBLANK('1A'!G12),"##BLANK",'1A'!G12)</f>
        <v>11.425000000000001</v>
      </c>
    </row>
    <row r="26" spans="2:6" ht="13.5" customHeight="1">
      <c r="B26" s="219" t="str">
        <f>'1A'!AB12</f>
        <v>BO3301NA</v>
      </c>
      <c r="C26" s="219" t="s">
        <v>3663</v>
      </c>
      <c r="E26" s="249" t="s">
        <v>3641</v>
      </c>
      <c r="F26" s="252">
        <f>IF(ISBLANK('1A'!H12),"##BLANK",'1A'!H12)</f>
        <v>1.0629999999999999</v>
      </c>
    </row>
    <row r="27" spans="2:6" ht="13.5" customHeight="1">
      <c r="B27" s="219" t="str">
        <f>'1A'!AC12</f>
        <v>BO3301ADJ</v>
      </c>
      <c r="C27" s="219" t="s">
        <v>3664</v>
      </c>
      <c r="E27" s="249" t="s">
        <v>3641</v>
      </c>
      <c r="F27" s="252">
        <f>IF(ISBLANK('1A'!I12),"##BLANK",'1A'!I12)</f>
        <v>10.362</v>
      </c>
    </row>
    <row r="28" spans="2:6" ht="13.5" customHeight="1">
      <c r="B28" s="219" t="str">
        <f>'1A'!AD12</f>
        <v>BO3301</v>
      </c>
      <c r="C28" s="219" t="s">
        <v>3665</v>
      </c>
      <c r="E28" s="249" t="s">
        <v>3641</v>
      </c>
      <c r="F28" s="252">
        <f>IF(ISBLANK('1A'!J12),"##BLANK",'1A'!J12)</f>
        <v>10.362</v>
      </c>
    </row>
    <row r="29" spans="2:6" ht="13.5" customHeight="1">
      <c r="B29" s="219" t="str">
        <f>'1A'!Z13</f>
        <v>A10008STAT</v>
      </c>
      <c r="C29" s="219" t="s">
        <v>3666</v>
      </c>
      <c r="E29" s="249" t="s">
        <v>3641</v>
      </c>
      <c r="F29" s="252">
        <f>IF(ISBLANK('1A'!F13),"##BLANK",'1A'!F13)</f>
        <v>1.4669999999999999</v>
      </c>
    </row>
    <row r="30" spans="2:6" ht="13.5" customHeight="1">
      <c r="B30" s="219" t="str">
        <f>'1A'!AA13</f>
        <v>A10008DSR</v>
      </c>
      <c r="C30" s="219" t="s">
        <v>3667</v>
      </c>
      <c r="E30" s="249" t="s">
        <v>3641</v>
      </c>
      <c r="F30" s="252">
        <f>IF(ISBLANK('1A'!G13),"##BLANK",'1A'!G13)</f>
        <v>4.3999999999999997E-2</v>
      </c>
    </row>
    <row r="31" spans="2:6" ht="13.5" customHeight="1">
      <c r="B31" s="219" t="str">
        <f>'1A'!AB13</f>
        <v>A10008NA</v>
      </c>
      <c r="C31" s="219" t="s">
        <v>3668</v>
      </c>
      <c r="E31" s="249" t="s">
        <v>3641</v>
      </c>
      <c r="F31" s="252">
        <f>IF(ISBLANK('1A'!H13),"##BLANK",'1A'!H13)</f>
        <v>2.1000000000000001E-2</v>
      </c>
    </row>
    <row r="32" spans="2:6" ht="13.5" customHeight="1">
      <c r="B32" s="219" t="str">
        <f>'1A'!AC13</f>
        <v>A10008ADJ</v>
      </c>
      <c r="C32" s="219" t="s">
        <v>3669</v>
      </c>
      <c r="E32" s="249" t="s">
        <v>3641</v>
      </c>
      <c r="F32" s="252">
        <f>IF(ISBLANK('1A'!I13),"##BLANK",'1A'!I13)</f>
        <v>2.2999999999999996E-2</v>
      </c>
    </row>
    <row r="33" spans="2:6" ht="13.5" customHeight="1">
      <c r="B33" s="219" t="str">
        <f>'1A'!AD13</f>
        <v>A10008APP</v>
      </c>
      <c r="C33" s="219" t="s">
        <v>3670</v>
      </c>
      <c r="E33" s="249" t="s">
        <v>3641</v>
      </c>
      <c r="F33" s="252">
        <f>IF(ISBLANK('1A'!J13),"##BLANK",'1A'!J13)</f>
        <v>1.4899999999999998</v>
      </c>
    </row>
    <row r="34" spans="2:6" ht="13.5" customHeight="1">
      <c r="B34" s="219" t="str">
        <f>'1A'!Z14</f>
        <v>A10009STAT</v>
      </c>
      <c r="C34" s="219" t="s">
        <v>3671</v>
      </c>
      <c r="E34" s="249" t="s">
        <v>3641</v>
      </c>
      <c r="F34" s="252">
        <f>IF(ISBLANK('1A'!F14),"##BLANK",'1A'!F14)</f>
        <v>-244.952</v>
      </c>
    </row>
    <row r="35" spans="2:6" ht="13.5" customHeight="1">
      <c r="B35" s="219" t="str">
        <f>'1A'!AA14</f>
        <v>A10009DSR</v>
      </c>
      <c r="C35" s="219" t="s">
        <v>3672</v>
      </c>
      <c r="E35" s="249" t="s">
        <v>3641</v>
      </c>
      <c r="F35" s="252">
        <f>IF(ISBLANK('1A'!G14),"##BLANK",'1A'!G14)</f>
        <v>-10.133999999999975</v>
      </c>
    </row>
    <row r="36" spans="2:6" ht="13.5" customHeight="1">
      <c r="B36" s="219" t="str">
        <f>'1A'!AB14</f>
        <v>A10009NA</v>
      </c>
      <c r="C36" s="219" t="s">
        <v>3673</v>
      </c>
      <c r="E36" s="249" t="s">
        <v>3641</v>
      </c>
      <c r="F36" s="252">
        <f>IF(ISBLANK('1A'!H14),"##BLANK",'1A'!H14)</f>
        <v>-4.3999999999999997E-2</v>
      </c>
    </row>
    <row r="37" spans="2:6" ht="13.5" customHeight="1">
      <c r="B37" s="219" t="str">
        <f>'1A'!AC14</f>
        <v>A10009ADJ</v>
      </c>
      <c r="C37" s="219" t="s">
        <v>3674</v>
      </c>
      <c r="E37" s="249" t="s">
        <v>3641</v>
      </c>
      <c r="F37" s="252">
        <f>IF(ISBLANK('1A'!I14),"##BLANK",'1A'!I14)</f>
        <v>-10.089999999999975</v>
      </c>
    </row>
    <row r="38" spans="2:6" ht="13.5" customHeight="1">
      <c r="B38" s="219" t="str">
        <f>'1A'!AD14</f>
        <v>A10009APP</v>
      </c>
      <c r="C38" s="219" t="s">
        <v>3675</v>
      </c>
      <c r="E38" s="249" t="s">
        <v>3641</v>
      </c>
      <c r="F38" s="252">
        <f>IF(ISBLANK('1A'!J14),"##BLANK",'1A'!J14)</f>
        <v>-255.04199999999997</v>
      </c>
    </row>
    <row r="39" spans="2:6" ht="13.5" customHeight="1">
      <c r="B39" s="219" t="str">
        <f>'1A'!Z15</f>
        <v>FT01641STAT</v>
      </c>
      <c r="C39" s="219" t="s">
        <v>3676</v>
      </c>
      <c r="E39" s="249" t="s">
        <v>3641</v>
      </c>
      <c r="F39" s="252">
        <f>IF(ISBLANK('1A'!F15),"##BLANK",'1A'!F15)</f>
        <v>0.84400000000000119</v>
      </c>
    </row>
    <row r="40" spans="2:6" ht="13.5" customHeight="1">
      <c r="B40" s="219" t="str">
        <f>'1A'!AA15</f>
        <v>FT01641DSR</v>
      </c>
      <c r="C40" s="219" t="s">
        <v>3677</v>
      </c>
      <c r="E40" s="249" t="s">
        <v>3641</v>
      </c>
      <c r="F40" s="252">
        <f>IF(ISBLANK('1A'!G15),"##BLANK",'1A'!G15)</f>
        <v>0</v>
      </c>
    </row>
    <row r="41" spans="2:6" ht="13.5" customHeight="1">
      <c r="B41" s="219" t="str">
        <f>'1A'!AB15</f>
        <v>FT01641NA</v>
      </c>
      <c r="C41" s="219" t="s">
        <v>3678</v>
      </c>
      <c r="E41" s="249" t="s">
        <v>3641</v>
      </c>
      <c r="F41" s="252">
        <f>IF(ISBLANK('1A'!H15),"##BLANK",'1A'!H15)</f>
        <v>1.5000000000000013E-2</v>
      </c>
    </row>
    <row r="42" spans="2:6" ht="13.5" customHeight="1">
      <c r="B42" s="219" t="str">
        <f>'1A'!AC15</f>
        <v>FT01641ADJ</v>
      </c>
      <c r="C42" s="219" t="s">
        <v>3679</v>
      </c>
      <c r="E42" s="249" t="s">
        <v>3641</v>
      </c>
      <c r="F42" s="252">
        <f>IF(ISBLANK('1A'!I15),"##BLANK",'1A'!I15)</f>
        <v>-1.5000000000000013E-2</v>
      </c>
    </row>
    <row r="43" spans="2:6" ht="13.5" customHeight="1">
      <c r="B43" s="219" t="str">
        <f>'1A'!AD15</f>
        <v>FT01641</v>
      </c>
      <c r="C43" s="219" t="s">
        <v>3680</v>
      </c>
      <c r="E43" s="249" t="s">
        <v>3641</v>
      </c>
      <c r="F43" s="252">
        <f>IF(ISBLANK('1A'!J15),"##BLANK",'1A'!J15)</f>
        <v>0.82900000000000118</v>
      </c>
    </row>
    <row r="44" spans="2:6" ht="13.5" customHeight="1">
      <c r="B44" s="219" t="str">
        <f>'1A'!Z16</f>
        <v>A10011STAT</v>
      </c>
      <c r="C44" s="219" t="s">
        <v>3681</v>
      </c>
      <c r="E44" s="249" t="s">
        <v>3641</v>
      </c>
      <c r="F44" s="252">
        <f>IF(ISBLANK('1A'!F16),"##BLANK",'1A'!F16)</f>
        <v>-31.218999999999959</v>
      </c>
    </row>
    <row r="45" spans="2:6" ht="13.5" customHeight="1">
      <c r="B45" s="219" t="str">
        <f>'1A'!AA16</f>
        <v>A10011DSR</v>
      </c>
      <c r="C45" s="219" t="s">
        <v>3682</v>
      </c>
      <c r="E45" s="249" t="s">
        <v>3641</v>
      </c>
      <c r="F45" s="252">
        <f>IF(ISBLANK('1A'!G16),"##BLANK",'1A'!G16)</f>
        <v>-8.9649999999999785</v>
      </c>
    </row>
    <row r="46" spans="2:6" ht="13.5" customHeight="1">
      <c r="B46" s="219" t="str">
        <f>'1A'!AB16</f>
        <v>A10011NA</v>
      </c>
      <c r="C46" s="219" t="s">
        <v>3683</v>
      </c>
      <c r="E46" s="249" t="s">
        <v>3641</v>
      </c>
      <c r="F46" s="252">
        <f>IF(ISBLANK('1A'!H16),"##BLANK",'1A'!H16)</f>
        <v>8.0250000000000021</v>
      </c>
    </row>
    <row r="47" spans="2:6" ht="13.5" customHeight="1">
      <c r="B47" s="219" t="str">
        <f>'1A'!AC16</f>
        <v>A10011ADJ</v>
      </c>
      <c r="C47" s="219" t="s">
        <v>3684</v>
      </c>
      <c r="E47" s="249" t="s">
        <v>3641</v>
      </c>
      <c r="F47" s="252">
        <f>IF(ISBLANK('1A'!I16),"##BLANK",'1A'!I16)</f>
        <v>-16.989999999999981</v>
      </c>
    </row>
    <row r="48" spans="2:6" ht="13.5" customHeight="1">
      <c r="B48" s="219" t="str">
        <f>'1A'!AD16</f>
        <v>A10011APP</v>
      </c>
      <c r="C48" s="219" t="s">
        <v>3685</v>
      </c>
      <c r="E48" s="249" t="s">
        <v>3641</v>
      </c>
      <c r="F48" s="252">
        <f>IF(ISBLANK('1A'!J16),"##BLANK",'1A'!J16)</f>
        <v>-48.208999999999939</v>
      </c>
    </row>
    <row r="49" spans="2:6" ht="13.5" customHeight="1">
      <c r="B49" s="219" t="str">
        <f>'1A'!Z17</f>
        <v>A10012STAT</v>
      </c>
      <c r="C49" s="219" t="s">
        <v>3686</v>
      </c>
      <c r="E49" s="249" t="s">
        <v>3641</v>
      </c>
      <c r="F49" s="252">
        <f>IF(ISBLANK('1A'!F17),"##BLANK",'1A'!F17)</f>
        <v>-17.920000000000002</v>
      </c>
    </row>
    <row r="50" spans="2:6" ht="13.5" customHeight="1">
      <c r="B50" s="219" t="str">
        <f>'1A'!AA17</f>
        <v>A10012DSR</v>
      </c>
      <c r="C50" s="219" t="s">
        <v>3687</v>
      </c>
      <c r="E50" s="249" t="s">
        <v>3641</v>
      </c>
      <c r="F50" s="252">
        <f>IF(ISBLANK('1A'!G17),"##BLANK",'1A'!G17)</f>
        <v>0</v>
      </c>
    </row>
    <row r="51" spans="2:6" ht="13.5" customHeight="1">
      <c r="B51" s="219" t="str">
        <f>'1A'!AB17</f>
        <v>A10012NA</v>
      </c>
      <c r="C51" s="219" t="s">
        <v>3688</v>
      </c>
      <c r="E51" s="249" t="s">
        <v>3641</v>
      </c>
      <c r="F51" s="252">
        <f>IF(ISBLANK('1A'!H17),"##BLANK",'1A'!H17)</f>
        <v>0</v>
      </c>
    </row>
    <row r="52" spans="2:6" ht="13.5" customHeight="1">
      <c r="B52" s="219" t="str">
        <f>'1A'!AC17</f>
        <v>A10012ADJ</v>
      </c>
      <c r="C52" s="219" t="s">
        <v>3689</v>
      </c>
      <c r="E52" s="249" t="s">
        <v>3641</v>
      </c>
      <c r="F52" s="252">
        <f>IF(ISBLANK('1A'!I17),"##BLANK",'1A'!I17)</f>
        <v>0</v>
      </c>
    </row>
    <row r="53" spans="2:6" ht="13.5" customHeight="1">
      <c r="B53" s="219" t="str">
        <f>'1A'!AD17</f>
        <v>A10012APP</v>
      </c>
      <c r="C53" s="219" t="s">
        <v>3690</v>
      </c>
      <c r="E53" s="249" t="s">
        <v>3641</v>
      </c>
      <c r="F53" s="252">
        <f>IF(ISBLANK('1A'!J17),"##BLANK",'1A'!J17)</f>
        <v>-17.920000000000002</v>
      </c>
    </row>
    <row r="54" spans="2:6" ht="13.5" customHeight="1">
      <c r="B54" s="219" t="str">
        <f>'1A'!Z18</f>
        <v>BO3305STAT</v>
      </c>
      <c r="C54" s="219" t="s">
        <v>3691</v>
      </c>
      <c r="E54" s="249" t="s">
        <v>3641</v>
      </c>
      <c r="F54" s="252">
        <f>IF(ISBLANK('1A'!F18),"##BLANK",'1A'!F18)</f>
        <v>-49.13899999999996</v>
      </c>
    </row>
    <row r="55" spans="2:6" ht="13.5" customHeight="1">
      <c r="B55" s="219" t="str">
        <f>'1A'!AA18</f>
        <v>BO3305DSR</v>
      </c>
      <c r="C55" s="219" t="s">
        <v>3692</v>
      </c>
      <c r="E55" s="249" t="s">
        <v>3641</v>
      </c>
      <c r="F55" s="252">
        <f>IF(ISBLANK('1A'!G18),"##BLANK",'1A'!G18)</f>
        <v>-8.9649999999999785</v>
      </c>
    </row>
    <row r="56" spans="2:6" ht="13.5" customHeight="1">
      <c r="B56" s="219" t="str">
        <f>'1A'!AB18</f>
        <v>BO3305NA</v>
      </c>
      <c r="C56" s="219" t="s">
        <v>3693</v>
      </c>
      <c r="E56" s="249" t="s">
        <v>3641</v>
      </c>
      <c r="F56" s="252">
        <f>IF(ISBLANK('1A'!H18),"##BLANK",'1A'!H18)</f>
        <v>8.0250000000000021</v>
      </c>
    </row>
    <row r="57" spans="2:6" ht="13.5" customHeight="1">
      <c r="B57" s="219" t="str">
        <f>'1A'!AC18</f>
        <v>BO3305ADJ</v>
      </c>
      <c r="C57" s="219" t="s">
        <v>3694</v>
      </c>
      <c r="E57" s="249" t="s">
        <v>3641</v>
      </c>
      <c r="F57" s="252">
        <f>IF(ISBLANK('1A'!I18),"##BLANK",'1A'!I18)</f>
        <v>-16.989999999999981</v>
      </c>
    </row>
    <row r="58" spans="2:6" ht="13.5" customHeight="1">
      <c r="B58" s="219" t="str">
        <f>'1A'!AD18</f>
        <v>BO3305</v>
      </c>
      <c r="C58" s="219" t="s">
        <v>3695</v>
      </c>
      <c r="E58" s="249" t="s">
        <v>3641</v>
      </c>
      <c r="F58" s="252">
        <f>IF(ISBLANK('1A'!J18),"##BLANK",'1A'!J18)</f>
        <v>-66.128999999999934</v>
      </c>
    </row>
    <row r="59" spans="2:6" ht="13.5" customHeight="1">
      <c r="B59" s="219" t="str">
        <f>'1A'!AC19</f>
        <v>BO3351ADJ</v>
      </c>
      <c r="C59" s="219" t="s">
        <v>3696</v>
      </c>
      <c r="E59" s="249" t="s">
        <v>3641</v>
      </c>
      <c r="F59" s="252">
        <f>IF(ISBLANK('1A'!I19),"##BLANK",'1A'!I19)</f>
        <v>0.72899999999999998</v>
      </c>
    </row>
    <row r="60" spans="2:6" ht="13.5" customHeight="1">
      <c r="B60" s="219" t="str">
        <f>'1A'!AD19</f>
        <v>BO3351</v>
      </c>
      <c r="C60" s="219" t="s">
        <v>3697</v>
      </c>
      <c r="E60" s="249" t="s">
        <v>3641</v>
      </c>
      <c r="F60" s="252">
        <f>IF(ISBLANK('1A'!J19),"##BLANK",'1A'!J19)</f>
        <v>-2.34</v>
      </c>
    </row>
    <row r="61" spans="2:6" ht="13.5" customHeight="1">
      <c r="B61" s="219" t="str">
        <f>'1A'!Z20</f>
        <v>BO3352STAT</v>
      </c>
      <c r="C61" s="219" t="s">
        <v>3698</v>
      </c>
      <c r="E61" s="249" t="s">
        <v>3641</v>
      </c>
      <c r="F61" s="252">
        <f>IF(ISBLANK('1A'!F20),"##BLANK",'1A'!F20)</f>
        <v>25.018000000000001</v>
      </c>
    </row>
    <row r="62" spans="2:6" ht="13.5" customHeight="1">
      <c r="B62" s="219" t="str">
        <f>'1A'!AA20</f>
        <v>BO3352DSR</v>
      </c>
      <c r="C62" s="219" t="s">
        <v>3699</v>
      </c>
      <c r="E62" s="249" t="s">
        <v>3641</v>
      </c>
      <c r="F62" s="252">
        <f>IF(ISBLANK('1A'!G20),"##BLANK",'1A'!G20)</f>
        <v>1.8360000000000001</v>
      </c>
    </row>
    <row r="63" spans="2:6" ht="13.5" customHeight="1">
      <c r="B63" s="219" t="str">
        <f>'1A'!AB20</f>
        <v>BO3352NA</v>
      </c>
      <c r="C63" s="219" t="s">
        <v>3700</v>
      </c>
      <c r="E63" s="249" t="s">
        <v>3641</v>
      </c>
      <c r="F63" s="252">
        <f>IF(ISBLANK('1A'!H20),"##BLANK",'1A'!H20)</f>
        <v>7.6999999999999999E-2</v>
      </c>
    </row>
    <row r="64" spans="2:6" ht="13.5" customHeight="1">
      <c r="B64" s="219" t="str">
        <f>'1A'!AC20</f>
        <v>BO3352ADJ</v>
      </c>
      <c r="C64" s="219" t="s">
        <v>3701</v>
      </c>
      <c r="E64" s="249" t="s">
        <v>3641</v>
      </c>
      <c r="F64" s="252">
        <f>IF(ISBLANK('1A'!I20),"##BLANK",'1A'!I20)</f>
        <v>1.7590000000000001</v>
      </c>
    </row>
    <row r="65" spans="2:6" ht="13.5" customHeight="1">
      <c r="B65" s="219" t="str">
        <f>'1A'!AD20</f>
        <v>BO3352</v>
      </c>
      <c r="C65" s="219" t="s">
        <v>3702</v>
      </c>
      <c r="E65" s="249" t="s">
        <v>3641</v>
      </c>
      <c r="F65" s="252">
        <f>IF(ISBLANK('1A'!J20),"##BLANK",'1A'!J20)</f>
        <v>26.777000000000001</v>
      </c>
    </row>
    <row r="66" spans="2:6" ht="13.5" customHeight="1">
      <c r="B66" s="219" t="str">
        <f>'1A'!Z21</f>
        <v>BO2530STAT</v>
      </c>
      <c r="C66" s="219" t="s">
        <v>3703</v>
      </c>
      <c r="E66" s="249" t="s">
        <v>3641</v>
      </c>
      <c r="F66" s="252">
        <f>IF(ISBLANK('1A'!F21),"##BLANK",'1A'!F21)</f>
        <v>-27.189999999999962</v>
      </c>
    </row>
    <row r="67" spans="2:6" ht="13.5" customHeight="1">
      <c r="B67" s="219" t="str">
        <f>'1A'!AA21</f>
        <v>BO2530DSR</v>
      </c>
      <c r="C67" s="219" t="s">
        <v>3704</v>
      </c>
      <c r="E67" s="249" t="s">
        <v>3641</v>
      </c>
      <c r="F67" s="252">
        <f>IF(ISBLANK('1A'!G21),"##BLANK",'1A'!G21)</f>
        <v>-6.8209999999999784</v>
      </c>
    </row>
    <row r="68" spans="2:6" ht="13.5" customHeight="1">
      <c r="B68" s="219" t="str">
        <f>'1A'!AB21</f>
        <v>BO2530NA</v>
      </c>
      <c r="C68" s="219" t="s">
        <v>3705</v>
      </c>
      <c r="E68" s="249" t="s">
        <v>3641</v>
      </c>
      <c r="F68" s="252">
        <f>IF(ISBLANK('1A'!H21),"##BLANK",'1A'!H21)</f>
        <v>7.6810000000000018</v>
      </c>
    </row>
    <row r="69" spans="2:6" ht="13.5" customHeight="1">
      <c r="B69" s="219" t="str">
        <f>'1A'!AC21</f>
        <v>BO2530ADJ</v>
      </c>
      <c r="C69" s="219" t="s">
        <v>3706</v>
      </c>
      <c r="E69" s="249" t="s">
        <v>3641</v>
      </c>
      <c r="F69" s="252">
        <f>IF(ISBLANK('1A'!I21),"##BLANK",'1A'!I21)</f>
        <v>-14.501999999999981</v>
      </c>
    </row>
    <row r="70" spans="2:6" ht="13.5" customHeight="1">
      <c r="B70" s="219" t="str">
        <f>'1A'!AD21</f>
        <v>BO2530</v>
      </c>
      <c r="C70" s="219" t="s">
        <v>3707</v>
      </c>
      <c r="E70" s="249" t="s">
        <v>3641</v>
      </c>
      <c r="F70" s="252">
        <f>IF(ISBLANK('1A'!J21),"##BLANK",'1A'!J21)</f>
        <v>-41.691999999999943</v>
      </c>
    </row>
    <row r="71" spans="2:6" ht="13.5" customHeight="1">
      <c r="B71" s="219" t="str">
        <f>'1A'!Z22</f>
        <v>BO3402STAT</v>
      </c>
      <c r="C71" s="219" t="s">
        <v>3708</v>
      </c>
      <c r="E71" s="249" t="s">
        <v>3641</v>
      </c>
      <c r="F71" s="252">
        <f>IF(ISBLANK('1A'!F22),"##BLANK",'1A'!F22)</f>
        <v>-110.8</v>
      </c>
    </row>
    <row r="72" spans="2:6" ht="13.5" customHeight="1">
      <c r="B72" s="219" t="str">
        <f>'1A'!AA22</f>
        <v>BO3402DSR</v>
      </c>
      <c r="C72" s="219" t="s">
        <v>3709</v>
      </c>
      <c r="E72" s="249" t="s">
        <v>3641</v>
      </c>
      <c r="F72" s="252">
        <f>IF(ISBLANK('1A'!G22),"##BLANK",'1A'!G22)</f>
        <v>0</v>
      </c>
    </row>
    <row r="73" spans="2:6" ht="13.5" customHeight="1">
      <c r="B73" s="219" t="str">
        <f>'1A'!AB22</f>
        <v>BO3402NA</v>
      </c>
      <c r="C73" s="219" t="s">
        <v>3710</v>
      </c>
      <c r="E73" s="249" t="s">
        <v>3641</v>
      </c>
      <c r="F73" s="252">
        <f>IF(ISBLANK('1A'!H22),"##BLANK",'1A'!H22)</f>
        <v>0</v>
      </c>
    </row>
    <row r="74" spans="2:6" ht="13.5" customHeight="1">
      <c r="B74" s="219" t="str">
        <f>'1A'!AC22</f>
        <v>BO3402ADJ</v>
      </c>
      <c r="C74" s="219" t="s">
        <v>3711</v>
      </c>
      <c r="E74" s="249" t="s">
        <v>3641</v>
      </c>
      <c r="F74" s="252">
        <f>IF(ISBLANK('1A'!I22),"##BLANK",'1A'!I22)</f>
        <v>0</v>
      </c>
    </row>
    <row r="75" spans="2:6" ht="13.5" customHeight="1">
      <c r="B75" s="219" t="str">
        <f>'1A'!AD22</f>
        <v>BO3402</v>
      </c>
      <c r="C75" s="219" t="s">
        <v>3712</v>
      </c>
      <c r="E75" s="249" t="s">
        <v>3641</v>
      </c>
      <c r="F75" s="252">
        <f>IF(ISBLANK('1A'!J22),"##BLANK",'1A'!J22)</f>
        <v>-110.8</v>
      </c>
    </row>
    <row r="76" spans="2:6" ht="13.5" customHeight="1">
      <c r="B76" s="219" t="str">
        <f>'1A'!Z25</f>
        <v>BO3354STAT</v>
      </c>
      <c r="C76" s="219" t="s">
        <v>3713</v>
      </c>
      <c r="E76" s="249" t="s">
        <v>3641</v>
      </c>
      <c r="F76" s="252">
        <f>IF(ISBLANK('1A'!F25),"##BLANK",'1A'!F25)</f>
        <v>4.7690000000000001</v>
      </c>
    </row>
    <row r="77" spans="2:6" ht="13.5" customHeight="1">
      <c r="B77" s="219" t="str">
        <f>'1A'!AA25</f>
        <v>BO3354DSR</v>
      </c>
      <c r="C77" s="219" t="s">
        <v>3714</v>
      </c>
      <c r="E77" s="249" t="s">
        <v>3641</v>
      </c>
      <c r="F77" s="252">
        <f>IF(ISBLANK('1A'!G25),"##BLANK",'1A'!G25)</f>
        <v>-0.308</v>
      </c>
    </row>
    <row r="78" spans="2:6" ht="13.5" customHeight="1">
      <c r="B78" s="219" t="str">
        <f>'1A'!AB25</f>
        <v>BO3354NA</v>
      </c>
      <c r="C78" s="219" t="s">
        <v>3715</v>
      </c>
      <c r="E78" s="249" t="s">
        <v>3641</v>
      </c>
      <c r="F78" s="252">
        <f>IF(ISBLANK('1A'!H25),"##BLANK",'1A'!H25)</f>
        <v>0.42099999999999999</v>
      </c>
    </row>
    <row r="79" spans="2:6" ht="13.5" customHeight="1">
      <c r="B79" s="219" t="str">
        <f>'1A'!AC25</f>
        <v>BO3354ADJ</v>
      </c>
      <c r="C79" s="219" t="s">
        <v>3716</v>
      </c>
      <c r="E79" s="249" t="s">
        <v>3641</v>
      </c>
      <c r="F79" s="252">
        <f>IF(ISBLANK('1A'!I25),"##BLANK",'1A'!I25)</f>
        <v>-0.72899999999999998</v>
      </c>
    </row>
    <row r="80" spans="2:6" ht="13.5" customHeight="1">
      <c r="B80" s="219" t="str">
        <f>'1A'!AD25</f>
        <v>BO3354</v>
      </c>
      <c r="C80" s="219" t="s">
        <v>3717</v>
      </c>
      <c r="E80" s="249" t="s">
        <v>3641</v>
      </c>
      <c r="F80" s="252">
        <f>IF(ISBLANK('1A'!J25),"##BLANK",'1A'!J25)</f>
        <v>4.04</v>
      </c>
    </row>
    <row r="81" spans="2:6" ht="13.5" customHeight="1">
      <c r="B81" s="219" t="str">
        <f>'1A'!Z26</f>
        <v>BO3355STAT</v>
      </c>
      <c r="C81" s="219" t="s">
        <v>3718</v>
      </c>
      <c r="E81" s="249" t="s">
        <v>3641</v>
      </c>
      <c r="F81" s="252">
        <f>IF(ISBLANK('1A'!F26),"##BLANK",'1A'!F26)</f>
        <v>-1.7000000000000002</v>
      </c>
    </row>
    <row r="82" spans="2:6" ht="13.5" customHeight="1">
      <c r="B82" s="219" t="str">
        <f>'1A'!AA26</f>
        <v>BO3355DSR</v>
      </c>
      <c r="C82" s="219" t="s">
        <v>3719</v>
      </c>
      <c r="E82" s="249" t="s">
        <v>3641</v>
      </c>
      <c r="F82" s="252">
        <f>IF(ISBLANK('1A'!G26),"##BLANK",'1A'!G26)</f>
        <v>0</v>
      </c>
    </row>
    <row r="83" spans="2:6" ht="13.5" customHeight="1">
      <c r="B83" s="219" t="str">
        <f>'1A'!AB26</f>
        <v>BO3355NA</v>
      </c>
      <c r="C83" s="219" t="s">
        <v>3720</v>
      </c>
      <c r="E83" s="249" t="s">
        <v>3641</v>
      </c>
      <c r="F83" s="252">
        <f>IF(ISBLANK('1A'!H26),"##BLANK",'1A'!H26)</f>
        <v>0</v>
      </c>
    </row>
    <row r="84" spans="2:6" ht="13.5" customHeight="1">
      <c r="B84" s="219" t="str">
        <f>'1A'!AC26</f>
        <v>BO3355ADJ</v>
      </c>
      <c r="C84" s="219" t="s">
        <v>3721</v>
      </c>
      <c r="E84" s="249" t="s">
        <v>3641</v>
      </c>
      <c r="F84" s="252">
        <f>IF(ISBLANK('1A'!I26),"##BLANK",'1A'!I26)</f>
        <v>0</v>
      </c>
    </row>
    <row r="85" spans="2:6" ht="13.5" customHeight="1">
      <c r="B85" s="219" t="str">
        <f>'1A'!AD26</f>
        <v>BO3355</v>
      </c>
      <c r="C85" s="219" t="s">
        <v>3722</v>
      </c>
      <c r="E85" s="249" t="s">
        <v>3641</v>
      </c>
      <c r="F85" s="252">
        <f>IF(ISBLANK('1A'!J26),"##BLANK",'1A'!J26)</f>
        <v>-1.7000000000000002</v>
      </c>
    </row>
    <row r="86" spans="2:6" ht="13.5" customHeight="1">
      <c r="B86" s="219" t="str">
        <f>'1A'!Z27</f>
        <v>BO3353STAT</v>
      </c>
      <c r="C86" s="219" t="s">
        <v>3723</v>
      </c>
      <c r="E86" s="249" t="s">
        <v>3641</v>
      </c>
      <c r="F86" s="252">
        <f>IF(ISBLANK('1A'!F27),"##BLANK",'1A'!F27)</f>
        <v>3.069</v>
      </c>
    </row>
    <row r="87" spans="2:6" ht="13.5" customHeight="1">
      <c r="B87" s="219" t="str">
        <f>'1A'!AA27</f>
        <v>BO3353DSR</v>
      </c>
      <c r="C87" s="219" t="s">
        <v>3724</v>
      </c>
      <c r="E87" s="249" t="s">
        <v>3641</v>
      </c>
      <c r="F87" s="252">
        <f>IF(ISBLANK('1A'!G27),"##BLANK",'1A'!G27)</f>
        <v>-0.308</v>
      </c>
    </row>
    <row r="88" spans="2:6" ht="13.5" customHeight="1">
      <c r="B88" s="219" t="str">
        <f>'1A'!AB27</f>
        <v>BO3353NA</v>
      </c>
      <c r="C88" s="219" t="s">
        <v>3725</v>
      </c>
      <c r="E88" s="249" t="s">
        <v>3641</v>
      </c>
      <c r="F88" s="252">
        <f>IF(ISBLANK('1A'!H27),"##BLANK",'1A'!H27)</f>
        <v>0.42099999999999999</v>
      </c>
    </row>
    <row r="89" spans="2:6" ht="13.5" customHeight="1">
      <c r="B89" s="219" t="str">
        <f>'1A'!AC27</f>
        <v>BO3353ADJ</v>
      </c>
      <c r="C89" s="219" t="s">
        <v>3726</v>
      </c>
      <c r="E89" s="249" t="s">
        <v>3641</v>
      </c>
      <c r="F89" s="252">
        <f>IF(ISBLANK('1A'!I27),"##BLANK",'1A'!I27)</f>
        <v>-0.72899999999999998</v>
      </c>
    </row>
    <row r="90" spans="2:6" ht="13.5" customHeight="1">
      <c r="B90" s="219" t="str">
        <f>'1A'!AD27</f>
        <v>BO3353</v>
      </c>
      <c r="C90" s="219" t="s">
        <v>3727</v>
      </c>
      <c r="E90" s="249" t="s">
        <v>3641</v>
      </c>
      <c r="F90" s="252">
        <f>IF(ISBLANK('1A'!J27),"##BLANK",'1A'!J27)</f>
        <v>2.34</v>
      </c>
    </row>
    <row r="91" spans="2:6" ht="13.5" customHeight="1">
      <c r="B91" s="219" t="str">
        <f>'1A'!AB30</f>
        <v>BO1180NAIS</v>
      </c>
      <c r="C91" s="219" t="s">
        <v>3728</v>
      </c>
      <c r="E91" s="249" t="s">
        <v>3641</v>
      </c>
      <c r="F91" s="252">
        <f>IF(ISBLANK('1A'!H30),"##BLANK",'1A'!H30)</f>
        <v>0</v>
      </c>
    </row>
    <row r="92" spans="2:6" ht="13.5" customHeight="1">
      <c r="B92" s="219" t="str">
        <f>'1A'!AB31</f>
        <v>BO1180NATW</v>
      </c>
      <c r="C92" s="219" t="s">
        <v>3729</v>
      </c>
      <c r="E92" s="249" t="s">
        <v>3641</v>
      </c>
      <c r="F92" s="252">
        <f>IF(ISBLANK('1A'!H31),"##BLANK",'1A'!H31)</f>
        <v>2.4710000000000001</v>
      </c>
    </row>
    <row r="93" spans="2:6" ht="13.5" customHeight="1">
      <c r="B93" s="219" t="str">
        <f>'1A'!AB32</f>
        <v>BO1180NAO</v>
      </c>
      <c r="C93" s="219" t="s">
        <v>3730</v>
      </c>
      <c r="E93" s="249" t="s">
        <v>3641</v>
      </c>
      <c r="F93" s="252">
        <f>IF(ISBLANK('1A'!H32),"##BLANK",'1A'!H32)</f>
        <v>32.272999999999996</v>
      </c>
    </row>
    <row r="94" spans="2:6" ht="13.5" customHeight="1">
      <c r="B94" s="219" t="str">
        <f>'1A'!AB33</f>
        <v>BO1180NAT</v>
      </c>
      <c r="C94" s="219" t="s">
        <v>3731</v>
      </c>
      <c r="E94" s="249" t="s">
        <v>3641</v>
      </c>
      <c r="F94" s="252">
        <f>IF(ISBLANK('1A'!H33),"##BLANK",'1A'!H33)</f>
        <v>34.744</v>
      </c>
    </row>
    <row r="95" spans="2:6" ht="13.5" customHeight="1">
      <c r="B95" s="219" t="str">
        <f>'1B'!Z9</f>
        <v>BO2550STAT</v>
      </c>
      <c r="C95" s="219" t="s">
        <v>3732</v>
      </c>
      <c r="E95" s="249" t="s">
        <v>3641</v>
      </c>
      <c r="F95" s="252">
        <f>IF(ISBLANK('1B'!F9),"##BLANK",'1B'!F9)</f>
        <v>-31.445</v>
      </c>
    </row>
    <row r="96" spans="2:6" ht="13.5" customHeight="1">
      <c r="B96" s="219" t="str">
        <f>'1B'!AA9</f>
        <v>BO2550DSR</v>
      </c>
      <c r="C96" s="219" t="s">
        <v>3733</v>
      </c>
      <c r="E96" s="249" t="s">
        <v>3641</v>
      </c>
      <c r="F96" s="252">
        <f>IF(ISBLANK('1B'!G9),"##BLANK",'1B'!G9)</f>
        <v>0</v>
      </c>
    </row>
    <row r="97" spans="2:6" ht="13.5" customHeight="1">
      <c r="B97" s="219" t="str">
        <f>'1B'!AB9</f>
        <v>BO2550NA</v>
      </c>
      <c r="C97" s="219" t="s">
        <v>3734</v>
      </c>
      <c r="E97" s="249" t="s">
        <v>3641</v>
      </c>
      <c r="F97" s="252">
        <f>IF(ISBLANK('1B'!H9),"##BLANK",'1B'!H9)</f>
        <v>-3.4999999999999698E-2</v>
      </c>
    </row>
    <row r="98" spans="2:6" ht="13.5" customHeight="1">
      <c r="B98" s="219" t="str">
        <f>'1B'!AC9</f>
        <v>BO2550ADJ</v>
      </c>
      <c r="C98" s="219" t="s">
        <v>3735</v>
      </c>
      <c r="E98" s="249" t="s">
        <v>3641</v>
      </c>
      <c r="F98" s="252">
        <f>IF(ISBLANK('1B'!I9),"##BLANK",'1B'!I9)</f>
        <v>3.4999999999999698E-2</v>
      </c>
    </row>
    <row r="99" spans="2:6" ht="13.5" customHeight="1">
      <c r="B99" s="219" t="str">
        <f>'1B'!AD9</f>
        <v>BO2550</v>
      </c>
      <c r="C99" s="219" t="s">
        <v>3736</v>
      </c>
      <c r="E99" s="249" t="s">
        <v>3641</v>
      </c>
      <c r="F99" s="252">
        <f>IF(ISBLANK('1B'!J9),"##BLANK",'1B'!J9)</f>
        <v>-31.41</v>
      </c>
    </row>
    <row r="100" spans="2:6" ht="13.5" customHeight="1">
      <c r="B100" s="219" t="str">
        <f>'1B'!Z10</f>
        <v>BO2553STAT</v>
      </c>
      <c r="C100" s="219" t="s">
        <v>3737</v>
      </c>
      <c r="E100" s="249" t="s">
        <v>3641</v>
      </c>
      <c r="F100" s="252">
        <f>IF(ISBLANK('1B'!F10),"##BLANK",'1B'!F10)</f>
        <v>-2.6349999999999998</v>
      </c>
    </row>
    <row r="101" spans="2:6" ht="13.5" customHeight="1">
      <c r="B101" s="219" t="str">
        <f>'1B'!AA10</f>
        <v>BO2553DSR</v>
      </c>
      <c r="C101" s="219" t="s">
        <v>3738</v>
      </c>
      <c r="E101" s="249" t="s">
        <v>3641</v>
      </c>
      <c r="F101" s="252">
        <f>IF(ISBLANK('1B'!G10),"##BLANK",'1B'!G10)</f>
        <v>0</v>
      </c>
    </row>
    <row r="102" spans="2:6" ht="13.5" customHeight="1">
      <c r="B102" s="219" t="str">
        <f>'1B'!AB10</f>
        <v>BO2553NA</v>
      </c>
      <c r="C102" s="219" t="s">
        <v>3739</v>
      </c>
      <c r="E102" s="249" t="s">
        <v>3641</v>
      </c>
      <c r="F102" s="252">
        <f>IF(ISBLANK('1B'!H10),"##BLANK",'1B'!H10)</f>
        <v>0</v>
      </c>
    </row>
    <row r="103" spans="2:6" ht="13.5" customHeight="1">
      <c r="B103" s="219" t="str">
        <f>'1B'!AC10</f>
        <v>BO2553ADJ</v>
      </c>
      <c r="C103" s="219" t="s">
        <v>3740</v>
      </c>
      <c r="E103" s="249" t="s">
        <v>3641</v>
      </c>
      <c r="F103" s="252">
        <f>IF(ISBLANK('1B'!I10),"##BLANK",'1B'!I10)</f>
        <v>0</v>
      </c>
    </row>
    <row r="104" spans="2:6" ht="13.5" customHeight="1">
      <c r="B104" s="219" t="str">
        <f>'1B'!AD10</f>
        <v>BO2553</v>
      </c>
      <c r="C104" s="219" t="s">
        <v>3741</v>
      </c>
      <c r="E104" s="249" t="s">
        <v>3641</v>
      </c>
      <c r="F104" s="252">
        <f>IF(ISBLANK('1B'!J10),"##BLANK",'1B'!J10)</f>
        <v>-2.6349999999999998</v>
      </c>
    </row>
    <row r="105" spans="2:6" ht="13.5" customHeight="1">
      <c r="B105" s="219" t="str">
        <f>'1B'!Z11</f>
        <v>BO2554STAT</v>
      </c>
      <c r="C105" s="219" t="s">
        <v>3742</v>
      </c>
      <c r="E105" s="249" t="s">
        <v>3641</v>
      </c>
      <c r="F105" s="252">
        <f>IF(ISBLANK('1B'!F11),"##BLANK",'1B'!F11)</f>
        <v>-61.26999999999996</v>
      </c>
    </row>
    <row r="106" spans="2:6" ht="13.5" customHeight="1">
      <c r="B106" s="219" t="str">
        <f>'1B'!AA11</f>
        <v>BO2554DSR</v>
      </c>
      <c r="C106" s="219" t="s">
        <v>3743</v>
      </c>
      <c r="E106" s="249" t="s">
        <v>3641</v>
      </c>
      <c r="F106" s="252">
        <f>IF(ISBLANK('1B'!G11),"##BLANK",'1B'!G11)</f>
        <v>-6.8209999999999784</v>
      </c>
    </row>
    <row r="107" spans="2:6" ht="13.5" customHeight="1">
      <c r="B107" s="219" t="str">
        <f>'1B'!AB11</f>
        <v>BO2554NA</v>
      </c>
      <c r="C107" s="219" t="s">
        <v>3744</v>
      </c>
      <c r="E107" s="249" t="s">
        <v>3641</v>
      </c>
      <c r="F107" s="252">
        <f>IF(ISBLANK('1B'!H11),"##BLANK",'1B'!H11)</f>
        <v>7.6460000000000026</v>
      </c>
    </row>
    <row r="108" spans="2:6" ht="13.5" customHeight="1">
      <c r="B108" s="219" t="str">
        <f>'1B'!AC11</f>
        <v>BO2554ADJ</v>
      </c>
      <c r="C108" s="219" t="s">
        <v>3745</v>
      </c>
      <c r="E108" s="249" t="s">
        <v>3641</v>
      </c>
      <c r="F108" s="252">
        <f>IF(ISBLANK('1B'!I11),"##BLANK",'1B'!I11)</f>
        <v>-14.466999999999981</v>
      </c>
    </row>
    <row r="109" spans="2:6" ht="13.5" customHeight="1">
      <c r="B109" s="219" t="str">
        <f>'1B'!AD11</f>
        <v>BO2554</v>
      </c>
      <c r="C109" s="219" t="s">
        <v>3746</v>
      </c>
      <c r="E109" s="249" t="s">
        <v>3641</v>
      </c>
      <c r="F109" s="252">
        <f>IF(ISBLANK('1B'!J11),"##BLANK",'1B'!J11)</f>
        <v>-75.736999999999938</v>
      </c>
    </row>
    <row r="110" spans="2:6" ht="13.5" customHeight="1">
      <c r="B110" s="219" t="str">
        <f>'1C'!Z9</f>
        <v>BO4008STAT</v>
      </c>
      <c r="C110" s="219" t="s">
        <v>3747</v>
      </c>
      <c r="E110" s="249" t="s">
        <v>3641</v>
      </c>
      <c r="F110" s="252">
        <f>IF(ISBLANK('1C'!F9),"##BLANK",'1C'!F9)</f>
        <v>4998.1569999999992</v>
      </c>
    </row>
    <row r="111" spans="2:6" ht="13.5" customHeight="1">
      <c r="B111" s="219" t="str">
        <f>'1C'!AA9</f>
        <v>BO4008DSR</v>
      </c>
      <c r="C111" s="219" t="s">
        <v>3748</v>
      </c>
      <c r="E111" s="249" t="s">
        <v>3641</v>
      </c>
      <c r="F111" s="252">
        <f>IF(ISBLANK('1C'!G9),"##BLANK",'1C'!G9)</f>
        <v>-69.570999999999998</v>
      </c>
    </row>
    <row r="112" spans="2:6" ht="13.5" customHeight="1">
      <c r="B112" s="219" t="str">
        <f>'1C'!AB9</f>
        <v>BO4008NA</v>
      </c>
      <c r="C112" s="219" t="s">
        <v>3749</v>
      </c>
      <c r="E112" s="249" t="s">
        <v>3641</v>
      </c>
      <c r="F112" s="252">
        <f>IF(ISBLANK('1C'!H9),"##BLANK",'1C'!H9)</f>
        <v>103.74199999999999</v>
      </c>
    </row>
    <row r="113" spans="2:6" ht="13.5" customHeight="1">
      <c r="B113" s="219" t="str">
        <f>'1C'!AC9</f>
        <v>BO4008ADJ</v>
      </c>
      <c r="C113" s="219" t="s">
        <v>3750</v>
      </c>
      <c r="E113" s="249" t="s">
        <v>3641</v>
      </c>
      <c r="F113" s="252">
        <f>IF(ISBLANK('1C'!I9),"##BLANK",'1C'!I9)</f>
        <v>-173.31299999999999</v>
      </c>
    </row>
    <row r="114" spans="2:6" ht="13.5" customHeight="1">
      <c r="B114" s="219" t="str">
        <f>'1C'!AD9</f>
        <v>BO4008</v>
      </c>
      <c r="C114" s="219" t="s">
        <v>3751</v>
      </c>
      <c r="E114" s="249" t="s">
        <v>3641</v>
      </c>
      <c r="F114" s="252">
        <f>IF(ISBLANK('1C'!J9),"##BLANK",'1C'!J9)</f>
        <v>4824.8439999999991</v>
      </c>
    </row>
    <row r="115" spans="2:6" ht="13.5" customHeight="1">
      <c r="B115" s="219" t="str">
        <f>'1C'!Z10</f>
        <v>A11002STAT</v>
      </c>
      <c r="C115" s="219" t="s">
        <v>3752</v>
      </c>
      <c r="E115" s="249" t="s">
        <v>3641</v>
      </c>
      <c r="F115" s="252">
        <f>IF(ISBLANK('1C'!F10),"##BLANK",'1C'!F10)</f>
        <v>54.993000000000009</v>
      </c>
    </row>
    <row r="116" spans="2:6" ht="13.5" customHeight="1">
      <c r="B116" s="219" t="str">
        <f>'1C'!AA10</f>
        <v>A11002DSR</v>
      </c>
      <c r="C116" s="219" t="s">
        <v>3753</v>
      </c>
      <c r="E116" s="249" t="s">
        <v>3641</v>
      </c>
      <c r="F116" s="252">
        <f>IF(ISBLANK('1C'!G10),"##BLANK",'1C'!G10)</f>
        <v>-2.6629999999999998</v>
      </c>
    </row>
    <row r="117" spans="2:6" ht="13.5" customHeight="1">
      <c r="B117" s="219" t="str">
        <f>'1C'!AB10</f>
        <v>A11002NA</v>
      </c>
      <c r="C117" s="219" t="s">
        <v>3754</v>
      </c>
      <c r="E117" s="249" t="s">
        <v>3641</v>
      </c>
      <c r="F117" s="252">
        <f>IF(ISBLANK('1C'!H10),"##BLANK",'1C'!H10)</f>
        <v>0.11699999999999999</v>
      </c>
    </row>
    <row r="118" spans="2:6" ht="13.5" customHeight="1">
      <c r="B118" s="219" t="str">
        <f>'1C'!AC10</f>
        <v>A11002ADJ</v>
      </c>
      <c r="C118" s="219" t="s">
        <v>3755</v>
      </c>
      <c r="E118" s="249" t="s">
        <v>3641</v>
      </c>
      <c r="F118" s="252">
        <f>IF(ISBLANK('1C'!I10),"##BLANK",'1C'!I10)</f>
        <v>-2.78</v>
      </c>
    </row>
    <row r="119" spans="2:6" ht="13.5" customHeight="1">
      <c r="B119" s="219" t="str">
        <f>'1C'!AD10</f>
        <v>A11002</v>
      </c>
      <c r="C119" s="219" t="s">
        <v>3756</v>
      </c>
      <c r="E119" s="249" t="s">
        <v>3641</v>
      </c>
      <c r="F119" s="252">
        <f>IF(ISBLANK('1C'!J10),"##BLANK",'1C'!J10)</f>
        <v>52.213000000000008</v>
      </c>
    </row>
    <row r="120" spans="2:6" ht="13.5" customHeight="1">
      <c r="B120" s="219" t="str">
        <f>'1C'!Z11</f>
        <v>FT01670STAT</v>
      </c>
      <c r="C120" s="219" t="s">
        <v>3757</v>
      </c>
      <c r="E120" s="249" t="s">
        <v>3641</v>
      </c>
      <c r="F120" s="252">
        <f>IF(ISBLANK('1C'!F11),"##BLANK",'1C'!F11)</f>
        <v>1.8960000000000001</v>
      </c>
    </row>
    <row r="121" spans="2:6" ht="13.5" customHeight="1">
      <c r="B121" s="219" t="str">
        <f>'1C'!AA11</f>
        <v>FT01670DSR</v>
      </c>
      <c r="C121" s="219" t="s">
        <v>3758</v>
      </c>
      <c r="E121" s="249" t="s">
        <v>3641</v>
      </c>
      <c r="F121" s="252">
        <f>IF(ISBLANK('1C'!G11),"##BLANK",'1C'!G11)</f>
        <v>0</v>
      </c>
    </row>
    <row r="122" spans="2:6" ht="13.5" customHeight="1">
      <c r="B122" s="219" t="str">
        <f>'1C'!AB11</f>
        <v>FT01670NA</v>
      </c>
      <c r="C122" s="219" t="s">
        <v>3759</v>
      </c>
      <c r="E122" s="249" t="s">
        <v>3641</v>
      </c>
      <c r="F122" s="252">
        <f>IF(ISBLANK('1C'!H11),"##BLANK",'1C'!H11)</f>
        <v>1.8959999999999999</v>
      </c>
    </row>
    <row r="123" spans="2:6" ht="13.5" customHeight="1">
      <c r="B123" s="219" t="str">
        <f>'1C'!AC11</f>
        <v>FT01670ADJ</v>
      </c>
      <c r="C123" s="219" t="s">
        <v>3760</v>
      </c>
      <c r="E123" s="249" t="s">
        <v>3641</v>
      </c>
      <c r="F123" s="252">
        <f>IF(ISBLANK('1C'!I11),"##BLANK",'1C'!I11)</f>
        <v>-1.8959999999999999</v>
      </c>
    </row>
    <row r="124" spans="2:6" ht="13.5" customHeight="1">
      <c r="B124" s="219" t="str">
        <f>'1C'!AD11</f>
        <v>FT01670</v>
      </c>
      <c r="C124" s="219" t="s">
        <v>3761</v>
      </c>
      <c r="E124" s="249" t="s">
        <v>3641</v>
      </c>
      <c r="F124" s="252">
        <f>IF(ISBLANK('1C'!J11),"##BLANK",'1C'!J11)</f>
        <v>2.2204460492503131E-16</v>
      </c>
    </row>
    <row r="125" spans="2:6" ht="13.5" customHeight="1">
      <c r="B125" s="219" t="str">
        <f>'1C'!Z12</f>
        <v>FT01680STAT</v>
      </c>
      <c r="C125" s="219" t="s">
        <v>3762</v>
      </c>
      <c r="E125" s="249" t="s">
        <v>3641</v>
      </c>
      <c r="F125" s="252">
        <f>IF(ISBLANK('1C'!F12),"##BLANK",'1C'!F12)</f>
        <v>5.0999999999999997E-2</v>
      </c>
    </row>
    <row r="126" spans="2:6" ht="13.5" customHeight="1">
      <c r="B126" s="219" t="str">
        <f>'1C'!AA12</f>
        <v>FT01680DSR</v>
      </c>
      <c r="C126" s="219" t="s">
        <v>3763</v>
      </c>
      <c r="E126" s="249" t="s">
        <v>3641</v>
      </c>
      <c r="F126" s="252">
        <f>IF(ISBLANK('1C'!G12),"##BLANK",'1C'!G12)</f>
        <v>0</v>
      </c>
    </row>
    <row r="127" spans="2:6" ht="13.5" customHeight="1">
      <c r="B127" s="219" t="str">
        <f>'1C'!AB12</f>
        <v>FT01680NA</v>
      </c>
      <c r="C127" s="219" t="s">
        <v>3764</v>
      </c>
      <c r="E127" s="249" t="s">
        <v>3641</v>
      </c>
      <c r="F127" s="252">
        <f>IF(ISBLANK('1C'!H12),"##BLANK",'1C'!H12)</f>
        <v>0</v>
      </c>
    </row>
    <row r="128" spans="2:6" ht="13.5" customHeight="1">
      <c r="B128" s="219" t="str">
        <f>'1C'!AC12</f>
        <v>FT01680ADJ</v>
      </c>
      <c r="C128" s="219" t="s">
        <v>3765</v>
      </c>
      <c r="E128" s="249" t="s">
        <v>3641</v>
      </c>
      <c r="F128" s="252">
        <f>IF(ISBLANK('1C'!I12),"##BLANK",'1C'!I12)</f>
        <v>0</v>
      </c>
    </row>
    <row r="129" spans="2:6" ht="13.5" customHeight="1">
      <c r="B129" s="219" t="str">
        <f>'1C'!AD12</f>
        <v>FT01680</v>
      </c>
      <c r="C129" s="219" t="s">
        <v>3766</v>
      </c>
      <c r="E129" s="249" t="s">
        <v>3641</v>
      </c>
      <c r="F129" s="252">
        <f>IF(ISBLANK('1C'!J12),"##BLANK",'1C'!J12)</f>
        <v>5.0999999999999997E-2</v>
      </c>
    </row>
    <row r="130" spans="2:6" ht="13.5" customHeight="1">
      <c r="B130" s="219" t="str">
        <f>'1C'!Z13</f>
        <v>A11005STAT</v>
      </c>
      <c r="C130" s="219" t="s">
        <v>3767</v>
      </c>
      <c r="E130" s="249" t="s">
        <v>3641</v>
      </c>
      <c r="F130" s="252">
        <f>IF(ISBLANK('1C'!F13),"##BLANK",'1C'!F13)</f>
        <v>0</v>
      </c>
    </row>
    <row r="131" spans="2:6" ht="13.5" customHeight="1">
      <c r="B131" s="219" t="str">
        <f>'1C'!AA13</f>
        <v>A11005DSR</v>
      </c>
      <c r="C131" s="219" t="s">
        <v>3768</v>
      </c>
      <c r="E131" s="249" t="s">
        <v>3641</v>
      </c>
      <c r="F131" s="252">
        <f>IF(ISBLANK('1C'!G13),"##BLANK",'1C'!G13)</f>
        <v>0</v>
      </c>
    </row>
    <row r="132" spans="2:6" ht="13.5" customHeight="1">
      <c r="B132" s="219" t="str">
        <f>'1C'!AB13</f>
        <v>A11005NA</v>
      </c>
      <c r="C132" s="219" t="s">
        <v>3769</v>
      </c>
      <c r="E132" s="249" t="s">
        <v>3641</v>
      </c>
      <c r="F132" s="252">
        <f>IF(ISBLANK('1C'!H13),"##BLANK",'1C'!H13)</f>
        <v>0</v>
      </c>
    </row>
    <row r="133" spans="2:6" ht="13.5" customHeight="1">
      <c r="B133" s="219" t="str">
        <f>'1C'!AC13</f>
        <v>A11005ADJ</v>
      </c>
      <c r="C133" s="219" t="s">
        <v>3770</v>
      </c>
      <c r="E133" s="249" t="s">
        <v>3641</v>
      </c>
      <c r="F133" s="252">
        <f>IF(ISBLANK('1C'!I13),"##BLANK",'1C'!I13)</f>
        <v>0</v>
      </c>
    </row>
    <row r="134" spans="2:6" ht="13.5" customHeight="1">
      <c r="B134" s="219" t="str">
        <f>'1C'!AD13</f>
        <v>A11005</v>
      </c>
      <c r="C134" s="219" t="s">
        <v>3771</v>
      </c>
      <c r="E134" s="249" t="s">
        <v>3641</v>
      </c>
      <c r="F134" s="252">
        <f>IF(ISBLANK('1C'!J13),"##BLANK",'1C'!J13)</f>
        <v>0</v>
      </c>
    </row>
    <row r="135" spans="2:6" ht="13.5" customHeight="1">
      <c r="B135" s="219" t="str">
        <f>'1C'!Z14</f>
        <v>FT01751STAT</v>
      </c>
      <c r="C135" s="219" t="s">
        <v>3772</v>
      </c>
      <c r="E135" s="249" t="s">
        <v>3641</v>
      </c>
      <c r="F135" s="252">
        <f>IF(ISBLANK('1C'!F14),"##BLANK",'1C'!F14)</f>
        <v>0</v>
      </c>
    </row>
    <row r="136" spans="2:6" ht="13.5" customHeight="1">
      <c r="B136" s="219" t="str">
        <f>'1C'!AA14</f>
        <v>FT01751DSR</v>
      </c>
      <c r="C136" s="219" t="s">
        <v>3773</v>
      </c>
      <c r="E136" s="249" t="s">
        <v>3641</v>
      </c>
      <c r="F136" s="252">
        <f>IF(ISBLANK('1C'!G14),"##BLANK",'1C'!G14)</f>
        <v>0</v>
      </c>
    </row>
    <row r="137" spans="2:6" ht="13.5" customHeight="1">
      <c r="B137" s="219" t="str">
        <f>'1C'!AB14</f>
        <v>FT01751NA</v>
      </c>
      <c r="C137" s="219" t="s">
        <v>3774</v>
      </c>
      <c r="E137" s="249" t="s">
        <v>3641</v>
      </c>
      <c r="F137" s="252">
        <f>IF(ISBLANK('1C'!H14),"##BLANK",'1C'!H14)</f>
        <v>0</v>
      </c>
    </row>
    <row r="138" spans="2:6" ht="13.5" customHeight="1">
      <c r="B138" s="219" t="str">
        <f>'1C'!AC14</f>
        <v>FT01751ADJ</v>
      </c>
      <c r="C138" s="219" t="s">
        <v>3775</v>
      </c>
      <c r="E138" s="249" t="s">
        <v>3641</v>
      </c>
      <c r="F138" s="252">
        <f>IF(ISBLANK('1C'!I14),"##BLANK",'1C'!I14)</f>
        <v>0</v>
      </c>
    </row>
    <row r="139" spans="2:6" ht="13.5" customHeight="1">
      <c r="B139" s="219" t="str">
        <f>'1C'!AD14</f>
        <v>FT01751</v>
      </c>
      <c r="C139" s="219" t="s">
        <v>3776</v>
      </c>
      <c r="E139" s="249" t="s">
        <v>3641</v>
      </c>
      <c r="F139" s="252">
        <f>IF(ISBLANK('1C'!J14),"##BLANK",'1C'!J14)</f>
        <v>0</v>
      </c>
    </row>
    <row r="140" spans="2:6" ht="13.5" customHeight="1">
      <c r="B140" s="219" t="str">
        <f>'1C'!Z15</f>
        <v>A11006STAT</v>
      </c>
      <c r="C140" s="219" t="s">
        <v>3777</v>
      </c>
      <c r="E140" s="249" t="s">
        <v>3641</v>
      </c>
      <c r="F140" s="252">
        <f>IF(ISBLANK('1C'!F15),"##BLANK",'1C'!F15)</f>
        <v>5055.0969999999998</v>
      </c>
    </row>
    <row r="141" spans="2:6" ht="13.5" customHeight="1">
      <c r="B141" s="219" t="str">
        <f>'1C'!AA15</f>
        <v>A11006DSR</v>
      </c>
      <c r="C141" s="219" t="s">
        <v>3778</v>
      </c>
      <c r="E141" s="249" t="s">
        <v>3641</v>
      </c>
      <c r="F141" s="252">
        <f>IF(ISBLANK('1C'!G15),"##BLANK",'1C'!G15)</f>
        <v>-72.233999999999995</v>
      </c>
    </row>
    <row r="142" spans="2:6" ht="13.5" customHeight="1">
      <c r="B142" s="219" t="str">
        <f>'1C'!AB15</f>
        <v>A11006NA</v>
      </c>
      <c r="C142" s="219" t="s">
        <v>3779</v>
      </c>
      <c r="E142" s="249" t="s">
        <v>3641</v>
      </c>
      <c r="F142" s="252">
        <f>IF(ISBLANK('1C'!H15),"##BLANK",'1C'!H15)</f>
        <v>105.755</v>
      </c>
    </row>
    <row r="143" spans="2:6" ht="13.5" customHeight="1">
      <c r="B143" s="219" t="str">
        <f>'1C'!AC15</f>
        <v>A11006ADJ</v>
      </c>
      <c r="C143" s="219" t="s">
        <v>3780</v>
      </c>
      <c r="E143" s="249" t="s">
        <v>3641</v>
      </c>
      <c r="F143" s="252">
        <f>IF(ISBLANK('1C'!I15),"##BLANK",'1C'!I15)</f>
        <v>-177.98899999999998</v>
      </c>
    </row>
    <row r="144" spans="2:6" ht="13.5" customHeight="1">
      <c r="B144" s="219" t="str">
        <f>'1C'!AD15</f>
        <v>A11006</v>
      </c>
      <c r="C144" s="219" t="s">
        <v>3781</v>
      </c>
      <c r="E144" s="249" t="s">
        <v>3641</v>
      </c>
      <c r="F144" s="252">
        <f>IF(ISBLANK('1C'!J15),"##BLANK",'1C'!J15)</f>
        <v>4877.1080000000002</v>
      </c>
    </row>
    <row r="145" spans="2:6" ht="13.5" customHeight="1">
      <c r="B145" s="219" t="str">
        <f>'1C'!Z18</f>
        <v>BO4084STAT</v>
      </c>
      <c r="C145" s="219" t="s">
        <v>3782</v>
      </c>
      <c r="E145" s="249" t="s">
        <v>3641</v>
      </c>
      <c r="F145" s="252">
        <f>IF(ISBLANK('1C'!F18),"##BLANK",'1C'!F18)</f>
        <v>8.0500000000000007</v>
      </c>
    </row>
    <row r="146" spans="2:6" ht="13.5" customHeight="1">
      <c r="B146" s="219" t="str">
        <f>'1C'!AA18</f>
        <v>BO4084DSR</v>
      </c>
      <c r="C146" s="219" t="s">
        <v>3783</v>
      </c>
      <c r="E146" s="249" t="s">
        <v>3641</v>
      </c>
      <c r="F146" s="252">
        <f>IF(ISBLANK('1C'!G18),"##BLANK",'1C'!G18)</f>
        <v>0</v>
      </c>
    </row>
    <row r="147" spans="2:6" ht="13.5" customHeight="1">
      <c r="B147" s="219" t="str">
        <f>'1C'!AB18</f>
        <v>BO4084NA</v>
      </c>
      <c r="C147" s="219" t="s">
        <v>3784</v>
      </c>
      <c r="E147" s="249" t="s">
        <v>3641</v>
      </c>
      <c r="F147" s="252">
        <f>IF(ISBLANK('1C'!H18),"##BLANK",'1C'!H18)</f>
        <v>0.45200000000000001</v>
      </c>
    </row>
    <row r="148" spans="2:6" ht="13.5" customHeight="1">
      <c r="B148" s="219" t="str">
        <f>'1C'!AC18</f>
        <v>BO4084ADJ</v>
      </c>
      <c r="C148" s="219" t="s">
        <v>3785</v>
      </c>
      <c r="E148" s="249" t="s">
        <v>3641</v>
      </c>
      <c r="F148" s="252">
        <f>IF(ISBLANK('1C'!I18),"##BLANK",'1C'!I18)</f>
        <v>-0.45200000000000001</v>
      </c>
    </row>
    <row r="149" spans="2:6" ht="13.5" customHeight="1">
      <c r="B149" s="219" t="str">
        <f>'1C'!AD18</f>
        <v>BO4084</v>
      </c>
      <c r="C149" s="219" t="s">
        <v>3786</v>
      </c>
      <c r="E149" s="249" t="s">
        <v>3641</v>
      </c>
      <c r="F149" s="252">
        <f>IF(ISBLANK('1C'!J18),"##BLANK",'1C'!J18)</f>
        <v>7.5980000000000008</v>
      </c>
    </row>
    <row r="150" spans="2:6" ht="13.5" customHeight="1">
      <c r="B150" s="219" t="str">
        <f>'1C'!Z19</f>
        <v>A11008STAT</v>
      </c>
      <c r="C150" s="219" t="s">
        <v>3787</v>
      </c>
      <c r="E150" s="249" t="s">
        <v>3641</v>
      </c>
      <c r="F150" s="252">
        <f>IF(ISBLANK('1C'!F19),"##BLANK",'1C'!F19)</f>
        <v>246.47200000000001</v>
      </c>
    </row>
    <row r="151" spans="2:6" ht="13.5" customHeight="1">
      <c r="B151" s="219" t="str">
        <f>'1C'!AA19</f>
        <v>A11008DSR</v>
      </c>
      <c r="C151" s="219" t="s">
        <v>3788</v>
      </c>
      <c r="E151" s="249" t="s">
        <v>3641</v>
      </c>
      <c r="F151" s="252">
        <f>IF(ISBLANK('1C'!G19),"##BLANK",'1C'!G19)</f>
        <v>2.8740000000000006</v>
      </c>
    </row>
    <row r="152" spans="2:6" ht="13.5" customHeight="1">
      <c r="B152" s="219" t="str">
        <f>'1C'!AB19</f>
        <v>A11008NA</v>
      </c>
      <c r="C152" s="219" t="s">
        <v>3789</v>
      </c>
      <c r="E152" s="249" t="s">
        <v>3641</v>
      </c>
      <c r="F152" s="252">
        <f>IF(ISBLANK('1C'!H19),"##BLANK",'1C'!H19)</f>
        <v>5.2359999999999998</v>
      </c>
    </row>
    <row r="153" spans="2:6" ht="13.5" customHeight="1">
      <c r="B153" s="219" t="str">
        <f>'1C'!AC19</f>
        <v>A11008ADJ</v>
      </c>
      <c r="C153" s="219" t="s">
        <v>3790</v>
      </c>
      <c r="E153" s="249" t="s">
        <v>3641</v>
      </c>
      <c r="F153" s="252">
        <f>IF(ISBLANK('1C'!I19),"##BLANK",'1C'!I19)</f>
        <v>-2.3619999999999992</v>
      </c>
    </row>
    <row r="154" spans="2:6" ht="13.5" customHeight="1">
      <c r="B154" s="219" t="str">
        <f>'1C'!AD19</f>
        <v>A11008</v>
      </c>
      <c r="C154" s="219" t="s">
        <v>3791</v>
      </c>
      <c r="E154" s="249" t="s">
        <v>3641</v>
      </c>
      <c r="F154" s="252">
        <f>IF(ISBLANK('1C'!J19),"##BLANK",'1C'!J19)</f>
        <v>244.11</v>
      </c>
    </row>
    <row r="155" spans="2:6" ht="13.5" customHeight="1">
      <c r="B155" s="219" t="str">
        <f>'1C'!Z20</f>
        <v>A11009STAT</v>
      </c>
      <c r="C155" s="219" t="s">
        <v>3767</v>
      </c>
      <c r="E155" s="249" t="s">
        <v>3641</v>
      </c>
      <c r="F155" s="252">
        <f>IF(ISBLANK('1C'!F20),"##BLANK",'1C'!F20)</f>
        <v>0</v>
      </c>
    </row>
    <row r="156" spans="2:6" ht="13.5" customHeight="1">
      <c r="B156" s="219" t="str">
        <f>'1C'!AA20</f>
        <v>A11009DSR</v>
      </c>
      <c r="C156" s="219" t="s">
        <v>3768</v>
      </c>
      <c r="E156" s="249" t="s">
        <v>3641</v>
      </c>
      <c r="F156" s="252">
        <f>IF(ISBLANK('1C'!G20),"##BLANK",'1C'!G20)</f>
        <v>0</v>
      </c>
    </row>
    <row r="157" spans="2:6" ht="13.5" customHeight="1">
      <c r="B157" s="219" t="str">
        <f>'1C'!AB20</f>
        <v>A11009NA</v>
      </c>
      <c r="C157" s="219" t="s">
        <v>3769</v>
      </c>
      <c r="E157" s="249" t="s">
        <v>3641</v>
      </c>
      <c r="F157" s="252">
        <f>IF(ISBLANK('1C'!H20),"##BLANK",'1C'!H20)</f>
        <v>0</v>
      </c>
    </row>
    <row r="158" spans="2:6" ht="13.5" customHeight="1">
      <c r="B158" s="219" t="str">
        <f>'1C'!AC20</f>
        <v>A11009ADJ</v>
      </c>
      <c r="C158" s="219" t="s">
        <v>3770</v>
      </c>
      <c r="E158" s="249" t="s">
        <v>3641</v>
      </c>
      <c r="F158" s="252">
        <f>IF(ISBLANK('1C'!I20),"##BLANK",'1C'!I20)</f>
        <v>0</v>
      </c>
    </row>
    <row r="159" spans="2:6" ht="13.5" customHeight="1">
      <c r="B159" s="219" t="str">
        <f>'1C'!AD20</f>
        <v>A11009</v>
      </c>
      <c r="C159" s="219" t="s">
        <v>3771</v>
      </c>
      <c r="E159" s="249" t="s">
        <v>3641</v>
      </c>
      <c r="F159" s="252">
        <f>IF(ISBLANK('1C'!J20),"##BLANK",'1C'!J20)</f>
        <v>0</v>
      </c>
    </row>
    <row r="160" spans="2:6" ht="13.5" customHeight="1">
      <c r="B160" s="219" t="str">
        <f>'1C'!Z21</f>
        <v>A11010STAT</v>
      </c>
      <c r="C160" s="219" t="s">
        <v>3792</v>
      </c>
      <c r="E160" s="249" t="s">
        <v>3641</v>
      </c>
      <c r="F160" s="252">
        <f>IF(ISBLANK('1C'!F21),"##BLANK",'1C'!F21)</f>
        <v>146.59100000000001</v>
      </c>
    </row>
    <row r="161" spans="2:6" ht="13.5" customHeight="1">
      <c r="B161" s="219" t="str">
        <f>'1C'!AA21</f>
        <v>A11010DSR</v>
      </c>
      <c r="C161" s="219" t="s">
        <v>3793</v>
      </c>
      <c r="E161" s="249" t="s">
        <v>3641</v>
      </c>
      <c r="F161" s="252">
        <f>IF(ISBLANK('1C'!G21),"##BLANK",'1C'!G21)</f>
        <v>0</v>
      </c>
    </row>
    <row r="162" spans="2:6" ht="13.5" customHeight="1">
      <c r="B162" s="219" t="str">
        <f>'1C'!AB21</f>
        <v>A11010NA</v>
      </c>
      <c r="C162" s="219" t="s">
        <v>3794</v>
      </c>
      <c r="E162" s="249" t="s">
        <v>3641</v>
      </c>
      <c r="F162" s="252">
        <f>IF(ISBLANK('1C'!H21),"##BLANK",'1C'!H21)</f>
        <v>1.65</v>
      </c>
    </row>
    <row r="163" spans="2:6" ht="13.5" customHeight="1">
      <c r="B163" s="219" t="str">
        <f>'1C'!AC21</f>
        <v>A11010ADJ</v>
      </c>
      <c r="C163" s="219" t="s">
        <v>3795</v>
      </c>
      <c r="E163" s="249" t="s">
        <v>3641</v>
      </c>
      <c r="F163" s="252">
        <f>IF(ISBLANK('1C'!I21),"##BLANK",'1C'!I21)</f>
        <v>-1.65</v>
      </c>
    </row>
    <row r="164" spans="2:6" ht="13.5" customHeight="1">
      <c r="B164" s="219" t="str">
        <f>'1C'!AD21</f>
        <v>A11010</v>
      </c>
      <c r="C164" s="219" t="s">
        <v>3796</v>
      </c>
      <c r="E164" s="249" t="s">
        <v>3641</v>
      </c>
      <c r="F164" s="252">
        <f>IF(ISBLANK('1C'!J21),"##BLANK",'1C'!J21)</f>
        <v>144.941</v>
      </c>
    </row>
    <row r="165" spans="2:6" ht="13.5" customHeight="1">
      <c r="B165" s="219" t="str">
        <f>'1C'!Z22</f>
        <v>BO4092STAT</v>
      </c>
      <c r="C165" s="219" t="s">
        <v>3797</v>
      </c>
      <c r="E165" s="249" t="s">
        <v>3641</v>
      </c>
      <c r="F165" s="252">
        <f>IF(ISBLANK('1C'!F22),"##BLANK",'1C'!F22)</f>
        <v>401.11300000000006</v>
      </c>
    </row>
    <row r="166" spans="2:6" ht="13.5" customHeight="1">
      <c r="B166" s="219" t="str">
        <f>'1C'!AA22</f>
        <v>BO4092DSR</v>
      </c>
      <c r="C166" s="219" t="s">
        <v>3798</v>
      </c>
      <c r="E166" s="249" t="s">
        <v>3641</v>
      </c>
      <c r="F166" s="252">
        <f>IF(ISBLANK('1C'!G22),"##BLANK",'1C'!G22)</f>
        <v>2.8740000000000006</v>
      </c>
    </row>
    <row r="167" spans="2:6" ht="13.5" customHeight="1">
      <c r="B167" s="219" t="str">
        <f>'1C'!AB22</f>
        <v>BO4092NA</v>
      </c>
      <c r="C167" s="219" t="s">
        <v>3799</v>
      </c>
      <c r="E167" s="249" t="s">
        <v>3641</v>
      </c>
      <c r="F167" s="252">
        <f>IF(ISBLANK('1C'!H22),"##BLANK",'1C'!H22)</f>
        <v>7.3379999999999992</v>
      </c>
    </row>
    <row r="168" spans="2:6" ht="13.5" customHeight="1">
      <c r="B168" s="219" t="str">
        <f>'1C'!AC22</f>
        <v>BO4092ADJ</v>
      </c>
      <c r="C168" s="219" t="s">
        <v>3800</v>
      </c>
      <c r="E168" s="249" t="s">
        <v>3641</v>
      </c>
      <c r="F168" s="252">
        <f>IF(ISBLANK('1C'!I22),"##BLANK",'1C'!I22)</f>
        <v>-4.4639999999999986</v>
      </c>
    </row>
    <row r="169" spans="2:6" ht="13.5" customHeight="1">
      <c r="B169" s="219" t="str">
        <f>'1C'!AD22</f>
        <v>BO4092</v>
      </c>
      <c r="C169" s="219" t="s">
        <v>3801</v>
      </c>
      <c r="E169" s="249" t="s">
        <v>3641</v>
      </c>
      <c r="F169" s="252">
        <f>IF(ISBLANK('1C'!J22),"##BLANK",'1C'!J22)</f>
        <v>396.64900000000006</v>
      </c>
    </row>
    <row r="170" spans="2:6" ht="13.5" customHeight="1">
      <c r="B170" s="219" t="str">
        <f>'1C'!Z25</f>
        <v>A11012STAT</v>
      </c>
      <c r="C170" s="219" t="s">
        <v>3802</v>
      </c>
      <c r="E170" s="249" t="s">
        <v>3641</v>
      </c>
      <c r="F170" s="252">
        <f>IF(ISBLANK('1C'!F25),"##BLANK",'1C'!F25)</f>
        <v>-182.92699999999996</v>
      </c>
    </row>
    <row r="171" spans="2:6" ht="13.5" customHeight="1">
      <c r="B171" s="219" t="str">
        <f>'1C'!AA25</f>
        <v>A11012DSR</v>
      </c>
      <c r="C171" s="219" t="s">
        <v>3803</v>
      </c>
      <c r="E171" s="249" t="s">
        <v>3641</v>
      </c>
      <c r="F171" s="252">
        <f>IF(ISBLANK('1C'!G25),"##BLANK",'1C'!G25)</f>
        <v>-145.12699999999998</v>
      </c>
    </row>
    <row r="172" spans="2:6" ht="13.5" customHeight="1">
      <c r="B172" s="219" t="str">
        <f>'1C'!AB25</f>
        <v>A11012NA</v>
      </c>
      <c r="C172" s="219" t="s">
        <v>3804</v>
      </c>
      <c r="E172" s="249" t="s">
        <v>3641</v>
      </c>
      <c r="F172" s="252">
        <f>IF(ISBLANK('1C'!H25),"##BLANK",'1C'!H25)</f>
        <v>-7.4459999999999997</v>
      </c>
    </row>
    <row r="173" spans="2:6" ht="13.5" customHeight="1">
      <c r="B173" s="219" t="str">
        <f>'1C'!AC25</f>
        <v>A11012ADJ</v>
      </c>
      <c r="C173" s="219" t="s">
        <v>3805</v>
      </c>
      <c r="E173" s="249" t="s">
        <v>3641</v>
      </c>
      <c r="F173" s="252">
        <f>IF(ISBLANK('1C'!I25),"##BLANK",'1C'!I25)</f>
        <v>-137.68099999999998</v>
      </c>
    </row>
    <row r="174" spans="2:6" ht="13.5" customHeight="1">
      <c r="B174" s="219" t="str">
        <f>'1C'!AD25</f>
        <v>A11012</v>
      </c>
      <c r="C174" s="219" t="s">
        <v>3806</v>
      </c>
      <c r="E174" s="249" t="s">
        <v>3641</v>
      </c>
      <c r="F174" s="252">
        <f>IF(ISBLANK('1C'!J25),"##BLANK",'1C'!J25)</f>
        <v>-320.60799999999995</v>
      </c>
    </row>
    <row r="175" spans="2:6" ht="13.5" customHeight="1">
      <c r="B175" s="219" t="str">
        <f>'1C'!Z26</f>
        <v>A11013STAT</v>
      </c>
      <c r="C175" s="219" t="s">
        <v>3807</v>
      </c>
      <c r="E175" s="249" t="s">
        <v>3641</v>
      </c>
      <c r="F175" s="252">
        <f>IF(ISBLANK('1C'!F26),"##BLANK",'1C'!F26)</f>
        <v>-37.433999999999997</v>
      </c>
    </row>
    <row r="176" spans="2:6" ht="13.5" customHeight="1">
      <c r="B176" s="219" t="str">
        <f>'1C'!AA26</f>
        <v>A11013DSR</v>
      </c>
      <c r="C176" s="219" t="s">
        <v>3808</v>
      </c>
      <c r="E176" s="249" t="s">
        <v>3641</v>
      </c>
      <c r="F176" s="252">
        <f>IF(ISBLANK('1C'!G26),"##BLANK",'1C'!G26)</f>
        <v>0</v>
      </c>
    </row>
    <row r="177" spans="2:6" ht="13.5" customHeight="1">
      <c r="B177" s="219" t="str">
        <f>'1C'!AB26</f>
        <v>A11013NA</v>
      </c>
      <c r="C177" s="219" t="s">
        <v>3809</v>
      </c>
      <c r="E177" s="249" t="s">
        <v>3641</v>
      </c>
      <c r="F177" s="252">
        <f>IF(ISBLANK('1C'!H26),"##BLANK",'1C'!H26)</f>
        <v>-0.40799999999999997</v>
      </c>
    </row>
    <row r="178" spans="2:6" ht="13.5" customHeight="1">
      <c r="B178" s="219" t="str">
        <f>'1C'!AC26</f>
        <v>A11013ADJ</v>
      </c>
      <c r="C178" s="219" t="s">
        <v>3810</v>
      </c>
      <c r="E178" s="249" t="s">
        <v>3641</v>
      </c>
      <c r="F178" s="252">
        <f>IF(ISBLANK('1C'!I26),"##BLANK",'1C'!I26)</f>
        <v>0.40799999999999997</v>
      </c>
    </row>
    <row r="179" spans="2:6" ht="13.5" customHeight="1">
      <c r="B179" s="219" t="str">
        <f>'1C'!AD26</f>
        <v>A11013</v>
      </c>
      <c r="C179" s="219" t="s">
        <v>3811</v>
      </c>
      <c r="E179" s="249" t="s">
        <v>3641</v>
      </c>
      <c r="F179" s="252">
        <f>IF(ISBLANK('1C'!J26),"##BLANK",'1C'!J26)</f>
        <v>-37.025999999999996</v>
      </c>
    </row>
    <row r="180" spans="2:6" ht="13.5" customHeight="1">
      <c r="B180" s="219" t="str">
        <f>'1C'!Z27</f>
        <v>BO4093STAT</v>
      </c>
      <c r="C180" s="219" t="s">
        <v>3812</v>
      </c>
      <c r="E180" s="249" t="s">
        <v>3641</v>
      </c>
      <c r="F180" s="252">
        <f>IF(ISBLANK('1C'!F27),"##BLANK",'1C'!F27)</f>
        <v>-208.48099999999997</v>
      </c>
    </row>
    <row r="181" spans="2:6" ht="13.5" customHeight="1">
      <c r="B181" s="219" t="str">
        <f>'1C'!AA27</f>
        <v>BO4093DSR</v>
      </c>
      <c r="C181" s="219" t="s">
        <v>3813</v>
      </c>
      <c r="E181" s="249" t="s">
        <v>3641</v>
      </c>
      <c r="F181" s="252">
        <f>IF(ISBLANK('1C'!G27),"##BLANK",'1C'!G27)</f>
        <v>145.97799999999998</v>
      </c>
    </row>
    <row r="182" spans="2:6" ht="13.5" customHeight="1">
      <c r="B182" s="219" t="str">
        <f>'1C'!AB27</f>
        <v>BO4093NA</v>
      </c>
      <c r="C182" s="219" t="s">
        <v>3814</v>
      </c>
      <c r="E182" s="249" t="s">
        <v>3641</v>
      </c>
      <c r="F182" s="252">
        <f>IF(ISBLANK('1C'!H27),"##BLANK",'1C'!H27)</f>
        <v>0</v>
      </c>
    </row>
    <row r="183" spans="2:6" ht="13.5" customHeight="1">
      <c r="B183" s="219" t="str">
        <f>'1C'!AC27</f>
        <v>BO4093ADJ</v>
      </c>
      <c r="C183" s="219" t="s">
        <v>3815</v>
      </c>
      <c r="E183" s="249" t="s">
        <v>3641</v>
      </c>
      <c r="F183" s="252">
        <f>IF(ISBLANK('1C'!I27),"##BLANK",'1C'!I27)</f>
        <v>145.97799999999998</v>
      </c>
    </row>
    <row r="184" spans="2:6" ht="13.5" customHeight="1">
      <c r="B184" s="219" t="str">
        <f>'1C'!AD27</f>
        <v>BO4093</v>
      </c>
      <c r="C184" s="219" t="s">
        <v>3816</v>
      </c>
      <c r="E184" s="249" t="s">
        <v>3641</v>
      </c>
      <c r="F184" s="252">
        <f>IF(ISBLANK('1C'!J27),"##BLANK",'1C'!J27)</f>
        <v>-62.502999999999986</v>
      </c>
    </row>
    <row r="185" spans="2:6" ht="13.5" customHeight="1">
      <c r="B185" s="219" t="str">
        <f>'1C'!Z28</f>
        <v>A11015STAT</v>
      </c>
      <c r="C185" s="219" t="s">
        <v>3767</v>
      </c>
      <c r="E185" s="249" t="s">
        <v>3641</v>
      </c>
      <c r="F185" s="252">
        <f>IF(ISBLANK('1C'!F28),"##BLANK",'1C'!F28)</f>
        <v>0</v>
      </c>
    </row>
    <row r="186" spans="2:6" ht="13.5" customHeight="1">
      <c r="B186" s="219" t="str">
        <f>'1C'!AA28</f>
        <v>A11015DSR</v>
      </c>
      <c r="C186" s="219" t="s">
        <v>3768</v>
      </c>
      <c r="E186" s="249" t="s">
        <v>3641</v>
      </c>
      <c r="F186" s="252">
        <f>IF(ISBLANK('1C'!G28),"##BLANK",'1C'!G28)</f>
        <v>0</v>
      </c>
    </row>
    <row r="187" spans="2:6" ht="13.5" customHeight="1">
      <c r="B187" s="219" t="str">
        <f>'1C'!AB28</f>
        <v>A11015NA</v>
      </c>
      <c r="C187" s="219" t="s">
        <v>3769</v>
      </c>
      <c r="E187" s="249" t="s">
        <v>3641</v>
      </c>
      <c r="F187" s="252">
        <f>IF(ISBLANK('1C'!H28),"##BLANK",'1C'!H28)</f>
        <v>0</v>
      </c>
    </row>
    <row r="188" spans="2:6" ht="13.5" customHeight="1">
      <c r="B188" s="219" t="str">
        <f>'1C'!AC28</f>
        <v>A11015ADJ</v>
      </c>
      <c r="C188" s="219" t="s">
        <v>3770</v>
      </c>
      <c r="E188" s="249" t="s">
        <v>3641</v>
      </c>
      <c r="F188" s="252">
        <f>IF(ISBLANK('1C'!I28),"##BLANK",'1C'!I28)</f>
        <v>0</v>
      </c>
    </row>
    <row r="189" spans="2:6" ht="13.5" customHeight="1">
      <c r="B189" s="219" t="str">
        <f>'1C'!AD28</f>
        <v>A11015</v>
      </c>
      <c r="C189" s="219" t="s">
        <v>3771</v>
      </c>
      <c r="E189" s="249" t="s">
        <v>3641</v>
      </c>
      <c r="F189" s="252">
        <f>IF(ISBLANK('1C'!J28),"##BLANK",'1C'!J28)</f>
        <v>0</v>
      </c>
    </row>
    <row r="190" spans="2:6" ht="13.5" customHeight="1">
      <c r="B190" s="219" t="str">
        <f>'1C'!Z29</f>
        <v>A11016STAT</v>
      </c>
      <c r="C190" s="219" t="s">
        <v>3817</v>
      </c>
      <c r="E190" s="249" t="s">
        <v>3641</v>
      </c>
      <c r="F190" s="252">
        <f>IF(ISBLANK('1C'!F29),"##BLANK",'1C'!F29)</f>
        <v>0</v>
      </c>
    </row>
    <row r="191" spans="2:6" ht="13.5" customHeight="1">
      <c r="B191" s="219" t="str">
        <f>'1C'!AA29</f>
        <v>A11016DSR</v>
      </c>
      <c r="C191" s="219" t="s">
        <v>3818</v>
      </c>
      <c r="E191" s="249" t="s">
        <v>3641</v>
      </c>
      <c r="F191" s="252">
        <f>IF(ISBLANK('1C'!G29),"##BLANK",'1C'!G29)</f>
        <v>0</v>
      </c>
    </row>
    <row r="192" spans="2:6" ht="13.5" customHeight="1">
      <c r="B192" s="219" t="str">
        <f>'1C'!AB29</f>
        <v>A11016NA</v>
      </c>
      <c r="C192" s="219" t="s">
        <v>3819</v>
      </c>
      <c r="E192" s="249" t="s">
        <v>3641</v>
      </c>
      <c r="F192" s="252">
        <f>IF(ISBLANK('1C'!H29),"##BLANK",'1C'!H29)</f>
        <v>0</v>
      </c>
    </row>
    <row r="193" spans="2:6" ht="13.5" customHeight="1">
      <c r="B193" s="219" t="str">
        <f>'1C'!AC29</f>
        <v>A11016ADJ</v>
      </c>
      <c r="C193" s="219" t="s">
        <v>3820</v>
      </c>
      <c r="E193" s="249" t="s">
        <v>3641</v>
      </c>
      <c r="F193" s="252">
        <f>IF(ISBLANK('1C'!I29),"##BLANK",'1C'!I29)</f>
        <v>0</v>
      </c>
    </row>
    <row r="194" spans="2:6" ht="13.5" customHeight="1">
      <c r="B194" s="219" t="str">
        <f>'1C'!AD29</f>
        <v>A11016</v>
      </c>
      <c r="C194" s="219" t="s">
        <v>3821</v>
      </c>
      <c r="E194" s="249" t="s">
        <v>3641</v>
      </c>
      <c r="F194" s="252">
        <f>IF(ISBLANK('1C'!J29),"##BLANK",'1C'!J29)</f>
        <v>0</v>
      </c>
    </row>
    <row r="195" spans="2:6" ht="13.5" customHeight="1">
      <c r="B195" s="219" t="str">
        <f>'1C'!Z30</f>
        <v>A11017STAT</v>
      </c>
      <c r="C195" s="219" t="s">
        <v>3822</v>
      </c>
      <c r="E195" s="249" t="s">
        <v>3641</v>
      </c>
      <c r="F195" s="252">
        <f>IF(ISBLANK('1C'!F30),"##BLANK",'1C'!F30)</f>
        <v>-0.1</v>
      </c>
    </row>
    <row r="196" spans="2:6" ht="13.5" customHeight="1">
      <c r="B196" s="219" t="str">
        <f>'1C'!AA30</f>
        <v>A11017DSR</v>
      </c>
      <c r="C196" s="219" t="s">
        <v>3823</v>
      </c>
      <c r="E196" s="249" t="s">
        <v>3641</v>
      </c>
      <c r="F196" s="252">
        <f>IF(ISBLANK('1C'!G30),"##BLANK",'1C'!G30)</f>
        <v>0</v>
      </c>
    </row>
    <row r="197" spans="2:6" ht="13.5" customHeight="1">
      <c r="B197" s="219" t="str">
        <f>'1C'!AB30</f>
        <v>A11017NA</v>
      </c>
      <c r="C197" s="219" t="s">
        <v>3824</v>
      </c>
      <c r="E197" s="249" t="s">
        <v>3641</v>
      </c>
      <c r="F197" s="252">
        <f>IF(ISBLANK('1C'!H30),"##BLANK",'1C'!H30)</f>
        <v>0</v>
      </c>
    </row>
    <row r="198" spans="2:6" ht="13.5" customHeight="1">
      <c r="B198" s="219" t="str">
        <f>'1C'!AC30</f>
        <v>A11017ADJ</v>
      </c>
      <c r="C198" s="219" t="s">
        <v>3825</v>
      </c>
      <c r="E198" s="249" t="s">
        <v>3641</v>
      </c>
      <c r="F198" s="252">
        <f>IF(ISBLANK('1C'!I30),"##BLANK",'1C'!I30)</f>
        <v>0</v>
      </c>
    </row>
    <row r="199" spans="2:6" ht="13.5" customHeight="1">
      <c r="B199" s="219" t="str">
        <f>'1C'!AD30</f>
        <v>A11017</v>
      </c>
      <c r="C199" s="219" t="s">
        <v>3826</v>
      </c>
      <c r="E199" s="249" t="s">
        <v>3641</v>
      </c>
      <c r="F199" s="252">
        <f>IF(ISBLANK('1C'!J30),"##BLANK",'1C'!J30)</f>
        <v>-0.1</v>
      </c>
    </row>
    <row r="200" spans="2:6" ht="13.5" customHeight="1">
      <c r="B200" s="219" t="str">
        <f>'1C'!Z31</f>
        <v>A11018STAT</v>
      </c>
      <c r="C200" s="219" t="s">
        <v>3827</v>
      </c>
      <c r="E200" s="249" t="s">
        <v>3641</v>
      </c>
      <c r="F200" s="252">
        <f>IF(ISBLANK('1C'!F31),"##BLANK",'1C'!F31)</f>
        <v>-428.94199999999995</v>
      </c>
    </row>
    <row r="201" spans="2:6" ht="13.5" customHeight="1">
      <c r="B201" s="219" t="str">
        <f>'1C'!AA31</f>
        <v>A11018DSR</v>
      </c>
      <c r="C201" s="219" t="s">
        <v>3828</v>
      </c>
      <c r="E201" s="249" t="s">
        <v>3641</v>
      </c>
      <c r="F201" s="252">
        <f>IF(ISBLANK('1C'!G31),"##BLANK",'1C'!G31)</f>
        <v>0.85099999999999909</v>
      </c>
    </row>
    <row r="202" spans="2:6" ht="13.5" customHeight="1">
      <c r="B202" s="219" t="str">
        <f>'1C'!AB31</f>
        <v>A11018NA</v>
      </c>
      <c r="C202" s="219" t="s">
        <v>3829</v>
      </c>
      <c r="E202" s="249" t="s">
        <v>3641</v>
      </c>
      <c r="F202" s="252">
        <f>IF(ISBLANK('1C'!H31),"##BLANK",'1C'!H31)</f>
        <v>-7.8540000000000001</v>
      </c>
    </row>
    <row r="203" spans="2:6" ht="13.5" customHeight="1">
      <c r="B203" s="219" t="str">
        <f>'1C'!AC31</f>
        <v>A11018ADJ</v>
      </c>
      <c r="C203" s="219" t="s">
        <v>3830</v>
      </c>
      <c r="E203" s="249" t="s">
        <v>3641</v>
      </c>
      <c r="F203" s="252">
        <f>IF(ISBLANK('1C'!I31),"##BLANK",'1C'!I31)</f>
        <v>8.7049999999999983</v>
      </c>
    </row>
    <row r="204" spans="2:6" ht="13.5" customHeight="1">
      <c r="B204" s="219" t="str">
        <f>'1C'!AD31</f>
        <v>A11018</v>
      </c>
      <c r="C204" s="219" t="s">
        <v>3831</v>
      </c>
      <c r="E204" s="249" t="s">
        <v>3641</v>
      </c>
      <c r="F204" s="252">
        <f>IF(ISBLANK('1C'!J31),"##BLANK",'1C'!J31)</f>
        <v>-420.23699999999997</v>
      </c>
    </row>
    <row r="205" spans="2:6" ht="13.5" customHeight="1">
      <c r="B205" s="219" t="str">
        <f>'1C'!Z33</f>
        <v>BO4096STAT</v>
      </c>
      <c r="C205" s="219" t="s">
        <v>3832</v>
      </c>
      <c r="E205" s="249" t="s">
        <v>3641</v>
      </c>
      <c r="F205" s="252">
        <f>IF(ISBLANK('1C'!F33),"##BLANK",'1C'!F33)</f>
        <v>-27.828999999999894</v>
      </c>
    </row>
    <row r="206" spans="2:6" ht="13.5" customHeight="1">
      <c r="B206" s="219" t="str">
        <f>'1C'!AA33</f>
        <v>BO4096DSR</v>
      </c>
      <c r="C206" s="219" t="s">
        <v>3833</v>
      </c>
      <c r="E206" s="249" t="s">
        <v>3641</v>
      </c>
      <c r="F206" s="252">
        <f>IF(ISBLANK('1C'!G33),"##BLANK",'1C'!G33)</f>
        <v>3.7249999999999996</v>
      </c>
    </row>
    <row r="207" spans="2:6" ht="13.5" customHeight="1">
      <c r="B207" s="219" t="str">
        <f>'1C'!AB33</f>
        <v>BO4096NA</v>
      </c>
      <c r="C207" s="219" t="s">
        <v>3834</v>
      </c>
      <c r="E207" s="249" t="s">
        <v>3641</v>
      </c>
      <c r="F207" s="252">
        <f>IF(ISBLANK('1C'!H33),"##BLANK",'1C'!H33)</f>
        <v>-0.5160000000000009</v>
      </c>
    </row>
    <row r="208" spans="2:6" ht="13.5" customHeight="1">
      <c r="B208" s="219" t="str">
        <f>'1C'!AC33</f>
        <v>BO4096ADJ</v>
      </c>
      <c r="C208" s="219" t="s">
        <v>3835</v>
      </c>
      <c r="E208" s="249" t="s">
        <v>3641</v>
      </c>
      <c r="F208" s="252">
        <f>IF(ISBLANK('1C'!I33),"##BLANK",'1C'!I33)</f>
        <v>4.2410000000000005</v>
      </c>
    </row>
    <row r="209" spans="2:6" ht="13.5" customHeight="1">
      <c r="B209" s="219" t="str">
        <f>'1C'!AD33</f>
        <v>BO4096</v>
      </c>
      <c r="C209" s="219" t="s">
        <v>3836</v>
      </c>
      <c r="E209" s="249" t="s">
        <v>3641</v>
      </c>
      <c r="F209" s="252">
        <f>IF(ISBLANK('1C'!J33),"##BLANK",'1C'!J33)</f>
        <v>-23.587999999999894</v>
      </c>
    </row>
    <row r="210" spans="2:6" ht="13.5" customHeight="1">
      <c r="B210" s="219" t="str">
        <f>'1C'!Z36</f>
        <v>A11020STAT</v>
      </c>
      <c r="C210" s="219" t="s">
        <v>3802</v>
      </c>
      <c r="E210" s="249" t="s">
        <v>3641</v>
      </c>
      <c r="F210" s="252">
        <f>IF(ISBLANK('1C'!F36),"##BLANK",'1C'!F36)</f>
        <v>0</v>
      </c>
    </row>
    <row r="211" spans="2:6" ht="13.5" customHeight="1">
      <c r="B211" s="219" t="str">
        <f>'1C'!AA36</f>
        <v>A11020DSR</v>
      </c>
      <c r="C211" s="219" t="s">
        <v>3803</v>
      </c>
      <c r="E211" s="249" t="s">
        <v>3641</v>
      </c>
      <c r="F211" s="252">
        <f>IF(ISBLANK('1C'!G36),"##BLANK",'1C'!G36)</f>
        <v>0</v>
      </c>
    </row>
    <row r="212" spans="2:6" ht="13.5" customHeight="1">
      <c r="B212" s="219" t="str">
        <f>'1C'!AB36</f>
        <v>A11020NA</v>
      </c>
      <c r="C212" s="219" t="s">
        <v>3804</v>
      </c>
      <c r="E212" s="249" t="s">
        <v>3641</v>
      </c>
      <c r="F212" s="252">
        <f>IF(ISBLANK('1C'!H36),"##BLANK",'1C'!H36)</f>
        <v>0</v>
      </c>
    </row>
    <row r="213" spans="2:6" ht="13.5" customHeight="1">
      <c r="B213" s="219" t="str">
        <f>'1C'!AC36</f>
        <v>A11020ADJ</v>
      </c>
      <c r="C213" s="219" t="s">
        <v>3805</v>
      </c>
      <c r="E213" s="249" t="s">
        <v>3641</v>
      </c>
      <c r="F213" s="252">
        <f>IF(ISBLANK('1C'!I36),"##BLANK",'1C'!I36)</f>
        <v>0</v>
      </c>
    </row>
    <row r="214" spans="2:6" ht="13.5" customHeight="1">
      <c r="B214" s="219" t="str">
        <f>'1C'!AD36</f>
        <v>A11020</v>
      </c>
      <c r="C214" s="219" t="s">
        <v>3806</v>
      </c>
      <c r="E214" s="249" t="s">
        <v>3641</v>
      </c>
      <c r="F214" s="252">
        <f>IF(ISBLANK('1C'!J36),"##BLANK",'1C'!J36)</f>
        <v>0</v>
      </c>
    </row>
    <row r="215" spans="2:6" ht="13.5" customHeight="1">
      <c r="B215" s="219" t="str">
        <f>'1C'!Z37</f>
        <v>BO4051STAT</v>
      </c>
      <c r="C215" s="219" t="s">
        <v>3812</v>
      </c>
      <c r="E215" s="249" t="s">
        <v>3641</v>
      </c>
      <c r="F215" s="252">
        <f>IF(ISBLANK('1C'!F37),"##BLANK",'1C'!F37)</f>
        <v>-3420.62</v>
      </c>
    </row>
    <row r="216" spans="2:6" ht="13.5" customHeight="1">
      <c r="B216" s="219" t="str">
        <f>'1C'!AA37</f>
        <v>BO4051DSR</v>
      </c>
      <c r="C216" s="219" t="s">
        <v>3813</v>
      </c>
      <c r="E216" s="249" t="s">
        <v>3641</v>
      </c>
      <c r="F216" s="252">
        <f>IF(ISBLANK('1C'!G37),"##BLANK",'1C'!G37)</f>
        <v>0</v>
      </c>
    </row>
    <row r="217" spans="2:6" ht="13.5" customHeight="1">
      <c r="B217" s="219" t="str">
        <f>'1C'!AB37</f>
        <v>BO4051NA</v>
      </c>
      <c r="C217" s="219" t="s">
        <v>3814</v>
      </c>
      <c r="E217" s="249" t="s">
        <v>3641</v>
      </c>
      <c r="F217" s="252">
        <f>IF(ISBLANK('1C'!H37),"##BLANK",'1C'!H37)</f>
        <v>0</v>
      </c>
    </row>
    <row r="218" spans="2:6" ht="13.5" customHeight="1">
      <c r="B218" s="219" t="str">
        <f>'1C'!AC37</f>
        <v>BO4051ADJ</v>
      </c>
      <c r="C218" s="219" t="s">
        <v>3815</v>
      </c>
      <c r="E218" s="249" t="s">
        <v>3641</v>
      </c>
      <c r="F218" s="252">
        <f>IF(ISBLANK('1C'!I37),"##BLANK",'1C'!I37)</f>
        <v>0</v>
      </c>
    </row>
    <row r="219" spans="2:6" ht="13.5" customHeight="1">
      <c r="B219" s="219" t="str">
        <f>'1C'!AD37</f>
        <v>BO4051</v>
      </c>
      <c r="C219" s="219" t="s">
        <v>3816</v>
      </c>
      <c r="E219" s="249" t="s">
        <v>3641</v>
      </c>
      <c r="F219" s="252">
        <f>IF(ISBLANK('1C'!J37),"##BLANK",'1C'!J37)</f>
        <v>-3420.62</v>
      </c>
    </row>
    <row r="220" spans="2:6" ht="13.5" customHeight="1">
      <c r="B220" s="219" t="str">
        <f>'1C'!Z38</f>
        <v>A11022STAT</v>
      </c>
      <c r="C220" s="219" t="s">
        <v>3767</v>
      </c>
      <c r="E220" s="249" t="s">
        <v>3641</v>
      </c>
      <c r="F220" s="252">
        <f>IF(ISBLANK('1C'!F38),"##BLANK",'1C'!F38)</f>
        <v>-87.07</v>
      </c>
    </row>
    <row r="221" spans="2:6" ht="13.5" customHeight="1">
      <c r="B221" s="219" t="str">
        <f>'1C'!AA38</f>
        <v>A11022DSR</v>
      </c>
      <c r="C221" s="219" t="s">
        <v>3768</v>
      </c>
      <c r="E221" s="249" t="s">
        <v>3641</v>
      </c>
      <c r="F221" s="252">
        <f>IF(ISBLANK('1C'!G38),"##BLANK",'1C'!G38)</f>
        <v>0</v>
      </c>
    </row>
    <row r="222" spans="2:6" ht="13.5" customHeight="1">
      <c r="B222" s="219" t="str">
        <f>'1C'!AB38</f>
        <v>A11022NA</v>
      </c>
      <c r="C222" s="219" t="s">
        <v>3769</v>
      </c>
      <c r="E222" s="249" t="s">
        <v>3641</v>
      </c>
      <c r="F222" s="252">
        <f>IF(ISBLANK('1C'!H38),"##BLANK",'1C'!H38)</f>
        <v>0</v>
      </c>
    </row>
    <row r="223" spans="2:6" ht="13.5" customHeight="1">
      <c r="B223" s="219" t="str">
        <f>'1C'!AC38</f>
        <v>A11022ADJ</v>
      </c>
      <c r="C223" s="219" t="s">
        <v>3770</v>
      </c>
      <c r="E223" s="249" t="s">
        <v>3641</v>
      </c>
      <c r="F223" s="252">
        <f>IF(ISBLANK('1C'!I38),"##BLANK",'1C'!I38)</f>
        <v>0</v>
      </c>
    </row>
    <row r="224" spans="2:6" ht="13.5" customHeight="1">
      <c r="B224" s="219" t="str">
        <f>'1C'!AD38</f>
        <v>A11022</v>
      </c>
      <c r="C224" s="219" t="s">
        <v>3771</v>
      </c>
      <c r="E224" s="249" t="s">
        <v>3641</v>
      </c>
      <c r="F224" s="252">
        <f>IF(ISBLANK('1C'!J38),"##BLANK",'1C'!J38)</f>
        <v>-87.07</v>
      </c>
    </row>
    <row r="225" spans="2:6" ht="13.5" customHeight="1">
      <c r="B225" s="219" t="str">
        <f>'1C'!Z39</f>
        <v>A11023STAT</v>
      </c>
      <c r="C225" s="219" t="s">
        <v>3837</v>
      </c>
      <c r="E225" s="249" t="s">
        <v>3641</v>
      </c>
      <c r="F225" s="252">
        <f>IF(ISBLANK('1C'!F39),"##BLANK",'1C'!F39)</f>
        <v>17.896999999999998</v>
      </c>
    </row>
    <row r="226" spans="2:6" ht="13.5" customHeight="1">
      <c r="B226" s="219" t="str">
        <f>'1C'!AA39</f>
        <v>A11023DSR</v>
      </c>
      <c r="C226" s="219" t="s">
        <v>3838</v>
      </c>
      <c r="E226" s="249" t="s">
        <v>3641</v>
      </c>
      <c r="F226" s="252">
        <f>IF(ISBLANK('1C'!G39),"##BLANK",'1C'!G39)</f>
        <v>0</v>
      </c>
    </row>
    <row r="227" spans="2:6" ht="13.5" customHeight="1">
      <c r="B227" s="219" t="str">
        <f>'1C'!AB39</f>
        <v>A11023NA</v>
      </c>
      <c r="C227" s="219" t="s">
        <v>3839</v>
      </c>
      <c r="E227" s="249" t="s">
        <v>3641</v>
      </c>
      <c r="F227" s="252">
        <f>IF(ISBLANK('1C'!H39),"##BLANK",'1C'!H39)</f>
        <v>0.30099999999999999</v>
      </c>
    </row>
    <row r="228" spans="2:6" ht="13.5" customHeight="1">
      <c r="B228" s="219" t="str">
        <f>'1C'!AC39</f>
        <v>A11023ADJ</v>
      </c>
      <c r="C228" s="219" t="s">
        <v>3840</v>
      </c>
      <c r="E228" s="249" t="s">
        <v>3641</v>
      </c>
      <c r="F228" s="252">
        <f>IF(ISBLANK('1C'!I39),"##BLANK",'1C'!I39)</f>
        <v>-0.30099999999999999</v>
      </c>
    </row>
    <row r="229" spans="2:6" ht="13.5" customHeight="1">
      <c r="B229" s="219" t="str">
        <f>'1C'!AD39</f>
        <v>A11023</v>
      </c>
      <c r="C229" s="219" t="s">
        <v>3841</v>
      </c>
      <c r="E229" s="249" t="s">
        <v>3641</v>
      </c>
      <c r="F229" s="252">
        <f>IF(ISBLANK('1C'!J39),"##BLANK",'1C'!J39)</f>
        <v>17.596</v>
      </c>
    </row>
    <row r="230" spans="2:6" ht="13.5" customHeight="1">
      <c r="B230" s="219" t="str">
        <f>'1C'!Z40</f>
        <v>A11024STAT</v>
      </c>
      <c r="C230" s="219" t="s">
        <v>3822</v>
      </c>
      <c r="E230" s="249" t="s">
        <v>3641</v>
      </c>
      <c r="F230" s="252">
        <f>IF(ISBLANK('1C'!F40),"##BLANK",'1C'!F40)</f>
        <v>-3.8180000000000001</v>
      </c>
    </row>
    <row r="231" spans="2:6" ht="13.5" customHeight="1">
      <c r="B231" s="219" t="str">
        <f>'1C'!AA40</f>
        <v>A11024DSR</v>
      </c>
      <c r="C231" s="219" t="s">
        <v>3823</v>
      </c>
      <c r="E231" s="249" t="s">
        <v>3641</v>
      </c>
      <c r="F231" s="252">
        <f>IF(ISBLANK('1C'!G40),"##BLANK",'1C'!G40)</f>
        <v>0</v>
      </c>
    </row>
    <row r="232" spans="2:6" ht="13.5" customHeight="1">
      <c r="B232" s="219" t="str">
        <f>'1C'!AB40</f>
        <v>A11024NA</v>
      </c>
      <c r="C232" s="219" t="s">
        <v>3824</v>
      </c>
      <c r="E232" s="249" t="s">
        <v>3641</v>
      </c>
      <c r="F232" s="252">
        <f>IF(ISBLANK('1C'!H40),"##BLANK",'1C'!H40)</f>
        <v>0</v>
      </c>
    </row>
    <row r="233" spans="2:6" ht="13.5" customHeight="1">
      <c r="B233" s="219" t="str">
        <f>'1C'!AC40</f>
        <v>A11024ADJ</v>
      </c>
      <c r="C233" s="219" t="s">
        <v>3825</v>
      </c>
      <c r="E233" s="249" t="s">
        <v>3641</v>
      </c>
      <c r="F233" s="252">
        <f>IF(ISBLANK('1C'!I40),"##BLANK",'1C'!I40)</f>
        <v>0</v>
      </c>
    </row>
    <row r="234" spans="2:6" ht="13.5" customHeight="1">
      <c r="B234" s="219" t="str">
        <f>'1C'!AD40</f>
        <v>A11024</v>
      </c>
      <c r="C234" s="219" t="s">
        <v>3826</v>
      </c>
      <c r="E234" s="249" t="s">
        <v>3641</v>
      </c>
      <c r="F234" s="252">
        <f>IF(ISBLANK('1C'!J40),"##BLANK",'1C'!J40)</f>
        <v>-3.8180000000000001</v>
      </c>
    </row>
    <row r="235" spans="2:6" ht="13.5" customHeight="1">
      <c r="B235" s="219" t="str">
        <f>'1C'!Z41</f>
        <v>BO4065STATGC</v>
      </c>
      <c r="C235" s="219" t="s">
        <v>3842</v>
      </c>
      <c r="E235" s="249" t="s">
        <v>3641</v>
      </c>
      <c r="F235" s="252">
        <f>IF(ISBLANK('1C'!F41),"##BLANK",'1C'!F41)</f>
        <v>-398.09899999999999</v>
      </c>
    </row>
    <row r="236" spans="2:6" ht="13.5" customHeight="1">
      <c r="B236" s="219" t="str">
        <f>'1C'!AA41</f>
        <v>BO4065DSRGC</v>
      </c>
      <c r="C236" s="219" t="s">
        <v>3843</v>
      </c>
      <c r="E236" s="249" t="s">
        <v>3641</v>
      </c>
      <c r="F236" s="252">
        <f>IF(ISBLANK('1C'!G41),"##BLANK",'1C'!G41)</f>
        <v>0</v>
      </c>
    </row>
    <row r="237" spans="2:6" ht="13.5" customHeight="1">
      <c r="B237" s="219" t="str">
        <f>'1C'!AB41</f>
        <v>BO4065NAGC</v>
      </c>
      <c r="C237" s="219" t="s">
        <v>3844</v>
      </c>
      <c r="E237" s="249" t="s">
        <v>3641</v>
      </c>
      <c r="F237" s="252">
        <f>IF(ISBLANK('1C'!H41),"##BLANK",'1C'!H41)</f>
        <v>-78.857000000000014</v>
      </c>
    </row>
    <row r="238" spans="2:6" ht="13.5" customHeight="1">
      <c r="B238" s="219" t="str">
        <f>'1C'!AC41</f>
        <v>BO4065ADJGC</v>
      </c>
      <c r="C238" s="219" t="s">
        <v>3845</v>
      </c>
      <c r="E238" s="249" t="s">
        <v>3641</v>
      </c>
      <c r="F238" s="252">
        <f>IF(ISBLANK('1C'!I41),"##BLANK",'1C'!I41)</f>
        <v>78.857000000000014</v>
      </c>
    </row>
    <row r="239" spans="2:6" ht="13.5" customHeight="1">
      <c r="B239" s="219" t="str">
        <f>'1C'!AD41</f>
        <v>BO4065GC</v>
      </c>
      <c r="C239" s="219" t="s">
        <v>3846</v>
      </c>
      <c r="E239" s="249" t="s">
        <v>3641</v>
      </c>
      <c r="F239" s="252">
        <f>IF(ISBLANK('1C'!J41),"##BLANK",'1C'!J41)</f>
        <v>-319.24199999999996</v>
      </c>
    </row>
    <row r="240" spans="2:6" ht="13.5" customHeight="1">
      <c r="B240" s="219" t="str">
        <f>'1C'!Z42</f>
        <v>BO4065STATAA</v>
      </c>
      <c r="C240" s="219" t="s">
        <v>3847</v>
      </c>
      <c r="E240" s="249" t="s">
        <v>3641</v>
      </c>
      <c r="F240" s="252">
        <f>IF(ISBLANK('1C'!F42),"##BLANK",'1C'!F42)</f>
        <v>-169.46899999999999</v>
      </c>
    </row>
    <row r="241" spans="2:6" ht="13.5" customHeight="1">
      <c r="B241" s="219" t="str">
        <f>'1C'!AA42</f>
        <v>BO4065DSRAA</v>
      </c>
      <c r="C241" s="219" t="s">
        <v>3848</v>
      </c>
      <c r="E241" s="249" t="s">
        <v>3641</v>
      </c>
      <c r="F241" s="252">
        <f>IF(ISBLANK('1C'!G42),"##BLANK",'1C'!G42)</f>
        <v>0</v>
      </c>
    </row>
    <row r="242" spans="2:6" ht="13.5" customHeight="1">
      <c r="B242" s="219" t="str">
        <f>'1C'!AB42</f>
        <v>BO4065NAAA</v>
      </c>
      <c r="C242" s="219" t="s">
        <v>3849</v>
      </c>
      <c r="E242" s="249" t="s">
        <v>3641</v>
      </c>
      <c r="F242" s="252">
        <f>IF(ISBLANK('1C'!H42),"##BLANK",'1C'!H42)</f>
        <v>0</v>
      </c>
    </row>
    <row r="243" spans="2:6" ht="13.5" customHeight="1">
      <c r="B243" s="219" t="str">
        <f>'1C'!AC42</f>
        <v>BO4065ADJAA</v>
      </c>
      <c r="C243" s="219" t="s">
        <v>3850</v>
      </c>
      <c r="E243" s="249" t="s">
        <v>3641</v>
      </c>
      <c r="F243" s="252">
        <f>IF(ISBLANK('1C'!I42),"##BLANK",'1C'!I42)</f>
        <v>0</v>
      </c>
    </row>
    <row r="244" spans="2:6" ht="13.5" customHeight="1">
      <c r="B244" s="219" t="str">
        <f>'1C'!AD42</f>
        <v>BO4065AA</v>
      </c>
      <c r="C244" s="219" t="s">
        <v>3851</v>
      </c>
      <c r="E244" s="249" t="s">
        <v>3641</v>
      </c>
      <c r="F244" s="252">
        <f>IF(ISBLANK('1C'!J42),"##BLANK",'1C'!J42)</f>
        <v>-169.46899999999999</v>
      </c>
    </row>
    <row r="245" spans="2:6" ht="13.5" customHeight="1">
      <c r="B245" s="219" t="str">
        <f>'1C'!Z43</f>
        <v>BB1300APSTAT</v>
      </c>
      <c r="C245" s="219" t="s">
        <v>3852</v>
      </c>
      <c r="E245" s="249" t="s">
        <v>3641</v>
      </c>
      <c r="F245" s="252">
        <f>IF(ISBLANK('1C'!F43),"##BLANK",'1C'!F43)</f>
        <v>0</v>
      </c>
    </row>
    <row r="246" spans="2:6" ht="13.5" customHeight="1">
      <c r="B246" s="219" t="str">
        <f>'1C'!AA43</f>
        <v>BB1300APDSR</v>
      </c>
      <c r="C246" s="219" t="s">
        <v>3853</v>
      </c>
      <c r="E246" s="249" t="s">
        <v>3641</v>
      </c>
      <c r="F246" s="252">
        <f>IF(ISBLANK('1C'!G43),"##BLANK",'1C'!G43)</f>
        <v>0</v>
      </c>
    </row>
    <row r="247" spans="2:6" ht="13.5" customHeight="1">
      <c r="B247" s="219" t="str">
        <f>'1C'!AB43</f>
        <v>BB1300APNA</v>
      </c>
      <c r="C247" s="219" t="s">
        <v>3854</v>
      </c>
      <c r="E247" s="249" t="s">
        <v>3641</v>
      </c>
      <c r="F247" s="252">
        <f>IF(ISBLANK('1C'!H43),"##BLANK",'1C'!H43)</f>
        <v>0</v>
      </c>
    </row>
    <row r="248" spans="2:6" ht="13.5" customHeight="1">
      <c r="B248" s="219" t="str">
        <f>'1C'!AC43</f>
        <v>BB1300APADJ</v>
      </c>
      <c r="C248" s="219" t="s">
        <v>3855</v>
      </c>
      <c r="E248" s="249" t="s">
        <v>3641</v>
      </c>
      <c r="F248" s="252">
        <f>IF(ISBLANK('1C'!I43),"##BLANK",'1C'!I43)</f>
        <v>0</v>
      </c>
    </row>
    <row r="249" spans="2:6" ht="13.5" customHeight="1">
      <c r="B249" s="219" t="str">
        <f>'1C'!AD43</f>
        <v>BB1300AP</v>
      </c>
      <c r="C249" s="219" t="s">
        <v>3856</v>
      </c>
      <c r="E249" s="249" t="s">
        <v>3641</v>
      </c>
      <c r="F249" s="252">
        <f>IF(ISBLANK('1C'!J43),"##BLANK",'1C'!J43)</f>
        <v>0</v>
      </c>
    </row>
    <row r="250" spans="2:6" ht="13.5" customHeight="1">
      <c r="B250" s="219" t="str">
        <f>'1C'!Z44</f>
        <v>BO4063STAT</v>
      </c>
      <c r="C250" s="219" t="s">
        <v>3698</v>
      </c>
      <c r="E250" s="249" t="s">
        <v>3641</v>
      </c>
      <c r="F250" s="252">
        <f>IF(ISBLANK('1C'!F44),"##BLANK",'1C'!F44)</f>
        <v>-619.58199999999999</v>
      </c>
    </row>
    <row r="251" spans="2:6" ht="13.5" customHeight="1">
      <c r="B251" s="219" t="str">
        <f>'1C'!AA44</f>
        <v>BO4063DSR</v>
      </c>
      <c r="C251" s="219" t="s">
        <v>3699</v>
      </c>
      <c r="E251" s="249" t="s">
        <v>3641</v>
      </c>
      <c r="F251" s="252">
        <f>IF(ISBLANK('1C'!G44),"##BLANK",'1C'!G44)</f>
        <v>17.231000000000108</v>
      </c>
    </row>
    <row r="252" spans="2:6" ht="13.5" customHeight="1">
      <c r="B252" s="219" t="str">
        <f>'1C'!AB44</f>
        <v>BO4063NA</v>
      </c>
      <c r="C252" s="219" t="s">
        <v>3857</v>
      </c>
      <c r="E252" s="249" t="s">
        <v>3641</v>
      </c>
      <c r="F252" s="252">
        <f>IF(ISBLANK('1C'!H44),"##BLANK",'1C'!H44)</f>
        <v>-5.4619999999999997</v>
      </c>
    </row>
    <row r="253" spans="2:6" ht="13.5" customHeight="1">
      <c r="B253" s="219" t="str">
        <f>'1C'!AC44</f>
        <v>BO4063ADJ</v>
      </c>
      <c r="C253" s="219" t="s">
        <v>3701</v>
      </c>
      <c r="E253" s="249" t="s">
        <v>3641</v>
      </c>
      <c r="F253" s="252">
        <f>IF(ISBLANK('1C'!I44),"##BLANK",'1C'!I44)</f>
        <v>22.693000000000108</v>
      </c>
    </row>
    <row r="254" spans="2:6" ht="13.5" customHeight="1">
      <c r="B254" s="219" t="str">
        <f>'1C'!AD44</f>
        <v>BO4063</v>
      </c>
      <c r="C254" s="219" t="s">
        <v>3702</v>
      </c>
      <c r="E254" s="249" t="s">
        <v>3641</v>
      </c>
      <c r="F254" s="252">
        <f>IF(ISBLANK('1C'!J44),"##BLANK",'1C'!J44)</f>
        <v>-596.8889999999999</v>
      </c>
    </row>
    <row r="255" spans="2:6" ht="13.5" customHeight="1">
      <c r="B255" s="219" t="str">
        <f>'1C'!Z45</f>
        <v>A11025STAT</v>
      </c>
      <c r="C255" s="219" t="s">
        <v>3858</v>
      </c>
      <c r="E255" s="249" t="s">
        <v>3641</v>
      </c>
      <c r="F255" s="252">
        <f>IF(ISBLANK('1C'!F45),"##BLANK",'1C'!F45)</f>
        <v>-4680.7610000000004</v>
      </c>
    </row>
    <row r="256" spans="2:6" ht="13.5" customHeight="1">
      <c r="B256" s="219" t="str">
        <f>'1C'!AA45</f>
        <v>A11025DSR</v>
      </c>
      <c r="C256" s="219" t="s">
        <v>3859</v>
      </c>
      <c r="E256" s="249" t="s">
        <v>3641</v>
      </c>
      <c r="F256" s="252">
        <f>IF(ISBLANK('1C'!G45),"##BLANK",'1C'!G45)</f>
        <v>17.231000000000108</v>
      </c>
    </row>
    <row r="257" spans="2:6" ht="13.5" customHeight="1">
      <c r="B257" s="219" t="str">
        <f>'1C'!AB45</f>
        <v>A11025NA</v>
      </c>
      <c r="C257" s="219" t="s">
        <v>3860</v>
      </c>
      <c r="E257" s="249" t="s">
        <v>3641</v>
      </c>
      <c r="F257" s="252">
        <f>IF(ISBLANK('1C'!H45),"##BLANK",'1C'!H45)</f>
        <v>-84.018000000000015</v>
      </c>
    </row>
    <row r="258" spans="2:6" ht="13.5" customHeight="1">
      <c r="B258" s="219" t="str">
        <f>'1C'!AC45</f>
        <v>A11025ADJ</v>
      </c>
      <c r="C258" s="219" t="s">
        <v>3861</v>
      </c>
      <c r="E258" s="249" t="s">
        <v>3641</v>
      </c>
      <c r="F258" s="252">
        <f>IF(ISBLANK('1C'!I45),"##BLANK",'1C'!I45)</f>
        <v>101.24900000000012</v>
      </c>
    </row>
    <row r="259" spans="2:6" ht="13.5" customHeight="1">
      <c r="B259" s="219" t="str">
        <f>'1C'!AD45</f>
        <v>A11025</v>
      </c>
      <c r="C259" s="219" t="s">
        <v>3862</v>
      </c>
      <c r="E259" s="249" t="s">
        <v>3641</v>
      </c>
      <c r="F259" s="252">
        <f>IF(ISBLANK('1C'!J45),"##BLANK",'1C'!J45)</f>
        <v>-4579.5120000000006</v>
      </c>
    </row>
    <row r="260" spans="2:6" ht="13.5" customHeight="1">
      <c r="B260" s="219" t="str">
        <f>'1C'!Z47</f>
        <v>BO4070STAT</v>
      </c>
      <c r="C260" s="219" t="s">
        <v>3863</v>
      </c>
      <c r="E260" s="249" t="s">
        <v>3641</v>
      </c>
      <c r="F260" s="252">
        <f>IF(ISBLANK('1C'!F47),"##BLANK",'1C'!F47)</f>
        <v>346.50699999999961</v>
      </c>
    </row>
    <row r="261" spans="2:6" ht="13.5" customHeight="1">
      <c r="B261" s="219" t="str">
        <f>'1C'!AA47</f>
        <v>BO4070DSR</v>
      </c>
      <c r="C261" s="219" t="s">
        <v>3864</v>
      </c>
      <c r="E261" s="249" t="s">
        <v>3641</v>
      </c>
      <c r="F261" s="252">
        <f>IF(ISBLANK('1C'!G47),"##BLANK",'1C'!G47)</f>
        <v>-51.277999999999892</v>
      </c>
    </row>
    <row r="262" spans="2:6" ht="13.5" customHeight="1">
      <c r="B262" s="219" t="str">
        <f>'1C'!AB47</f>
        <v>BO4070NA</v>
      </c>
      <c r="C262" s="219" t="s">
        <v>3865</v>
      </c>
      <c r="E262" s="249" t="s">
        <v>3641</v>
      </c>
      <c r="F262" s="252">
        <f>IF(ISBLANK('1C'!H47),"##BLANK",'1C'!H47)</f>
        <v>21.220999999999975</v>
      </c>
    </row>
    <row r="263" spans="2:6" ht="13.5" customHeight="1">
      <c r="B263" s="219" t="str">
        <f>'1C'!AC47</f>
        <v>BO4070ADJ</v>
      </c>
      <c r="C263" s="219" t="s">
        <v>3866</v>
      </c>
      <c r="E263" s="249" t="s">
        <v>3641</v>
      </c>
      <c r="F263" s="252">
        <f>IF(ISBLANK('1C'!I47),"##BLANK",'1C'!I47)</f>
        <v>-72.498999999999867</v>
      </c>
    </row>
    <row r="264" spans="2:6" ht="13.5" customHeight="1">
      <c r="B264" s="219" t="str">
        <f>'1C'!AD47</f>
        <v>BO4070</v>
      </c>
      <c r="C264" s="219" t="s">
        <v>3867</v>
      </c>
      <c r="E264" s="249" t="s">
        <v>3641</v>
      </c>
      <c r="F264" s="252">
        <f>IF(ISBLANK('1C'!J47),"##BLANK",'1C'!J47)</f>
        <v>274.00799999999975</v>
      </c>
    </row>
    <row r="265" spans="2:6" ht="13.5" customHeight="1">
      <c r="B265" s="219" t="str">
        <f>'1C'!Z50</f>
        <v>BO4100STAT</v>
      </c>
      <c r="C265" s="219" t="s">
        <v>3868</v>
      </c>
      <c r="E265" s="249" t="s">
        <v>3641</v>
      </c>
      <c r="F265" s="252">
        <f>IF(ISBLANK('1C'!F50),"##BLANK",'1C'!F50)</f>
        <v>122.65</v>
      </c>
    </row>
    <row r="266" spans="2:6" ht="13.5" customHeight="1">
      <c r="B266" s="219" t="str">
        <f>'1C'!AA50</f>
        <v>BO4100DSR</v>
      </c>
      <c r="C266" s="219" t="s">
        <v>3869</v>
      </c>
      <c r="E266" s="249" t="s">
        <v>3641</v>
      </c>
      <c r="F266" s="252">
        <f>IF(ISBLANK('1C'!G50),"##BLANK",'1C'!G50)</f>
        <v>0</v>
      </c>
    </row>
    <row r="267" spans="2:6" ht="13.5" customHeight="1">
      <c r="B267" s="219" t="str">
        <f>'1C'!AB50</f>
        <v>BO4100NA</v>
      </c>
      <c r="C267" s="219" t="s">
        <v>3870</v>
      </c>
      <c r="E267" s="249" t="s">
        <v>3641</v>
      </c>
      <c r="F267" s="252">
        <f>IF(ISBLANK('1C'!H50),"##BLANK",'1C'!H50)</f>
        <v>30.6</v>
      </c>
    </row>
    <row r="268" spans="2:6" ht="13.5" customHeight="1">
      <c r="B268" s="219" t="str">
        <f>'1C'!AC50</f>
        <v>BO4100ADJ</v>
      </c>
      <c r="C268" s="219" t="s">
        <v>3871</v>
      </c>
      <c r="E268" s="249" t="s">
        <v>3641</v>
      </c>
      <c r="F268" s="252">
        <f>IF(ISBLANK('1C'!I50),"##BLANK",'1C'!I50)</f>
        <v>-30.6</v>
      </c>
    </row>
    <row r="269" spans="2:6" ht="13.5" customHeight="1">
      <c r="B269" s="219" t="str">
        <f>'1C'!AD50</f>
        <v>BO4100</v>
      </c>
      <c r="C269" s="219" t="s">
        <v>3872</v>
      </c>
      <c r="E269" s="249" t="s">
        <v>3641</v>
      </c>
      <c r="F269" s="252">
        <f>IF(ISBLANK('1C'!J50),"##BLANK",'1C'!J50)</f>
        <v>92.050000000000011</v>
      </c>
    </row>
    <row r="270" spans="2:6" ht="13.5" customHeight="1">
      <c r="B270" s="219" t="str">
        <f>'1C'!Z51</f>
        <v>A11030STAT</v>
      </c>
      <c r="C270" s="219" t="s">
        <v>3873</v>
      </c>
      <c r="E270" s="249" t="s">
        <v>3641</v>
      </c>
      <c r="F270" s="252">
        <f>IF(ISBLANK('1C'!F51),"##BLANK",'1C'!F51)</f>
        <v>223.85700000000008</v>
      </c>
    </row>
    <row r="271" spans="2:6" ht="13.5" customHeight="1">
      <c r="B271" s="219" t="str">
        <f>'1C'!AA51</f>
        <v>A11030DSR</v>
      </c>
      <c r="C271" s="219" t="s">
        <v>3874</v>
      </c>
      <c r="E271" s="249" t="s">
        <v>3641</v>
      </c>
      <c r="F271" s="252">
        <f>IF(ISBLANK('1C'!G51),"##BLANK",'1C'!G51)</f>
        <v>-51.277999999999999</v>
      </c>
    </row>
    <row r="272" spans="2:6" ht="13.5" customHeight="1">
      <c r="B272" s="219" t="str">
        <f>'1C'!AB51</f>
        <v>A11030NA</v>
      </c>
      <c r="C272" s="219" t="s">
        <v>3875</v>
      </c>
      <c r="E272" s="249" t="s">
        <v>3641</v>
      </c>
      <c r="F272" s="252">
        <f>IF(ISBLANK('1C'!H51),"##BLANK",'1C'!H51)</f>
        <v>-9.3790000000000084</v>
      </c>
    </row>
    <row r="273" spans="2:6" ht="13.5" customHeight="1">
      <c r="B273" s="219" t="str">
        <f>'1C'!AC51</f>
        <v>A11030ADJ</v>
      </c>
      <c r="C273" s="219" t="s">
        <v>3876</v>
      </c>
      <c r="E273" s="249" t="s">
        <v>3641</v>
      </c>
      <c r="F273" s="252">
        <f>IF(ISBLANK('1C'!I51),"##BLANK",'1C'!I51)</f>
        <v>-41.898999999999987</v>
      </c>
    </row>
    <row r="274" spans="2:6" ht="13.5" customHeight="1">
      <c r="B274" s="219" t="str">
        <f>'1C'!AD51</f>
        <v>A11030</v>
      </c>
      <c r="C274" s="219" t="s">
        <v>3877</v>
      </c>
      <c r="E274" s="249" t="s">
        <v>3641</v>
      </c>
      <c r="F274" s="252">
        <f>IF(ISBLANK('1C'!J51),"##BLANK",'1C'!J51)</f>
        <v>181.95800000000008</v>
      </c>
    </row>
    <row r="275" spans="2:6" ht="13.5" customHeight="1">
      <c r="B275" s="219" t="str">
        <f>'1C'!Z52</f>
        <v>BO4130STAT</v>
      </c>
      <c r="C275" s="219" t="s">
        <v>3878</v>
      </c>
      <c r="E275" s="249" t="s">
        <v>3641</v>
      </c>
      <c r="F275" s="252">
        <f>IF(ISBLANK('1C'!F52),"##BLANK",'1C'!F52)</f>
        <v>346.50700000000006</v>
      </c>
    </row>
    <row r="276" spans="2:6" ht="13.5" customHeight="1">
      <c r="B276" s="219" t="str">
        <f>'1C'!AA52</f>
        <v>BO4130DSR</v>
      </c>
      <c r="C276" s="219" t="s">
        <v>3879</v>
      </c>
      <c r="E276" s="249" t="s">
        <v>3641</v>
      </c>
      <c r="F276" s="252">
        <f>IF(ISBLANK('1C'!G52),"##BLANK",'1C'!G52)</f>
        <v>-51.277999999999999</v>
      </c>
    </row>
    <row r="277" spans="2:6" ht="13.5" customHeight="1">
      <c r="B277" s="219" t="str">
        <f>'1C'!AB52</f>
        <v>BO4130NA</v>
      </c>
      <c r="C277" s="219" t="s">
        <v>3880</v>
      </c>
      <c r="E277" s="249" t="s">
        <v>3641</v>
      </c>
      <c r="F277" s="252">
        <f>IF(ISBLANK('1C'!H52),"##BLANK",'1C'!H52)</f>
        <v>21.220999999999993</v>
      </c>
    </row>
    <row r="278" spans="2:6" ht="13.5" customHeight="1">
      <c r="B278" s="219" t="str">
        <f>'1C'!AC52</f>
        <v>BO4130ADJ</v>
      </c>
      <c r="C278" s="219" t="s">
        <v>3881</v>
      </c>
      <c r="E278" s="249" t="s">
        <v>3641</v>
      </c>
      <c r="F278" s="252">
        <f>IF(ISBLANK('1C'!I52),"##BLANK",'1C'!I52)</f>
        <v>-72.498999999999995</v>
      </c>
    </row>
    <row r="279" spans="2:6" ht="13.5" customHeight="1">
      <c r="B279" s="219" t="str">
        <f>'1C'!AD52</f>
        <v>BO4130</v>
      </c>
      <c r="C279" s="219" t="s">
        <v>3882</v>
      </c>
      <c r="E279" s="249" t="s">
        <v>3641</v>
      </c>
      <c r="F279" s="252">
        <f>IF(ISBLANK('1C'!J52),"##BLANK",'1C'!J52)</f>
        <v>274.00800000000004</v>
      </c>
    </row>
    <row r="280" spans="2:6" ht="13.5" customHeight="1">
      <c r="B280" s="219" t="str">
        <f>'1D'!AC10</f>
        <v>BO5002ADJ</v>
      </c>
      <c r="C280" s="219" t="s">
        <v>3664</v>
      </c>
      <c r="E280" s="249" t="s">
        <v>3641</v>
      </c>
      <c r="F280" s="252">
        <f>IF(ISBLANK('1D'!I10),"##BLANK",'1D'!I10)</f>
        <v>10.362</v>
      </c>
    </row>
    <row r="281" spans="2:6" ht="13.5" customHeight="1">
      <c r="B281" s="219" t="str">
        <f>'1D'!AD10</f>
        <v>BO5002</v>
      </c>
      <c r="C281" s="219" t="s">
        <v>3665</v>
      </c>
      <c r="E281" s="249" t="s">
        <v>3641</v>
      </c>
      <c r="F281" s="252">
        <f>IF(ISBLANK('1D'!J10),"##BLANK",'1D'!J10)</f>
        <v>10.362</v>
      </c>
    </row>
    <row r="282" spans="2:6" ht="13.5" customHeight="1">
      <c r="B282" s="219" t="str">
        <f>'1D'!Z11</f>
        <v>A14002STAT</v>
      </c>
      <c r="C282" s="219" t="s">
        <v>3883</v>
      </c>
      <c r="E282" s="249" t="s">
        <v>3641</v>
      </c>
      <c r="F282" s="252">
        <f>IF(ISBLANK('1D'!F11),"##BLANK",'1D'!F11)</f>
        <v>151.017</v>
      </c>
    </row>
    <row r="283" spans="2:6" ht="13.5" customHeight="1">
      <c r="B283" s="219" t="str">
        <f>'1D'!AA11</f>
        <v>A14002DSR</v>
      </c>
      <c r="C283" s="219" t="s">
        <v>3884</v>
      </c>
      <c r="E283" s="249" t="s">
        <v>3641</v>
      </c>
      <c r="F283" s="252">
        <f>IF(ISBLANK('1D'!G11),"##BLANK",'1D'!G11)</f>
        <v>-2.0990000000000002</v>
      </c>
    </row>
    <row r="284" spans="2:6" ht="13.5" customHeight="1">
      <c r="B284" s="219" t="str">
        <f>'1D'!AB11</f>
        <v>A14002NA</v>
      </c>
      <c r="C284" s="219" t="s">
        <v>3885</v>
      </c>
      <c r="E284" s="249" t="s">
        <v>3641</v>
      </c>
      <c r="F284" s="252">
        <f>IF(ISBLANK('1D'!H11),"##BLANK",'1D'!H11)</f>
        <v>3.0880000000000001</v>
      </c>
    </row>
    <row r="285" spans="2:6" ht="13.5" customHeight="1">
      <c r="B285" s="219" t="str">
        <f>'1D'!AC11</f>
        <v>A14002ADJ</v>
      </c>
      <c r="C285" s="219" t="s">
        <v>3886</v>
      </c>
      <c r="E285" s="249" t="s">
        <v>3641</v>
      </c>
      <c r="F285" s="252">
        <f>IF(ISBLANK('1D'!I11),"##BLANK",'1D'!I11)</f>
        <v>-5.1870000000000003</v>
      </c>
    </row>
    <row r="286" spans="2:6" ht="13.5" customHeight="1">
      <c r="B286" s="219" t="str">
        <f>'1D'!AD11</f>
        <v>A14002</v>
      </c>
      <c r="C286" s="219" t="s">
        <v>3887</v>
      </c>
      <c r="E286" s="249" t="s">
        <v>3641</v>
      </c>
      <c r="F286" s="252">
        <f>IF(ISBLANK('1D'!J11),"##BLANK",'1D'!J11)</f>
        <v>145.82999999999998</v>
      </c>
    </row>
    <row r="287" spans="2:6" ht="13.5" customHeight="1">
      <c r="B287" s="219" t="str">
        <f>'1D'!Z12</f>
        <v>A3028STAT</v>
      </c>
      <c r="C287" s="219" t="s">
        <v>3888</v>
      </c>
      <c r="E287" s="249" t="s">
        <v>3641</v>
      </c>
      <c r="F287" s="252">
        <f>IF(ISBLANK('1D'!F12),"##BLANK",'1D'!F12)</f>
        <v>0</v>
      </c>
    </row>
    <row r="288" spans="2:6" ht="13.5" customHeight="1">
      <c r="B288" s="219" t="str">
        <f>'1D'!AA12</f>
        <v>A3028DSR</v>
      </c>
      <c r="C288" s="219" t="s">
        <v>3889</v>
      </c>
      <c r="E288" s="249" t="s">
        <v>3641</v>
      </c>
      <c r="F288" s="252">
        <f>IF(ISBLANK('1D'!G12),"##BLANK",'1D'!G12)</f>
        <v>0</v>
      </c>
    </row>
    <row r="289" spans="2:6" ht="13.5" customHeight="1">
      <c r="B289" s="219" t="str">
        <f>'1D'!AB12</f>
        <v>A3028NA</v>
      </c>
      <c r="C289" s="219" t="s">
        <v>3890</v>
      </c>
      <c r="E289" s="249" t="s">
        <v>3641</v>
      </c>
      <c r="F289" s="252">
        <f>IF(ISBLANK('1D'!H12),"##BLANK",'1D'!H12)</f>
        <v>0</v>
      </c>
    </row>
    <row r="290" spans="2:6" ht="13.5" customHeight="1">
      <c r="B290" s="219" t="str">
        <f>'1D'!AC12</f>
        <v>A3028ADJ</v>
      </c>
      <c r="C290" s="219" t="s">
        <v>3891</v>
      </c>
      <c r="E290" s="249" t="s">
        <v>3641</v>
      </c>
      <c r="F290" s="252">
        <f>IF(ISBLANK('1D'!I12),"##BLANK",'1D'!I12)</f>
        <v>0</v>
      </c>
    </row>
    <row r="291" spans="2:6" ht="13.5" customHeight="1">
      <c r="B291" s="219" t="str">
        <f>'1D'!AD12</f>
        <v>A3028</v>
      </c>
      <c r="C291" s="219" t="s">
        <v>3892</v>
      </c>
      <c r="E291" s="249" t="s">
        <v>3641</v>
      </c>
      <c r="F291" s="252">
        <f>IF(ISBLANK('1D'!J12),"##BLANK",'1D'!J12)</f>
        <v>0</v>
      </c>
    </row>
    <row r="292" spans="2:6" ht="13.5" customHeight="1">
      <c r="B292" s="219" t="str">
        <f>'1D'!Z13</f>
        <v>FT01810STAT</v>
      </c>
      <c r="C292" s="219" t="s">
        <v>3893</v>
      </c>
      <c r="E292" s="249" t="s">
        <v>3641</v>
      </c>
      <c r="F292" s="252">
        <f>IF(ISBLANK('1D'!F13),"##BLANK",'1D'!F13)</f>
        <v>-1.9969999999999895</v>
      </c>
    </row>
    <row r="293" spans="2:6" ht="13.5" customHeight="1">
      <c r="B293" s="219" t="str">
        <f>'1D'!AA13</f>
        <v>FT01810DSR</v>
      </c>
      <c r="C293" s="219" t="s">
        <v>3894</v>
      </c>
      <c r="E293" s="249" t="s">
        <v>3641</v>
      </c>
      <c r="F293" s="252">
        <f>IF(ISBLANK('1D'!G13),"##BLANK",'1D'!G13)</f>
        <v>0.97399999999998954</v>
      </c>
    </row>
    <row r="294" spans="2:6" ht="13.5" customHeight="1">
      <c r="B294" s="219" t="str">
        <f>'1D'!AB13</f>
        <v>FT01810NA</v>
      </c>
      <c r="C294" s="219" t="s">
        <v>3895</v>
      </c>
      <c r="E294" s="249" t="s">
        <v>3641</v>
      </c>
      <c r="F294" s="252">
        <f>IF(ISBLANK('1D'!H13),"##BLANK",'1D'!H13)</f>
        <v>1.4159999999999997</v>
      </c>
    </row>
    <row r="295" spans="2:6" ht="13.5" customHeight="1">
      <c r="B295" s="219" t="str">
        <f>'1D'!AC13</f>
        <v>FT01810ADJ</v>
      </c>
      <c r="C295" s="219" t="s">
        <v>3896</v>
      </c>
      <c r="E295" s="249" t="s">
        <v>3641</v>
      </c>
      <c r="F295" s="252">
        <f>IF(ISBLANK('1D'!I13),"##BLANK",'1D'!I13)</f>
        <v>-0.44200000000001016</v>
      </c>
    </row>
    <row r="296" spans="2:6" ht="13.5" customHeight="1">
      <c r="B296" s="219" t="str">
        <f>'1D'!AD13</f>
        <v>FT01810</v>
      </c>
      <c r="C296" s="219" t="s">
        <v>3897</v>
      </c>
      <c r="E296" s="249" t="s">
        <v>3641</v>
      </c>
      <c r="F296" s="252">
        <f>IF(ISBLANK('1D'!J13),"##BLANK",'1D'!J13)</f>
        <v>-2.4389999999999996</v>
      </c>
    </row>
    <row r="297" spans="2:6" ht="13.5" customHeight="1">
      <c r="B297" s="219" t="str">
        <f>'1D'!Z14</f>
        <v>A14005STAT</v>
      </c>
      <c r="C297" s="219" t="s">
        <v>3898</v>
      </c>
      <c r="E297" s="249" t="s">
        <v>3641</v>
      </c>
      <c r="F297" s="252">
        <f>IF(ISBLANK('1D'!F14),"##BLANK",'1D'!F14)</f>
        <v>-39.085999999999999</v>
      </c>
    </row>
    <row r="298" spans="2:6" ht="13.5" customHeight="1">
      <c r="B298" s="219" t="str">
        <f>'1D'!AA14</f>
        <v>A14005DSR</v>
      </c>
      <c r="C298" s="219" t="s">
        <v>3899</v>
      </c>
      <c r="E298" s="249" t="s">
        <v>3641</v>
      </c>
      <c r="F298" s="252">
        <f>IF(ISBLANK('1D'!G14),"##BLANK",'1D'!G14)</f>
        <v>0</v>
      </c>
    </row>
    <row r="299" spans="2:6" ht="13.5" customHeight="1">
      <c r="B299" s="219" t="str">
        <f>'1D'!AB14</f>
        <v>A14005NA</v>
      </c>
      <c r="C299" s="219" t="s">
        <v>3900</v>
      </c>
      <c r="E299" s="249" t="s">
        <v>3641</v>
      </c>
      <c r="F299" s="252">
        <f>IF(ISBLANK('1D'!H14),"##BLANK",'1D'!H14)</f>
        <v>-0.17</v>
      </c>
    </row>
    <row r="300" spans="2:6" ht="13.5" customHeight="1">
      <c r="B300" s="219" t="str">
        <f>'1D'!AC14</f>
        <v>A14005ADJ</v>
      </c>
      <c r="C300" s="219" t="s">
        <v>3901</v>
      </c>
      <c r="E300" s="249" t="s">
        <v>3641</v>
      </c>
      <c r="F300" s="252">
        <f>IF(ISBLANK('1D'!I14),"##BLANK",'1D'!I14)</f>
        <v>0.17</v>
      </c>
    </row>
    <row r="301" spans="2:6" ht="13.5" customHeight="1">
      <c r="B301" s="219" t="str">
        <f>'1D'!AD14</f>
        <v>A14005</v>
      </c>
      <c r="C301" s="219" t="s">
        <v>3902</v>
      </c>
      <c r="E301" s="249" t="s">
        <v>3641</v>
      </c>
      <c r="F301" s="252">
        <f>IF(ISBLANK('1D'!J14),"##BLANK",'1D'!J14)</f>
        <v>-38.915999999999997</v>
      </c>
    </row>
    <row r="302" spans="2:6" ht="13.5" customHeight="1">
      <c r="B302" s="219" t="str">
        <f>'1D'!Z15</f>
        <v>BO5020STAT</v>
      </c>
      <c r="C302" s="219" t="s">
        <v>3903</v>
      </c>
      <c r="E302" s="249" t="s">
        <v>3641</v>
      </c>
      <c r="F302" s="252">
        <f>IF(ISBLANK('1D'!F15),"##BLANK",'1D'!F15)</f>
        <v>-14.738</v>
      </c>
    </row>
    <row r="303" spans="2:6" ht="13.5" customHeight="1">
      <c r="B303" s="219" t="str">
        <f>'1D'!AA15</f>
        <v>BO5020DSR</v>
      </c>
      <c r="C303" s="219" t="s">
        <v>3904</v>
      </c>
      <c r="E303" s="249" t="s">
        <v>3641</v>
      </c>
      <c r="F303" s="252">
        <f>IF(ISBLANK('1D'!G15),"##BLANK",'1D'!G15)</f>
        <v>1.796</v>
      </c>
    </row>
    <row r="304" spans="2:6" ht="13.5" customHeight="1">
      <c r="B304" s="219" t="str">
        <f>'1D'!AB15</f>
        <v>BO5020NA</v>
      </c>
      <c r="C304" s="219" t="s">
        <v>3905</v>
      </c>
      <c r="E304" s="249" t="s">
        <v>3641</v>
      </c>
      <c r="F304" s="252">
        <f>IF(ISBLANK('1D'!H15),"##BLANK",'1D'!H15)</f>
        <v>-7.0709999999999997</v>
      </c>
    </row>
    <row r="305" spans="2:6" ht="13.5" customHeight="1">
      <c r="B305" s="219" t="str">
        <f>'1D'!AC15</f>
        <v>BO5020ADJ</v>
      </c>
      <c r="C305" s="219" t="s">
        <v>3906</v>
      </c>
      <c r="E305" s="249" t="s">
        <v>3641</v>
      </c>
      <c r="F305" s="252">
        <f>IF(ISBLANK('1D'!I15),"##BLANK",'1D'!I15)</f>
        <v>8.8669999999999991</v>
      </c>
    </row>
    <row r="306" spans="2:6" ht="13.5" customHeight="1">
      <c r="B306" s="219" t="str">
        <f>'1D'!AD15</f>
        <v>BO5020</v>
      </c>
      <c r="C306" s="219" t="s">
        <v>3907</v>
      </c>
      <c r="E306" s="249" t="s">
        <v>3641</v>
      </c>
      <c r="F306" s="252">
        <f>IF(ISBLANK('1D'!J15),"##BLANK",'1D'!J15)</f>
        <v>-5.8710000000000004</v>
      </c>
    </row>
    <row r="307" spans="2:6" ht="13.5" customHeight="1">
      <c r="B307" s="219" t="str">
        <f>'1D'!Z16</f>
        <v>BO5004STAT</v>
      </c>
      <c r="C307" s="219" t="s">
        <v>3908</v>
      </c>
      <c r="E307" s="249" t="s">
        <v>3641</v>
      </c>
      <c r="F307" s="252">
        <f>IF(ISBLANK('1D'!F16),"##BLANK",'1D'!F16)</f>
        <v>0</v>
      </c>
    </row>
    <row r="308" spans="2:6" ht="13.5" customHeight="1">
      <c r="B308" s="219" t="str">
        <f>'1D'!AA16</f>
        <v>BO5004DSR</v>
      </c>
      <c r="C308" s="219" t="s">
        <v>3909</v>
      </c>
      <c r="E308" s="249" t="s">
        <v>3641</v>
      </c>
      <c r="F308" s="252">
        <f>IF(ISBLANK('1D'!G16),"##BLANK",'1D'!G16)</f>
        <v>-1.796</v>
      </c>
    </row>
    <row r="309" spans="2:6" ht="13.5" customHeight="1">
      <c r="B309" s="219" t="str">
        <f>'1D'!AB16</f>
        <v>BO5004NA</v>
      </c>
      <c r="C309" s="219" t="s">
        <v>3910</v>
      </c>
      <c r="E309" s="249" t="s">
        <v>3641</v>
      </c>
      <c r="F309" s="252">
        <f>IF(ISBLANK('1D'!H16),"##BLANK",'1D'!H16)</f>
        <v>-0.26800000000000002</v>
      </c>
    </row>
    <row r="310" spans="2:6" ht="13.5" customHeight="1">
      <c r="B310" s="219" t="str">
        <f>'1D'!AC16</f>
        <v>BO5004ADJ</v>
      </c>
      <c r="C310" s="219" t="s">
        <v>3911</v>
      </c>
      <c r="E310" s="249" t="s">
        <v>3641</v>
      </c>
      <c r="F310" s="252">
        <f>IF(ISBLANK('1D'!I16),"##BLANK",'1D'!I16)</f>
        <v>-1.528</v>
      </c>
    </row>
    <row r="311" spans="2:6" ht="13.5" customHeight="1">
      <c r="B311" s="219" t="str">
        <f>'1D'!AD16</f>
        <v>BO5004</v>
      </c>
      <c r="C311" s="219" t="s">
        <v>3912</v>
      </c>
      <c r="E311" s="249" t="s">
        <v>3641</v>
      </c>
      <c r="F311" s="252">
        <f>IF(ISBLANK('1D'!J16),"##BLANK",'1D'!J16)</f>
        <v>-1.528</v>
      </c>
    </row>
    <row r="312" spans="2:6" ht="13.5" customHeight="1">
      <c r="B312" s="219" t="str">
        <f>'1D'!Z17</f>
        <v>BO5040STAT</v>
      </c>
      <c r="C312" s="219" t="s">
        <v>3913</v>
      </c>
      <c r="E312" s="249" t="s">
        <v>3641</v>
      </c>
      <c r="F312" s="252">
        <f>IF(ISBLANK('1D'!F17),"##BLANK",'1D'!F17)</f>
        <v>306.61799999999999</v>
      </c>
    </row>
    <row r="313" spans="2:6" ht="13.5" customHeight="1">
      <c r="B313" s="219" t="str">
        <f>'1D'!AA17</f>
        <v>BO5040DSR</v>
      </c>
      <c r="C313" s="219" t="s">
        <v>3914</v>
      </c>
      <c r="E313" s="249" t="s">
        <v>3641</v>
      </c>
      <c r="F313" s="252">
        <f>IF(ISBLANK('1D'!G17),"##BLANK",'1D'!G17)</f>
        <v>-1.4210854715202004E-14</v>
      </c>
    </row>
    <row r="314" spans="2:6" ht="13.5" customHeight="1">
      <c r="B314" s="219" t="str">
        <f>'1D'!AB17</f>
        <v>BO5040NA</v>
      </c>
      <c r="C314" s="219" t="s">
        <v>3915</v>
      </c>
      <c r="E314" s="249" t="s">
        <v>3641</v>
      </c>
      <c r="F314" s="252">
        <f>IF(ISBLANK('1D'!H17),"##BLANK",'1D'!H17)</f>
        <v>5.0280000000000031</v>
      </c>
    </row>
    <row r="315" spans="2:6" ht="13.5" customHeight="1">
      <c r="B315" s="219" t="str">
        <f>'1D'!AC17</f>
        <v>BO5040ADJ</v>
      </c>
      <c r="C315" s="219" t="s">
        <v>3916</v>
      </c>
      <c r="E315" s="249" t="s">
        <v>3641</v>
      </c>
      <c r="F315" s="252">
        <f>IF(ISBLANK('1D'!I17),"##BLANK",'1D'!I17)</f>
        <v>-5.0280000000000173</v>
      </c>
    </row>
    <row r="316" spans="2:6" ht="13.5" customHeight="1">
      <c r="B316" s="219" t="str">
        <f>'1D'!AD17</f>
        <v>BO5040</v>
      </c>
      <c r="C316" s="219" t="s">
        <v>3917</v>
      </c>
      <c r="E316" s="249" t="s">
        <v>3641</v>
      </c>
      <c r="F316" s="252">
        <f>IF(ISBLANK('1D'!J17),"##BLANK",'1D'!J17)</f>
        <v>301.58999999999997</v>
      </c>
    </row>
    <row r="317" spans="2:6" ht="13.5" customHeight="1">
      <c r="B317" s="219" t="str">
        <f>'1D'!Z18</f>
        <v>A14008STAT</v>
      </c>
      <c r="C317" s="219" t="s">
        <v>3918</v>
      </c>
      <c r="E317" s="249" t="s">
        <v>3641</v>
      </c>
      <c r="F317" s="252">
        <f>IF(ISBLANK('1D'!F18),"##BLANK",'1D'!F18)</f>
        <v>-99.736000000000004</v>
      </c>
    </row>
    <row r="318" spans="2:6" ht="13.5" customHeight="1">
      <c r="B318" s="219" t="str">
        <f>'1D'!AA18</f>
        <v>A14008DSR</v>
      </c>
      <c r="C318" s="219" t="s">
        <v>3919</v>
      </c>
      <c r="E318" s="249" t="s">
        <v>3641</v>
      </c>
      <c r="F318" s="252">
        <f>IF(ISBLANK('1D'!G18),"##BLANK",'1D'!G18)</f>
        <v>0</v>
      </c>
    </row>
    <row r="319" spans="2:6" ht="13.5" customHeight="1">
      <c r="B319" s="219" t="str">
        <f>'1D'!AB18</f>
        <v>A14008NA</v>
      </c>
      <c r="C319" s="219" t="s">
        <v>3920</v>
      </c>
      <c r="E319" s="249" t="s">
        <v>3641</v>
      </c>
      <c r="F319" s="252">
        <f>IF(ISBLANK('1D'!H18),"##BLANK",'1D'!H18)</f>
        <v>-4.3999999999999997E-2</v>
      </c>
    </row>
    <row r="320" spans="2:6" ht="13.5" customHeight="1">
      <c r="B320" s="219" t="str">
        <f>'1D'!AC18</f>
        <v>A14008ADJ</v>
      </c>
      <c r="C320" s="219" t="s">
        <v>3921</v>
      </c>
      <c r="E320" s="249" t="s">
        <v>3641</v>
      </c>
      <c r="F320" s="252">
        <f>IF(ISBLANK('1D'!I18),"##BLANK",'1D'!I18)</f>
        <v>4.3999999999999997E-2</v>
      </c>
    </row>
    <row r="321" spans="2:6" ht="13.5" customHeight="1">
      <c r="B321" s="219" t="str">
        <f>'1D'!AD18</f>
        <v>A14008</v>
      </c>
      <c r="C321" s="219" t="s">
        <v>3922</v>
      </c>
      <c r="E321" s="249" t="s">
        <v>3641</v>
      </c>
      <c r="F321" s="252">
        <f>IF(ISBLANK('1D'!J18),"##BLANK",'1D'!J18)</f>
        <v>-99.692000000000007</v>
      </c>
    </row>
    <row r="322" spans="2:6" ht="13.5" customHeight="1">
      <c r="B322" s="219" t="str">
        <f>'1D'!Z19</f>
        <v>BO5070STAT</v>
      </c>
      <c r="C322" s="219" t="s">
        <v>3923</v>
      </c>
      <c r="E322" s="249" t="s">
        <v>3641</v>
      </c>
      <c r="F322" s="252">
        <f>IF(ISBLANK('1D'!F19),"##BLANK",'1D'!F19)</f>
        <v>3.069</v>
      </c>
    </row>
    <row r="323" spans="2:6" ht="13.5" customHeight="1">
      <c r="B323" s="219" t="str">
        <f>'1D'!AA19</f>
        <v>BO5070DSR</v>
      </c>
      <c r="C323" s="219" t="s">
        <v>3924</v>
      </c>
      <c r="E323" s="249" t="s">
        <v>3641</v>
      </c>
      <c r="F323" s="252">
        <f>IF(ISBLANK('1D'!G19),"##BLANK",'1D'!G19)</f>
        <v>0</v>
      </c>
    </row>
    <row r="324" spans="2:6" ht="13.5" customHeight="1">
      <c r="B324" s="219" t="str">
        <f>'1D'!AB19</f>
        <v>BO5070NA</v>
      </c>
      <c r="C324" s="219" t="s">
        <v>3925</v>
      </c>
      <c r="E324" s="249" t="s">
        <v>3641</v>
      </c>
      <c r="F324" s="252">
        <f>IF(ISBLANK('1D'!H19),"##BLANK",'1D'!H19)</f>
        <v>0</v>
      </c>
    </row>
    <row r="325" spans="2:6" ht="13.5" customHeight="1">
      <c r="B325" s="219" t="str">
        <f>'1D'!AC19</f>
        <v>BO5070ADJ</v>
      </c>
      <c r="C325" s="219" t="s">
        <v>3926</v>
      </c>
      <c r="E325" s="249" t="s">
        <v>3641</v>
      </c>
      <c r="F325" s="252">
        <f>IF(ISBLANK('1D'!I19),"##BLANK",'1D'!I19)</f>
        <v>0</v>
      </c>
    </row>
    <row r="326" spans="2:6" ht="13.5" customHeight="1">
      <c r="B326" s="219" t="str">
        <f>'1D'!AD19</f>
        <v>BO5070</v>
      </c>
      <c r="C326" s="219" t="s">
        <v>3927</v>
      </c>
      <c r="E326" s="249" t="s">
        <v>3641</v>
      </c>
      <c r="F326" s="252">
        <f>IF(ISBLANK('1D'!J19),"##BLANK",'1D'!J19)</f>
        <v>3.069</v>
      </c>
    </row>
    <row r="327" spans="2:6" ht="13.5" customHeight="1">
      <c r="B327" s="219" t="str">
        <f>'1D'!Z20</f>
        <v>A14010STAT</v>
      </c>
      <c r="C327" s="219" t="s">
        <v>3928</v>
      </c>
      <c r="E327" s="249" t="s">
        <v>3641</v>
      </c>
      <c r="F327" s="252">
        <f>IF(ISBLANK('1D'!F20),"##BLANK",'1D'!F20)</f>
        <v>209.95099999999999</v>
      </c>
    </row>
    <row r="328" spans="2:6" ht="13.5" customHeight="1">
      <c r="B328" s="219" t="str">
        <f>'1D'!AA20</f>
        <v>A14010DSR</v>
      </c>
      <c r="C328" s="219" t="s">
        <v>3929</v>
      </c>
      <c r="E328" s="249" t="s">
        <v>3641</v>
      </c>
      <c r="F328" s="252">
        <f>IF(ISBLANK('1D'!G20),"##BLANK",'1D'!G20)</f>
        <v>-1.4210854715202004E-14</v>
      </c>
    </row>
    <row r="329" spans="2:6" ht="13.5" customHeight="1">
      <c r="B329" s="219" t="str">
        <f>'1D'!AB20</f>
        <v>A14010NA</v>
      </c>
      <c r="C329" s="219" t="s">
        <v>3930</v>
      </c>
      <c r="E329" s="249" t="s">
        <v>3641</v>
      </c>
      <c r="F329" s="252">
        <f>IF(ISBLANK('1D'!H20),"##BLANK",'1D'!H20)</f>
        <v>4.9840000000000035</v>
      </c>
    </row>
    <row r="330" spans="2:6" ht="13.5" customHeight="1">
      <c r="B330" s="219" t="str">
        <f>'1D'!AC20</f>
        <v>A14010ADJ</v>
      </c>
      <c r="C330" s="219" t="s">
        <v>3931</v>
      </c>
      <c r="E330" s="249" t="s">
        <v>3641</v>
      </c>
      <c r="F330" s="252">
        <f>IF(ISBLANK('1D'!I20),"##BLANK",'1D'!I20)</f>
        <v>-4.9840000000000177</v>
      </c>
    </row>
    <row r="331" spans="2:6" ht="13.5" customHeight="1">
      <c r="B331" s="219" t="str">
        <f>'1D'!AD20</f>
        <v>A14010</v>
      </c>
      <c r="C331" s="219" t="s">
        <v>3932</v>
      </c>
      <c r="E331" s="249" t="s">
        <v>3641</v>
      </c>
      <c r="F331" s="252">
        <f>IF(ISBLANK('1D'!J20),"##BLANK",'1D'!J20)</f>
        <v>204.96699999999998</v>
      </c>
    </row>
    <row r="332" spans="2:6" ht="13.5" customHeight="1">
      <c r="B332" s="219" t="str">
        <f>'1D'!Z23</f>
        <v>BO5080STAT</v>
      </c>
      <c r="C332" s="219" t="s">
        <v>3933</v>
      </c>
      <c r="E332" s="249" t="s">
        <v>3641</v>
      </c>
      <c r="F332" s="252">
        <f>IF(ISBLANK('1D'!F23),"##BLANK",'1D'!F23)</f>
        <v>-283.08</v>
      </c>
    </row>
    <row r="333" spans="2:6" ht="13.5" customHeight="1">
      <c r="B333" s="219" t="str">
        <f>'1D'!AA23</f>
        <v>BO5080DSR</v>
      </c>
      <c r="C333" s="219" t="s">
        <v>3934</v>
      </c>
      <c r="E333" s="249" t="s">
        <v>3641</v>
      </c>
      <c r="F333" s="252">
        <f>IF(ISBLANK('1D'!G23),"##BLANK",'1D'!G23)</f>
        <v>0</v>
      </c>
    </row>
    <row r="334" spans="2:6" ht="13.5" customHeight="1">
      <c r="B334" s="219" t="str">
        <f>'1D'!AB23</f>
        <v>BO5080NA</v>
      </c>
      <c r="C334" s="219" t="s">
        <v>3935</v>
      </c>
      <c r="E334" s="249" t="s">
        <v>3641</v>
      </c>
      <c r="F334" s="252">
        <f>IF(ISBLANK('1D'!H23),"##BLANK",'1D'!H23)</f>
        <v>-2.2209999999999965</v>
      </c>
    </row>
    <row r="335" spans="2:6" ht="13.5" customHeight="1">
      <c r="B335" s="219" t="str">
        <f>'1D'!AC23</f>
        <v>BO5080ADJ</v>
      </c>
      <c r="C335" s="219" t="s">
        <v>3936</v>
      </c>
      <c r="E335" s="249" t="s">
        <v>3641</v>
      </c>
      <c r="F335" s="252">
        <f>IF(ISBLANK('1D'!I23),"##BLANK",'1D'!I23)</f>
        <v>2.2209999999999965</v>
      </c>
    </row>
    <row r="336" spans="2:6" ht="13.5" customHeight="1">
      <c r="B336" s="219" t="str">
        <f>'1D'!AD23</f>
        <v>BO5080</v>
      </c>
      <c r="C336" s="219" t="s">
        <v>3937</v>
      </c>
      <c r="E336" s="249" t="s">
        <v>3641</v>
      </c>
      <c r="F336" s="252">
        <f>IF(ISBLANK('1D'!J23),"##BLANK",'1D'!J23)</f>
        <v>-280.85899999999998</v>
      </c>
    </row>
    <row r="337" spans="2:6" ht="13.5" customHeight="1">
      <c r="B337" s="219" t="str">
        <f>'1D'!Z24</f>
        <v>BO5081STAT</v>
      </c>
      <c r="C337" s="219" t="s">
        <v>3938</v>
      </c>
      <c r="E337" s="249" t="s">
        <v>3641</v>
      </c>
      <c r="F337" s="252">
        <f>IF(ISBLANK('1D'!F24),"##BLANK",'1D'!F24)</f>
        <v>15.401</v>
      </c>
    </row>
    <row r="338" spans="2:6" ht="13.5" customHeight="1">
      <c r="B338" s="219" t="str">
        <f>'1D'!AA24</f>
        <v>BO5081DSR</v>
      </c>
      <c r="C338" s="219" t="s">
        <v>3939</v>
      </c>
      <c r="E338" s="249" t="s">
        <v>3641</v>
      </c>
      <c r="F338" s="252">
        <f>IF(ISBLANK('1D'!G24),"##BLANK",'1D'!G24)</f>
        <v>0</v>
      </c>
    </row>
    <row r="339" spans="2:6" ht="13.5" customHeight="1">
      <c r="B339" s="219" t="str">
        <f>'1D'!AB24</f>
        <v>BO5081NA</v>
      </c>
      <c r="C339" s="219" t="s">
        <v>3940</v>
      </c>
      <c r="E339" s="249" t="s">
        <v>3641</v>
      </c>
      <c r="F339" s="252">
        <f>IF(ISBLANK('1D'!H24),"##BLANK",'1D'!H24)</f>
        <v>0</v>
      </c>
    </row>
    <row r="340" spans="2:6" ht="13.5" customHeight="1">
      <c r="B340" s="219" t="str">
        <f>'1D'!AC24</f>
        <v>BO5081ADJ</v>
      </c>
      <c r="C340" s="219" t="s">
        <v>3941</v>
      </c>
      <c r="E340" s="249" t="s">
        <v>3641</v>
      </c>
      <c r="F340" s="252">
        <f>IF(ISBLANK('1D'!I24),"##BLANK",'1D'!I24)</f>
        <v>0</v>
      </c>
    </row>
    <row r="341" spans="2:6" ht="13.5" customHeight="1">
      <c r="B341" s="219" t="str">
        <f>'1D'!AD24</f>
        <v>BO5081</v>
      </c>
      <c r="C341" s="219" t="s">
        <v>3942</v>
      </c>
      <c r="E341" s="249" t="s">
        <v>3641</v>
      </c>
      <c r="F341" s="252">
        <f>IF(ISBLANK('1D'!J24),"##BLANK",'1D'!J24)</f>
        <v>15.401</v>
      </c>
    </row>
    <row r="342" spans="2:6" ht="13.5" customHeight="1">
      <c r="B342" s="219" t="str">
        <f>'1D'!Z25</f>
        <v>BO5084STAT</v>
      </c>
      <c r="C342" s="219" t="s">
        <v>3943</v>
      </c>
      <c r="E342" s="249" t="s">
        <v>3641</v>
      </c>
      <c r="F342" s="252">
        <f>IF(ISBLANK('1D'!F25),"##BLANK",'1D'!F25)</f>
        <v>6.3970000000000002</v>
      </c>
    </row>
    <row r="343" spans="2:6" ht="13.5" customHeight="1">
      <c r="B343" s="219" t="str">
        <f>'1D'!AA25</f>
        <v>BO5084DSR</v>
      </c>
      <c r="C343" s="219" t="s">
        <v>3944</v>
      </c>
      <c r="E343" s="249" t="s">
        <v>3641</v>
      </c>
      <c r="F343" s="252">
        <f>IF(ISBLANK('1D'!G25),"##BLANK",'1D'!G25)</f>
        <v>0</v>
      </c>
    </row>
    <row r="344" spans="2:6" ht="13.5" customHeight="1">
      <c r="B344" s="219" t="str">
        <f>'1D'!AB25</f>
        <v>BO5084NA</v>
      </c>
      <c r="C344" s="219" t="s">
        <v>3945</v>
      </c>
      <c r="E344" s="249" t="s">
        <v>3641</v>
      </c>
      <c r="F344" s="252">
        <f>IF(ISBLANK('1D'!H25),"##BLANK",'1D'!H25)</f>
        <v>0.26800000000000002</v>
      </c>
    </row>
    <row r="345" spans="2:6" ht="13.5" customHeight="1">
      <c r="B345" s="219" t="str">
        <f>'1D'!AC25</f>
        <v>BO5084ADJ</v>
      </c>
      <c r="C345" s="219" t="s">
        <v>3946</v>
      </c>
      <c r="E345" s="249" t="s">
        <v>3641</v>
      </c>
      <c r="F345" s="252">
        <f>IF(ISBLANK('1D'!I25),"##BLANK",'1D'!I25)</f>
        <v>-0.26800000000000002</v>
      </c>
    </row>
    <row r="346" spans="2:6" ht="13.5" customHeight="1">
      <c r="B346" s="219" t="str">
        <f>'1D'!AD25</f>
        <v>BO5084</v>
      </c>
      <c r="C346" s="219" t="s">
        <v>3947</v>
      </c>
      <c r="E346" s="249" t="s">
        <v>3641</v>
      </c>
      <c r="F346" s="252">
        <f>IF(ISBLANK('1D'!J25),"##BLANK",'1D'!J25)</f>
        <v>6.1290000000000004</v>
      </c>
    </row>
    <row r="347" spans="2:6" ht="13.5" customHeight="1">
      <c r="B347" s="219" t="str">
        <f>'1D'!Z26</f>
        <v>BO5085STAT</v>
      </c>
      <c r="C347" s="219" t="s">
        <v>3948</v>
      </c>
      <c r="E347" s="249" t="s">
        <v>3641</v>
      </c>
      <c r="F347" s="252">
        <f>IF(ISBLANK('1D'!F26),"##BLANK",'1D'!F26)</f>
        <v>0</v>
      </c>
    </row>
    <row r="348" spans="2:6" ht="13.5" customHeight="1">
      <c r="B348" s="219" t="str">
        <f>'1D'!AA26</f>
        <v>BO5085DSR</v>
      </c>
      <c r="C348" s="219" t="s">
        <v>3949</v>
      </c>
      <c r="E348" s="249" t="s">
        <v>3641</v>
      </c>
      <c r="F348" s="252">
        <f>IF(ISBLANK('1D'!G26),"##BLANK",'1D'!G26)</f>
        <v>0</v>
      </c>
    </row>
    <row r="349" spans="2:6" ht="13.5" customHeight="1">
      <c r="B349" s="219" t="str">
        <f>'1D'!AB26</f>
        <v>BO5085NA</v>
      </c>
      <c r="C349" s="219" t="s">
        <v>3950</v>
      </c>
      <c r="E349" s="249" t="s">
        <v>3641</v>
      </c>
      <c r="F349" s="252">
        <f>IF(ISBLANK('1D'!H26),"##BLANK",'1D'!H26)</f>
        <v>0</v>
      </c>
    </row>
    <row r="350" spans="2:6" ht="13.5" customHeight="1">
      <c r="B350" s="219" t="str">
        <f>'1D'!AC26</f>
        <v>BO5085ADJ</v>
      </c>
      <c r="C350" s="219" t="s">
        <v>3951</v>
      </c>
      <c r="E350" s="249" t="s">
        <v>3641</v>
      </c>
      <c r="F350" s="252">
        <f>IF(ISBLANK('1D'!I26),"##BLANK",'1D'!I26)</f>
        <v>0</v>
      </c>
    </row>
    <row r="351" spans="2:6" ht="13.5" customHeight="1">
      <c r="B351" s="219" t="str">
        <f>'1D'!AD26</f>
        <v>BO5085</v>
      </c>
      <c r="C351" s="219" t="s">
        <v>3952</v>
      </c>
      <c r="E351" s="249" t="s">
        <v>3641</v>
      </c>
      <c r="F351" s="252">
        <f>IF(ISBLANK('1D'!J26),"##BLANK",'1D'!J26)</f>
        <v>0</v>
      </c>
    </row>
    <row r="352" spans="2:6" ht="13.5" customHeight="1">
      <c r="B352" s="219" t="str">
        <f>'1D'!Z27</f>
        <v>BO5086STAT</v>
      </c>
      <c r="C352" s="219" t="s">
        <v>3953</v>
      </c>
      <c r="E352" s="249" t="s">
        <v>3641</v>
      </c>
      <c r="F352" s="252">
        <f>IF(ISBLANK('1D'!F27),"##BLANK",'1D'!F27)</f>
        <v>-261.28199999999998</v>
      </c>
    </row>
    <row r="353" spans="2:6" ht="13.5" customHeight="1">
      <c r="B353" s="219" t="str">
        <f>'1D'!AA27</f>
        <v>BO5086DSR</v>
      </c>
      <c r="C353" s="219" t="s">
        <v>3954</v>
      </c>
      <c r="E353" s="249" t="s">
        <v>3641</v>
      </c>
      <c r="F353" s="252">
        <f>IF(ISBLANK('1D'!G27),"##BLANK",'1D'!G27)</f>
        <v>0</v>
      </c>
    </row>
    <row r="354" spans="2:6" ht="13.5" customHeight="1">
      <c r="B354" s="219" t="str">
        <f>'1D'!AB27</f>
        <v>BO5086NA</v>
      </c>
      <c r="C354" s="219" t="s">
        <v>3955</v>
      </c>
      <c r="E354" s="249" t="s">
        <v>3641</v>
      </c>
      <c r="F354" s="252">
        <f>IF(ISBLANK('1D'!H27),"##BLANK",'1D'!H27)</f>
        <v>-1.9529999999999965</v>
      </c>
    </row>
    <row r="355" spans="2:6" ht="13.5" customHeight="1">
      <c r="B355" s="219" t="str">
        <f>'1D'!AC27</f>
        <v>BO5086ADJ</v>
      </c>
      <c r="C355" s="219" t="s">
        <v>3956</v>
      </c>
      <c r="E355" s="249" t="s">
        <v>3641</v>
      </c>
      <c r="F355" s="252">
        <f>IF(ISBLANK('1D'!I27),"##BLANK",'1D'!I27)</f>
        <v>1.9529999999999965</v>
      </c>
    </row>
    <row r="356" spans="2:6" ht="13.5" customHeight="1">
      <c r="B356" s="219" t="str">
        <f>'1D'!AD27</f>
        <v>BO5086</v>
      </c>
      <c r="C356" s="219" t="s">
        <v>3957</v>
      </c>
      <c r="E356" s="249" t="s">
        <v>3641</v>
      </c>
      <c r="F356" s="252">
        <f>IF(ISBLANK('1D'!J27),"##BLANK",'1D'!J27)</f>
        <v>-259.32900000000001</v>
      </c>
    </row>
    <row r="357" spans="2:6" ht="13.5" customHeight="1">
      <c r="B357" s="219" t="str">
        <f>'1D'!Z29</f>
        <v>A14017STAT</v>
      </c>
      <c r="C357" s="219" t="s">
        <v>3958</v>
      </c>
      <c r="E357" s="249" t="s">
        <v>3641</v>
      </c>
      <c r="F357" s="252">
        <f>IF(ISBLANK('1D'!F29),"##BLANK",'1D'!F29)</f>
        <v>-51.330999999999989</v>
      </c>
    </row>
    <row r="358" spans="2:6" ht="13.5" customHeight="1">
      <c r="B358" s="219" t="str">
        <f>'1D'!AA29</f>
        <v>A14017DSR</v>
      </c>
      <c r="C358" s="219" t="s">
        <v>3959</v>
      </c>
      <c r="E358" s="249" t="s">
        <v>3641</v>
      </c>
      <c r="F358" s="252">
        <f>IF(ISBLANK('1D'!G29),"##BLANK",'1D'!G29)</f>
        <v>-1.4210854715202004E-14</v>
      </c>
    </row>
    <row r="359" spans="2:6" ht="13.5" customHeight="1">
      <c r="B359" s="219" t="str">
        <f>'1D'!AB29</f>
        <v>A14017NA</v>
      </c>
      <c r="C359" s="219" t="s">
        <v>3960</v>
      </c>
      <c r="E359" s="249" t="s">
        <v>3641</v>
      </c>
      <c r="F359" s="252">
        <f>IF(ISBLANK('1D'!H29),"##BLANK",'1D'!H29)</f>
        <v>3.0310000000000068</v>
      </c>
    </row>
    <row r="360" spans="2:6" ht="13.5" customHeight="1">
      <c r="B360" s="219" t="str">
        <f>'1D'!AC29</f>
        <v>A14017ADJ</v>
      </c>
      <c r="C360" s="219" t="s">
        <v>3961</v>
      </c>
      <c r="E360" s="249" t="s">
        <v>3641</v>
      </c>
      <c r="F360" s="252">
        <f>IF(ISBLANK('1D'!I29),"##BLANK",'1D'!I29)</f>
        <v>-3.031000000000021</v>
      </c>
    </row>
    <row r="361" spans="2:6" ht="13.5" customHeight="1">
      <c r="B361" s="219" t="str">
        <f>'1D'!AD29</f>
        <v>A14017</v>
      </c>
      <c r="C361" s="219" t="s">
        <v>3962</v>
      </c>
      <c r="E361" s="249" t="s">
        <v>3641</v>
      </c>
      <c r="F361" s="252">
        <f>IF(ISBLANK('1D'!J29),"##BLANK",'1D'!J29)</f>
        <v>-54.362000000000009</v>
      </c>
    </row>
    <row r="362" spans="2:6" ht="13.5" customHeight="1">
      <c r="B362" s="219" t="str">
        <f>'1D'!Z32</f>
        <v>BO5204STAT</v>
      </c>
      <c r="C362" s="219" t="s">
        <v>3963</v>
      </c>
      <c r="E362" s="249" t="s">
        <v>3641</v>
      </c>
      <c r="F362" s="252">
        <f>IF(ISBLANK('1D'!F32),"##BLANK",'1D'!F32)</f>
        <v>-110.8</v>
      </c>
    </row>
    <row r="363" spans="2:6" ht="13.5" customHeight="1">
      <c r="B363" s="219" t="str">
        <f>'1D'!AA32</f>
        <v>BO5204DSR</v>
      </c>
      <c r="C363" s="219" t="s">
        <v>3964</v>
      </c>
      <c r="E363" s="249" t="s">
        <v>3641</v>
      </c>
      <c r="F363" s="252">
        <f>IF(ISBLANK('1D'!G32),"##BLANK",'1D'!G32)</f>
        <v>0</v>
      </c>
    </row>
    <row r="364" spans="2:6" ht="13.5" customHeight="1">
      <c r="B364" s="219" t="str">
        <f>'1D'!AB32</f>
        <v>BO5204NA</v>
      </c>
      <c r="C364" s="219" t="s">
        <v>3965</v>
      </c>
      <c r="E364" s="249" t="s">
        <v>3641</v>
      </c>
      <c r="F364" s="252">
        <f>IF(ISBLANK('1D'!H32),"##BLANK",'1D'!H32)</f>
        <v>0</v>
      </c>
    </row>
    <row r="365" spans="2:6" ht="13.5" customHeight="1">
      <c r="B365" s="219" t="str">
        <f>'1D'!AC32</f>
        <v>BO5204ADJ</v>
      </c>
      <c r="C365" s="219" t="s">
        <v>3966</v>
      </c>
      <c r="E365" s="249" t="s">
        <v>3641</v>
      </c>
      <c r="F365" s="252">
        <f>IF(ISBLANK('1D'!I32),"##BLANK",'1D'!I32)</f>
        <v>0</v>
      </c>
    </row>
    <row r="366" spans="2:6" ht="13.5" customHeight="1">
      <c r="B366" s="219" t="str">
        <f>'1D'!AD32</f>
        <v>BO5204</v>
      </c>
      <c r="C366" s="219" t="s">
        <v>3967</v>
      </c>
      <c r="E366" s="249" t="s">
        <v>3641</v>
      </c>
      <c r="F366" s="252">
        <f>IF(ISBLANK('1D'!J32),"##BLANK",'1D'!J32)</f>
        <v>-110.8</v>
      </c>
    </row>
    <row r="367" spans="2:6" ht="13.5" customHeight="1">
      <c r="B367" s="219" t="str">
        <f>'1D'!Z33</f>
        <v>A14019STAT</v>
      </c>
      <c r="C367" s="219" t="s">
        <v>3968</v>
      </c>
      <c r="E367" s="249" t="s">
        <v>3641</v>
      </c>
      <c r="F367" s="252">
        <f>IF(ISBLANK('1D'!F33),"##BLANK",'1D'!F33)</f>
        <v>248.71299999999999</v>
      </c>
    </row>
    <row r="368" spans="2:6" ht="13.5" customHeight="1">
      <c r="B368" s="219" t="str">
        <f>'1D'!AA33</f>
        <v>A14019DSR</v>
      </c>
      <c r="C368" s="219" t="s">
        <v>3969</v>
      </c>
      <c r="E368" s="249" t="s">
        <v>3641</v>
      </c>
      <c r="F368" s="252">
        <f>IF(ISBLANK('1D'!G33),"##BLANK",'1D'!G33)</f>
        <v>0</v>
      </c>
    </row>
    <row r="369" spans="2:6" ht="13.5" customHeight="1">
      <c r="B369" s="219" t="str">
        <f>'1D'!AB33</f>
        <v>A14019NA</v>
      </c>
      <c r="C369" s="219" t="s">
        <v>3970</v>
      </c>
      <c r="E369" s="249" t="s">
        <v>3641</v>
      </c>
      <c r="F369" s="252">
        <f>IF(ISBLANK('1D'!H33),"##BLANK",'1D'!H33)</f>
        <v>-1.6409999999999998</v>
      </c>
    </row>
    <row r="370" spans="2:6" ht="13.5" customHeight="1">
      <c r="B370" s="219" t="str">
        <f>'1D'!AC33</f>
        <v>A14019ADJ</v>
      </c>
      <c r="C370" s="219" t="s">
        <v>3971</v>
      </c>
      <c r="E370" s="249" t="s">
        <v>3641</v>
      </c>
      <c r="F370" s="252">
        <f>IF(ISBLANK('1D'!I33),"##BLANK",'1D'!I33)</f>
        <v>1.6409999999999998</v>
      </c>
    </row>
    <row r="371" spans="2:6" ht="13.5" customHeight="1">
      <c r="B371" s="219" t="str">
        <f>'1D'!AD33</f>
        <v>A14019</v>
      </c>
      <c r="C371" s="219" t="s">
        <v>3972</v>
      </c>
      <c r="E371" s="249" t="s">
        <v>3641</v>
      </c>
      <c r="F371" s="252">
        <f>IF(ISBLANK('1D'!J33),"##BLANK",'1D'!J33)</f>
        <v>250.35399999999998</v>
      </c>
    </row>
    <row r="372" spans="2:6" ht="13.5" customHeight="1">
      <c r="B372" s="219" t="str">
        <f>'1D'!Z34</f>
        <v>BO5095STAT</v>
      </c>
      <c r="C372" s="219" t="s">
        <v>3973</v>
      </c>
      <c r="E372" s="249" t="s">
        <v>3641</v>
      </c>
      <c r="F372" s="252">
        <f>IF(ISBLANK('1D'!F34),"##BLANK",'1D'!F34)</f>
        <v>0</v>
      </c>
    </row>
    <row r="373" spans="2:6" ht="13.5" customHeight="1">
      <c r="B373" s="219" t="str">
        <f>'1D'!AA34</f>
        <v>BO5095DSR</v>
      </c>
      <c r="C373" s="219" t="s">
        <v>3974</v>
      </c>
      <c r="E373" s="249" t="s">
        <v>3641</v>
      </c>
      <c r="F373" s="252">
        <f>IF(ISBLANK('1D'!G34),"##BLANK",'1D'!G34)</f>
        <v>0</v>
      </c>
    </row>
    <row r="374" spans="2:6" ht="13.5" customHeight="1">
      <c r="B374" s="219" t="str">
        <f>'1D'!AB34</f>
        <v>BO5095NA</v>
      </c>
      <c r="C374" s="219" t="s">
        <v>3975</v>
      </c>
      <c r="E374" s="249" t="s">
        <v>3641</v>
      </c>
      <c r="F374" s="252">
        <f>IF(ISBLANK('1D'!H34),"##BLANK",'1D'!H34)</f>
        <v>0</v>
      </c>
    </row>
    <row r="375" spans="2:6" ht="13.5" customHeight="1">
      <c r="B375" s="219" t="str">
        <f>'1D'!AC34</f>
        <v>BO5095ADJ</v>
      </c>
      <c r="C375" s="219" t="s">
        <v>3976</v>
      </c>
      <c r="E375" s="249" t="s">
        <v>3641</v>
      </c>
      <c r="F375" s="252">
        <f>IF(ISBLANK('1D'!I34),"##BLANK",'1D'!I34)</f>
        <v>0</v>
      </c>
    </row>
    <row r="376" spans="2:6" ht="13.5" customHeight="1">
      <c r="B376" s="219" t="str">
        <f>'1D'!AD34</f>
        <v>BO5095</v>
      </c>
      <c r="C376" s="219" t="s">
        <v>3977</v>
      </c>
      <c r="E376" s="249" t="s">
        <v>3641</v>
      </c>
      <c r="F376" s="252">
        <f>IF(ISBLANK('1D'!J34),"##BLANK",'1D'!J34)</f>
        <v>0</v>
      </c>
    </row>
    <row r="377" spans="2:6" ht="13.5" customHeight="1">
      <c r="B377" s="219" t="str">
        <f>'1D'!Z35</f>
        <v>BO5096STAT</v>
      </c>
      <c r="C377" s="219" t="s">
        <v>3978</v>
      </c>
      <c r="E377" s="249" t="s">
        <v>3641</v>
      </c>
      <c r="F377" s="252">
        <f>IF(ISBLANK('1D'!F35),"##BLANK",'1D'!F35)</f>
        <v>137.91300000000001</v>
      </c>
    </row>
    <row r="378" spans="2:6" ht="13.5" customHeight="1">
      <c r="B378" s="219" t="str">
        <f>'1D'!AA35</f>
        <v>BO5096DSR</v>
      </c>
      <c r="C378" s="219" t="s">
        <v>3979</v>
      </c>
      <c r="E378" s="249" t="s">
        <v>3641</v>
      </c>
      <c r="F378" s="252">
        <f>IF(ISBLANK('1D'!G35),"##BLANK",'1D'!G35)</f>
        <v>0</v>
      </c>
    </row>
    <row r="379" spans="2:6" ht="13.5" customHeight="1">
      <c r="B379" s="219" t="str">
        <f>'1D'!AB35</f>
        <v>BO5096NA</v>
      </c>
      <c r="C379" s="219" t="s">
        <v>3980</v>
      </c>
      <c r="E379" s="249" t="s">
        <v>3641</v>
      </c>
      <c r="F379" s="252">
        <f>IF(ISBLANK('1D'!H35),"##BLANK",'1D'!H35)</f>
        <v>-1.6409999999999998</v>
      </c>
    </row>
    <row r="380" spans="2:6" ht="13.5" customHeight="1">
      <c r="B380" s="219" t="str">
        <f>'1D'!AC35</f>
        <v>BO5096ADJ</v>
      </c>
      <c r="C380" s="219" t="s">
        <v>3981</v>
      </c>
      <c r="E380" s="249" t="s">
        <v>3641</v>
      </c>
      <c r="F380" s="252">
        <f>IF(ISBLANK('1D'!I35),"##BLANK",'1D'!I35)</f>
        <v>1.6409999999999998</v>
      </c>
    </row>
    <row r="381" spans="2:6" ht="13.5" customHeight="1">
      <c r="B381" s="219" t="str">
        <f>'1D'!AD35</f>
        <v>BO5096</v>
      </c>
      <c r="C381" s="219" t="s">
        <v>3982</v>
      </c>
      <c r="E381" s="249" t="s">
        <v>3641</v>
      </c>
      <c r="F381" s="252">
        <f>IF(ISBLANK('1D'!J35),"##BLANK",'1D'!J35)</f>
        <v>139.554</v>
      </c>
    </row>
    <row r="382" spans="2:6" ht="13.5" customHeight="1">
      <c r="B382" s="219" t="str">
        <f>'1D'!Z37</f>
        <v>BO5098STAT</v>
      </c>
      <c r="C382" s="219" t="s">
        <v>3983</v>
      </c>
      <c r="E382" s="249" t="s">
        <v>3641</v>
      </c>
      <c r="F382" s="252">
        <f>IF(ISBLANK('1D'!F37),"##BLANK",'1D'!F37)</f>
        <v>86.582000000000022</v>
      </c>
    </row>
    <row r="383" spans="2:6" ht="13.5" customHeight="1">
      <c r="B383" s="219" t="str">
        <f>'1D'!AA37</f>
        <v>BO5098DSR</v>
      </c>
      <c r="C383" s="219" t="s">
        <v>3984</v>
      </c>
      <c r="E383" s="249" t="s">
        <v>3641</v>
      </c>
      <c r="F383" s="252">
        <f>IF(ISBLANK('1D'!G37),"##BLANK",'1D'!G37)</f>
        <v>-1.4210854715202004E-14</v>
      </c>
    </row>
    <row r="384" spans="2:6" ht="13.5" customHeight="1">
      <c r="B384" s="219" t="str">
        <f>'1D'!AB37</f>
        <v>BO5098NA</v>
      </c>
      <c r="C384" s="219" t="s">
        <v>3985</v>
      </c>
      <c r="E384" s="249" t="s">
        <v>3641</v>
      </c>
      <c r="F384" s="252">
        <f>IF(ISBLANK('1D'!H37),"##BLANK",'1D'!H37)</f>
        <v>1.390000000000007</v>
      </c>
    </row>
    <row r="385" spans="2:6" ht="13.5" customHeight="1">
      <c r="B385" s="219" t="str">
        <f>'1D'!AC37</f>
        <v>BO5098ADJ</v>
      </c>
      <c r="C385" s="219" t="s">
        <v>3986</v>
      </c>
      <c r="E385" s="249" t="s">
        <v>3641</v>
      </c>
      <c r="F385" s="252">
        <f>IF(ISBLANK('1D'!I37),"##BLANK",'1D'!I37)</f>
        <v>-1.3900000000000212</v>
      </c>
    </row>
    <row r="386" spans="2:6" ht="13.5" customHeight="1">
      <c r="B386" s="219" t="str">
        <f>'1D'!AD37</f>
        <v>BO5098</v>
      </c>
      <c r="C386" s="219" t="s">
        <v>3987</v>
      </c>
      <c r="E386" s="249" t="s">
        <v>3641</v>
      </c>
      <c r="F386" s="252">
        <f>IF(ISBLANK('1D'!J37),"##BLANK",'1D'!J37)</f>
        <v>85.192000000000007</v>
      </c>
    </row>
    <row r="387" spans="2:6" ht="13.5" customHeight="1">
      <c r="B387" s="219" t="str">
        <f>'1E'!Z9</f>
        <v>BO5332FX</v>
      </c>
      <c r="C387" s="219" t="s">
        <v>3988</v>
      </c>
      <c r="E387" s="249" t="s">
        <v>3641</v>
      </c>
      <c r="F387" s="252">
        <f>IF(ISBLANK('1E'!E9),"##BLANK",'1E'!E9)</f>
        <v>2142.712</v>
      </c>
    </row>
    <row r="388" spans="2:6" ht="13.5" customHeight="1">
      <c r="B388" s="219" t="str">
        <f>'1E'!AA9</f>
        <v>BO5332FR</v>
      </c>
      <c r="C388" s="219" t="s">
        <v>3989</v>
      </c>
      <c r="E388" s="249" t="s">
        <v>3641</v>
      </c>
      <c r="F388" s="252">
        <f>IF(ISBLANK('1E'!F9),"##BLANK",'1E'!F9)</f>
        <v>19.503</v>
      </c>
    </row>
    <row r="389" spans="2:6" ht="13.5" customHeight="1">
      <c r="B389" s="219" t="str">
        <f>'1E'!AB9</f>
        <v>BO5332ILR</v>
      </c>
      <c r="C389" s="219" t="s">
        <v>3990</v>
      </c>
      <c r="E389" s="249" t="s">
        <v>3641</v>
      </c>
      <c r="F389" s="252">
        <f>IF(ISBLANK('1E'!G9),"##BLANK",'1E'!G9)</f>
        <v>1203.4949999999999</v>
      </c>
    </row>
    <row r="390" spans="2:6" ht="13.5" customHeight="1">
      <c r="B390" s="219" t="str">
        <f>'1E'!AC9</f>
        <v>BO5332ILC</v>
      </c>
      <c r="C390" s="219" t="s">
        <v>3991</v>
      </c>
      <c r="E390" s="249" t="s">
        <v>3641</v>
      </c>
      <c r="F390" s="253">
        <f>IF(ISBLANK('1E'!H9),"##BLANK",'1E'!H9)</f>
        <v>117.413</v>
      </c>
    </row>
    <row r="391" spans="2:6" ht="13.5" customHeight="1">
      <c r="B391" s="219" t="str">
        <f>'1E'!AD9</f>
        <v>BO5332A</v>
      </c>
      <c r="C391" s="219" t="s">
        <v>3992</v>
      </c>
      <c r="E391" s="249" t="s">
        <v>3641</v>
      </c>
      <c r="F391" s="252">
        <f>IF(ISBLANK('1E'!I9),"##BLANK",'1E'!I9)</f>
        <v>3483.123</v>
      </c>
    </row>
    <row r="392" spans="2:6" ht="13.5" customHeight="1">
      <c r="B392" s="219" t="str">
        <f>'1E'!AD11</f>
        <v>BO5348T</v>
      </c>
      <c r="C392" s="219" t="s">
        <v>3993</v>
      </c>
      <c r="E392" s="249" t="s">
        <v>3641</v>
      </c>
      <c r="F392" s="252">
        <f>IF(ISBLANK('1E'!I11),"##BLANK",'1E'!I11)</f>
        <v>3483.123</v>
      </c>
    </row>
    <row r="393" spans="2:6" ht="13.5" customHeight="1">
      <c r="B393" s="219" t="str">
        <f>'1E'!AD12</f>
        <v>FT01690</v>
      </c>
      <c r="C393" s="219" t="s">
        <v>3994</v>
      </c>
      <c r="E393" s="249" t="s">
        <v>3641</v>
      </c>
      <c r="F393" s="252">
        <f>IF(ISBLANK('1E'!I12),"##BLANK",'1E'!I12)</f>
        <v>0.65200000000000002</v>
      </c>
    </row>
    <row r="394" spans="2:6" ht="13.5" customHeight="1">
      <c r="B394" s="219" t="str">
        <f>'1E'!AD13</f>
        <v>PP0021</v>
      </c>
      <c r="C394" s="219" t="s">
        <v>3995</v>
      </c>
      <c r="E394" s="249" t="s">
        <v>3641</v>
      </c>
      <c r="F394" s="252">
        <f>IF(ISBLANK('1E'!I13),"##BLANK",'1E'!I13)</f>
        <v>0</v>
      </c>
    </row>
    <row r="395" spans="2:6" ht="13.5" customHeight="1">
      <c r="B395" s="219" t="str">
        <f>'1E'!AD14</f>
        <v>BO4075</v>
      </c>
      <c r="C395" s="219" t="s">
        <v>3996</v>
      </c>
      <c r="E395" s="249" t="s">
        <v>3641</v>
      </c>
      <c r="F395" s="252">
        <f>IF(ISBLANK('1E'!I14),"##BLANK",'1E'!I14)</f>
        <v>3483.7750000000001</v>
      </c>
    </row>
    <row r="396" spans="2:6" ht="13.5" customHeight="1">
      <c r="B396" s="254" t="str">
        <f>'1E'!AD17</f>
        <v>FI00300</v>
      </c>
      <c r="C396" s="219" t="s">
        <v>3997</v>
      </c>
      <c r="E396" s="249" t="s">
        <v>3641</v>
      </c>
      <c r="F396" s="252">
        <f>IF(ISBLANK('1E'!I17),"##BLANK",'1E'!I17)</f>
        <v>0.68344370367231511</v>
      </c>
    </row>
    <row r="397" spans="2:6" ht="13.5" customHeight="1">
      <c r="B397" s="219" t="str">
        <f>'1E'!AD18</f>
        <v>FI00300CV</v>
      </c>
      <c r="C397" s="219" t="s">
        <v>3998</v>
      </c>
      <c r="E397" s="249" t="s">
        <v>3641</v>
      </c>
      <c r="F397" s="252">
        <f>IF(ISBLANK('1E'!I18),"##BLANK",'1E'!I18)</f>
        <v>0.68344000000000005</v>
      </c>
    </row>
    <row r="398" spans="2:6" ht="13.5" customHeight="1">
      <c r="B398" s="219" t="str">
        <f>'1E'!Z21</f>
        <v>BO130FXI</v>
      </c>
      <c r="C398" s="219" t="s">
        <v>3999</v>
      </c>
      <c r="E398" s="249" t="s">
        <v>3641</v>
      </c>
      <c r="F398" s="252">
        <f>IF(ISBLANK('1E'!E21),"##BLANK",'1E'!E21)</f>
        <v>93.29</v>
      </c>
    </row>
    <row r="399" spans="2:6" ht="13.5" customHeight="1">
      <c r="B399" s="219" t="str">
        <f>'1E'!AA21</f>
        <v>BO130FRI</v>
      </c>
      <c r="C399" s="219" t="s">
        <v>4000</v>
      </c>
      <c r="E399" s="249" t="s">
        <v>3641</v>
      </c>
      <c r="F399" s="252">
        <f>IF(ISBLANK('1E'!F21),"##BLANK",'1E'!F21)</f>
        <v>0.38900000000000001</v>
      </c>
    </row>
    <row r="400" spans="2:6" ht="13.5" customHeight="1">
      <c r="B400" s="219" t="str">
        <f>'1E'!AB21</f>
        <v>BO130ILIR</v>
      </c>
      <c r="C400" s="219" t="s">
        <v>4001</v>
      </c>
      <c r="E400" s="249" t="s">
        <v>3641</v>
      </c>
      <c r="F400" s="252">
        <f>IF(ISBLANK('1E'!G21),"##BLANK",'1E'!G21)</f>
        <v>180.36600000000001</v>
      </c>
    </row>
    <row r="401" spans="2:6" ht="13.5" customHeight="1">
      <c r="B401" s="219" t="str">
        <f>'1E'!AC21</f>
        <v>BO130ILIC</v>
      </c>
      <c r="C401" s="219" t="s">
        <v>4002</v>
      </c>
      <c r="E401" s="249" t="s">
        <v>3641</v>
      </c>
      <c r="F401" s="252">
        <f>IF(ISBLANK('1E'!H21),"##BLANK",'1E'!H21)</f>
        <v>12.179</v>
      </c>
    </row>
    <row r="402" spans="2:6" ht="13.5" customHeight="1">
      <c r="B402" s="219" t="str">
        <f>'1E'!AD21</f>
        <v>BO160TLI</v>
      </c>
      <c r="C402" s="219" t="s">
        <v>4003</v>
      </c>
      <c r="E402" s="249" t="s">
        <v>3641</v>
      </c>
      <c r="F402" s="252">
        <f>IF(ISBLANK('1E'!I21),"##BLANK",'1E'!I21)</f>
        <v>286.22399999999999</v>
      </c>
    </row>
    <row r="403" spans="2:6" ht="13.5" customHeight="1">
      <c r="B403" s="219" t="str">
        <f>'1E'!Z22</f>
        <v>BO135FXI</v>
      </c>
      <c r="C403" s="219" t="s">
        <v>4004</v>
      </c>
      <c r="E403" s="249" t="s">
        <v>3641</v>
      </c>
      <c r="F403" s="252">
        <f>IF(ISBLANK('1E'!E22),"##BLANK",'1E'!E22)</f>
        <v>93.29</v>
      </c>
    </row>
    <row r="404" spans="2:6" ht="13.5" customHeight="1">
      <c r="B404" s="219" t="str">
        <f>'1E'!AA22</f>
        <v>BO135FRI</v>
      </c>
      <c r="C404" s="219" t="s">
        <v>4005</v>
      </c>
      <c r="E404" s="249" t="s">
        <v>3641</v>
      </c>
      <c r="F404" s="252">
        <f>IF(ISBLANK('1E'!F22),"##BLANK",'1E'!F22)</f>
        <v>0.38900000000000001</v>
      </c>
    </row>
    <row r="405" spans="2:6" ht="13.5" customHeight="1">
      <c r="B405" s="219" t="str">
        <f>'1E'!AB22</f>
        <v>BO135ILIR</v>
      </c>
      <c r="C405" s="219" t="s">
        <v>4006</v>
      </c>
      <c r="E405" s="249" t="s">
        <v>3641</v>
      </c>
      <c r="F405" s="252">
        <f>IF(ISBLANK('1E'!G22),"##BLANK",'1E'!G22)</f>
        <v>15.398999999999999</v>
      </c>
    </row>
    <row r="406" spans="2:6" ht="13.5" customHeight="1">
      <c r="B406" s="219" t="str">
        <f>'1E'!AC22</f>
        <v>BO135ILIC</v>
      </c>
      <c r="C406" s="219" t="s">
        <v>4007</v>
      </c>
      <c r="E406" s="249" t="s">
        <v>3641</v>
      </c>
      <c r="F406" s="252">
        <f>IF(ISBLANK('1E'!H22),"##BLANK",'1E'!H22)</f>
        <v>0.28499999999999998</v>
      </c>
    </row>
    <row r="407" spans="2:6" ht="13.5" customHeight="1">
      <c r="B407" s="219" t="str">
        <f>'1E'!AD22</f>
        <v>BO165TLI</v>
      </c>
      <c r="C407" s="219" t="s">
        <v>4008</v>
      </c>
      <c r="E407" s="249" t="s">
        <v>3641</v>
      </c>
      <c r="F407" s="252">
        <f>IF(ISBLANK('1E'!I22),"##BLANK",'1E'!I22)</f>
        <v>109.363</v>
      </c>
    </row>
    <row r="408" spans="2:6" ht="13.5" customHeight="1">
      <c r="B408" s="219" t="str">
        <f>'1E'!Z25</f>
        <v>FI00500FX</v>
      </c>
      <c r="C408" s="219" t="s">
        <v>4009</v>
      </c>
      <c r="E408" s="249" t="s">
        <v>3641</v>
      </c>
      <c r="F408" s="252">
        <f>IF(ISBLANK('1E'!E25),"##BLANK",'1E'!E25)</f>
        <v>4.3538282326322904E-2</v>
      </c>
    </row>
    <row r="409" spans="2:6" ht="13.5" customHeight="1">
      <c r="B409" s="219" t="str">
        <f>'1E'!AA25</f>
        <v>FI00500FR</v>
      </c>
      <c r="C409" s="219" t="s">
        <v>4010</v>
      </c>
      <c r="E409" s="249" t="s">
        <v>3641</v>
      </c>
      <c r="F409" s="252">
        <f>IF(ISBLANK('1E'!F25),"##BLANK",'1E'!F25)</f>
        <v>1.9945649387273754E-2</v>
      </c>
    </row>
    <row r="410" spans="2:6" ht="13.5" customHeight="1">
      <c r="B410" s="219" t="str">
        <f>'1E'!AB25</f>
        <v>FI00500ILR</v>
      </c>
      <c r="C410" s="219" t="s">
        <v>4011</v>
      </c>
      <c r="E410" s="249" t="s">
        <v>3641</v>
      </c>
      <c r="F410" s="252">
        <f>IF(ISBLANK('1E'!G25),"##BLANK",'1E'!G25)</f>
        <v>0.14986850797053583</v>
      </c>
    </row>
    <row r="411" spans="2:6" ht="13.5" customHeight="1">
      <c r="B411" s="219" t="str">
        <f>'1E'!AC25</f>
        <v>FI00500ILC</v>
      </c>
      <c r="C411" s="219" t="s">
        <v>4012</v>
      </c>
      <c r="E411" s="249" t="s">
        <v>3641</v>
      </c>
      <c r="F411" s="252">
        <f>IF(ISBLANK('1E'!H25),"##BLANK",'1E'!H25)</f>
        <v>0.10372786659058197</v>
      </c>
    </row>
    <row r="412" spans="2:6" ht="13.5" customHeight="1">
      <c r="B412" s="219" t="str">
        <f>'1E'!AD25</f>
        <v>FI00500</v>
      </c>
      <c r="C412" s="219" t="s">
        <v>4013</v>
      </c>
      <c r="E412" s="249" t="s">
        <v>3641</v>
      </c>
      <c r="F412" s="252">
        <f>IF(ISBLANK('1E'!I25),"##BLANK",'1E'!I25)</f>
        <v>8.217453130423473E-2</v>
      </c>
    </row>
    <row r="413" spans="2:6" ht="13.5" customHeight="1">
      <c r="B413" s="219" t="str">
        <f>'1E'!Z26</f>
        <v>FI00510FX</v>
      </c>
      <c r="C413" s="219" t="s">
        <v>4014</v>
      </c>
      <c r="E413" s="249" t="s">
        <v>3641</v>
      </c>
      <c r="F413" s="252">
        <f>IF(ISBLANK('1E'!E26),"##BLANK",'1E'!E26)</f>
        <v>4.3538282326322904E-2</v>
      </c>
    </row>
    <row r="414" spans="2:6" ht="13.5" customHeight="1">
      <c r="B414" s="219" t="str">
        <f>'1E'!AA26</f>
        <v>FI00510FR</v>
      </c>
      <c r="C414" s="219" t="s">
        <v>4015</v>
      </c>
      <c r="E414" s="249" t="s">
        <v>3641</v>
      </c>
      <c r="F414" s="252">
        <f>IF(ISBLANK('1E'!F26),"##BLANK",'1E'!F26)</f>
        <v>1.9945649387273754E-2</v>
      </c>
    </row>
    <row r="415" spans="2:6" ht="13.5" customHeight="1">
      <c r="B415" s="219" t="str">
        <f>'1E'!AB26</f>
        <v>FI00510ILR</v>
      </c>
      <c r="C415" s="219" t="s">
        <v>4016</v>
      </c>
      <c r="E415" s="249" t="s">
        <v>3641</v>
      </c>
      <c r="F415" s="252">
        <f>IF(ISBLANK('1E'!G26),"##BLANK",'1E'!G26)</f>
        <v>1.2795233881320653E-2</v>
      </c>
    </row>
    <row r="416" spans="2:6" ht="13.5" customHeight="1">
      <c r="B416" s="219" t="str">
        <f>'1E'!AC26</f>
        <v>FI00510ILC</v>
      </c>
      <c r="C416" s="219" t="s">
        <v>4017</v>
      </c>
      <c r="E416" s="249" t="s">
        <v>3641</v>
      </c>
      <c r="F416" s="252">
        <f>IF(ISBLANK('1E'!H26),"##BLANK",'1E'!H26)</f>
        <v>2.4273291713864734E-3</v>
      </c>
    </row>
    <row r="417" spans="2:6" ht="13.5" customHeight="1">
      <c r="B417" s="219" t="str">
        <f>'1E'!AD26</f>
        <v>FI00510</v>
      </c>
      <c r="C417" s="219" t="s">
        <v>4018</v>
      </c>
      <c r="E417" s="249" t="s">
        <v>3641</v>
      </c>
      <c r="F417" s="252">
        <f>IF(ISBLANK('1E'!I26),"##BLANK",'1E'!I26)</f>
        <v>3.1397972451733688E-2</v>
      </c>
    </row>
    <row r="418" spans="2:6" ht="13.5" customHeight="1">
      <c r="B418" s="219" t="str">
        <f>'1E'!Z29</f>
        <v>FI00560FX</v>
      </c>
      <c r="C418" s="219" t="s">
        <v>4019</v>
      </c>
      <c r="E418" s="249" t="s">
        <v>3641</v>
      </c>
      <c r="F418" s="252">
        <f>IF(ISBLANK('1E'!E29),"##BLANK",'1E'!E29)</f>
        <v>8.9453047837523414</v>
      </c>
    </row>
    <row r="419" spans="2:6" ht="13.5" customHeight="1">
      <c r="B419" s="219" t="str">
        <f>'1E'!AA29</f>
        <v>FI00560FR</v>
      </c>
      <c r="C419" s="219" t="s">
        <v>4020</v>
      </c>
      <c r="E419" s="249" t="s">
        <v>3641</v>
      </c>
      <c r="F419" s="252">
        <f>IF(ISBLANK('1E'!F29),"##BLANK",'1E'!F29)</f>
        <v>5</v>
      </c>
    </row>
    <row r="420" spans="2:6" ht="13.5" customHeight="1">
      <c r="B420" s="219" t="str">
        <f>'1E'!AB29</f>
        <v>FI00560ILR</v>
      </c>
      <c r="C420" s="219" t="s">
        <v>4021</v>
      </c>
      <c r="E420" s="249" t="s">
        <v>3641</v>
      </c>
      <c r="F420" s="252">
        <f>IF(ISBLANK('1E'!G29),"##BLANK",'1E'!G29)</f>
        <v>14.816433157572611</v>
      </c>
    </row>
    <row r="421" spans="2:6" ht="13.5" customHeight="1">
      <c r="B421" s="219" t="str">
        <f>'1E'!AC29</f>
        <v>FI00560ILC</v>
      </c>
      <c r="C421" s="219" t="s">
        <v>4022</v>
      </c>
      <c r="E421" s="249" t="s">
        <v>3641</v>
      </c>
      <c r="F421" s="252">
        <f>IF(ISBLANK('1E'!H29),"##BLANK",'1E'!H29)</f>
        <v>16</v>
      </c>
    </row>
    <row r="422" spans="2:6" ht="13.5" customHeight="1">
      <c r="B422" s="219" t="str">
        <f>'1E'!AD29</f>
        <v>FI00560</v>
      </c>
      <c r="C422" s="219" t="s">
        <v>4023</v>
      </c>
      <c r="E422" s="249" t="s">
        <v>3641</v>
      </c>
      <c r="F422" s="252">
        <f>IF(ISBLANK('1E'!I29),"##BLANK",'1E'!I29)</f>
        <v>11.191896268657358</v>
      </c>
    </row>
    <row r="423" spans="2:6" ht="13.5" customHeight="1">
      <c r="B423" s="219" t="str">
        <f>'1F'!AP10</f>
        <v>CR12504NNP</v>
      </c>
      <c r="C423" s="219" t="s">
        <v>4024</v>
      </c>
      <c r="E423" s="249" t="s">
        <v>3641</v>
      </c>
      <c r="F423" s="252">
        <f>IF(ISBLANK('1F'!E10),"##BLANK",'1F'!E10)</f>
        <v>1665.3920000000001</v>
      </c>
    </row>
    <row r="424" spans="2:6" ht="13.5" customHeight="1">
      <c r="B424" s="219" t="str">
        <f>'1F'!AR10</f>
        <v>CR12504AAP</v>
      </c>
      <c r="C424" s="219" t="s">
        <v>4025</v>
      </c>
      <c r="E424" s="249" t="s">
        <v>3641</v>
      </c>
      <c r="F424" s="252">
        <f>IF(ISBLANK('1F'!G10),"##BLANK",'1F'!G10)</f>
        <v>1266.596</v>
      </c>
    </row>
    <row r="425" spans="2:6" ht="13.5" customHeight="1">
      <c r="B425" s="219" t="str">
        <f>'1F'!AV10</f>
        <v>CR12504NNPA</v>
      </c>
      <c r="C425" s="219" t="s">
        <v>4024</v>
      </c>
      <c r="E425" s="249" t="s">
        <v>3641</v>
      </c>
      <c r="F425" s="252">
        <f>IF(ISBLANK('1F'!K10),"##BLANK",'1F'!K10)</f>
        <v>1625.249</v>
      </c>
    </row>
    <row r="426" spans="2:6" ht="13.5" customHeight="1">
      <c r="B426" s="254" t="str">
        <f>'1F'!AX10</f>
        <v>CR12504AAPA</v>
      </c>
      <c r="C426" s="219" t="s">
        <v>4025</v>
      </c>
      <c r="E426" s="249" t="s">
        <v>3641</v>
      </c>
      <c r="F426" s="255">
        <f>IF(ISBLANK('1F'!M10),"##BLANK",'1F'!M10)</f>
        <v>1230.8389999999999</v>
      </c>
    </row>
    <row r="427" spans="2:6" ht="13.5" customHeight="1">
      <c r="B427" s="254" t="str">
        <f>'1F'!AP13</f>
        <v>CR12501NNP</v>
      </c>
      <c r="C427" s="219" t="s">
        <v>4026</v>
      </c>
      <c r="E427" s="249" t="s">
        <v>3641</v>
      </c>
      <c r="F427" s="255">
        <f>IF(ISBLANK('1F'!E13),"##BLANK",'1F'!E13)</f>
        <v>4.4200000000000003E-2</v>
      </c>
    </row>
    <row r="428" spans="2:6" ht="13.5" customHeight="1">
      <c r="B428" s="254" t="str">
        <f>'1F'!AQ13</f>
        <v>CR12501ANP</v>
      </c>
      <c r="C428" s="219" t="s">
        <v>4027</v>
      </c>
      <c r="E428" s="249" t="s">
        <v>3641</v>
      </c>
      <c r="F428" s="255">
        <f>IF(ISBLANK('1F'!F13),"##BLANK",'1F'!F13)</f>
        <v>3.3615835310845735E-2</v>
      </c>
    </row>
    <row r="429" spans="2:6" ht="13.5" customHeight="1">
      <c r="B429" s="254" t="str">
        <f>'1F'!AS13</f>
        <v>CR12501NNV</v>
      </c>
      <c r="C429" s="219" t="s">
        <v>4026</v>
      </c>
      <c r="E429" s="249" t="s">
        <v>3641</v>
      </c>
      <c r="F429" s="255">
        <f>IF(ISBLANK('1F'!H13),"##BLANK",'1F'!H13)</f>
        <v>73.610326400000005</v>
      </c>
    </row>
    <row r="430" spans="2:6" ht="13.5" customHeight="1">
      <c r="B430" s="254" t="str">
        <f>'1F'!AU13</f>
        <v>CR12501AAV</v>
      </c>
      <c r="C430" s="219" t="s">
        <v>4028</v>
      </c>
      <c r="E430" s="249" t="s">
        <v>3641</v>
      </c>
      <c r="F430" s="255">
        <f>IF(ISBLANK('1F'!J13),"##BLANK",'1F'!J13)</f>
        <v>55.983543200000007</v>
      </c>
    </row>
    <row r="431" spans="2:6" ht="13.5" customHeight="1">
      <c r="B431" s="254" t="str">
        <f>'1F'!AV13</f>
        <v>CR12501NNPA</v>
      </c>
      <c r="C431" s="219" t="s">
        <v>4026</v>
      </c>
      <c r="E431" s="249" t="s">
        <v>3641</v>
      </c>
      <c r="F431" s="255">
        <f>IF(ISBLANK('1F'!K13),"##BLANK",'1F'!K13)</f>
        <v>4.3900000000000002E-2</v>
      </c>
    </row>
    <row r="432" spans="2:6" ht="13.5" customHeight="1">
      <c r="B432" s="254" t="str">
        <f>'1F'!AW13</f>
        <v>CR12501ANPA</v>
      </c>
      <c r="C432" s="219" t="s">
        <v>4027</v>
      </c>
      <c r="E432" s="249" t="s">
        <v>3641</v>
      </c>
      <c r="F432" s="255">
        <f>IF(ISBLANK('1F'!L13),"##BLANK",'1F'!L13)</f>
        <v>3.3246494598673799E-2</v>
      </c>
    </row>
    <row r="433" spans="2:6" ht="13.5" customHeight="1">
      <c r="B433" s="254" t="str">
        <f>'1F'!AY13</f>
        <v>CR12501NNVA</v>
      </c>
      <c r="C433" s="219" t="s">
        <v>4026</v>
      </c>
      <c r="E433" s="249" t="s">
        <v>3641</v>
      </c>
      <c r="F433" s="255">
        <f>IF(ISBLANK('1F'!N13),"##BLANK",'1F'!N13)</f>
        <v>71.348431099999999</v>
      </c>
    </row>
    <row r="434" spans="2:6" ht="13.5" customHeight="1">
      <c r="B434" s="254" t="str">
        <f>'1F'!BA13</f>
        <v>CR12501AAVA</v>
      </c>
      <c r="C434" s="219" t="s">
        <v>4028</v>
      </c>
      <c r="E434" s="249" t="s">
        <v>3641</v>
      </c>
      <c r="F434" s="255">
        <f>IF(ISBLANK('1F'!P13),"##BLANK",'1F'!P13)</f>
        <v>54.033832099999998</v>
      </c>
    </row>
    <row r="435" spans="2:6" ht="13.5" customHeight="1">
      <c r="B435" s="2207" t="str">
        <f>'1F'!AQ17</f>
        <v>CR12505ANP</v>
      </c>
      <c r="C435" s="219" t="s">
        <v>4029</v>
      </c>
      <c r="E435" s="249" t="s">
        <v>3641</v>
      </c>
      <c r="F435" s="255">
        <f>IF(ISBLANK('1F'!F17),"##BLANK",'1F'!F17)</f>
        <v>1.0584164689154268E-2</v>
      </c>
    </row>
    <row r="436" spans="2:6" ht="13.5" customHeight="1">
      <c r="B436" s="2207" t="str">
        <f>'1F'!AR17</f>
        <v>CR12505AAP</v>
      </c>
      <c r="C436" s="219" t="s">
        <v>4030</v>
      </c>
      <c r="E436" s="249" t="s">
        <v>3641</v>
      </c>
      <c r="F436" s="255">
        <f>IF(ISBLANK('1F'!G17),"##BLANK",'1F'!G17)</f>
        <v>1.287940274562686E-2</v>
      </c>
    </row>
    <row r="437" spans="2:6" ht="13.5" customHeight="1">
      <c r="B437" s="2207" t="str">
        <f>'1F'!AT17</f>
        <v>CR12505ANV</v>
      </c>
      <c r="C437" s="219" t="s">
        <v>4029</v>
      </c>
      <c r="E437" s="249" t="s">
        <v>3641</v>
      </c>
      <c r="F437" s="255">
        <f>IF(ISBLANK('1F'!I17),"##BLANK",'1F'!I17)</f>
        <v>17.626783199999998</v>
      </c>
    </row>
    <row r="438" spans="2:6" ht="13.5" customHeight="1">
      <c r="B438" s="2207" t="str">
        <f>'1F'!AU17</f>
        <v>CR12505AAV</v>
      </c>
      <c r="C438" s="219" t="s">
        <v>4030</v>
      </c>
      <c r="E438" s="249" t="s">
        <v>3641</v>
      </c>
      <c r="F438" s="255">
        <f>IF(ISBLANK('1F'!J17),"##BLANK",'1F'!J17)</f>
        <v>16.312999999999999</v>
      </c>
    </row>
    <row r="439" spans="2:6" ht="13.5" customHeight="1">
      <c r="B439" s="2207" t="str">
        <f>'1F'!AW17</f>
        <v>CR12505ANPA</v>
      </c>
      <c r="C439" s="219" t="s">
        <v>4031</v>
      </c>
      <c r="E439" s="249" t="s">
        <v>3641</v>
      </c>
      <c r="F439" s="255">
        <f>IF(ISBLANK('1F'!L17),"##BLANK",'1F'!L17)</f>
        <v>1.0653505401326202E-2</v>
      </c>
    </row>
    <row r="440" spans="2:6" ht="13.5" customHeight="1">
      <c r="B440" s="2207" t="str">
        <f>'1F'!AX17</f>
        <v>CR12505AAPA</v>
      </c>
      <c r="C440" s="219" t="s">
        <v>4032</v>
      </c>
      <c r="E440" s="249" t="s">
        <v>3641</v>
      </c>
      <c r="F440" s="255">
        <f>IF(ISBLANK('1F'!M17),"##BLANK",'1F'!M17)</f>
        <v>1.3195999355753531E-2</v>
      </c>
    </row>
    <row r="441" spans="2:6" ht="13.5" customHeight="1">
      <c r="B441" s="2207" t="str">
        <f>'1F'!AZ17</f>
        <v>CR12505ANVA</v>
      </c>
      <c r="C441" s="219" t="s">
        <v>4031</v>
      </c>
      <c r="E441" s="249" t="s">
        <v>3641</v>
      </c>
      <c r="F441" s="255">
        <f>IF(ISBLANK('1F'!O17),"##BLANK",'1F'!O17)</f>
        <v>17.314599000000001</v>
      </c>
    </row>
    <row r="442" spans="2:6" ht="13.5" customHeight="1">
      <c r="B442" s="2207" t="str">
        <f>'1F'!BA17</f>
        <v>CR12505AAVA</v>
      </c>
      <c r="C442" s="219" t="s">
        <v>4032</v>
      </c>
      <c r="E442" s="249" t="s">
        <v>3641</v>
      </c>
      <c r="F442" s="255">
        <f>IF(ISBLANK('1F'!P17),"##BLANK",'1F'!P17)</f>
        <v>16.713999999999999</v>
      </c>
    </row>
    <row r="443" spans="2:6" ht="13.5" customHeight="1">
      <c r="B443" s="254" t="str">
        <f>'1F'!AQ18</f>
        <v>CR_GB_12505ANP</v>
      </c>
      <c r="C443" s="219" t="s">
        <v>4033</v>
      </c>
      <c r="E443" s="249" t="s">
        <v>3641</v>
      </c>
      <c r="F443" s="255">
        <f>IF(ISBLANK('1F'!F18),"##BLANK",'1F'!F18)</f>
        <v>0</v>
      </c>
    </row>
    <row r="444" spans="2:6" ht="13.5" customHeight="1">
      <c r="B444" s="254" t="str">
        <f>'1F'!AR18</f>
        <v>CR_GB_12505AAP</v>
      </c>
      <c r="C444" s="219" t="s">
        <v>4034</v>
      </c>
      <c r="E444" s="249" t="s">
        <v>3641</v>
      </c>
      <c r="F444" s="255">
        <f>IF(ISBLANK('1F'!G18),"##BLANK",'1F'!G18)</f>
        <v>0</v>
      </c>
    </row>
    <row r="445" spans="2:6" ht="13.5" customHeight="1">
      <c r="B445" s="254" t="str">
        <f>'1F'!AU18</f>
        <v>CR_GB_12505AAV</v>
      </c>
      <c r="C445" s="219" t="s">
        <v>4034</v>
      </c>
      <c r="E445" s="249" t="s">
        <v>3641</v>
      </c>
      <c r="F445" s="255">
        <f>IF(ISBLANK('1F'!J18),"##BLANK",'1F'!J18)</f>
        <v>0</v>
      </c>
    </row>
    <row r="446" spans="2:6" ht="13.5" customHeight="1">
      <c r="B446" s="254" t="str">
        <f>'1F'!AW18</f>
        <v>CR_GB_12505ANPA</v>
      </c>
      <c r="C446" s="219" t="s">
        <v>4035</v>
      </c>
      <c r="E446" s="249" t="s">
        <v>3641</v>
      </c>
      <c r="F446" s="255">
        <f>IF(ISBLANK('1F'!L18),"##BLANK",'1F'!L18)</f>
        <v>0</v>
      </c>
    </row>
    <row r="447" spans="2:6" ht="13.5" customHeight="1">
      <c r="B447" s="254" t="str">
        <f>'1F'!AX18</f>
        <v>CR_GB_12505AAPA</v>
      </c>
      <c r="C447" s="219" t="s">
        <v>4036</v>
      </c>
      <c r="E447" s="249" t="s">
        <v>3641</v>
      </c>
      <c r="F447" s="255">
        <f>IF(ISBLANK('1F'!M18),"##BLANK",'1F'!M18)</f>
        <v>0</v>
      </c>
    </row>
    <row r="448" spans="2:6" ht="13.5" customHeight="1">
      <c r="B448" s="254" t="str">
        <f>'1F'!BA18</f>
        <v>CR_GB_12505AAVA</v>
      </c>
      <c r="C448" s="219" t="s">
        <v>4036</v>
      </c>
      <c r="E448" s="249" t="s">
        <v>3641</v>
      </c>
      <c r="F448" s="255">
        <f>IF(ISBLANK('1F'!P18),"##BLANK",'1F'!P18)</f>
        <v>0</v>
      </c>
    </row>
    <row r="449" spans="2:6" ht="13.5" customHeight="1">
      <c r="B449" s="254" t="str">
        <f>'1F'!AQ19</f>
        <v>CR12506ANP</v>
      </c>
      <c r="C449" s="219" t="s">
        <v>4037</v>
      </c>
      <c r="E449" s="249" t="s">
        <v>3641</v>
      </c>
      <c r="F449" s="255">
        <f>IF(ISBLANK('1F'!F19),"##BLANK",'1F'!F19)</f>
        <v>1.8127263731301697E-2</v>
      </c>
    </row>
    <row r="450" spans="2:6" ht="13.5" customHeight="1">
      <c r="B450" s="254" t="str">
        <f>'1F'!AR19</f>
        <v>CR12506AAP</v>
      </c>
      <c r="C450" s="219" t="s">
        <v>4038</v>
      </c>
      <c r="E450" s="249" t="s">
        <v>3641</v>
      </c>
      <c r="F450" s="255">
        <f>IF(ISBLANK('1F'!G19),"##BLANK",'1F'!G19)</f>
        <v>2.3834750780833035E-2</v>
      </c>
    </row>
    <row r="451" spans="2:6" ht="13.5" customHeight="1">
      <c r="B451" s="254" t="str">
        <f>'1F'!AU19</f>
        <v>CR12506AAV</v>
      </c>
      <c r="C451" s="219" t="s">
        <v>4038</v>
      </c>
      <c r="E451" s="249" t="s">
        <v>3641</v>
      </c>
      <c r="F451" s="255">
        <f>IF(ISBLANK('1F'!J19),"##BLANK",'1F'!J19)</f>
        <v>30.189</v>
      </c>
    </row>
    <row r="452" spans="2:6" ht="13.5" customHeight="1">
      <c r="B452" s="254" t="str">
        <f>'1F'!AW19</f>
        <v>CR12506ANPA</v>
      </c>
      <c r="C452" s="219" t="s">
        <v>4037</v>
      </c>
      <c r="E452" s="249" t="s">
        <v>3641</v>
      </c>
      <c r="F452" s="255">
        <f>IF(ISBLANK('1F'!L19),"##BLANK",'1F'!L19)</f>
        <v>9.5815279525781321E-3</v>
      </c>
    </row>
    <row r="453" spans="2:6" ht="13.5" customHeight="1">
      <c r="B453" s="254" t="str">
        <f>'1F'!AX19</f>
        <v>CR12506AAPA</v>
      </c>
      <c r="C453" s="219" t="s">
        <v>4038</v>
      </c>
      <c r="E453" s="249" t="s">
        <v>3641</v>
      </c>
      <c r="F453" s="255">
        <f>IF(ISBLANK('1F'!M19),"##BLANK",'1F'!M19)</f>
        <v>1.2598334433394707E-2</v>
      </c>
    </row>
    <row r="454" spans="2:6" ht="13.5" customHeight="1">
      <c r="B454" s="254" t="str">
        <f>'1F'!BA19</f>
        <v>CR12506AAVA</v>
      </c>
      <c r="C454" s="219" t="s">
        <v>4038</v>
      </c>
      <c r="E454" s="249" t="s">
        <v>3641</v>
      </c>
      <c r="F454" s="255">
        <f>IF(ISBLANK('1F'!P19),"##BLANK",'1F'!P19)</f>
        <v>15.957000000000001</v>
      </c>
    </row>
    <row r="455" spans="2:6" ht="13.5" customHeight="1">
      <c r="B455" s="254" t="str">
        <f>'1F'!AQ20</f>
        <v>CR12507ANP</v>
      </c>
      <c r="C455" s="219" t="s">
        <v>4039</v>
      </c>
      <c r="E455" s="249" t="s">
        <v>3641</v>
      </c>
      <c r="F455" s="255">
        <f>IF(ISBLANK('1F'!F20),"##BLANK",'1F'!F20)</f>
        <v>0</v>
      </c>
    </row>
    <row r="456" spans="2:6" ht="13.5" customHeight="1">
      <c r="B456" s="254" t="str">
        <f>'1F'!AR20</f>
        <v>CR12507AAP</v>
      </c>
      <c r="C456" s="219" t="s">
        <v>4040</v>
      </c>
      <c r="E456" s="249" t="s">
        <v>3641</v>
      </c>
      <c r="F456" s="255">
        <f>IF(ISBLANK('1F'!G20),"##BLANK",'1F'!G20)</f>
        <v>0</v>
      </c>
    </row>
    <row r="457" spans="2:6" ht="13.5" customHeight="1">
      <c r="B457" s="254" t="str">
        <f>'1F'!AU20</f>
        <v>CR12507AAV</v>
      </c>
      <c r="C457" s="219" t="s">
        <v>4040</v>
      </c>
      <c r="E457" s="249" t="s">
        <v>3641</v>
      </c>
      <c r="F457" s="255">
        <f>IF(ISBLANK('1F'!J20),"##BLANK",'1F'!J20)</f>
        <v>0</v>
      </c>
    </row>
    <row r="458" spans="2:6" ht="13.5" customHeight="1">
      <c r="B458" s="254" t="str">
        <f>'1F'!AW20</f>
        <v>CR12507ANPA</v>
      </c>
      <c r="C458" s="219" t="s">
        <v>4039</v>
      </c>
      <c r="E458" s="249" t="s">
        <v>3641</v>
      </c>
      <c r="F458" s="255">
        <f>IF(ISBLANK('1F'!L20),"##BLANK",'1F'!L20)</f>
        <v>0</v>
      </c>
    </row>
    <row r="459" spans="2:6" ht="13.5" customHeight="1">
      <c r="B459" s="254" t="str">
        <f>'1F'!AX20</f>
        <v>CR12507AAPA</v>
      </c>
      <c r="C459" s="219" t="s">
        <v>4040</v>
      </c>
      <c r="E459" s="249" t="s">
        <v>3641</v>
      </c>
      <c r="F459" s="255">
        <f>IF(ISBLANK('1F'!M20),"##BLANK",'1F'!M20)</f>
        <v>0</v>
      </c>
    </row>
    <row r="460" spans="2:6" ht="13.5" customHeight="1">
      <c r="B460" s="254" t="str">
        <f>'1F'!BA20</f>
        <v>CR12507AAVA</v>
      </c>
      <c r="C460" s="219" t="s">
        <v>4040</v>
      </c>
      <c r="E460" s="249" t="s">
        <v>3641</v>
      </c>
      <c r="F460" s="255">
        <f>IF(ISBLANK('1F'!P20),"##BLANK",'1F'!P20)</f>
        <v>0</v>
      </c>
    </row>
    <row r="461" spans="2:6" ht="13.5" customHeight="1">
      <c r="B461" s="254" t="str">
        <f>'1F'!AQ21</f>
        <v>CR12508ANP</v>
      </c>
      <c r="C461" s="219" t="s">
        <v>4041</v>
      </c>
      <c r="E461" s="249" t="s">
        <v>3641</v>
      </c>
      <c r="F461" s="255">
        <f>IF(ISBLANK('1F'!F21),"##BLANK",'1F'!F21)</f>
        <v>4.3536897018840011E-2</v>
      </c>
    </row>
    <row r="462" spans="2:6" ht="13.5" customHeight="1">
      <c r="B462" s="254" t="str">
        <f>'1F'!AR21</f>
        <v>CR12508AAP</v>
      </c>
      <c r="C462" s="219" t="s">
        <v>4042</v>
      </c>
      <c r="E462" s="249" t="s">
        <v>3641</v>
      </c>
      <c r="F462" s="255">
        <f>IF(ISBLANK('1F'!G21),"##BLANK",'1F'!G21)</f>
        <v>6.6683457077079039E-2</v>
      </c>
    </row>
    <row r="463" spans="2:6" ht="13.5" customHeight="1">
      <c r="B463" s="254" t="str">
        <f>'1F'!AT21</f>
        <v>CR12508ANV</v>
      </c>
      <c r="C463" s="219" t="s">
        <v>4041</v>
      </c>
      <c r="E463" s="249" t="s">
        <v>3641</v>
      </c>
      <c r="F463" s="255">
        <f>IF(ISBLANK('1F'!I21),"##BLANK",'1F'!I21)</f>
        <v>72.506</v>
      </c>
    </row>
    <row r="464" spans="2:6" ht="13.5" customHeight="1">
      <c r="B464" s="254" t="str">
        <f>'1F'!AU21</f>
        <v>CR12508AAV</v>
      </c>
      <c r="C464" s="219" t="s">
        <v>4042</v>
      </c>
      <c r="E464" s="249" t="s">
        <v>3641</v>
      </c>
      <c r="F464" s="255">
        <f>IF(ISBLANK('1F'!J21),"##BLANK",'1F'!J21)</f>
        <v>84.460999999999999</v>
      </c>
    </row>
    <row r="465" spans="2:6" ht="13.5" customHeight="1">
      <c r="B465" s="254" t="str">
        <f>'1F'!AW21</f>
        <v>CR12508ANPA</v>
      </c>
      <c r="C465" s="219" t="s">
        <v>4041</v>
      </c>
      <c r="E465" s="249" t="s">
        <v>3641</v>
      </c>
      <c r="F465" s="255">
        <f>IF(ISBLANK('1F'!L21),"##BLANK",'1F'!L21)</f>
        <v>1.7382093825357634E-2</v>
      </c>
    </row>
    <row r="466" spans="2:6" ht="13.5" customHeight="1">
      <c r="B466" s="254" t="str">
        <f>'1F'!AX21</f>
        <v>CR12508AAPA</v>
      </c>
      <c r="C466" s="219" t="s">
        <v>4042</v>
      </c>
      <c r="E466" s="249" t="s">
        <v>3641</v>
      </c>
      <c r="F466" s="255">
        <f>IF(ISBLANK('1F'!M21),"##BLANK",'1F'!M21)</f>
        <v>2.6965188584205227E-2</v>
      </c>
    </row>
    <row r="467" spans="2:6" ht="13.5" customHeight="1">
      <c r="B467" s="254" t="str">
        <f>'1F'!AZ21</f>
        <v>CR12508ANVA</v>
      </c>
      <c r="C467" s="219" t="s">
        <v>4041</v>
      </c>
      <c r="E467" s="249" t="s">
        <v>3641</v>
      </c>
      <c r="F467" s="255">
        <f>IF(ISBLANK('1F'!O21),"##BLANK",'1F'!O21)</f>
        <v>28.948</v>
      </c>
    </row>
    <row r="468" spans="2:6" ht="13.5" customHeight="1">
      <c r="B468" s="254" t="str">
        <f>'1F'!BA21</f>
        <v>CR12508AAVA</v>
      </c>
      <c r="C468" s="219" t="s">
        <v>4042</v>
      </c>
      <c r="E468" s="249" t="s">
        <v>3641</v>
      </c>
      <c r="F468" s="255">
        <f>IF(ISBLANK('1F'!P21),"##BLANK",'1F'!P21)</f>
        <v>34.154000000000003</v>
      </c>
    </row>
    <row r="469" spans="2:6" ht="13.5" customHeight="1">
      <c r="B469" s="254" t="str">
        <f>'1F'!AQ22</f>
        <v>CR12509ANP</v>
      </c>
      <c r="C469" s="219" t="s">
        <v>4043</v>
      </c>
      <c r="E469" s="249" t="s">
        <v>3641</v>
      </c>
      <c r="F469" s="255">
        <f>IF(ISBLANK('1F'!F22),"##BLANK",'1F'!F22)</f>
        <v>4.1515751246553358E-3</v>
      </c>
    </row>
    <row r="470" spans="2:6" ht="13.5" customHeight="1">
      <c r="B470" s="254" t="str">
        <f>'1F'!AR22</f>
        <v>CR12509AAP</v>
      </c>
      <c r="C470" s="219" t="s">
        <v>4044</v>
      </c>
      <c r="E470" s="249" t="s">
        <v>3641</v>
      </c>
      <c r="F470" s="255">
        <f>IF(ISBLANK('1F'!G22),"##BLANK",'1F'!G22)</f>
        <v>5.4587255920593462E-3</v>
      </c>
    </row>
    <row r="471" spans="2:6" ht="13.5" customHeight="1">
      <c r="B471" s="254" t="str">
        <f>'1F'!AT22</f>
        <v>CR12509ANV</v>
      </c>
      <c r="C471" s="219" t="s">
        <v>4043</v>
      </c>
      <c r="E471" s="249" t="s">
        <v>3641</v>
      </c>
      <c r="F471" s="255">
        <f>IF(ISBLANK('1F'!I22),"##BLANK",'1F'!I22)</f>
        <v>6.9139999999999997</v>
      </c>
    </row>
    <row r="472" spans="2:6" ht="13.5" customHeight="1">
      <c r="B472" s="254" t="str">
        <f>'1F'!AU22</f>
        <v>CR12509AAV</v>
      </c>
      <c r="C472" s="219" t="s">
        <v>4044</v>
      </c>
      <c r="E472" s="249" t="s">
        <v>3641</v>
      </c>
      <c r="F472" s="255">
        <f>IF(ISBLANK('1F'!J22),"##BLANK",'1F'!J22)</f>
        <v>6.9139999999999997</v>
      </c>
    </row>
    <row r="473" spans="2:6" ht="13.5" customHeight="1">
      <c r="B473" s="254" t="str">
        <f>'1F'!AW22</f>
        <v>CR12509ANPA</v>
      </c>
      <c r="C473" s="219" t="s">
        <v>4043</v>
      </c>
      <c r="E473" s="249" t="s">
        <v>3641</v>
      </c>
      <c r="F473" s="255">
        <f>IF(ISBLANK('1F'!L22),"##BLANK",'1F'!L22)</f>
        <v>3.1253902985002931E-3</v>
      </c>
    </row>
    <row r="474" spans="2:6" ht="13.5" customHeight="1">
      <c r="B474" s="254" t="str">
        <f>'1F'!AX22</f>
        <v>CR12509AAPA</v>
      </c>
      <c r="C474" s="219" t="s">
        <v>4044</v>
      </c>
      <c r="E474" s="249" t="s">
        <v>3641</v>
      </c>
      <c r="F474" s="255">
        <f>IF(ISBLANK('1F'!M22),"##BLANK",'1F'!M22)</f>
        <v>4.1094397897987996E-3</v>
      </c>
    </row>
    <row r="475" spans="2:6" ht="13.5" customHeight="1">
      <c r="B475" s="254" t="str">
        <f>'1F'!AZ22</f>
        <v>CR12509ANVA</v>
      </c>
      <c r="C475" s="219" t="s">
        <v>4043</v>
      </c>
      <c r="E475" s="249" t="s">
        <v>3641</v>
      </c>
      <c r="F475" s="255">
        <f>IF(ISBLANK('1F'!O22),"##BLANK",'1F'!O22)</f>
        <v>5.2050000000000001</v>
      </c>
    </row>
    <row r="476" spans="2:6" ht="13.5" customHeight="1">
      <c r="B476" s="254" t="str">
        <f>'1F'!BA22</f>
        <v>CR12509AAVA</v>
      </c>
      <c r="C476" s="219" t="s">
        <v>4044</v>
      </c>
      <c r="E476" s="249" t="s">
        <v>3641</v>
      </c>
      <c r="F476" s="255">
        <f>IF(ISBLANK('1F'!P22),"##BLANK",'1F'!P22)</f>
        <v>5.2050000000000001</v>
      </c>
    </row>
    <row r="477" spans="2:6" ht="13.5" customHeight="1">
      <c r="B477" s="254" t="str">
        <f>'1F'!AP24</f>
        <v>CR12510NNP</v>
      </c>
      <c r="C477" s="219" t="s">
        <v>4045</v>
      </c>
      <c r="E477" s="249" t="s">
        <v>3641</v>
      </c>
      <c r="F477" s="255">
        <f>IF(ISBLANK('1F'!E24),"##BLANK",'1F'!E24)</f>
        <v>4.4200000000000003E-2</v>
      </c>
    </row>
    <row r="478" spans="2:6" ht="13.5" customHeight="1">
      <c r="B478" s="254" t="str">
        <f>'1F'!AQ24</f>
        <v>CR12510ANP</v>
      </c>
      <c r="C478" s="219" t="s">
        <v>4046</v>
      </c>
      <c r="E478" s="249" t="s">
        <v>3641</v>
      </c>
      <c r="F478" s="255">
        <f>IF(ISBLANK('1F'!F24),"##BLANK",'1F'!F24)</f>
        <v>0.11001573587479704</v>
      </c>
    </row>
    <row r="479" spans="2:6" ht="13.5" customHeight="1">
      <c r="B479" s="254" t="str">
        <f>'1F'!AR24</f>
        <v>CR12510AAP</v>
      </c>
      <c r="C479" s="219" t="s">
        <v>4047</v>
      </c>
      <c r="E479" s="249" t="s">
        <v>3641</v>
      </c>
      <c r="F479" s="255">
        <f>IF(ISBLANK('1F'!G24),"##BLANK",'1F'!G24)</f>
        <v>0.15305633619559827</v>
      </c>
    </row>
    <row r="480" spans="2:6" ht="13.5" customHeight="1">
      <c r="B480" s="254" t="str">
        <f>'1F'!AS24</f>
        <v>CR12510NNV</v>
      </c>
      <c r="C480" s="219" t="s">
        <v>4045</v>
      </c>
      <c r="E480" s="249" t="s">
        <v>3641</v>
      </c>
      <c r="F480" s="255">
        <f>IF(ISBLANK('1F'!H24),"##BLANK",'1F'!H24)</f>
        <v>73.610326400000005</v>
      </c>
    </row>
    <row r="481" spans="2:6" ht="13.5" customHeight="1">
      <c r="B481" s="254" t="str">
        <f>'1F'!AT24</f>
        <v>CR12510ANV</v>
      </c>
      <c r="C481" s="219" t="s">
        <v>4046</v>
      </c>
      <c r="E481" s="249" t="s">
        <v>3641</v>
      </c>
      <c r="F481" s="255">
        <f>IF(ISBLANK('1F'!I24),"##BLANK",'1F'!I24)</f>
        <v>183.2193264</v>
      </c>
    </row>
    <row r="482" spans="2:6" ht="13.5" customHeight="1">
      <c r="B482" s="254" t="str">
        <f>'1F'!AU24</f>
        <v>CR12510AAV</v>
      </c>
      <c r="C482" s="219" t="s">
        <v>4047</v>
      </c>
      <c r="E482" s="249" t="s">
        <v>3641</v>
      </c>
      <c r="F482" s="255">
        <f>IF(ISBLANK('1F'!J24),"##BLANK",'1F'!J24)</f>
        <v>193.8605432</v>
      </c>
    </row>
    <row r="483" spans="2:6" ht="13.5" customHeight="1">
      <c r="B483" s="254" t="str">
        <f>'1F'!AV24</f>
        <v>CR12510NNPA</v>
      </c>
      <c r="C483" s="219" t="s">
        <v>4045</v>
      </c>
      <c r="E483" s="249" t="s">
        <v>3641</v>
      </c>
      <c r="F483" s="255">
        <f>IF(ISBLANK('1F'!K24),"##BLANK",'1F'!K24)</f>
        <v>4.3900000000000002E-2</v>
      </c>
    </row>
    <row r="484" spans="2:6" ht="13.5" customHeight="1">
      <c r="B484" s="254" t="str">
        <f>'1F'!AW24</f>
        <v>CR12510ANPA</v>
      </c>
      <c r="C484" s="219" t="s">
        <v>4046</v>
      </c>
      <c r="E484" s="249" t="s">
        <v>3641</v>
      </c>
      <c r="F484" s="255">
        <f>IF(ISBLANK('1F'!L24),"##BLANK",'1F'!L24)</f>
        <v>7.3989012076436059E-2</v>
      </c>
    </row>
    <row r="485" spans="2:6" ht="13.5" customHeight="1">
      <c r="B485" s="254" t="str">
        <f>'1F'!AX24</f>
        <v>CR12510AAPA</v>
      </c>
      <c r="C485" s="219" t="s">
        <v>4047</v>
      </c>
      <c r="E485" s="249" t="s">
        <v>3641</v>
      </c>
      <c r="F485" s="255">
        <f>IF(ISBLANK('1F'!M24),"##BLANK",'1F'!M24)</f>
        <v>0.10076896216315226</v>
      </c>
    </row>
    <row r="486" spans="2:6" ht="13.5" customHeight="1">
      <c r="B486" s="254" t="str">
        <f>'1F'!AY24</f>
        <v>CR12510NNVA</v>
      </c>
      <c r="C486" s="219" t="s">
        <v>4045</v>
      </c>
      <c r="E486" s="249" t="s">
        <v>3641</v>
      </c>
      <c r="F486" s="255">
        <f>IF(ISBLANK('1F'!N24),"##BLANK",'1F'!N24)</f>
        <v>71.348431099999999</v>
      </c>
    </row>
    <row r="487" spans="2:6" ht="13.5" customHeight="1">
      <c r="B487" s="254" t="str">
        <f>'1F'!AZ24</f>
        <v>CR12510ANVA</v>
      </c>
      <c r="C487" s="219" t="s">
        <v>4046</v>
      </c>
      <c r="E487" s="249" t="s">
        <v>3641</v>
      </c>
      <c r="F487" s="255">
        <f>IF(ISBLANK('1F'!O24),"##BLANK",'1F'!O24)</f>
        <v>121.4584311</v>
      </c>
    </row>
    <row r="488" spans="2:6" ht="13.5" customHeight="1">
      <c r="B488" s="254" t="str">
        <f>'1F'!BA24</f>
        <v>CR12510AAVA</v>
      </c>
      <c r="C488" s="219" t="s">
        <v>4047</v>
      </c>
      <c r="E488" s="249" t="s">
        <v>3641</v>
      </c>
      <c r="F488" s="255">
        <f>IF(ISBLANK('1F'!P24),"##BLANK",'1F'!P24)</f>
        <v>126.0638321</v>
      </c>
    </row>
    <row r="489" spans="2:6" ht="13.5" customHeight="1">
      <c r="B489" s="254" t="str">
        <f>'1F'!AQ28</f>
        <v>CR12511ANP</v>
      </c>
      <c r="C489" s="219" t="s">
        <v>4048</v>
      </c>
      <c r="E489" s="249" t="s">
        <v>3641</v>
      </c>
      <c r="F489" s="255">
        <f>IF(ISBLANK('1F'!F28),"##BLANK",'1F'!F28)</f>
        <v>-4.165986146204617E-3</v>
      </c>
    </row>
    <row r="490" spans="2:6" ht="13.5" customHeight="1">
      <c r="B490" s="254" t="str">
        <f>'1F'!AR28</f>
        <v>CR12511AAP</v>
      </c>
      <c r="C490" s="219" t="s">
        <v>4049</v>
      </c>
      <c r="E490" s="249" t="s">
        <v>3641</v>
      </c>
      <c r="F490" s="255">
        <f>IF(ISBLANK('1F'!G28),"##BLANK",'1F'!G28)</f>
        <v>-5.4776740176030875E-3</v>
      </c>
    </row>
    <row r="491" spans="2:6" ht="13.5" customHeight="1">
      <c r="B491" s="254" t="str">
        <f>'1F'!AU28</f>
        <v>CR12511AAV</v>
      </c>
      <c r="C491" s="219" t="s">
        <v>4049</v>
      </c>
      <c r="E491" s="249" t="s">
        <v>3641</v>
      </c>
      <c r="F491" s="255">
        <f>IF(ISBLANK('1F'!J28),"##BLANK",'1F'!J28)</f>
        <v>-6.9379999999999997</v>
      </c>
    </row>
    <row r="492" spans="2:6" ht="13.5" customHeight="1">
      <c r="B492" s="254" t="str">
        <f>'1F'!AW28</f>
        <v>CR12511ANPA</v>
      </c>
      <c r="C492" s="219" t="s">
        <v>4048</v>
      </c>
      <c r="E492" s="249" t="s">
        <v>3641</v>
      </c>
      <c r="F492" s="255">
        <f>IF(ISBLANK('1F'!L28),"##BLANK",'1F'!L28)</f>
        <v>-5.3122628186036674E-3</v>
      </c>
    </row>
    <row r="493" spans="2:6" ht="13.5" customHeight="1">
      <c r="B493" s="254" t="str">
        <f>'1F'!AX28</f>
        <v>CR12511AAPA</v>
      </c>
      <c r="C493" s="219" t="s">
        <v>4049</v>
      </c>
      <c r="E493" s="249" t="s">
        <v>3641</v>
      </c>
      <c r="F493" s="255">
        <f>IF(ISBLANK('1F'!M28),"##BLANK",'1F'!M28)</f>
        <v>-6.9848633660614745E-3</v>
      </c>
    </row>
    <row r="494" spans="2:6" ht="13.5" customHeight="1">
      <c r="B494" s="254" t="str">
        <f>'1F'!BA28</f>
        <v>CR12511AAVA</v>
      </c>
      <c r="C494" s="219" t="s">
        <v>4049</v>
      </c>
      <c r="E494" s="249" t="s">
        <v>3641</v>
      </c>
      <c r="F494" s="255">
        <f>IF(ISBLANK('1F'!P28),"##BLANK",'1F'!P28)</f>
        <v>-8.8469999999999995</v>
      </c>
    </row>
    <row r="495" spans="2:6" ht="13.5" customHeight="1">
      <c r="B495" s="254" t="str">
        <f>'1F'!AQ29</f>
        <v>CR12512ANP</v>
      </c>
      <c r="C495" s="219" t="s">
        <v>4050</v>
      </c>
      <c r="E495" s="249" t="s">
        <v>3641</v>
      </c>
      <c r="F495" s="255">
        <f>IF(ISBLANK('1F'!F29),"##BLANK",'1F'!F29)</f>
        <v>-3.8861721444560801E-3</v>
      </c>
    </row>
    <row r="496" spans="2:6" ht="13.5" customHeight="1">
      <c r="B496" s="254" t="str">
        <f>'1F'!AR29</f>
        <v>CR12512AAP</v>
      </c>
      <c r="C496" s="219" t="s">
        <v>4051</v>
      </c>
      <c r="E496" s="249" t="s">
        <v>3641</v>
      </c>
      <c r="F496" s="255">
        <f>IF(ISBLANK('1F'!G29),"##BLANK",'1F'!G29)</f>
        <v>-5.1097587549621196E-3</v>
      </c>
    </row>
    <row r="497" spans="2:6" ht="13.5" customHeight="1">
      <c r="B497" s="254" t="str">
        <f>'1F'!AU29</f>
        <v>CR12512AAV</v>
      </c>
      <c r="C497" s="219" t="s">
        <v>4051</v>
      </c>
      <c r="E497" s="249" t="s">
        <v>3641</v>
      </c>
      <c r="F497" s="255">
        <f>IF(ISBLANK('1F'!J29),"##BLANK",'1F'!J29)</f>
        <v>-6.4720000000000004</v>
      </c>
    </row>
    <row r="498" spans="2:6" ht="13.5" customHeight="1">
      <c r="B498" s="254" t="str">
        <f>'1F'!AW29</f>
        <v>CR12512ANPA</v>
      </c>
      <c r="C498" s="219" t="s">
        <v>4050</v>
      </c>
      <c r="E498" s="249" t="s">
        <v>3641</v>
      </c>
      <c r="F498" s="255">
        <f>IF(ISBLANK('1F'!L29),"##BLANK",'1F'!L29)</f>
        <v>-2.7128748066521271E-3</v>
      </c>
    </row>
    <row r="499" spans="2:6" ht="13.5" customHeight="1">
      <c r="B499" s="254" t="str">
        <f>'1F'!AX29</f>
        <v>CR12512AAPA</v>
      </c>
      <c r="C499" s="219" t="s">
        <v>4051</v>
      </c>
      <c r="E499" s="249" t="s">
        <v>3641</v>
      </c>
      <c r="F499" s="255">
        <f>IF(ISBLANK('1F'!M29),"##BLANK",'1F'!M29)</f>
        <v>-3.5670411086092171E-3</v>
      </c>
    </row>
    <row r="500" spans="2:6" ht="13.5" customHeight="1">
      <c r="B500" s="254" t="str">
        <f>'1F'!BA29</f>
        <v>CR12512AAVA</v>
      </c>
      <c r="C500" s="219" t="s">
        <v>4051</v>
      </c>
      <c r="E500" s="249" t="s">
        <v>3641</v>
      </c>
      <c r="F500" s="255">
        <f>IF(ISBLANK('1F'!P29),"##BLANK",'1F'!P29)</f>
        <v>-4.5179999999999998</v>
      </c>
    </row>
    <row r="501" spans="2:6" ht="13.5" customHeight="1">
      <c r="B501" s="254" t="str">
        <f>'1F'!AQ30</f>
        <v>CR_CMEX_12512ANP</v>
      </c>
      <c r="C501" s="219" t="s">
        <v>4052</v>
      </c>
      <c r="E501" s="249" t="s">
        <v>3641</v>
      </c>
      <c r="F501" s="255">
        <f>IF(ISBLANK('1F'!F30),"##BLANK",'1F'!F30)</f>
        <v>1.7287221266824868E-3</v>
      </c>
    </row>
    <row r="502" spans="2:6" ht="13.5" customHeight="1">
      <c r="B502" s="254" t="str">
        <f>'1F'!AR30</f>
        <v>CR_CMEX_12512AAP</v>
      </c>
      <c r="C502" s="219" t="s">
        <v>4053</v>
      </c>
      <c r="E502" s="249" t="s">
        <v>3641</v>
      </c>
      <c r="F502" s="255">
        <f>IF(ISBLANK('1F'!G30),"##BLANK",'1F'!G30)</f>
        <v>2.2730215475179143E-3</v>
      </c>
    </row>
    <row r="503" spans="2:6" ht="13.5" customHeight="1">
      <c r="B503" s="254" t="str">
        <f>'1F'!AU30</f>
        <v>CR_CMEX_12512AAV</v>
      </c>
      <c r="C503" s="219" t="s">
        <v>4053</v>
      </c>
      <c r="E503" s="249" t="s">
        <v>3641</v>
      </c>
      <c r="F503" s="255">
        <f>IF(ISBLANK('1F'!J30),"##BLANK",'1F'!J30)</f>
        <v>2.879</v>
      </c>
    </row>
    <row r="504" spans="2:6" ht="13.5" customHeight="1">
      <c r="B504" s="254" t="str">
        <f>'1F'!AW30</f>
        <v>CR_CMEX_12512ANPA</v>
      </c>
      <c r="C504" s="219" t="s">
        <v>4054</v>
      </c>
      <c r="E504" s="249" t="s">
        <v>3641</v>
      </c>
      <c r="F504" s="255">
        <f>IF(ISBLANK('1F'!L30),"##BLANK",'1F'!L30)</f>
        <v>1.1618886124107719E-3</v>
      </c>
    </row>
    <row r="505" spans="2:6" ht="13.5" customHeight="1">
      <c r="B505" s="254" t="str">
        <f>'1F'!AX30</f>
        <v>CR_CMEX_12512AAPA</v>
      </c>
      <c r="C505" s="219" t="s">
        <v>4055</v>
      </c>
      <c r="E505" s="249" t="s">
        <v>3641</v>
      </c>
      <c r="F505" s="255">
        <f>IF(ISBLANK('1F'!M30),"##BLANK",'1F'!M30)</f>
        <v>1.527716809464107E-3</v>
      </c>
    </row>
    <row r="506" spans="2:6" ht="13.5" customHeight="1">
      <c r="B506" s="254" t="str">
        <f>'1F'!BA30</f>
        <v>CR_CMEX_12512AAVA</v>
      </c>
      <c r="C506" s="219" t="s">
        <v>4055</v>
      </c>
      <c r="E506" s="249" t="s">
        <v>3641</v>
      </c>
      <c r="F506" s="255">
        <f>IF(ISBLANK('1F'!P30),"##BLANK",'1F'!P30)</f>
        <v>1.9350000000000001</v>
      </c>
    </row>
    <row r="507" spans="2:6" ht="13.5" customHeight="1">
      <c r="B507" s="254" t="str">
        <f>'1F'!AQ31</f>
        <v>CR_DMEX_12512ANP</v>
      </c>
      <c r="C507" s="219" t="s">
        <v>4056</v>
      </c>
      <c r="E507" s="249" t="s">
        <v>3641</v>
      </c>
      <c r="F507" s="255">
        <f>IF(ISBLANK('1F'!F31),"##BLANK",'1F'!F31)</f>
        <v>4.2032146185402592E-4</v>
      </c>
    </row>
    <row r="508" spans="2:6" ht="13.5" customHeight="1">
      <c r="B508" s="254" t="str">
        <f>'1F'!AR31</f>
        <v>CR_DMEX_12512AAP</v>
      </c>
      <c r="C508" s="219" t="s">
        <v>4057</v>
      </c>
      <c r="E508" s="249" t="s">
        <v>3641</v>
      </c>
      <c r="F508" s="255">
        <f>IF(ISBLANK('1F'!G31),"##BLANK",'1F'!G31)</f>
        <v>5.5266241169244174E-4</v>
      </c>
    </row>
    <row r="509" spans="2:6" ht="13.5" customHeight="1">
      <c r="B509" s="254" t="str">
        <f>'1F'!AU31</f>
        <v>CR_DMEX_12512AAV</v>
      </c>
      <c r="C509" s="219" t="s">
        <v>4057</v>
      </c>
      <c r="E509" s="249" t="s">
        <v>3641</v>
      </c>
      <c r="F509" s="255">
        <f>IF(ISBLANK('1F'!J31),"##BLANK",'1F'!J31)</f>
        <v>0.7</v>
      </c>
    </row>
    <row r="510" spans="2:6" ht="13.5" customHeight="1">
      <c r="B510" s="254" t="str">
        <f>'1F'!AW31</f>
        <v>CR_DMEX_12512ANPA</v>
      </c>
      <c r="C510" s="219" t="s">
        <v>4058</v>
      </c>
      <c r="E510" s="249" t="s">
        <v>3641</v>
      </c>
      <c r="F510" s="255">
        <f>IF(ISBLANK('1F'!L31),"##BLANK",'1F'!L31)</f>
        <v>2.10761190158233E-4</v>
      </c>
    </row>
    <row r="511" spans="2:6" ht="13.5" customHeight="1">
      <c r="B511" s="254" t="str">
        <f>'1F'!AX31</f>
        <v>CR_DMEX_12512AAPA</v>
      </c>
      <c r="C511" s="219" t="s">
        <v>4059</v>
      </c>
      <c r="E511" s="249" t="s">
        <v>3641</v>
      </c>
      <c r="F511" s="255">
        <f>IF(ISBLANK('1F'!M31),"##BLANK",'1F'!M31)</f>
        <v>2.7712072357721009E-4</v>
      </c>
    </row>
    <row r="512" spans="2:6" ht="13.5" customHeight="1">
      <c r="B512" s="254" t="str">
        <f>'1F'!BA31</f>
        <v>CR_DMEX_12512AAVA</v>
      </c>
      <c r="C512" s="219" t="s">
        <v>4059</v>
      </c>
      <c r="E512" s="249" t="s">
        <v>3641</v>
      </c>
      <c r="F512" s="255">
        <f>IF(ISBLANK('1F'!P31),"##BLANK",'1F'!P31)</f>
        <v>0.35099999999999998</v>
      </c>
    </row>
    <row r="513" spans="2:6" ht="13.5" customHeight="1">
      <c r="B513" s="254" t="str">
        <f>'1F'!AQ32</f>
        <v>CR12513ANP</v>
      </c>
      <c r="C513" s="219" t="s">
        <v>4060</v>
      </c>
      <c r="E513" s="249" t="s">
        <v>3641</v>
      </c>
      <c r="F513" s="255">
        <f>IF(ISBLANK('1F'!F32),"##BLANK",'1F'!F32)</f>
        <v>-3.464049304908394E-3</v>
      </c>
    </row>
    <row r="514" spans="2:6" ht="13.5" customHeight="1">
      <c r="B514" s="254" t="str">
        <f>'1F'!AR32</f>
        <v>CR12513AAP</v>
      </c>
      <c r="C514" s="219" t="s">
        <v>4061</v>
      </c>
      <c r="E514" s="249" t="s">
        <v>3641</v>
      </c>
      <c r="F514" s="255">
        <f>IF(ISBLANK('1F'!G32),"##BLANK",'1F'!G32)</f>
        <v>-4.5547277900767095E-3</v>
      </c>
    </row>
    <row r="515" spans="2:6" ht="13.5" customHeight="1">
      <c r="B515" s="254" t="str">
        <f>'1F'!AU32</f>
        <v>CR12513AAV</v>
      </c>
      <c r="C515" s="219" t="s">
        <v>4061</v>
      </c>
      <c r="E515" s="249" t="s">
        <v>3641</v>
      </c>
      <c r="F515" s="255">
        <f>IF(ISBLANK('1F'!J32),"##BLANK",'1F'!J32)</f>
        <v>-5.7690000000000001</v>
      </c>
    </row>
    <row r="516" spans="2:6" ht="13.5" customHeight="1">
      <c r="B516" s="254" t="str">
        <f>'1F'!AW32</f>
        <v>CR12513ANPA</v>
      </c>
      <c r="C516" s="219" t="s">
        <v>4060</v>
      </c>
      <c r="E516" s="249" t="s">
        <v>3641</v>
      </c>
      <c r="F516" s="255">
        <f>IF(ISBLANK('1F'!L32),"##BLANK",'1F'!L32)</f>
        <v>-5.0438575422483119E-3</v>
      </c>
    </row>
    <row r="517" spans="2:6" ht="13.5" customHeight="1">
      <c r="B517" s="254" t="str">
        <f>'1F'!AX32</f>
        <v>CR12513AAPA</v>
      </c>
      <c r="C517" s="219" t="s">
        <v>4061</v>
      </c>
      <c r="E517" s="249" t="s">
        <v>3641</v>
      </c>
      <c r="F517" s="255">
        <f>IF(ISBLANK('1F'!M32),"##BLANK",'1F'!M32)</f>
        <v>-6.6319489403093021E-3</v>
      </c>
    </row>
    <row r="518" spans="2:6" ht="13.5" customHeight="1">
      <c r="B518" s="254" t="str">
        <f>'1F'!BA32</f>
        <v>CR12513AAVA</v>
      </c>
      <c r="C518" s="219" t="s">
        <v>4061</v>
      </c>
      <c r="E518" s="249" t="s">
        <v>3641</v>
      </c>
      <c r="F518" s="255">
        <f>IF(ISBLANK('1F'!P32),"##BLANK",'1F'!P32)</f>
        <v>-8.4</v>
      </c>
    </row>
    <row r="519" spans="2:6" ht="13.5" customHeight="1">
      <c r="B519" s="254" t="str">
        <f>'1F'!AQ33</f>
        <v>CR12523ANP</v>
      </c>
      <c r="C519" s="219" t="s">
        <v>4062</v>
      </c>
      <c r="E519" s="249" t="s">
        <v>3641</v>
      </c>
      <c r="F519" s="255">
        <f>IF(ISBLANK('1F'!F33),"##BLANK",'1F'!F33)</f>
        <v>1.4597163910959102E-3</v>
      </c>
    </row>
    <row r="520" spans="2:6" ht="13.5" customHeight="1">
      <c r="B520" s="254" t="str">
        <f>'1F'!AR33</f>
        <v>CR12523AAP</v>
      </c>
      <c r="C520" s="219" t="s">
        <v>4063</v>
      </c>
      <c r="E520" s="249" t="s">
        <v>3641</v>
      </c>
      <c r="F520" s="255">
        <f>IF(ISBLANK('1F'!G33),"##BLANK",'1F'!G33)</f>
        <v>1.9193176040347515E-3</v>
      </c>
    </row>
    <row r="521" spans="2:6" ht="13.5" customHeight="1">
      <c r="B521" s="254" t="str">
        <f>'1F'!AU33</f>
        <v>CR12523AAV</v>
      </c>
      <c r="C521" s="219" t="s">
        <v>4063</v>
      </c>
      <c r="E521" s="249" t="s">
        <v>3641</v>
      </c>
      <c r="F521" s="255">
        <f>IF(ISBLANK('1F'!J33),"##BLANK",'1F'!J33)</f>
        <v>2.431</v>
      </c>
    </row>
    <row r="522" spans="2:6" ht="13.5" customHeight="1">
      <c r="B522" s="254" t="str">
        <f>'1F'!AW33</f>
        <v>CR12523ANPA</v>
      </c>
      <c r="C522" s="219" t="s">
        <v>4062</v>
      </c>
      <c r="E522" s="249" t="s">
        <v>3641</v>
      </c>
      <c r="F522" s="255">
        <f>IF(ISBLANK('1F'!L33),"##BLANK",'1F'!L33)</f>
        <v>6.6711020588546119E-4</v>
      </c>
    </row>
    <row r="523" spans="2:6" ht="13.5" customHeight="1">
      <c r="B523" s="254" t="str">
        <f>'1F'!AX33</f>
        <v>CR12523AAPA</v>
      </c>
      <c r="C523" s="219" t="s">
        <v>4063</v>
      </c>
      <c r="E523" s="249" t="s">
        <v>3641</v>
      </c>
      <c r="F523" s="255">
        <f>IF(ISBLANK('1F'!M33),"##BLANK",'1F'!M33)</f>
        <v>8.7715419912900397E-4</v>
      </c>
    </row>
    <row r="524" spans="2:6" ht="13.5" customHeight="1">
      <c r="B524" s="254" t="str">
        <f>'1F'!BA33</f>
        <v>CR12523AAVA</v>
      </c>
      <c r="C524" s="219" t="s">
        <v>4063</v>
      </c>
      <c r="E524" s="249" t="s">
        <v>3641</v>
      </c>
      <c r="F524" s="255">
        <f>IF(ISBLANK('1F'!P33),"##BLANK",'1F'!P33)</f>
        <v>1.111</v>
      </c>
    </row>
    <row r="525" spans="2:6" ht="13.5" customHeight="1">
      <c r="B525" s="254" t="str">
        <f>'1F'!AQ34</f>
        <v>CR12514ANP</v>
      </c>
      <c r="C525" s="219" t="s">
        <v>4064</v>
      </c>
      <c r="E525" s="249" t="s">
        <v>3641</v>
      </c>
      <c r="F525" s="255">
        <f>IF(ISBLANK('1F'!F34),"##BLANK",'1F'!F34)</f>
        <v>-7.9074476159366677E-3</v>
      </c>
    </row>
    <row r="526" spans="2:6" ht="13.5" customHeight="1">
      <c r="B526" s="254" t="str">
        <f>'1F'!AR34</f>
        <v>CR12514AAP</v>
      </c>
      <c r="C526" s="219" t="s">
        <v>4065</v>
      </c>
      <c r="E526" s="249" t="s">
        <v>3641</v>
      </c>
      <c r="F526" s="255">
        <f>IF(ISBLANK('1F'!G34),"##BLANK",'1F'!G34)</f>
        <v>-1.0397158999396808E-2</v>
      </c>
    </row>
    <row r="527" spans="2:6" ht="13.5" customHeight="1">
      <c r="B527" s="254" t="str">
        <f>'1F'!AT34</f>
        <v>CR12514ANV</v>
      </c>
      <c r="C527" s="219" t="s">
        <v>4064</v>
      </c>
      <c r="E527" s="249" t="s">
        <v>3641</v>
      </c>
      <c r="F527" s="255">
        <f>IF(ISBLANK('1F'!I34),"##BLANK",'1F'!I34)</f>
        <v>-13.169</v>
      </c>
    </row>
    <row r="528" spans="2:6" ht="13.5" customHeight="1">
      <c r="B528" s="254" t="str">
        <f>'1F'!AU34</f>
        <v>CR12514AAV</v>
      </c>
      <c r="C528" s="219" t="s">
        <v>4065</v>
      </c>
      <c r="E528" s="249" t="s">
        <v>3641</v>
      </c>
      <c r="F528" s="255">
        <f>IF(ISBLANK('1F'!J34),"##BLANK",'1F'!J34)</f>
        <v>-13.169</v>
      </c>
    </row>
    <row r="529" spans="2:6" ht="13.5" customHeight="1">
      <c r="B529" s="254" t="str">
        <f>'1F'!AW34</f>
        <v>CR12514ANPA</v>
      </c>
      <c r="C529" s="219" t="s">
        <v>4064</v>
      </c>
      <c r="E529" s="249" t="s">
        <v>3641</v>
      </c>
      <c r="F529" s="255">
        <f>IF(ISBLANK('1F'!L34),"##BLANK",'1F'!L34)</f>
        <v>-1.102923515904964E-2</v>
      </c>
    </row>
    <row r="530" spans="2:6" ht="13.5" customHeight="1">
      <c r="B530" s="254" t="str">
        <f>'1F'!AX34</f>
        <v>CR12514AAPA</v>
      </c>
      <c r="C530" s="219" t="s">
        <v>4065</v>
      </c>
      <c r="E530" s="249" t="s">
        <v>3641</v>
      </c>
      <c r="F530" s="255">
        <f>IF(ISBLANK('1F'!M34),"##BLANK",'1F'!M34)</f>
        <v>-1.4501861682809673E-2</v>
      </c>
    </row>
    <row r="531" spans="2:6" ht="13.5" customHeight="1">
      <c r="B531" s="254" t="str">
        <f>'1F'!AZ34</f>
        <v>CR12514ANVA</v>
      </c>
      <c r="C531" s="219" t="s">
        <v>4064</v>
      </c>
      <c r="E531" s="249" t="s">
        <v>3641</v>
      </c>
      <c r="F531" s="255">
        <f>IF(ISBLANK('1F'!O34),"##BLANK",'1F'!O34)</f>
        <v>-18.367999999999999</v>
      </c>
    </row>
    <row r="532" spans="2:6" ht="13.5" customHeight="1">
      <c r="B532" s="254" t="str">
        <f>'1F'!BA34</f>
        <v>CR12514AAVA</v>
      </c>
      <c r="C532" s="219" t="s">
        <v>4065</v>
      </c>
      <c r="E532" s="249" t="s">
        <v>3641</v>
      </c>
      <c r="F532" s="255">
        <f>IF(ISBLANK('1F'!P34),"##BLANK",'1F'!P34)</f>
        <v>-18.367999999999999</v>
      </c>
    </row>
    <row r="533" spans="2:6" ht="13.5" customHeight="1">
      <c r="B533" s="254" t="str">
        <f>'1F'!AP36</f>
        <v>CR_RORE_12516NNP</v>
      </c>
      <c r="C533" s="219" t="s">
        <v>4066</v>
      </c>
      <c r="E533" s="249" t="s">
        <v>3641</v>
      </c>
      <c r="F533" s="255">
        <f>IF(ISBLANK('1F'!E36),"##BLANK",'1F'!E36)</f>
        <v>4.4200000000000003E-2</v>
      </c>
    </row>
    <row r="534" spans="2:6" ht="13.5" customHeight="1">
      <c r="B534" s="254" t="str">
        <f>'1F'!AQ36</f>
        <v>CR_RORE_12516ANP</v>
      </c>
      <c r="C534" s="219" t="s">
        <v>4067</v>
      </c>
      <c r="E534" s="249" t="s">
        <v>3641</v>
      </c>
      <c r="F534" s="255">
        <f>IF(ISBLANK('1F'!F36),"##BLANK",'1F'!F36)</f>
        <v>0.10210828825886037</v>
      </c>
    </row>
    <row r="535" spans="2:6" ht="13.5" customHeight="1">
      <c r="B535" s="254" t="str">
        <f>'1F'!AR36</f>
        <v>CR_RORE_12516AAP</v>
      </c>
      <c r="C535" s="219" t="s">
        <v>4068</v>
      </c>
      <c r="E535" s="249" t="s">
        <v>3641</v>
      </c>
      <c r="F535" s="255">
        <f>IF(ISBLANK('1F'!G36),"##BLANK",'1F'!G36)</f>
        <v>0.14265917719620147</v>
      </c>
    </row>
    <row r="536" spans="2:6" ht="13.5" customHeight="1">
      <c r="B536" s="254" t="str">
        <f>'1F'!AS36</f>
        <v>CR_RORE_12516NNV</v>
      </c>
      <c r="C536" s="219" t="s">
        <v>4066</v>
      </c>
      <c r="E536" s="249" t="s">
        <v>3641</v>
      </c>
      <c r="F536" s="255">
        <f>IF(ISBLANK('1F'!H36),"##BLANK",'1F'!H36)</f>
        <v>73.610326400000005</v>
      </c>
    </row>
    <row r="537" spans="2:6" ht="13.5" customHeight="1">
      <c r="B537" s="254" t="str">
        <f>'1F'!AT36</f>
        <v>CR_RORE_12516ANV</v>
      </c>
      <c r="C537" s="219" t="s">
        <v>4067</v>
      </c>
      <c r="E537" s="249" t="s">
        <v>3641</v>
      </c>
      <c r="F537" s="255">
        <f>IF(ISBLANK('1F'!I36),"##BLANK",'1F'!I36)</f>
        <v>170.05032639999999</v>
      </c>
    </row>
    <row r="538" spans="2:6" ht="13.5" customHeight="1">
      <c r="B538" s="254" t="str">
        <f>'1F'!AU36</f>
        <v>CR_RORE_12516AAV</v>
      </c>
      <c r="C538" s="219" t="s">
        <v>4068</v>
      </c>
      <c r="E538" s="249" t="s">
        <v>3641</v>
      </c>
      <c r="F538" s="255">
        <f>IF(ISBLANK('1F'!J36),"##BLANK",'1F'!J36)</f>
        <v>180.69154319999998</v>
      </c>
    </row>
    <row r="539" spans="2:6" ht="13.5" customHeight="1">
      <c r="B539" s="254" t="str">
        <f>'1F'!AV36</f>
        <v>CR_RORE_12516NNPA</v>
      </c>
      <c r="C539" s="219" t="s">
        <v>4066</v>
      </c>
      <c r="E539" s="249" t="s">
        <v>3641</v>
      </c>
      <c r="F539" s="255">
        <f>IF(ISBLANK('1F'!K36),"##BLANK",'1F'!K36)</f>
        <v>4.3900000000000002E-2</v>
      </c>
    </row>
    <row r="540" spans="2:6" ht="13.5" customHeight="1">
      <c r="B540" s="254" t="str">
        <f>'1F'!AW36</f>
        <v>CR_RORE_12516ANPA</v>
      </c>
      <c r="C540" s="219" t="s">
        <v>4067</v>
      </c>
      <c r="E540" s="249" t="s">
        <v>3641</v>
      </c>
      <c r="F540" s="255">
        <f>IF(ISBLANK('1F'!L36),"##BLANK",'1F'!L36)</f>
        <v>6.2959776917386412E-2</v>
      </c>
    </row>
    <row r="541" spans="2:6" ht="13.5" customHeight="1">
      <c r="B541" s="254" t="str">
        <f>'1F'!AX36</f>
        <v>CR_RORE_12516AAPA</v>
      </c>
      <c r="C541" s="219" t="s">
        <v>4068</v>
      </c>
      <c r="E541" s="249" t="s">
        <v>3641</v>
      </c>
      <c r="F541" s="255">
        <f>IF(ISBLANK('1F'!M36),"##BLANK",'1F'!M36)</f>
        <v>8.6267100480342584E-2</v>
      </c>
    </row>
    <row r="542" spans="2:6" ht="13.5" customHeight="1">
      <c r="B542" s="254" t="str">
        <f>'1F'!AY36</f>
        <v>CR_RORE_12516NNVA</v>
      </c>
      <c r="C542" s="219" t="s">
        <v>4066</v>
      </c>
      <c r="E542" s="249" t="s">
        <v>3641</v>
      </c>
      <c r="F542" s="255">
        <f>IF(ISBLANK('1F'!N36),"##BLANK",'1F'!N36)</f>
        <v>71.348431099999999</v>
      </c>
    </row>
    <row r="543" spans="2:6" ht="13.5" customHeight="1">
      <c r="B543" s="254" t="str">
        <f>'1F'!AZ36</f>
        <v>CR_RORE_12516ANVA</v>
      </c>
      <c r="C543" s="219" t="s">
        <v>4067</v>
      </c>
      <c r="E543" s="249" t="s">
        <v>3641</v>
      </c>
      <c r="F543" s="255">
        <f>IF(ISBLANK('1F'!O36),"##BLANK",'1F'!O36)</f>
        <v>103.0904311</v>
      </c>
    </row>
    <row r="544" spans="2:6" ht="13.5" customHeight="1">
      <c r="B544" s="254" t="str">
        <f>'1F'!BA36</f>
        <v>CR_RORE_12516AAVA</v>
      </c>
      <c r="C544" s="219" t="s">
        <v>4068</v>
      </c>
      <c r="E544" s="249" t="s">
        <v>3641</v>
      </c>
      <c r="F544" s="255">
        <f>IF(ISBLANK('1F'!P36),"##BLANK",'1F'!P36)</f>
        <v>107.6958321</v>
      </c>
    </row>
    <row r="545" spans="2:6" ht="13.5" customHeight="1">
      <c r="B545" s="2207" t="str">
        <f>'1F'!AP38</f>
        <v>CR12517NNP</v>
      </c>
      <c r="C545" s="219" t="s">
        <v>4069</v>
      </c>
      <c r="E545" s="249" t="s">
        <v>3641</v>
      </c>
      <c r="F545" s="255">
        <f>IF(ISBLANK('1F'!E38),"##BLANK",'1F'!E38)</f>
        <v>0.1069</v>
      </c>
    </row>
    <row r="546" spans="2:6" ht="13.5" customHeight="1">
      <c r="B546" s="2207" t="str">
        <f>'1F'!AS38</f>
        <v>CR12517NNV</v>
      </c>
      <c r="C546" s="219" t="s">
        <v>4069</v>
      </c>
      <c r="E546" s="249" t="s">
        <v>3641</v>
      </c>
      <c r="F546" s="255">
        <f>IF(ISBLANK('1F'!H38),"##BLANK",'1F'!H38)</f>
        <v>178.03040479999999</v>
      </c>
    </row>
    <row r="547" spans="2:6" ht="13.5" customHeight="1">
      <c r="B547" s="2207" t="str">
        <f>'1F'!AT38</f>
        <v>CR12517ANV</v>
      </c>
      <c r="C547" s="219" t="s">
        <v>4070</v>
      </c>
      <c r="E547" s="249" t="s">
        <v>3641</v>
      </c>
      <c r="F547" s="255">
        <f>IF(ISBLANK('1F'!I38),"##BLANK",'1F'!I38)</f>
        <v>178.03040479999999</v>
      </c>
    </row>
    <row r="548" spans="2:6" ht="13.5" customHeight="1">
      <c r="B548" s="2207" t="str">
        <f>'1F'!AU38</f>
        <v>CR12517AAV</v>
      </c>
      <c r="C548" s="219" t="s">
        <v>4071</v>
      </c>
      <c r="E548" s="249" t="s">
        <v>3641</v>
      </c>
      <c r="F548" s="255">
        <f>IF(ISBLANK('1F'!J38),"##BLANK",'1F'!J38)</f>
        <v>135.39911240000001</v>
      </c>
    </row>
    <row r="549" spans="2:6" ht="13.5" customHeight="1">
      <c r="B549" s="2207" t="str">
        <f>'1F'!AV38</f>
        <v>CR12517NNPA</v>
      </c>
      <c r="C549" s="219" t="s">
        <v>4072</v>
      </c>
      <c r="E549" s="249" t="s">
        <v>3641</v>
      </c>
      <c r="F549" s="255">
        <f>IF(ISBLANK('1F'!K38),"##BLANK",'1F'!K38)</f>
        <v>6.3500000000000001E-2</v>
      </c>
    </row>
    <row r="550" spans="2:6" ht="13.5" customHeight="1">
      <c r="B550" s="2207" t="str">
        <f>'1F'!AY38</f>
        <v>CR12517NNVA</v>
      </c>
      <c r="C550" s="219" t="s">
        <v>4072</v>
      </c>
      <c r="E550" s="249" t="s">
        <v>3641</v>
      </c>
      <c r="F550" s="255">
        <f>IF(ISBLANK('1F'!N38),"##BLANK",'1F'!N38)</f>
        <v>103.2033115</v>
      </c>
    </row>
    <row r="551" spans="2:6" ht="13.5" customHeight="1">
      <c r="B551" s="2207" t="str">
        <f>'1F'!AZ38</f>
        <v>CR12517ANVA</v>
      </c>
      <c r="C551" s="219" t="s">
        <v>4073</v>
      </c>
      <c r="E551" s="249" t="s">
        <v>3641</v>
      </c>
      <c r="F551" s="255">
        <f>IF(ISBLANK('1F'!O38),"##BLANK",'1F'!O38)</f>
        <v>103.2033115</v>
      </c>
    </row>
    <row r="552" spans="2:6" ht="13.5" customHeight="1">
      <c r="B552" s="2207" t="str">
        <f>'1F'!BA38</f>
        <v>CR12517AAVA</v>
      </c>
      <c r="C552" s="219" t="s">
        <v>4074</v>
      </c>
      <c r="E552" s="249" t="s">
        <v>3641</v>
      </c>
      <c r="F552" s="255">
        <f>IF(ISBLANK('1F'!P38),"##BLANK",'1F'!P38)</f>
        <v>78.158276499999999</v>
      </c>
    </row>
    <row r="553" spans="2:6" ht="13.5" customHeight="1">
      <c r="B553" s="254" t="str">
        <f>'1F'!AQ40</f>
        <v>CR_VSA_12517ANP</v>
      </c>
      <c r="C553" s="219" t="s">
        <v>4075</v>
      </c>
      <c r="E553" s="249" t="s">
        <v>3641</v>
      </c>
      <c r="F553" s="255">
        <f>IF(ISBLANK('1F'!F40),"##BLANK",'1F'!F40)</f>
        <v>0</v>
      </c>
    </row>
    <row r="554" spans="2:6" ht="13.5" customHeight="1">
      <c r="B554" s="254" t="str">
        <f>'1F'!AR40</f>
        <v>CR_VSA_12517AAP</v>
      </c>
      <c r="C554" s="219" t="s">
        <v>4076</v>
      </c>
      <c r="E554" s="249" t="s">
        <v>3641</v>
      </c>
      <c r="F554" s="255">
        <f>IF(ISBLANK('1F'!G40),"##BLANK",'1F'!G40)</f>
        <v>0</v>
      </c>
    </row>
    <row r="555" spans="2:6" ht="13.5" customHeight="1">
      <c r="B555" s="254" t="str">
        <f>'1F'!AU40</f>
        <v>CR_VSA_12517AAV</v>
      </c>
      <c r="C555" s="219" t="s">
        <v>4076</v>
      </c>
      <c r="E555" s="249" t="s">
        <v>3641</v>
      </c>
      <c r="F555" s="255">
        <f>IF(ISBLANK('1F'!J40),"##BLANK",'1F'!J40)</f>
        <v>0</v>
      </c>
    </row>
    <row r="556" spans="2:6" ht="13.5" customHeight="1">
      <c r="B556" s="254" t="str">
        <f>'1F'!AW40</f>
        <v>CR_VSA_12517ANPA</v>
      </c>
      <c r="C556" s="219" t="s">
        <v>4077</v>
      </c>
      <c r="E556" s="249" t="s">
        <v>3641</v>
      </c>
      <c r="F556" s="255">
        <f>IF(ISBLANK('1F'!L40),"##BLANK",'1F'!L40)</f>
        <v>0</v>
      </c>
    </row>
    <row r="557" spans="2:6" ht="13.5" customHeight="1">
      <c r="B557" s="254" t="str">
        <f>'1F'!AX40</f>
        <v>CR_VSA_12517AAPA</v>
      </c>
      <c r="C557" s="219" t="s">
        <v>4078</v>
      </c>
      <c r="E557" s="249" t="s">
        <v>3641</v>
      </c>
      <c r="F557" s="255">
        <f>IF(ISBLANK('1F'!M40),"##BLANK",'1F'!M40)</f>
        <v>0</v>
      </c>
    </row>
    <row r="558" spans="2:6" ht="13.5" customHeight="1">
      <c r="B558" s="254" t="str">
        <f>'1F'!BA40</f>
        <v>CR_VSA_12517AAVA</v>
      </c>
      <c r="C558" s="219" t="s">
        <v>4078</v>
      </c>
      <c r="E558" s="249" t="s">
        <v>3641</v>
      </c>
      <c r="F558" s="255">
        <f>IF(ISBLANK('1F'!P40),"##BLANK",'1F'!P40)</f>
        <v>0</v>
      </c>
    </row>
    <row r="559" spans="2:6" ht="13.5" customHeight="1">
      <c r="B559" s="254" t="str">
        <f>'1F'!AP42</f>
        <v>CR12518NNP</v>
      </c>
      <c r="C559" s="219" t="s">
        <v>4079</v>
      </c>
      <c r="E559" s="249" t="s">
        <v>3641</v>
      </c>
      <c r="F559" s="255">
        <f>IF(ISBLANK('1F'!E42),"##BLANK",'1F'!E42)</f>
        <v>0.15110000000000001</v>
      </c>
    </row>
    <row r="560" spans="2:6" ht="13.5" customHeight="1">
      <c r="B560" s="254" t="str">
        <f>'1F'!AQ42</f>
        <v>CR12518ANP</v>
      </c>
      <c r="C560" s="219" t="s">
        <v>4080</v>
      </c>
      <c r="E560" s="249" t="s">
        <v>3641</v>
      </c>
      <c r="F560" s="255">
        <f>IF(ISBLANK('1F'!F42),"##BLANK",'1F'!F42)</f>
        <v>0.20900828825886036</v>
      </c>
    </row>
    <row r="561" spans="2:6" ht="13.5" customHeight="1">
      <c r="B561" s="254" t="str">
        <f>'1F'!AR42</f>
        <v>CR12518AAP</v>
      </c>
      <c r="C561" s="219" t="s">
        <v>4081</v>
      </c>
      <c r="E561" s="249" t="s">
        <v>3641</v>
      </c>
      <c r="F561" s="255">
        <f>IF(ISBLANK('1F'!G42),"##BLANK",'1F'!G42)</f>
        <v>0.24955917719620146</v>
      </c>
    </row>
    <row r="562" spans="2:6" ht="13.5" customHeight="1">
      <c r="B562" s="254" t="str">
        <f>'1F'!AS42</f>
        <v>CR12518NNV</v>
      </c>
      <c r="C562" s="219" t="s">
        <v>4079</v>
      </c>
      <c r="E562" s="249" t="s">
        <v>3641</v>
      </c>
      <c r="F562" s="255">
        <f>IF(ISBLANK('1F'!H42),"##BLANK",'1F'!H42)</f>
        <v>251.6407312</v>
      </c>
    </row>
    <row r="563" spans="2:6" ht="13.5" customHeight="1">
      <c r="B563" s="254" t="str">
        <f>'1F'!AT42</f>
        <v>CR12518ANV</v>
      </c>
      <c r="C563" s="219" t="s">
        <v>4080</v>
      </c>
      <c r="E563" s="249" t="s">
        <v>3641</v>
      </c>
      <c r="F563" s="255">
        <f>IF(ISBLANK('1F'!I42),"##BLANK",'1F'!I42)</f>
        <v>348.08073119999995</v>
      </c>
    </row>
    <row r="564" spans="2:6" ht="13.5" customHeight="1">
      <c r="B564" s="254" t="str">
        <f>'1F'!AU42</f>
        <v>CR12518AAV</v>
      </c>
      <c r="C564" s="219" t="s">
        <v>4081</v>
      </c>
      <c r="E564" s="249" t="s">
        <v>3641</v>
      </c>
      <c r="F564" s="255">
        <f>IF(ISBLANK('1F'!J42),"##BLANK",'1F'!J42)</f>
        <v>316.09065559999999</v>
      </c>
    </row>
    <row r="565" spans="2:6" ht="13.5" customHeight="1">
      <c r="B565" s="254" t="str">
        <f>'1F'!AV42</f>
        <v>CR12518NNPA</v>
      </c>
      <c r="C565" s="219" t="s">
        <v>4079</v>
      </c>
      <c r="E565" s="249" t="s">
        <v>3641</v>
      </c>
      <c r="F565" s="255">
        <f>IF(ISBLANK('1F'!K42),"##BLANK",'1F'!K42)</f>
        <v>0.1074</v>
      </c>
    </row>
    <row r="566" spans="2:6" ht="13.5" customHeight="1">
      <c r="B566" s="254" t="str">
        <f>'1F'!AW42</f>
        <v>CR12518ANPA</v>
      </c>
      <c r="C566" s="219" t="s">
        <v>4080</v>
      </c>
      <c r="E566" s="249" t="s">
        <v>3641</v>
      </c>
      <c r="F566" s="255">
        <f>IF(ISBLANK('1F'!L42),"##BLANK",'1F'!L42)</f>
        <v>0.12645977691738641</v>
      </c>
    </row>
    <row r="567" spans="2:6" ht="13.5" customHeight="1">
      <c r="B567" s="254" t="str">
        <f>'1F'!AX42</f>
        <v>CR12518AAPA</v>
      </c>
      <c r="C567" s="219" t="s">
        <v>4081</v>
      </c>
      <c r="E567" s="249" t="s">
        <v>3641</v>
      </c>
      <c r="F567" s="255">
        <f>IF(ISBLANK('1F'!M42),"##BLANK",'1F'!M42)</f>
        <v>0.14976710048034259</v>
      </c>
    </row>
    <row r="568" spans="2:6" ht="13.5" customHeight="1">
      <c r="B568" s="254" t="str">
        <f>'1F'!AY42</f>
        <v>CR12518NNVA</v>
      </c>
      <c r="C568" s="219" t="s">
        <v>4079</v>
      </c>
      <c r="E568" s="249" t="s">
        <v>3641</v>
      </c>
      <c r="F568" s="255">
        <f>IF(ISBLANK('1F'!N42),"##BLANK",'1F'!N42)</f>
        <v>174.55174260000001</v>
      </c>
    </row>
    <row r="569" spans="2:6" ht="13.5" customHeight="1">
      <c r="B569" s="254" t="str">
        <f>'1F'!AZ42</f>
        <v>CR12518ANVA</v>
      </c>
      <c r="C569" s="219" t="s">
        <v>4080</v>
      </c>
      <c r="E569" s="249" t="s">
        <v>3641</v>
      </c>
      <c r="F569" s="255">
        <f>IF(ISBLANK('1F'!O42),"##BLANK",'1F'!O42)</f>
        <v>206.2937426</v>
      </c>
    </row>
    <row r="570" spans="2:6" ht="13.5" customHeight="1">
      <c r="B570" s="254" t="str">
        <f>'1F'!BA42</f>
        <v>CR12518AAVA</v>
      </c>
      <c r="C570" s="219" t="s">
        <v>4081</v>
      </c>
      <c r="E570" s="249" t="s">
        <v>3641</v>
      </c>
      <c r="F570" s="255">
        <f>IF(ISBLANK('1F'!P42),"##BLANK",'1F'!P42)</f>
        <v>185.85410860000002</v>
      </c>
    </row>
    <row r="571" spans="2:6" ht="13.5" customHeight="1">
      <c r="B571" s="2207" t="str">
        <f>'1F'!AP45</f>
        <v>CR12520NNP</v>
      </c>
      <c r="C571" s="219" t="s">
        <v>4082</v>
      </c>
      <c r="E571" s="249" t="s">
        <v>3641</v>
      </c>
      <c r="F571" s="255">
        <f>IF(ISBLANK('1F'!E45),"##BLANK",'1F'!E45)</f>
        <v>3.1800000000000002E-2</v>
      </c>
    </row>
    <row r="572" spans="2:6" ht="13.5" customHeight="1">
      <c r="B572" s="2207" t="str">
        <f>'1F'!AQ45</f>
        <v>CR12520ANP</v>
      </c>
      <c r="C572" s="219" t="s">
        <v>4083</v>
      </c>
      <c r="E572" s="249" t="s">
        <v>3641</v>
      </c>
      <c r="F572" s="255">
        <f>IF(ISBLANK('1F'!F45),"##BLANK",'1F'!F45)</f>
        <v>5.6351897931538039E-2</v>
      </c>
    </row>
    <row r="573" spans="2:6" ht="13.5" customHeight="1">
      <c r="B573" s="2207" t="str">
        <f>'1F'!AR45</f>
        <v>CR12520AAP</v>
      </c>
      <c r="C573" s="219" t="s">
        <v>4084</v>
      </c>
      <c r="E573" s="249" t="s">
        <v>3641</v>
      </c>
      <c r="F573" s="255">
        <f>IF(ISBLANK('1F'!G45),"##BLANK",'1F'!G45)</f>
        <v>7.4094660017874681E-2</v>
      </c>
    </row>
    <row r="574" spans="2:6" ht="13.5" customHeight="1">
      <c r="B574" s="2207" t="str">
        <f>'1F'!AS45</f>
        <v>CR12520NNV</v>
      </c>
      <c r="C574" s="219" t="s">
        <v>4082</v>
      </c>
      <c r="E574" s="249" t="s">
        <v>3641</v>
      </c>
      <c r="F574" s="255">
        <f>IF(ISBLANK('1F'!H45),"##BLANK",'1F'!H45)</f>
        <v>52.959465600000001</v>
      </c>
    </row>
    <row r="575" spans="2:6" ht="13.5" customHeight="1">
      <c r="B575" s="2207" t="str">
        <f>'1F'!AU45</f>
        <v>CR12520AAV</v>
      </c>
      <c r="C575" s="219" t="s">
        <v>4084</v>
      </c>
      <c r="E575" s="249" t="s">
        <v>3641</v>
      </c>
      <c r="F575" s="255">
        <f>IF(ISBLANK('1F'!J45),"##BLANK",'1F'!J45)</f>
        <v>93.847999999999999</v>
      </c>
    </row>
    <row r="576" spans="2:6" ht="13.5" customHeight="1">
      <c r="B576" s="2207" t="str">
        <f>'1F'!AV45</f>
        <v>CR12520NNPA</v>
      </c>
      <c r="C576" s="219" t="s">
        <v>4085</v>
      </c>
      <c r="E576" s="249" t="s">
        <v>3641</v>
      </c>
      <c r="F576" s="255">
        <f>IF(ISBLANK('1F'!K45),"##BLANK",'1F'!K45)</f>
        <v>3.1800000000000002E-2</v>
      </c>
    </row>
    <row r="577" spans="2:6" ht="13.5" customHeight="1">
      <c r="B577" s="2207" t="str">
        <f>'1F'!AW45</f>
        <v>CR12520ANPA</v>
      </c>
      <c r="C577" s="219" t="s">
        <v>4086</v>
      </c>
      <c r="E577" s="249" t="s">
        <v>3641</v>
      </c>
      <c r="F577" s="255">
        <f>IF(ISBLANK('1F'!L45),"##BLANK",'1F'!L45)</f>
        <v>5.3544410733370698E-2</v>
      </c>
    </row>
    <row r="578" spans="2:6" ht="13.5" customHeight="1">
      <c r="B578" s="2207" t="str">
        <f>'1F'!AX45</f>
        <v>CR12520AAPA</v>
      </c>
      <c r="C578" s="219" t="s">
        <v>4087</v>
      </c>
      <c r="E578" s="249" t="s">
        <v>3641</v>
      </c>
      <c r="F578" s="255">
        <f>IF(ISBLANK('1F'!M45),"##BLANK",'1F'!M45)</f>
        <v>7.0702179570195617E-2</v>
      </c>
    </row>
    <row r="579" spans="2:6" ht="13.5" customHeight="1">
      <c r="B579" s="2207" t="str">
        <f>'1F'!AY45</f>
        <v>CR12520NNVA</v>
      </c>
      <c r="C579" s="219" t="s">
        <v>4085</v>
      </c>
      <c r="E579" s="249" t="s">
        <v>3641</v>
      </c>
      <c r="F579" s="255">
        <f>IF(ISBLANK('1F'!N45),"##BLANK",'1F'!N45)</f>
        <v>51.682918200000003</v>
      </c>
    </row>
    <row r="580" spans="2:6" ht="13.5" customHeight="1">
      <c r="B580" s="2207" t="str">
        <f>'1F'!BA45</f>
        <v>CR12520AAVA</v>
      </c>
      <c r="C580" s="219" t="s">
        <v>4087</v>
      </c>
      <c r="E580" s="249" t="s">
        <v>3641</v>
      </c>
      <c r="F580" s="255">
        <f>IF(ISBLANK('1F'!P45),"##BLANK",'1F'!P45)</f>
        <v>87.022999999999996</v>
      </c>
    </row>
    <row r="581" spans="2:6" ht="13.5" customHeight="1">
      <c r="B581" s="2207" t="str">
        <f>'1F'!AQ46</f>
        <v>CR12521ANP</v>
      </c>
      <c r="C581" s="219" t="s">
        <v>4088</v>
      </c>
      <c r="E581" s="249" t="s">
        <v>3641</v>
      </c>
      <c r="F581" s="255">
        <f>IF(ISBLANK('1F'!F46),"##BLANK",'1F'!F46)</f>
        <v>0</v>
      </c>
    </row>
    <row r="582" spans="2:6" ht="13.5" customHeight="1">
      <c r="B582" s="2207" t="str">
        <f>'1F'!AR46</f>
        <v>CR12521AAP</v>
      </c>
      <c r="C582" s="219" t="s">
        <v>4089</v>
      </c>
      <c r="E582" s="249" t="s">
        <v>3641</v>
      </c>
      <c r="F582" s="255">
        <f>IF(ISBLANK('1F'!G46),"##BLANK",'1F'!G46)</f>
        <v>0</v>
      </c>
    </row>
    <row r="583" spans="2:6" ht="13.5" customHeight="1">
      <c r="B583" s="2207" t="str">
        <f>'1F'!AU46</f>
        <v>CR12521AAV</v>
      </c>
      <c r="C583" s="219" t="s">
        <v>4088</v>
      </c>
      <c r="E583" s="249" t="s">
        <v>3641</v>
      </c>
      <c r="F583" s="255">
        <f>IF(ISBLANK('1F'!J46),"##BLANK",'1F'!J46)</f>
        <v>0</v>
      </c>
    </row>
    <row r="584" spans="2:6" ht="13.5" customHeight="1">
      <c r="B584" s="2207" t="str">
        <f>'1F'!AW46</f>
        <v>CR12521ANPA</v>
      </c>
      <c r="C584" s="219" t="s">
        <v>4090</v>
      </c>
      <c r="E584" s="249" t="s">
        <v>3641</v>
      </c>
      <c r="F584" s="255">
        <f>IF(ISBLANK('1F'!L46),"##BLANK",'1F'!L46)</f>
        <v>0</v>
      </c>
    </row>
    <row r="585" spans="2:6" ht="13.5" customHeight="1">
      <c r="B585" s="2207" t="str">
        <f>'1F'!AX46</f>
        <v>CR12521AAPA</v>
      </c>
      <c r="C585" s="219" t="s">
        <v>4091</v>
      </c>
      <c r="E585" s="249" t="s">
        <v>3641</v>
      </c>
      <c r="F585" s="255">
        <f>IF(ISBLANK('1F'!M46),"##BLANK",'1F'!M46)</f>
        <v>0</v>
      </c>
    </row>
    <row r="586" spans="2:6" ht="13.5" customHeight="1">
      <c r="B586" s="2207" t="str">
        <f>'1F'!BA46</f>
        <v>CR12521AAVA</v>
      </c>
      <c r="C586" s="219" t="s">
        <v>4091</v>
      </c>
      <c r="E586" s="249" t="s">
        <v>3641</v>
      </c>
      <c r="F586" s="255">
        <f>IF(ISBLANK('1F'!P46),"##BLANK",'1F'!P46)</f>
        <v>0</v>
      </c>
    </row>
    <row r="587" spans="2:6" ht="13.5" customHeight="1">
      <c r="B587" s="2207" t="str">
        <f>'1F'!AP48</f>
        <v>CR12519NNP</v>
      </c>
      <c r="C587" s="219" t="s">
        <v>4092</v>
      </c>
      <c r="E587" s="249" t="s">
        <v>3641</v>
      </c>
      <c r="F587" s="255">
        <f>IF(ISBLANK('1F'!E48),"##BLANK",'1F'!E48)</f>
        <v>0.11930000000000002</v>
      </c>
    </row>
    <row r="588" spans="2:6" ht="13.5" customHeight="1">
      <c r="B588" s="2207" t="str">
        <f>'1F'!AQ48</f>
        <v>CR12519ANP</v>
      </c>
      <c r="C588" s="219" t="s">
        <v>4093</v>
      </c>
      <c r="E588" s="249" t="s">
        <v>3641</v>
      </c>
      <c r="F588" s="255">
        <f>IF(ISBLANK('1F'!F48),"##BLANK",'1F'!F48)</f>
        <v>0.15265639032732231</v>
      </c>
    </row>
    <row r="589" spans="2:6" ht="13.5" customHeight="1">
      <c r="B589" s="2207" t="str">
        <f>'1F'!AR48</f>
        <v>CR12519AAP</v>
      </c>
      <c r="C589" s="219" t="s">
        <v>4094</v>
      </c>
      <c r="E589" s="249" t="s">
        <v>3641</v>
      </c>
      <c r="F589" s="255">
        <f>IF(ISBLANK('1F'!G48),"##BLANK",'1F'!G48)</f>
        <v>0.17546451717832678</v>
      </c>
    </row>
    <row r="590" spans="2:6" ht="13.5" customHeight="1">
      <c r="B590" s="2207" t="str">
        <f>'1F'!AS48</f>
        <v>CR12519NNV</v>
      </c>
      <c r="C590" s="219" t="s">
        <v>4092</v>
      </c>
      <c r="E590" s="249" t="s">
        <v>3641</v>
      </c>
      <c r="F590" s="255">
        <f>IF(ISBLANK('1F'!H48),"##BLANK",'1F'!H48)</f>
        <v>198.68126560000002</v>
      </c>
    </row>
    <row r="591" spans="2:6" ht="13.5" customHeight="1">
      <c r="B591" s="2207" t="str">
        <f>'1F'!AT48</f>
        <v>CR12519ANV</v>
      </c>
      <c r="C591" s="219" t="s">
        <v>4093</v>
      </c>
      <c r="E591" s="249" t="s">
        <v>3641</v>
      </c>
      <c r="F591" s="255">
        <f>IF(ISBLANK('1F'!I48),"##BLANK",'1F'!I48)</f>
        <v>254.23273119999993</v>
      </c>
    </row>
    <row r="592" spans="2:6" ht="13.5" customHeight="1">
      <c r="B592" s="2207" t="str">
        <f>'1F'!AU48</f>
        <v>CR12519AAV</v>
      </c>
      <c r="C592" s="219" t="s">
        <v>4094</v>
      </c>
      <c r="E592" s="249" t="s">
        <v>3641</v>
      </c>
      <c r="F592" s="255">
        <f>IF(ISBLANK('1F'!J48),"##BLANK",'1F'!J48)</f>
        <v>222.24265559999998</v>
      </c>
    </row>
    <row r="593" spans="2:6" ht="13.5" customHeight="1">
      <c r="B593" s="2207" t="str">
        <f>'1F'!AV48</f>
        <v>CR12519NNPA</v>
      </c>
      <c r="C593" s="219" t="s">
        <v>4095</v>
      </c>
      <c r="E593" s="249" t="s">
        <v>3641</v>
      </c>
      <c r="F593" s="255">
        <f>IF(ISBLANK('1F'!K48),"##BLANK",'1F'!K48)</f>
        <v>7.5600000000000001E-2</v>
      </c>
    </row>
    <row r="594" spans="2:6" ht="13.5" customHeight="1">
      <c r="B594" s="2207" t="str">
        <f>'1F'!AW48</f>
        <v>CR12519ANPA</v>
      </c>
      <c r="C594" s="219" t="s">
        <v>4096</v>
      </c>
      <c r="E594" s="249" t="s">
        <v>3641</v>
      </c>
      <c r="F594" s="255">
        <f>IF(ISBLANK('1F'!L48),"##BLANK",'1F'!L48)</f>
        <v>7.2915366184015715E-2</v>
      </c>
    </row>
    <row r="595" spans="2:6" ht="13.5" customHeight="1">
      <c r="B595" s="2207" t="str">
        <f>'1F'!AX48</f>
        <v>CR12519AAPA</v>
      </c>
      <c r="C595" s="219" t="s">
        <v>4097</v>
      </c>
      <c r="E595" s="249" t="s">
        <v>3641</v>
      </c>
      <c r="F595" s="255">
        <f>IF(ISBLANK('1F'!M48),"##BLANK",'1F'!M48)</f>
        <v>7.9064920910146969E-2</v>
      </c>
    </row>
    <row r="596" spans="2:6" ht="13.5" customHeight="1">
      <c r="B596" s="2207" t="str">
        <f>'1F'!AY48</f>
        <v>CR12519NNVA</v>
      </c>
      <c r="C596" s="219" t="s">
        <v>4095</v>
      </c>
      <c r="E596" s="249" t="s">
        <v>3641</v>
      </c>
      <c r="F596" s="255">
        <f>IF(ISBLANK('1F'!N48),"##BLANK",'1F'!N48)</f>
        <v>122.86882440000001</v>
      </c>
    </row>
    <row r="597" spans="2:6" ht="13.5" customHeight="1">
      <c r="B597" s="2207" t="str">
        <f>'1F'!AZ48</f>
        <v>CR12519ANVA</v>
      </c>
      <c r="C597" s="219" t="s">
        <v>4096</v>
      </c>
      <c r="E597" s="249" t="s">
        <v>3641</v>
      </c>
      <c r="F597" s="255">
        <f>IF(ISBLANK('1F'!O48),"##BLANK",'1F'!O48)</f>
        <v>119.27074260000001</v>
      </c>
    </row>
    <row r="598" spans="2:6" ht="13.5" customHeight="1">
      <c r="B598" s="2207" t="str">
        <f>'1F'!BA48</f>
        <v>CR12519AAVA</v>
      </c>
      <c r="C598" s="219" t="s">
        <v>4097</v>
      </c>
      <c r="E598" s="249" t="s">
        <v>3641</v>
      </c>
      <c r="F598" s="255">
        <f>IF(ISBLANK('1F'!P48),"##BLANK",'1F'!P48)</f>
        <v>98.831108600000022</v>
      </c>
    </row>
    <row r="599" spans="2:6" ht="13.5" customHeight="1">
      <c r="B599" s="254" t="str">
        <f>'1F'!AQ52</f>
        <v>CR13041ANP</v>
      </c>
      <c r="C599" s="219" t="s">
        <v>4098</v>
      </c>
      <c r="E599" s="249" t="s">
        <v>3641</v>
      </c>
      <c r="F599" s="255">
        <f>IF(ISBLANK('1F'!F52),"##BLANK",'1F'!F52)</f>
        <v>0</v>
      </c>
    </row>
    <row r="600" spans="2:6" ht="13.5" customHeight="1">
      <c r="B600" s="254" t="str">
        <f>'1F'!AR52</f>
        <v>CR13042AAP</v>
      </c>
      <c r="C600" s="219" t="s">
        <v>4099</v>
      </c>
      <c r="E600" s="249" t="s">
        <v>3641</v>
      </c>
      <c r="F600" s="255">
        <f>IF(ISBLANK('1F'!G52),"##BLANK",'1F'!G52)</f>
        <v>0</v>
      </c>
    </row>
    <row r="601" spans="2:6" ht="13.5" customHeight="1">
      <c r="B601" s="254" t="str">
        <f>'1F'!AU52</f>
        <v>CR13042AAV</v>
      </c>
      <c r="C601" s="219" t="s">
        <v>4099</v>
      </c>
      <c r="E601" s="249" t="s">
        <v>3641</v>
      </c>
      <c r="F601" s="255">
        <f>IF(ISBLANK('1F'!J52),"##BLANK",'1F'!J52)</f>
        <v>0</v>
      </c>
    </row>
    <row r="602" spans="2:6" ht="13.5" customHeight="1">
      <c r="B602" s="254" t="str">
        <f>'1F'!AW52</f>
        <v>CR13043ANPA</v>
      </c>
      <c r="C602" s="219" t="s">
        <v>4100</v>
      </c>
      <c r="E602" s="249" t="s">
        <v>3641</v>
      </c>
      <c r="F602" s="255">
        <f>IF(ISBLANK('1F'!L52),"##BLANK",'1F'!L52)</f>
        <v>1.0755275037855738E-3</v>
      </c>
    </row>
    <row r="603" spans="2:6" ht="13.5" customHeight="1">
      <c r="B603" s="254" t="str">
        <f>'1F'!AX52</f>
        <v>CR13044AAPA</v>
      </c>
      <c r="C603" s="219" t="s">
        <v>4101</v>
      </c>
      <c r="E603" s="249" t="s">
        <v>3641</v>
      </c>
      <c r="F603" s="255">
        <f>IF(ISBLANK('1F'!M52),"##BLANK",'1F'!M52)</f>
        <v>1.4201694941418008E-3</v>
      </c>
    </row>
    <row r="604" spans="2:6" ht="13.5" customHeight="1">
      <c r="B604" s="254" t="str">
        <f>'1F'!BA52</f>
        <v>CR13045AAVA</v>
      </c>
      <c r="C604" s="219" t="s">
        <v>4101</v>
      </c>
      <c r="E604" s="249" t="s">
        <v>3641</v>
      </c>
      <c r="F604" s="255">
        <f>IF(ISBLANK('1F'!P52),"##BLANK",'1F'!P52)</f>
        <v>1.748</v>
      </c>
    </row>
    <row r="605" spans="2:6" ht="13.5" customHeight="1">
      <c r="B605" s="254" t="str">
        <f>'1F'!AQ53</f>
        <v>CR13046ANP</v>
      </c>
      <c r="C605" s="219" t="s">
        <v>4102</v>
      </c>
      <c r="E605" s="249" t="s">
        <v>3641</v>
      </c>
      <c r="F605" s="255">
        <f>IF(ISBLANK('1F'!F53),"##BLANK",'1F'!F53)</f>
        <v>0</v>
      </c>
    </row>
    <row r="606" spans="2:6" ht="13.5" customHeight="1">
      <c r="B606" s="254" t="str">
        <f>'1F'!AR53</f>
        <v>CR13048AAP</v>
      </c>
      <c r="C606" s="219" t="s">
        <v>4103</v>
      </c>
      <c r="E606" s="249" t="s">
        <v>3641</v>
      </c>
      <c r="F606" s="255">
        <f>IF(ISBLANK('1F'!G53),"##BLANK",'1F'!G53)</f>
        <v>0</v>
      </c>
    </row>
    <row r="607" spans="2:6" ht="13.5" customHeight="1">
      <c r="B607" s="254" t="str">
        <f>'1F'!AU53</f>
        <v>CR13051AAV</v>
      </c>
      <c r="C607" s="219" t="s">
        <v>4103</v>
      </c>
      <c r="E607" s="249" t="s">
        <v>3641</v>
      </c>
      <c r="F607" s="255">
        <f>IF(ISBLANK('1F'!J53),"##BLANK",'1F'!J53)</f>
        <v>0</v>
      </c>
    </row>
    <row r="608" spans="2:6" ht="13.5" customHeight="1">
      <c r="B608" s="254" t="str">
        <f>'1F'!AW53</f>
        <v>CR13053ANPA</v>
      </c>
      <c r="C608" s="219" t="s">
        <v>4104</v>
      </c>
      <c r="E608" s="249" t="s">
        <v>3641</v>
      </c>
      <c r="F608" s="255">
        <f>IF(ISBLANK('1F'!L53),"##BLANK",'1F'!L53)</f>
        <v>0</v>
      </c>
    </row>
    <row r="609" spans="2:6" ht="13.5" customHeight="1">
      <c r="B609" s="254" t="str">
        <f>'1F'!AX53</f>
        <v>CR13055AAPA</v>
      </c>
      <c r="C609" s="219" t="s">
        <v>4105</v>
      </c>
      <c r="E609" s="249" t="s">
        <v>3641</v>
      </c>
      <c r="F609" s="255">
        <f>IF(ISBLANK('1F'!M53),"##BLANK",'1F'!M53)</f>
        <v>0</v>
      </c>
    </row>
    <row r="610" spans="2:6" ht="13.5" customHeight="1">
      <c r="B610" s="254" t="str">
        <f>'1F'!BA53</f>
        <v>CR13058AAVA</v>
      </c>
      <c r="C610" s="219" t="s">
        <v>4105</v>
      </c>
      <c r="E610" s="249" t="s">
        <v>3641</v>
      </c>
      <c r="F610" s="255">
        <f>IF(ISBLANK('1F'!P53),"##BLANK",'1F'!P53)</f>
        <v>0</v>
      </c>
    </row>
    <row r="611" spans="2:6" ht="13.5" customHeight="1">
      <c r="B611" s="254" t="str">
        <f>'1F'!AQ54</f>
        <v>CR13047ANP</v>
      </c>
      <c r="C611" s="219" t="s">
        <v>4106</v>
      </c>
      <c r="E611" s="249" t="s">
        <v>3641</v>
      </c>
      <c r="F611" s="255">
        <f>IF(ISBLANK('1F'!F54),"##BLANK",'1F'!F54)</f>
        <v>0</v>
      </c>
    </row>
    <row r="612" spans="2:6" ht="13.5" customHeight="1">
      <c r="B612" s="254" t="str">
        <f>'1F'!AR54</f>
        <v>CR13049AAP</v>
      </c>
      <c r="C612" s="219" t="s">
        <v>4107</v>
      </c>
      <c r="E612" s="249" t="s">
        <v>3641</v>
      </c>
      <c r="F612" s="255">
        <f>IF(ISBLANK('1F'!G54),"##BLANK",'1F'!G54)</f>
        <v>0</v>
      </c>
    </row>
    <row r="613" spans="2:6" ht="13.5" customHeight="1">
      <c r="B613" s="254" t="str">
        <f>'1F'!AT54</f>
        <v>CR13050ANV</v>
      </c>
      <c r="C613" s="219" t="s">
        <v>4106</v>
      </c>
      <c r="E613" s="249" t="s">
        <v>3641</v>
      </c>
      <c r="F613" s="255">
        <f>IF(ISBLANK('1F'!I54),"##BLANK",'1F'!I54)</f>
        <v>0</v>
      </c>
    </row>
    <row r="614" spans="2:6" ht="13.5" customHeight="1">
      <c r="B614" s="254" t="str">
        <f>'1F'!AU54</f>
        <v>CR13052AAV</v>
      </c>
      <c r="C614" s="219" t="s">
        <v>4107</v>
      </c>
      <c r="E614" s="249" t="s">
        <v>3641</v>
      </c>
      <c r="F614" s="255">
        <f>IF(ISBLANK('1F'!J54),"##BLANK",'1F'!J54)</f>
        <v>0</v>
      </c>
    </row>
    <row r="615" spans="2:6" ht="13.5" customHeight="1">
      <c r="B615" s="254" t="str">
        <f>'1F'!AW54</f>
        <v>CR13054ANPA</v>
      </c>
      <c r="C615" s="219" t="s">
        <v>4108</v>
      </c>
      <c r="E615" s="249" t="s">
        <v>3641</v>
      </c>
      <c r="F615" s="255">
        <f>IF(ISBLANK('1F'!L54),"##BLANK",'1F'!L54)</f>
        <v>1.0755275037855738E-3</v>
      </c>
    </row>
    <row r="616" spans="2:6" ht="13.5" customHeight="1">
      <c r="B616" s="254" t="str">
        <f>'1F'!AX54</f>
        <v>CR13056AAPA</v>
      </c>
      <c r="C616" s="219" t="s">
        <v>4109</v>
      </c>
      <c r="E616" s="249" t="s">
        <v>3641</v>
      </c>
      <c r="F616" s="255">
        <f>IF(ISBLANK('1F'!M54),"##BLANK",'1F'!M54)</f>
        <v>1.4201694941418008E-3</v>
      </c>
    </row>
    <row r="617" spans="2:6" ht="13.5" customHeight="1">
      <c r="B617" s="254" t="str">
        <f>'1F'!AZ54</f>
        <v>CR13057ANVA</v>
      </c>
      <c r="C617" s="219" t="s">
        <v>4108</v>
      </c>
      <c r="E617" s="249" t="s">
        <v>3641</v>
      </c>
      <c r="F617" s="255">
        <f>IF(ISBLANK('1F'!O54),"##BLANK",'1F'!O54)</f>
        <v>1.748</v>
      </c>
    </row>
    <row r="618" spans="2:6" ht="13.5" customHeight="1">
      <c r="B618" s="254" t="str">
        <f>'1F'!BA54</f>
        <v>CR13059AAVA</v>
      </c>
      <c r="C618" s="219" t="s">
        <v>4109</v>
      </c>
      <c r="E618" s="249" t="s">
        <v>3641</v>
      </c>
      <c r="F618" s="255">
        <f>IF(ISBLANK('1F'!P54),"##BLANK",'1F'!P54)</f>
        <v>1.748</v>
      </c>
    </row>
  </sheetData>
  <sheetProtection sort="0"/>
  <conditionalFormatting sqref="E4:E618">
    <cfRule type="expression" dxfId="645"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theme="0" tint="-0.499984740745262"/>
  </sheetPr>
  <dimension ref="B1:AZ29"/>
  <sheetViews>
    <sheetView showGridLines="0" topLeftCell="V1" zoomScale="50" zoomScaleNormal="50" workbookViewId="0">
      <selection activeCell="BA7" sqref="BA7"/>
    </sheetView>
  </sheetViews>
  <sheetFormatPr defaultColWidth="9" defaultRowHeight="15"/>
  <cols>
    <col min="1" max="1" width="9" style="224" customWidth="1"/>
    <col min="2" max="2" width="36.25" style="1055"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89" customFormat="1" ht="22.5" customHeight="1">
      <c r="B1" s="2797" t="s">
        <v>14833</v>
      </c>
      <c r="C1" s="2797"/>
      <c r="D1" s="2797"/>
      <c r="E1" s="2797"/>
      <c r="F1" s="2797"/>
      <c r="G1" s="2797"/>
      <c r="H1" s="2797"/>
      <c r="I1" s="2797"/>
      <c r="J1" s="2797"/>
      <c r="K1" s="2797"/>
      <c r="L1" s="2797"/>
      <c r="M1" s="2797"/>
      <c r="N1" s="2797"/>
      <c r="O1" s="2797"/>
      <c r="P1" s="2797"/>
      <c r="Q1" s="2797"/>
      <c r="R1" s="2853"/>
      <c r="S1" s="2853"/>
      <c r="U1" s="106"/>
      <c r="V1" s="106"/>
      <c r="W1" s="1165"/>
      <c r="X1" s="284"/>
      <c r="Y1" s="1165"/>
      <c r="Z1" s="106"/>
      <c r="AA1" s="106"/>
      <c r="AB1" s="106"/>
      <c r="AC1" s="106"/>
      <c r="AD1" s="106"/>
      <c r="AE1" s="106"/>
      <c r="AF1" s="106"/>
      <c r="AG1" s="106"/>
      <c r="AH1" s="106"/>
      <c r="AI1" s="106"/>
      <c r="AJ1" s="106"/>
      <c r="AK1" s="1165"/>
      <c r="AM1" s="2797" t="s">
        <v>7220</v>
      </c>
      <c r="AN1" s="2797"/>
      <c r="AO1" s="2797"/>
      <c r="AP1" s="2797"/>
      <c r="AQ1" s="723"/>
    </row>
    <row r="2" spans="2:52" s="389" customFormat="1" ht="23.25">
      <c r="B2" s="2797" t="str">
        <f>SelectCompany!B4</f>
        <v>Northumbrian Water</v>
      </c>
      <c r="C2" s="2797"/>
      <c r="D2" s="2797"/>
      <c r="E2" s="2797"/>
      <c r="F2" s="723"/>
      <c r="G2" s="219"/>
      <c r="H2" s="219"/>
      <c r="I2" s="219"/>
      <c r="J2" s="219"/>
      <c r="K2" s="219"/>
      <c r="L2" s="390"/>
      <c r="M2" s="390"/>
      <c r="N2" s="390"/>
      <c r="O2" s="390"/>
      <c r="P2" s="390"/>
      <c r="Q2" s="390"/>
      <c r="R2" s="2853"/>
      <c r="S2" s="2853"/>
      <c r="U2" s="106"/>
      <c r="V2" s="106"/>
      <c r="W2" s="1165"/>
      <c r="X2" s="284"/>
      <c r="Y2" s="1165"/>
      <c r="Z2" s="106"/>
      <c r="AA2" s="106"/>
      <c r="AB2" s="106"/>
      <c r="AC2" s="106"/>
      <c r="AD2" s="106"/>
      <c r="AE2" s="106"/>
      <c r="AF2" s="106"/>
      <c r="AG2" s="106"/>
      <c r="AH2" s="106"/>
      <c r="AI2" s="106"/>
      <c r="AJ2" s="106"/>
      <c r="AK2" s="1165"/>
    </row>
    <row r="3" spans="2:52" ht="19.350000000000001" customHeight="1">
      <c r="B3" s="2807" t="s">
        <v>14834</v>
      </c>
      <c r="C3" s="2807"/>
      <c r="D3" s="2807"/>
      <c r="E3" s="2807"/>
      <c r="F3" s="2807"/>
      <c r="G3" s="2807"/>
      <c r="H3" s="2807"/>
      <c r="I3" s="2807"/>
      <c r="J3" s="2807"/>
      <c r="K3" s="2807"/>
      <c r="L3" s="2807"/>
      <c r="M3" s="2807"/>
      <c r="N3" s="2807"/>
      <c r="O3" s="2807"/>
      <c r="P3" s="2807"/>
      <c r="Q3" s="2807"/>
      <c r="R3" s="219"/>
      <c r="S3" s="219"/>
      <c r="T3" s="389"/>
      <c r="U3" s="224"/>
      <c r="W3" s="1165"/>
      <c r="X3" s="650" t="s">
        <v>7222</v>
      </c>
      <c r="Y3" s="1165"/>
      <c r="AK3" s="1165"/>
      <c r="AM3" s="2807" t="s">
        <v>14834</v>
      </c>
      <c r="AN3" s="2807"/>
      <c r="AO3" s="2807"/>
      <c r="AP3" s="2807"/>
      <c r="AQ3" s="2807"/>
      <c r="AR3" s="2807"/>
      <c r="AS3" s="2807"/>
      <c r="AT3" s="2807"/>
      <c r="AU3" s="2807"/>
      <c r="AV3" s="2807"/>
      <c r="AW3" s="2807"/>
      <c r="AX3" s="2807"/>
      <c r="AY3" s="2807"/>
      <c r="AZ3" s="2807"/>
    </row>
    <row r="4" spans="2:52" ht="24"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5.75" thickTop="1">
      <c r="B5" s="2855" t="s">
        <v>12360</v>
      </c>
      <c r="C5" s="2817"/>
      <c r="D5" s="2673" t="s">
        <v>7225</v>
      </c>
      <c r="E5" s="2673" t="s">
        <v>670</v>
      </c>
      <c r="F5" s="2859" t="s">
        <v>12178</v>
      </c>
      <c r="G5" s="2859"/>
      <c r="H5" s="2859"/>
      <c r="I5" s="2859"/>
      <c r="J5" s="2859"/>
      <c r="K5" s="2859"/>
      <c r="L5" s="2833" t="s">
        <v>12361</v>
      </c>
      <c r="M5" s="2833"/>
      <c r="N5" s="2833"/>
      <c r="O5" s="2833"/>
      <c r="P5" s="2833"/>
      <c r="Q5" s="2877"/>
      <c r="R5" s="242"/>
      <c r="S5" s="2860" t="s">
        <v>7229</v>
      </c>
      <c r="U5" s="2790" t="s">
        <v>7230</v>
      </c>
      <c r="V5" s="106"/>
      <c r="W5" s="1165"/>
      <c r="X5" s="284"/>
      <c r="Y5" s="1165"/>
      <c r="Z5" s="106"/>
      <c r="AA5" s="106"/>
      <c r="AB5" s="106"/>
      <c r="AC5" s="106"/>
      <c r="AD5" s="106"/>
      <c r="AE5" s="106"/>
      <c r="AF5" s="106"/>
      <c r="AG5" s="106"/>
      <c r="AH5" s="106"/>
      <c r="AI5" s="106"/>
      <c r="AJ5" s="106"/>
      <c r="AK5" s="1165"/>
      <c r="AM5" s="2855" t="s">
        <v>12360</v>
      </c>
      <c r="AN5" s="2817"/>
      <c r="AO5" s="2859" t="s">
        <v>12178</v>
      </c>
      <c r="AP5" s="2859"/>
      <c r="AQ5" s="2859"/>
      <c r="AR5" s="2859"/>
      <c r="AS5" s="2859"/>
      <c r="AT5" s="2859"/>
      <c r="AU5" s="2833" t="s">
        <v>12361</v>
      </c>
      <c r="AV5" s="2833"/>
      <c r="AW5" s="2833"/>
      <c r="AX5" s="2833"/>
      <c r="AY5" s="2833"/>
      <c r="AZ5" s="2877"/>
    </row>
    <row r="6" spans="2:52" s="197" customFormat="1" ht="15.75">
      <c r="B6" s="2856"/>
      <c r="C6" s="2857"/>
      <c r="D6" s="2796"/>
      <c r="E6" s="2796"/>
      <c r="F6" s="2857" t="s">
        <v>8160</v>
      </c>
      <c r="G6" s="2865" t="s">
        <v>9202</v>
      </c>
      <c r="H6" s="2865"/>
      <c r="I6" s="2865"/>
      <c r="J6" s="2865"/>
      <c r="K6" s="2865" t="s">
        <v>7445</v>
      </c>
      <c r="L6" s="2857" t="s">
        <v>8160</v>
      </c>
      <c r="M6" s="2828" t="s">
        <v>9202</v>
      </c>
      <c r="N6" s="2828"/>
      <c r="O6" s="2828"/>
      <c r="P6" s="2828"/>
      <c r="Q6" s="2863" t="s">
        <v>7445</v>
      </c>
      <c r="R6" s="242"/>
      <c r="S6" s="2861"/>
      <c r="U6" s="2791"/>
      <c r="V6" s="730"/>
      <c r="W6" s="1165"/>
      <c r="X6" s="284"/>
      <c r="Y6" s="1165"/>
      <c r="Z6" s="2884" t="s">
        <v>7223</v>
      </c>
      <c r="AA6" s="2884"/>
      <c r="AB6" s="2884"/>
      <c r="AC6" s="2884"/>
      <c r="AD6" s="2884"/>
      <c r="AE6" s="2884"/>
      <c r="AF6" s="2884"/>
      <c r="AG6" s="2884"/>
      <c r="AH6" s="2884"/>
      <c r="AI6" s="2884"/>
      <c r="AJ6" s="2884"/>
      <c r="AK6" s="1165"/>
      <c r="AM6" s="2856"/>
      <c r="AN6" s="2857"/>
      <c r="AO6" s="2857" t="s">
        <v>8160</v>
      </c>
      <c r="AP6" s="2865" t="s">
        <v>9202</v>
      </c>
      <c r="AQ6" s="2865"/>
      <c r="AR6" s="2865"/>
      <c r="AS6" s="2865"/>
      <c r="AT6" s="2865" t="s">
        <v>7445</v>
      </c>
      <c r="AU6" s="2857" t="s">
        <v>8160</v>
      </c>
      <c r="AV6" s="2828" t="s">
        <v>9202</v>
      </c>
      <c r="AW6" s="2828"/>
      <c r="AX6" s="2828"/>
      <c r="AY6" s="2828"/>
      <c r="AZ6" s="2863" t="s">
        <v>7445</v>
      </c>
    </row>
    <row r="7" spans="2:52" s="197" customFormat="1" ht="45.75" thickBot="1">
      <c r="B7" s="2858"/>
      <c r="C7" s="2818"/>
      <c r="D7" s="2674"/>
      <c r="E7" s="2674"/>
      <c r="F7" s="2818"/>
      <c r="G7" s="862" t="s">
        <v>11027</v>
      </c>
      <c r="H7" s="862" t="s">
        <v>11028</v>
      </c>
      <c r="I7" s="862" t="s">
        <v>11029</v>
      </c>
      <c r="J7" s="862" t="s">
        <v>11030</v>
      </c>
      <c r="K7" s="2866"/>
      <c r="L7" s="2818"/>
      <c r="M7" s="862" t="s">
        <v>11027</v>
      </c>
      <c r="N7" s="862" t="s">
        <v>11028</v>
      </c>
      <c r="O7" s="862" t="s">
        <v>11029</v>
      </c>
      <c r="P7" s="862" t="s">
        <v>11030</v>
      </c>
      <c r="Q7" s="2821"/>
      <c r="R7" s="1059"/>
      <c r="S7" s="2862"/>
      <c r="U7" s="2792"/>
      <c r="V7" s="282"/>
      <c r="W7" s="1165"/>
      <c r="X7" s="284"/>
      <c r="Y7" s="1165"/>
      <c r="Z7" s="106" t="s">
        <v>7231</v>
      </c>
      <c r="AA7" s="106"/>
      <c r="AB7" s="106"/>
      <c r="AC7" s="106"/>
      <c r="AD7" s="106"/>
      <c r="AE7" s="106"/>
      <c r="AF7" s="106"/>
      <c r="AG7" s="106"/>
      <c r="AH7" s="106"/>
      <c r="AI7" s="106"/>
      <c r="AJ7" s="106"/>
      <c r="AK7" s="1165"/>
      <c r="AM7" s="2858"/>
      <c r="AN7" s="2818"/>
      <c r="AO7" s="2818"/>
      <c r="AP7" s="862" t="s">
        <v>11027</v>
      </c>
      <c r="AQ7" s="862" t="s">
        <v>11028</v>
      </c>
      <c r="AR7" s="862" t="s">
        <v>11029</v>
      </c>
      <c r="AS7" s="862" t="s">
        <v>11030</v>
      </c>
      <c r="AT7" s="2866"/>
      <c r="AU7" s="2818"/>
      <c r="AV7" s="862" t="s">
        <v>11027</v>
      </c>
      <c r="AW7" s="862" t="s">
        <v>11028</v>
      </c>
      <c r="AX7" s="862" t="s">
        <v>11029</v>
      </c>
      <c r="AY7" s="862" t="s">
        <v>11030</v>
      </c>
      <c r="AZ7" s="2821"/>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14835</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14835</v>
      </c>
      <c r="AN9" s="997"/>
      <c r="AO9" s="997"/>
      <c r="AP9" s="997"/>
      <c r="AQ9" s="997"/>
      <c r="AR9" s="997"/>
      <c r="AS9" s="997"/>
      <c r="AT9" s="997"/>
      <c r="AU9" s="997"/>
      <c r="AV9" s="997"/>
      <c r="AW9" s="997"/>
      <c r="AX9" s="997"/>
      <c r="AY9" s="997"/>
      <c r="AZ9" s="997"/>
    </row>
    <row r="10" spans="2:52" s="197" customFormat="1" ht="15.75" customHeight="1" thickTop="1">
      <c r="B10" s="451" t="s">
        <v>14836</v>
      </c>
      <c r="C10" s="1063" t="s">
        <v>3630</v>
      </c>
      <c r="D10" s="277" t="s">
        <v>681</v>
      </c>
      <c r="E10" s="277">
        <v>3</v>
      </c>
      <c r="F10" s="694"/>
      <c r="G10" s="694"/>
      <c r="H10" s="694"/>
      <c r="I10" s="694"/>
      <c r="J10" s="694"/>
      <c r="K10" s="1595">
        <f>IFERROR(SUM(F10:J10),0)</f>
        <v>0</v>
      </c>
      <c r="L10" s="1694"/>
      <c r="M10" s="1694"/>
      <c r="N10" s="1694"/>
      <c r="O10" s="1694"/>
      <c r="P10" s="1694"/>
      <c r="Q10" s="1695">
        <f>IFERROR(SUM(L10:P10),0)</f>
        <v>0</v>
      </c>
      <c r="R10" s="242"/>
      <c r="S10" s="1066" t="s">
        <v>14837</v>
      </c>
      <c r="U10" s="283"/>
      <c r="V10" s="282"/>
      <c r="W10" s="345"/>
      <c r="X10" s="284" t="str">
        <f>IF( SUM( Z10:AJ10 ) = 0, 0, $Z$7 )</f>
        <v>Please complete all cells in row</v>
      </c>
      <c r="Y10" s="345"/>
      <c r="Z10" s="1199">
        <f xml:space="preserve"> IF( ISNUMBER(F10), 0, 1 )</f>
        <v>1</v>
      </c>
      <c r="AA10" s="1199">
        <f t="shared" ref="AA10:AA11" si="0" xml:space="preserve"> IF( ISNUMBER(G10), 0, 1 )</f>
        <v>1</v>
      </c>
      <c r="AB10" s="1199">
        <f t="shared" ref="AB10:AB11" si="1" xml:space="preserve"> IF( ISNUMBER(H10), 0, 1 )</f>
        <v>1</v>
      </c>
      <c r="AC10" s="1199">
        <f t="shared" ref="AC10:AC11" si="2" xml:space="preserve"> IF( ISNUMBER(I10), 0, 1 )</f>
        <v>1</v>
      </c>
      <c r="AD10" s="1199">
        <f t="shared" ref="AD10:AD11" si="3" xml:space="preserve"> IF( ISNUMBER(J10), 0, 1 )</f>
        <v>1</v>
      </c>
      <c r="AE10" s="224"/>
      <c r="AF10" s="1199">
        <f t="shared" ref="AF10:AF11" si="4" xml:space="preserve"> IF( ISNUMBER(L10), 0, 1 )</f>
        <v>1</v>
      </c>
      <c r="AG10" s="1199">
        <f t="shared" ref="AG10:AG11" si="5" xml:space="preserve"> IF( ISNUMBER(M10), 0, 1 )</f>
        <v>1</v>
      </c>
      <c r="AH10" s="1199">
        <f t="shared" ref="AH10:AH11" si="6" xml:space="preserve"> IF( ISNUMBER(N10), 0, 1 )</f>
        <v>1</v>
      </c>
      <c r="AI10" s="1199">
        <f t="shared" ref="AI10:AI11" si="7" xml:space="preserve"> IF( ISNUMBER(O10), 0, 1 )</f>
        <v>1</v>
      </c>
      <c r="AJ10" s="1199">
        <f t="shared" ref="AJ10:AJ11" si="8" xml:space="preserve"> IF( ISNUMBER(P10), 0, 1 )</f>
        <v>1</v>
      </c>
      <c r="AK10" s="345"/>
      <c r="AM10" s="451" t="s">
        <v>14836</v>
      </c>
      <c r="AN10" s="1063" t="s">
        <v>3630</v>
      </c>
      <c r="AO10" s="1198" t="s">
        <v>14838</v>
      </c>
      <c r="AP10" s="904" t="s">
        <v>14839</v>
      </c>
      <c r="AQ10" s="904" t="s">
        <v>14840</v>
      </c>
      <c r="AR10" s="904" t="s">
        <v>14841</v>
      </c>
      <c r="AS10" s="904" t="s">
        <v>14842</v>
      </c>
      <c r="AT10" s="675" t="s">
        <v>14843</v>
      </c>
      <c r="AU10" s="809" t="s">
        <v>14844</v>
      </c>
      <c r="AV10" s="809" t="s">
        <v>14845</v>
      </c>
      <c r="AW10" s="809" t="s">
        <v>14846</v>
      </c>
      <c r="AX10" s="809" t="s">
        <v>14847</v>
      </c>
      <c r="AY10" s="809" t="s">
        <v>14848</v>
      </c>
      <c r="AZ10" s="1168" t="s">
        <v>14849</v>
      </c>
    </row>
    <row r="11" spans="2:52" s="197" customFormat="1" ht="15.75" customHeight="1">
      <c r="B11" s="460" t="s">
        <v>14836</v>
      </c>
      <c r="C11" s="354" t="s">
        <v>3631</v>
      </c>
      <c r="D11" s="286" t="s">
        <v>681</v>
      </c>
      <c r="E11" s="286">
        <v>3</v>
      </c>
      <c r="F11" s="697"/>
      <c r="G11" s="697"/>
      <c r="H11" s="697"/>
      <c r="I11" s="697"/>
      <c r="J11" s="697"/>
      <c r="K11" s="1597">
        <f>IFERROR(SUM(F11:J11),0)</f>
        <v>0</v>
      </c>
      <c r="L11" s="793"/>
      <c r="M11" s="793"/>
      <c r="N11" s="793"/>
      <c r="O11" s="793"/>
      <c r="P11" s="793"/>
      <c r="Q11" s="1696">
        <f>IFERROR(SUM(L11:P11),0)</f>
        <v>0</v>
      </c>
      <c r="R11" s="242"/>
      <c r="S11" s="1071" t="s">
        <v>14850</v>
      </c>
      <c r="U11" s="291"/>
      <c r="V11" s="282"/>
      <c r="W11" s="345"/>
      <c r="X11" s="284" t="str">
        <f>IF( SUM( Z11:AJ11 ) = 0, 0, $Z$7 )</f>
        <v>Please complete all cells in row</v>
      </c>
      <c r="Y11" s="345"/>
      <c r="Z11" s="1199">
        <f t="shared" ref="Z11" si="9" xml:space="preserve"> IF( ISNUMBER(F11), 0, 1 )</f>
        <v>1</v>
      </c>
      <c r="AA11" s="1199">
        <f t="shared" si="0"/>
        <v>1</v>
      </c>
      <c r="AB11" s="1199">
        <f t="shared" si="1"/>
        <v>1</v>
      </c>
      <c r="AC11" s="1199">
        <f t="shared" si="2"/>
        <v>1</v>
      </c>
      <c r="AD11" s="1199">
        <f t="shared" si="3"/>
        <v>1</v>
      </c>
      <c r="AE11" s="224"/>
      <c r="AF11" s="1199">
        <f t="shared" si="4"/>
        <v>1</v>
      </c>
      <c r="AG11" s="1199">
        <f t="shared" si="5"/>
        <v>1</v>
      </c>
      <c r="AH11" s="1199">
        <f t="shared" si="6"/>
        <v>1</v>
      </c>
      <c r="AI11" s="1199">
        <f t="shared" si="7"/>
        <v>1</v>
      </c>
      <c r="AJ11" s="1199">
        <f t="shared" si="8"/>
        <v>1</v>
      </c>
      <c r="AK11" s="345"/>
      <c r="AM11" s="460" t="s">
        <v>14836</v>
      </c>
      <c r="AN11" s="354" t="s">
        <v>3631</v>
      </c>
      <c r="AO11" s="905" t="s">
        <v>14851</v>
      </c>
      <c r="AP11" s="905" t="s">
        <v>14852</v>
      </c>
      <c r="AQ11" s="905" t="s">
        <v>14853</v>
      </c>
      <c r="AR11" s="905" t="s">
        <v>14854</v>
      </c>
      <c r="AS11" s="905" t="s">
        <v>14855</v>
      </c>
      <c r="AT11" s="677" t="s">
        <v>14856</v>
      </c>
      <c r="AU11" s="799" t="s">
        <v>14857</v>
      </c>
      <c r="AV11" s="799" t="s">
        <v>14858</v>
      </c>
      <c r="AW11" s="799" t="s">
        <v>14859</v>
      </c>
      <c r="AX11" s="799" t="s">
        <v>14860</v>
      </c>
      <c r="AY11" s="799" t="s">
        <v>14861</v>
      </c>
      <c r="AZ11" s="798" t="s">
        <v>14862</v>
      </c>
    </row>
    <row r="12" spans="2:52" s="197" customFormat="1" ht="15.75" customHeight="1">
      <c r="B12" s="460" t="s">
        <v>14836</v>
      </c>
      <c r="C12" s="354" t="s">
        <v>3632</v>
      </c>
      <c r="D12" s="286" t="s">
        <v>681</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14863</v>
      </c>
      <c r="U12" s="291"/>
      <c r="V12" s="282"/>
      <c r="W12" s="345"/>
      <c r="X12" s="224"/>
      <c r="Y12" s="345"/>
      <c r="Z12" s="224"/>
      <c r="AA12" s="224"/>
      <c r="AB12" s="224"/>
      <c r="AC12" s="224"/>
      <c r="AD12" s="224"/>
      <c r="AE12" s="224"/>
      <c r="AF12" s="224"/>
      <c r="AG12" s="224"/>
      <c r="AH12" s="224"/>
      <c r="AI12" s="224"/>
      <c r="AJ12" s="224"/>
      <c r="AK12" s="345"/>
      <c r="AM12" s="460" t="s">
        <v>14836</v>
      </c>
      <c r="AN12" s="354" t="s">
        <v>3632</v>
      </c>
      <c r="AO12" s="677" t="s">
        <v>14864</v>
      </c>
      <c r="AP12" s="677" t="s">
        <v>14865</v>
      </c>
      <c r="AQ12" s="677" t="s">
        <v>14866</v>
      </c>
      <c r="AR12" s="677" t="s">
        <v>14867</v>
      </c>
      <c r="AS12" s="677" t="s">
        <v>14868</v>
      </c>
      <c r="AT12" s="677" t="s">
        <v>14869</v>
      </c>
      <c r="AU12" s="677" t="s">
        <v>14870</v>
      </c>
      <c r="AV12" s="677" t="s">
        <v>14871</v>
      </c>
      <c r="AW12" s="677" t="s">
        <v>14872</v>
      </c>
      <c r="AX12" s="677" t="s">
        <v>14873</v>
      </c>
      <c r="AY12" s="677" t="s">
        <v>14874</v>
      </c>
      <c r="AZ12" s="798" t="s">
        <v>14875</v>
      </c>
    </row>
    <row r="13" spans="2:52" s="197" customFormat="1" ht="15.75" customHeight="1">
      <c r="B13" s="460" t="s">
        <v>14876</v>
      </c>
      <c r="C13" s="354" t="s">
        <v>3630</v>
      </c>
      <c r="D13" s="286" t="s">
        <v>681</v>
      </c>
      <c r="E13" s="286">
        <v>3</v>
      </c>
      <c r="F13" s="697"/>
      <c r="G13" s="697"/>
      <c r="H13" s="697"/>
      <c r="I13" s="697"/>
      <c r="J13" s="697"/>
      <c r="K13" s="1597">
        <f>IFERROR(SUM(F13:J13),0)</f>
        <v>0</v>
      </c>
      <c r="L13" s="793"/>
      <c r="M13" s="793"/>
      <c r="N13" s="793"/>
      <c r="O13" s="793"/>
      <c r="P13" s="793"/>
      <c r="Q13" s="1696">
        <f>IFERROR(SUM(L13:P13),0)</f>
        <v>0</v>
      </c>
      <c r="R13" s="242"/>
      <c r="S13" s="1071" t="s">
        <v>14877</v>
      </c>
      <c r="U13" s="291"/>
      <c r="V13" s="282"/>
      <c r="W13" s="345"/>
      <c r="X13" s="284" t="str">
        <f t="shared" ref="X13:X14" si="16">IF( SUM( Z13:AJ13 ) = 0, 0, $Z$7 )</f>
        <v>Please complete all cells in row</v>
      </c>
      <c r="Y13" s="345"/>
      <c r="Z13" s="1199">
        <f t="shared" ref="Z13:Z14" si="17" xml:space="preserve"> IF( ISNUMBER(F13), 0, 1 )</f>
        <v>1</v>
      </c>
      <c r="AA13" s="1199">
        <f t="shared" ref="AA13:AA14" si="18" xml:space="preserve"> IF( ISNUMBER(G13), 0, 1 )</f>
        <v>1</v>
      </c>
      <c r="AB13" s="1199">
        <f t="shared" ref="AB13:AB14" si="19" xml:space="preserve"> IF( ISNUMBER(H13), 0, 1 )</f>
        <v>1</v>
      </c>
      <c r="AC13" s="1199">
        <f t="shared" ref="AC13:AC14" si="20" xml:space="preserve"> IF( ISNUMBER(I13), 0, 1 )</f>
        <v>1</v>
      </c>
      <c r="AD13" s="1199">
        <f t="shared" ref="AD13:AD14" si="21" xml:space="preserve"> IF( ISNUMBER(J13), 0, 1 )</f>
        <v>1</v>
      </c>
      <c r="AE13" s="224"/>
      <c r="AF13" s="1199">
        <f t="shared" ref="AF13:AF14" si="22" xml:space="preserve"> IF( ISNUMBER(L13), 0, 1 )</f>
        <v>1</v>
      </c>
      <c r="AG13" s="1199">
        <f t="shared" ref="AG13:AG14" si="23" xml:space="preserve"> IF( ISNUMBER(M13), 0, 1 )</f>
        <v>1</v>
      </c>
      <c r="AH13" s="1199">
        <f t="shared" ref="AH13:AH14" si="24" xml:space="preserve"> IF( ISNUMBER(N13), 0, 1 )</f>
        <v>1</v>
      </c>
      <c r="AI13" s="1199">
        <f t="shared" ref="AI13:AI14" si="25" xml:space="preserve"> IF( ISNUMBER(O13), 0, 1 )</f>
        <v>1</v>
      </c>
      <c r="AJ13" s="1199">
        <f t="shared" ref="AJ13:AJ14" si="26" xml:space="preserve"> IF( ISNUMBER(P13), 0, 1 )</f>
        <v>1</v>
      </c>
      <c r="AK13" s="345"/>
      <c r="AM13" s="460" t="s">
        <v>14876</v>
      </c>
      <c r="AN13" s="354" t="s">
        <v>3630</v>
      </c>
      <c r="AO13" s="905" t="s">
        <v>14878</v>
      </c>
      <c r="AP13" s="905" t="s">
        <v>14879</v>
      </c>
      <c r="AQ13" s="905" t="s">
        <v>14880</v>
      </c>
      <c r="AR13" s="905" t="s">
        <v>14881</v>
      </c>
      <c r="AS13" s="905" t="s">
        <v>14882</v>
      </c>
      <c r="AT13" s="677" t="s">
        <v>14883</v>
      </c>
      <c r="AU13" s="799" t="s">
        <v>14884</v>
      </c>
      <c r="AV13" s="799" t="s">
        <v>14885</v>
      </c>
      <c r="AW13" s="799" t="s">
        <v>14886</v>
      </c>
      <c r="AX13" s="799" t="s">
        <v>14887</v>
      </c>
      <c r="AY13" s="799" t="s">
        <v>14888</v>
      </c>
      <c r="AZ13" s="798" t="s">
        <v>14889</v>
      </c>
    </row>
    <row r="14" spans="2:52" s="197" customFormat="1" ht="15.75" customHeight="1">
      <c r="B14" s="460" t="s">
        <v>14876</v>
      </c>
      <c r="C14" s="354" t="s">
        <v>3631</v>
      </c>
      <c r="D14" s="286" t="s">
        <v>681</v>
      </c>
      <c r="E14" s="286">
        <v>3</v>
      </c>
      <c r="F14" s="697"/>
      <c r="G14" s="697"/>
      <c r="H14" s="697"/>
      <c r="I14" s="697"/>
      <c r="J14" s="697"/>
      <c r="K14" s="1597">
        <f>IFERROR(SUM(F14:J14),0)</f>
        <v>0</v>
      </c>
      <c r="L14" s="793"/>
      <c r="M14" s="793"/>
      <c r="N14" s="793"/>
      <c r="O14" s="793"/>
      <c r="P14" s="793"/>
      <c r="Q14" s="1696">
        <f>IFERROR(SUM(L14:P14),0)</f>
        <v>0</v>
      </c>
      <c r="R14" s="242"/>
      <c r="S14" s="1071" t="s">
        <v>14890</v>
      </c>
      <c r="U14" s="291"/>
      <c r="V14" s="282"/>
      <c r="W14" s="1165"/>
      <c r="X14" s="284" t="str">
        <f t="shared" si="16"/>
        <v>Please complete all cells in row</v>
      </c>
      <c r="Y14" s="1165"/>
      <c r="Z14" s="1199">
        <f t="shared" si="17"/>
        <v>1</v>
      </c>
      <c r="AA14" s="1199">
        <f t="shared" si="18"/>
        <v>1</v>
      </c>
      <c r="AB14" s="1199">
        <f t="shared" si="19"/>
        <v>1</v>
      </c>
      <c r="AC14" s="1199">
        <f t="shared" si="20"/>
        <v>1</v>
      </c>
      <c r="AD14" s="1199">
        <f t="shared" si="21"/>
        <v>1</v>
      </c>
      <c r="AE14" s="224"/>
      <c r="AF14" s="1199">
        <f t="shared" si="22"/>
        <v>1</v>
      </c>
      <c r="AG14" s="1199">
        <f t="shared" si="23"/>
        <v>1</v>
      </c>
      <c r="AH14" s="1199">
        <f t="shared" si="24"/>
        <v>1</v>
      </c>
      <c r="AI14" s="1199">
        <f t="shared" si="25"/>
        <v>1</v>
      </c>
      <c r="AJ14" s="1199">
        <f t="shared" si="26"/>
        <v>1</v>
      </c>
      <c r="AK14" s="1165"/>
      <c r="AM14" s="460" t="s">
        <v>14876</v>
      </c>
      <c r="AN14" s="354" t="s">
        <v>3631</v>
      </c>
      <c r="AO14" s="905" t="s">
        <v>14891</v>
      </c>
      <c r="AP14" s="905" t="s">
        <v>14892</v>
      </c>
      <c r="AQ14" s="905" t="s">
        <v>14893</v>
      </c>
      <c r="AR14" s="905" t="s">
        <v>14894</v>
      </c>
      <c r="AS14" s="905" t="s">
        <v>14895</v>
      </c>
      <c r="AT14" s="677" t="s">
        <v>14896</v>
      </c>
      <c r="AU14" s="799" t="s">
        <v>14897</v>
      </c>
      <c r="AV14" s="799" t="s">
        <v>14898</v>
      </c>
      <c r="AW14" s="799" t="s">
        <v>14899</v>
      </c>
      <c r="AX14" s="799" t="s">
        <v>14900</v>
      </c>
      <c r="AY14" s="799" t="s">
        <v>14901</v>
      </c>
      <c r="AZ14" s="798" t="s">
        <v>14902</v>
      </c>
    </row>
    <row r="15" spans="2:52" s="197" customFormat="1" ht="15.75" customHeight="1">
      <c r="B15" s="460" t="s">
        <v>14876</v>
      </c>
      <c r="C15" s="354" t="s">
        <v>3632</v>
      </c>
      <c r="D15" s="286" t="s">
        <v>681</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14903</v>
      </c>
      <c r="U15" s="291"/>
      <c r="V15" s="282"/>
      <c r="W15" s="1165"/>
      <c r="X15" s="224"/>
      <c r="Y15" s="1165"/>
      <c r="Z15" s="224"/>
      <c r="AA15" s="224"/>
      <c r="AB15" s="224"/>
      <c r="AC15" s="224"/>
      <c r="AD15" s="224"/>
      <c r="AE15" s="224"/>
      <c r="AF15" s="224"/>
      <c r="AG15" s="224"/>
      <c r="AH15" s="224"/>
      <c r="AI15" s="224"/>
      <c r="AJ15" s="224"/>
      <c r="AK15" s="1165"/>
      <c r="AM15" s="460" t="s">
        <v>14876</v>
      </c>
      <c r="AN15" s="354" t="s">
        <v>3632</v>
      </c>
      <c r="AO15" s="677" t="s">
        <v>14904</v>
      </c>
      <c r="AP15" s="677" t="s">
        <v>14905</v>
      </c>
      <c r="AQ15" s="677" t="s">
        <v>14906</v>
      </c>
      <c r="AR15" s="677" t="s">
        <v>14907</v>
      </c>
      <c r="AS15" s="677" t="s">
        <v>14908</v>
      </c>
      <c r="AT15" s="677" t="s">
        <v>14909</v>
      </c>
      <c r="AU15" s="677" t="s">
        <v>14910</v>
      </c>
      <c r="AV15" s="677" t="s">
        <v>14911</v>
      </c>
      <c r="AW15" s="677" t="s">
        <v>14912</v>
      </c>
      <c r="AX15" s="677" t="s">
        <v>14913</v>
      </c>
      <c r="AY15" s="677" t="s">
        <v>14914</v>
      </c>
      <c r="AZ15" s="798" t="s">
        <v>14915</v>
      </c>
    </row>
    <row r="16" spans="2:52" s="197" customFormat="1" ht="15.75" customHeight="1">
      <c r="B16" s="460" t="s">
        <v>14916</v>
      </c>
      <c r="C16" s="354" t="s">
        <v>3630</v>
      </c>
      <c r="D16" s="286" t="s">
        <v>681</v>
      </c>
      <c r="E16" s="286">
        <v>3</v>
      </c>
      <c r="F16" s="697"/>
      <c r="G16" s="697"/>
      <c r="H16" s="697"/>
      <c r="I16" s="697"/>
      <c r="J16" s="697"/>
      <c r="K16" s="1597">
        <f>IFERROR(SUM(F16:J16),0)</f>
        <v>0</v>
      </c>
      <c r="L16" s="793"/>
      <c r="M16" s="793"/>
      <c r="N16" s="793"/>
      <c r="O16" s="793"/>
      <c r="P16" s="793"/>
      <c r="Q16" s="1696">
        <f>IFERROR(SUM(L16:P16),0)</f>
        <v>0</v>
      </c>
      <c r="R16" s="242"/>
      <c r="S16" s="1071" t="s">
        <v>14917</v>
      </c>
      <c r="U16" s="291"/>
      <c r="V16" s="282"/>
      <c r="W16" s="1165"/>
      <c r="X16" s="284" t="str">
        <f t="shared" ref="X16:X17" si="33">IF( SUM( Z16:AJ16 ) = 0, 0, $Z$7 )</f>
        <v>Please complete all cells in row</v>
      </c>
      <c r="Y16" s="1165"/>
      <c r="Z16" s="1199">
        <f t="shared" ref="Z16:Z17" si="34" xml:space="preserve"> IF( ISNUMBER(F16), 0, 1 )</f>
        <v>1</v>
      </c>
      <c r="AA16" s="1199">
        <f t="shared" ref="AA16:AA17" si="35" xml:space="preserve"> IF( ISNUMBER(G16), 0, 1 )</f>
        <v>1</v>
      </c>
      <c r="AB16" s="1199">
        <f t="shared" ref="AB16:AB17" si="36" xml:space="preserve"> IF( ISNUMBER(H16), 0, 1 )</f>
        <v>1</v>
      </c>
      <c r="AC16" s="1199">
        <f t="shared" ref="AC16:AC17" si="37" xml:space="preserve"> IF( ISNUMBER(I16), 0, 1 )</f>
        <v>1</v>
      </c>
      <c r="AD16" s="1199">
        <f t="shared" ref="AD16:AD17" si="38" xml:space="preserve"> IF( ISNUMBER(J16), 0, 1 )</f>
        <v>1</v>
      </c>
      <c r="AE16" s="224"/>
      <c r="AF16" s="1199">
        <f t="shared" ref="AF16:AF17" si="39" xml:space="preserve"> IF( ISNUMBER(L16), 0, 1 )</f>
        <v>1</v>
      </c>
      <c r="AG16" s="1199">
        <f t="shared" ref="AG16:AG17" si="40" xml:space="preserve"> IF( ISNUMBER(M16), 0, 1 )</f>
        <v>1</v>
      </c>
      <c r="AH16" s="1199">
        <f t="shared" ref="AH16:AH17" si="41" xml:space="preserve"> IF( ISNUMBER(N16), 0, 1 )</f>
        <v>1</v>
      </c>
      <c r="AI16" s="1199">
        <f t="shared" ref="AI16:AI17" si="42" xml:space="preserve"> IF( ISNUMBER(O16), 0, 1 )</f>
        <v>1</v>
      </c>
      <c r="AJ16" s="1199">
        <f t="shared" ref="AJ16:AJ17" si="43" xml:space="preserve"> IF( ISNUMBER(P16), 0, 1 )</f>
        <v>1</v>
      </c>
      <c r="AK16" s="1165"/>
      <c r="AM16" s="460" t="s">
        <v>14916</v>
      </c>
      <c r="AN16" s="354" t="s">
        <v>3630</v>
      </c>
      <c r="AO16" s="905" t="s">
        <v>14918</v>
      </c>
      <c r="AP16" s="905" t="s">
        <v>14919</v>
      </c>
      <c r="AQ16" s="905" t="s">
        <v>14920</v>
      </c>
      <c r="AR16" s="905" t="s">
        <v>14921</v>
      </c>
      <c r="AS16" s="905" t="s">
        <v>14922</v>
      </c>
      <c r="AT16" s="677" t="s">
        <v>14923</v>
      </c>
      <c r="AU16" s="799" t="s">
        <v>14924</v>
      </c>
      <c r="AV16" s="799" t="s">
        <v>14925</v>
      </c>
      <c r="AW16" s="799" t="s">
        <v>14926</v>
      </c>
      <c r="AX16" s="799" t="s">
        <v>14927</v>
      </c>
      <c r="AY16" s="799" t="s">
        <v>14928</v>
      </c>
      <c r="AZ16" s="798" t="s">
        <v>14929</v>
      </c>
    </row>
    <row r="17" spans="2:52" ht="15.75" customHeight="1">
      <c r="B17" s="460" t="s">
        <v>14916</v>
      </c>
      <c r="C17" s="354" t="s">
        <v>3631</v>
      </c>
      <c r="D17" s="286" t="s">
        <v>681</v>
      </c>
      <c r="E17" s="286">
        <v>3</v>
      </c>
      <c r="F17" s="697"/>
      <c r="G17" s="697"/>
      <c r="H17" s="697"/>
      <c r="I17" s="697"/>
      <c r="J17" s="697"/>
      <c r="K17" s="1597">
        <f>IFERROR(SUM(F17:J17),0)</f>
        <v>0</v>
      </c>
      <c r="L17" s="793"/>
      <c r="M17" s="793"/>
      <c r="N17" s="793"/>
      <c r="O17" s="793"/>
      <c r="P17" s="793"/>
      <c r="Q17" s="1696">
        <f>IFERROR(SUM(L17:P17),0)</f>
        <v>0</v>
      </c>
      <c r="R17" s="242"/>
      <c r="S17" s="1071" t="s">
        <v>14930</v>
      </c>
      <c r="T17" s="197"/>
      <c r="U17" s="291"/>
      <c r="V17" s="282"/>
      <c r="W17" s="1167"/>
      <c r="X17" s="284" t="str">
        <f t="shared" si="33"/>
        <v>Please complete all cells in row</v>
      </c>
      <c r="Y17" s="1167"/>
      <c r="Z17" s="1199">
        <f t="shared" si="34"/>
        <v>1</v>
      </c>
      <c r="AA17" s="1199">
        <f t="shared" si="35"/>
        <v>1</v>
      </c>
      <c r="AB17" s="1199">
        <f t="shared" si="36"/>
        <v>1</v>
      </c>
      <c r="AC17" s="1199">
        <f t="shared" si="37"/>
        <v>1</v>
      </c>
      <c r="AD17" s="1199">
        <f t="shared" si="38"/>
        <v>1</v>
      </c>
      <c r="AE17" s="224"/>
      <c r="AF17" s="1199">
        <f t="shared" si="39"/>
        <v>1</v>
      </c>
      <c r="AG17" s="1199">
        <f t="shared" si="40"/>
        <v>1</v>
      </c>
      <c r="AH17" s="1199">
        <f t="shared" si="41"/>
        <v>1</v>
      </c>
      <c r="AI17" s="1199">
        <f t="shared" si="42"/>
        <v>1</v>
      </c>
      <c r="AJ17" s="1199">
        <f t="shared" si="43"/>
        <v>1</v>
      </c>
      <c r="AK17" s="1167"/>
      <c r="AM17" s="460" t="s">
        <v>14916</v>
      </c>
      <c r="AN17" s="354" t="s">
        <v>3631</v>
      </c>
      <c r="AO17" s="905" t="s">
        <v>14931</v>
      </c>
      <c r="AP17" s="905" t="s">
        <v>14932</v>
      </c>
      <c r="AQ17" s="905" t="s">
        <v>14933</v>
      </c>
      <c r="AR17" s="905" t="s">
        <v>14934</v>
      </c>
      <c r="AS17" s="905" t="s">
        <v>14935</v>
      </c>
      <c r="AT17" s="677" t="s">
        <v>14936</v>
      </c>
      <c r="AU17" s="799" t="s">
        <v>14937</v>
      </c>
      <c r="AV17" s="799" t="s">
        <v>14938</v>
      </c>
      <c r="AW17" s="799" t="s">
        <v>14939</v>
      </c>
      <c r="AX17" s="799" t="s">
        <v>14940</v>
      </c>
      <c r="AY17" s="799" t="s">
        <v>14941</v>
      </c>
      <c r="AZ17" s="798" t="s">
        <v>14942</v>
      </c>
    </row>
    <row r="18" spans="2:52" ht="15.75" customHeight="1">
      <c r="B18" s="460" t="s">
        <v>14916</v>
      </c>
      <c r="C18" s="354" t="s">
        <v>3632</v>
      </c>
      <c r="D18" s="286" t="s">
        <v>681</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14943</v>
      </c>
      <c r="T18" s="197"/>
      <c r="U18" s="291"/>
      <c r="V18" s="436"/>
      <c r="W18" s="1167"/>
      <c r="X18" s="224"/>
      <c r="Y18" s="1167"/>
      <c r="Z18" s="224"/>
      <c r="AA18" s="224"/>
      <c r="AB18" s="224"/>
      <c r="AC18" s="224"/>
      <c r="AD18" s="224"/>
      <c r="AE18" s="224"/>
      <c r="AF18" s="224"/>
      <c r="AG18" s="224"/>
      <c r="AH18" s="224"/>
      <c r="AI18" s="224"/>
      <c r="AJ18" s="224"/>
      <c r="AK18" s="1167"/>
      <c r="AM18" s="460" t="s">
        <v>14916</v>
      </c>
      <c r="AN18" s="354" t="s">
        <v>3632</v>
      </c>
      <c r="AO18" s="677" t="s">
        <v>14944</v>
      </c>
      <c r="AP18" s="677" t="s">
        <v>14945</v>
      </c>
      <c r="AQ18" s="677" t="s">
        <v>14946</v>
      </c>
      <c r="AR18" s="677" t="s">
        <v>14947</v>
      </c>
      <c r="AS18" s="677" t="s">
        <v>14948</v>
      </c>
      <c r="AT18" s="677" t="s">
        <v>14949</v>
      </c>
      <c r="AU18" s="677" t="s">
        <v>14950</v>
      </c>
      <c r="AV18" s="677" t="s">
        <v>14951</v>
      </c>
      <c r="AW18" s="677" t="s">
        <v>14952</v>
      </c>
      <c r="AX18" s="677" t="s">
        <v>14953</v>
      </c>
      <c r="AY18" s="677" t="s">
        <v>14954</v>
      </c>
      <c r="AZ18" s="798" t="s">
        <v>14955</v>
      </c>
    </row>
    <row r="19" spans="2:52" ht="15.75" customHeight="1">
      <c r="B19" s="460" t="s">
        <v>14956</v>
      </c>
      <c r="C19" s="354" t="s">
        <v>3630</v>
      </c>
      <c r="D19" s="286" t="s">
        <v>681</v>
      </c>
      <c r="E19" s="286">
        <v>3</v>
      </c>
      <c r="F19" s="697"/>
      <c r="G19" s="697"/>
      <c r="H19" s="697"/>
      <c r="I19" s="697"/>
      <c r="J19" s="697"/>
      <c r="K19" s="1597">
        <f>IFERROR(SUM(F19:J19),0)</f>
        <v>0</v>
      </c>
      <c r="L19" s="793"/>
      <c r="M19" s="793"/>
      <c r="N19" s="793"/>
      <c r="O19" s="793"/>
      <c r="P19" s="793"/>
      <c r="Q19" s="1696">
        <f>IFERROR(SUM(L19:P19),0)</f>
        <v>0</v>
      </c>
      <c r="R19" s="242"/>
      <c r="S19" s="1071" t="s">
        <v>14957</v>
      </c>
      <c r="T19" s="197"/>
      <c r="U19" s="1200"/>
      <c r="V19" s="436"/>
      <c r="W19" s="1167"/>
      <c r="X19" s="284" t="str">
        <f t="shared" ref="X19:X20" si="50">IF( SUM( Z19:AJ19 ) = 0, 0, $Z$7 )</f>
        <v>Please complete all cells in row</v>
      </c>
      <c r="Y19" s="1167"/>
      <c r="Z19" s="1199">
        <f t="shared" ref="Z19:Z20" si="51" xml:space="preserve"> IF( ISNUMBER(F19), 0, 1 )</f>
        <v>1</v>
      </c>
      <c r="AA19" s="1199">
        <f t="shared" ref="AA19:AA20" si="52" xml:space="preserve"> IF( ISNUMBER(G19), 0, 1 )</f>
        <v>1</v>
      </c>
      <c r="AB19" s="1199">
        <f t="shared" ref="AB19:AB20" si="53" xml:space="preserve"> IF( ISNUMBER(H19), 0, 1 )</f>
        <v>1</v>
      </c>
      <c r="AC19" s="1199">
        <f t="shared" ref="AC19:AC20" si="54" xml:space="preserve"> IF( ISNUMBER(I19), 0, 1 )</f>
        <v>1</v>
      </c>
      <c r="AD19" s="1199">
        <f t="shared" ref="AD19:AD20" si="55" xml:space="preserve"> IF( ISNUMBER(J19), 0, 1 )</f>
        <v>1</v>
      </c>
      <c r="AE19" s="224"/>
      <c r="AF19" s="1199">
        <f t="shared" ref="AF19:AF20" si="56" xml:space="preserve"> IF( ISNUMBER(L19), 0, 1 )</f>
        <v>1</v>
      </c>
      <c r="AG19" s="1199">
        <f t="shared" ref="AG19:AG20" si="57" xml:space="preserve"> IF( ISNUMBER(M19), 0, 1 )</f>
        <v>1</v>
      </c>
      <c r="AH19" s="1199">
        <f t="shared" ref="AH19:AH20" si="58" xml:space="preserve"> IF( ISNUMBER(N19), 0, 1 )</f>
        <v>1</v>
      </c>
      <c r="AI19" s="1199">
        <f t="shared" ref="AI19:AI20" si="59" xml:space="preserve"> IF( ISNUMBER(O19), 0, 1 )</f>
        <v>1</v>
      </c>
      <c r="AJ19" s="1199">
        <f t="shared" ref="AJ19:AJ20" si="60" xml:space="preserve"> IF( ISNUMBER(P19), 0, 1 )</f>
        <v>1</v>
      </c>
      <c r="AK19" s="1167"/>
      <c r="AM19" s="460" t="s">
        <v>14956</v>
      </c>
      <c r="AN19" s="354" t="s">
        <v>3630</v>
      </c>
      <c r="AO19" s="905" t="s">
        <v>14958</v>
      </c>
      <c r="AP19" s="905" t="s">
        <v>14959</v>
      </c>
      <c r="AQ19" s="905" t="s">
        <v>14960</v>
      </c>
      <c r="AR19" s="905" t="s">
        <v>14961</v>
      </c>
      <c r="AS19" s="905" t="s">
        <v>14962</v>
      </c>
      <c r="AT19" s="677" t="s">
        <v>14963</v>
      </c>
      <c r="AU19" s="799" t="s">
        <v>14964</v>
      </c>
      <c r="AV19" s="799" t="s">
        <v>14965</v>
      </c>
      <c r="AW19" s="799" t="s">
        <v>14966</v>
      </c>
      <c r="AX19" s="799" t="s">
        <v>14967</v>
      </c>
      <c r="AY19" s="799" t="s">
        <v>14968</v>
      </c>
      <c r="AZ19" s="798" t="s">
        <v>14969</v>
      </c>
    </row>
    <row r="20" spans="2:52" ht="15.75" customHeight="1">
      <c r="B20" s="460" t="s">
        <v>14956</v>
      </c>
      <c r="C20" s="354" t="s">
        <v>3631</v>
      </c>
      <c r="D20" s="286" t="s">
        <v>681</v>
      </c>
      <c r="E20" s="286">
        <v>3</v>
      </c>
      <c r="F20" s="697"/>
      <c r="G20" s="697"/>
      <c r="H20" s="697"/>
      <c r="I20" s="697"/>
      <c r="J20" s="697"/>
      <c r="K20" s="1597">
        <f>IFERROR(SUM(F20:J20),0)</f>
        <v>0</v>
      </c>
      <c r="L20" s="793"/>
      <c r="M20" s="793"/>
      <c r="N20" s="793"/>
      <c r="O20" s="793"/>
      <c r="P20" s="793"/>
      <c r="Q20" s="1696">
        <f>IFERROR(SUM(L20:P20),0)</f>
        <v>0</v>
      </c>
      <c r="R20" s="242"/>
      <c r="S20" s="1071" t="s">
        <v>14970</v>
      </c>
      <c r="T20" s="197"/>
      <c r="U20" s="1200"/>
      <c r="V20" s="436"/>
      <c r="W20" s="1167"/>
      <c r="X20" s="284" t="str">
        <f t="shared" si="50"/>
        <v>Please complete all cells in row</v>
      </c>
      <c r="Y20" s="1167"/>
      <c r="Z20" s="1199">
        <f t="shared" si="51"/>
        <v>1</v>
      </c>
      <c r="AA20" s="1199">
        <f t="shared" si="52"/>
        <v>1</v>
      </c>
      <c r="AB20" s="1199">
        <f t="shared" si="53"/>
        <v>1</v>
      </c>
      <c r="AC20" s="1199">
        <f t="shared" si="54"/>
        <v>1</v>
      </c>
      <c r="AD20" s="1199">
        <f t="shared" si="55"/>
        <v>1</v>
      </c>
      <c r="AE20" s="224"/>
      <c r="AF20" s="1199">
        <f t="shared" si="56"/>
        <v>1</v>
      </c>
      <c r="AG20" s="1199">
        <f t="shared" si="57"/>
        <v>1</v>
      </c>
      <c r="AH20" s="1199">
        <f t="shared" si="58"/>
        <v>1</v>
      </c>
      <c r="AI20" s="1199">
        <f t="shared" si="59"/>
        <v>1</v>
      </c>
      <c r="AJ20" s="1199">
        <f t="shared" si="60"/>
        <v>1</v>
      </c>
      <c r="AK20" s="1167"/>
      <c r="AM20" s="460" t="s">
        <v>14956</v>
      </c>
      <c r="AN20" s="354" t="s">
        <v>3631</v>
      </c>
      <c r="AO20" s="905" t="s">
        <v>14971</v>
      </c>
      <c r="AP20" s="905" t="s">
        <v>14972</v>
      </c>
      <c r="AQ20" s="905" t="s">
        <v>14973</v>
      </c>
      <c r="AR20" s="905" t="s">
        <v>14974</v>
      </c>
      <c r="AS20" s="905" t="s">
        <v>14975</v>
      </c>
      <c r="AT20" s="677" t="s">
        <v>14976</v>
      </c>
      <c r="AU20" s="799" t="s">
        <v>14977</v>
      </c>
      <c r="AV20" s="799" t="s">
        <v>14978</v>
      </c>
      <c r="AW20" s="799" t="s">
        <v>14979</v>
      </c>
      <c r="AX20" s="799" t="s">
        <v>14980</v>
      </c>
      <c r="AY20" s="799" t="s">
        <v>14981</v>
      </c>
      <c r="AZ20" s="798" t="s">
        <v>14982</v>
      </c>
    </row>
    <row r="21" spans="2:52" ht="15.75" customHeight="1">
      <c r="B21" s="460" t="s">
        <v>14956</v>
      </c>
      <c r="C21" s="354" t="s">
        <v>3632</v>
      </c>
      <c r="D21" s="286" t="s">
        <v>681</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14983</v>
      </c>
      <c r="T21" s="197"/>
      <c r="U21" s="1200"/>
      <c r="V21" s="436"/>
      <c r="W21" s="1167"/>
      <c r="X21" s="224"/>
      <c r="Y21" s="1167"/>
      <c r="Z21" s="224"/>
      <c r="AA21" s="224"/>
      <c r="AB21" s="224"/>
      <c r="AC21" s="224"/>
      <c r="AD21" s="224"/>
      <c r="AE21" s="224"/>
      <c r="AF21" s="224"/>
      <c r="AG21" s="224"/>
      <c r="AH21" s="224"/>
      <c r="AI21" s="224"/>
      <c r="AJ21" s="224"/>
      <c r="AK21" s="1167"/>
      <c r="AM21" s="460" t="s">
        <v>14956</v>
      </c>
      <c r="AN21" s="354" t="s">
        <v>3632</v>
      </c>
      <c r="AO21" s="677" t="s">
        <v>14984</v>
      </c>
      <c r="AP21" s="677" t="s">
        <v>14985</v>
      </c>
      <c r="AQ21" s="677" t="s">
        <v>14986</v>
      </c>
      <c r="AR21" s="677" t="s">
        <v>14987</v>
      </c>
      <c r="AS21" s="677" t="s">
        <v>14988</v>
      </c>
      <c r="AT21" s="677" t="s">
        <v>14989</v>
      </c>
      <c r="AU21" s="677" t="s">
        <v>14990</v>
      </c>
      <c r="AV21" s="677" t="s">
        <v>14991</v>
      </c>
      <c r="AW21" s="677" t="s">
        <v>14992</v>
      </c>
      <c r="AX21" s="677" t="s">
        <v>14993</v>
      </c>
      <c r="AY21" s="677" t="s">
        <v>14994</v>
      </c>
      <c r="AZ21" s="798" t="s">
        <v>14995</v>
      </c>
    </row>
    <row r="22" spans="2:52" ht="15.75" customHeight="1">
      <c r="B22" s="460" t="s">
        <v>14996</v>
      </c>
      <c r="C22" s="354" t="s">
        <v>3630</v>
      </c>
      <c r="D22" s="286" t="s">
        <v>681</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14997</v>
      </c>
      <c r="T22" s="197"/>
      <c r="U22" s="437"/>
      <c r="V22" s="436"/>
      <c r="W22" s="1167"/>
      <c r="X22" s="224"/>
      <c r="Y22" s="1167"/>
      <c r="Z22" s="224"/>
      <c r="AA22" s="224"/>
      <c r="AB22" s="224"/>
      <c r="AC22" s="224"/>
      <c r="AD22" s="224"/>
      <c r="AE22" s="224"/>
      <c r="AF22" s="224"/>
      <c r="AG22" s="224"/>
      <c r="AH22" s="224"/>
      <c r="AI22" s="224"/>
      <c r="AJ22" s="224"/>
      <c r="AK22" s="1167"/>
      <c r="AM22" s="460" t="s">
        <v>14996</v>
      </c>
      <c r="AN22" s="354" t="s">
        <v>3630</v>
      </c>
      <c r="AO22" s="677" t="s">
        <v>14998</v>
      </c>
      <c r="AP22" s="677" t="s">
        <v>14999</v>
      </c>
      <c r="AQ22" s="677" t="s">
        <v>15000</v>
      </c>
      <c r="AR22" s="677" t="s">
        <v>15001</v>
      </c>
      <c r="AS22" s="677" t="s">
        <v>15002</v>
      </c>
      <c r="AT22" s="677" t="s">
        <v>15003</v>
      </c>
      <c r="AU22" s="677" t="s">
        <v>15004</v>
      </c>
      <c r="AV22" s="677" t="s">
        <v>15005</v>
      </c>
      <c r="AW22" s="677" t="s">
        <v>15006</v>
      </c>
      <c r="AX22" s="677" t="s">
        <v>15007</v>
      </c>
      <c r="AY22" s="677" t="s">
        <v>15008</v>
      </c>
      <c r="AZ22" s="798" t="s">
        <v>15009</v>
      </c>
    </row>
    <row r="23" spans="2:52" ht="15.75" customHeight="1">
      <c r="B23" s="460" t="s">
        <v>15010</v>
      </c>
      <c r="C23" s="354" t="s">
        <v>3631</v>
      </c>
      <c r="D23" s="286" t="s">
        <v>681</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15011</v>
      </c>
      <c r="T23" s="197"/>
      <c r="U23" s="437"/>
      <c r="V23" s="436"/>
      <c r="W23" s="1167"/>
      <c r="X23" s="224"/>
      <c r="Y23" s="1167"/>
      <c r="Z23" s="224"/>
      <c r="AA23" s="224"/>
      <c r="AB23" s="224"/>
      <c r="AC23" s="224"/>
      <c r="AD23" s="224"/>
      <c r="AE23" s="224"/>
      <c r="AF23" s="224"/>
      <c r="AG23" s="224"/>
      <c r="AH23" s="224"/>
      <c r="AI23" s="224"/>
      <c r="AJ23" s="224"/>
      <c r="AK23" s="1167"/>
      <c r="AM23" s="460" t="s">
        <v>15010</v>
      </c>
      <c r="AN23" s="354" t="s">
        <v>3631</v>
      </c>
      <c r="AO23" s="677" t="s">
        <v>15012</v>
      </c>
      <c r="AP23" s="677" t="s">
        <v>15013</v>
      </c>
      <c r="AQ23" s="677" t="s">
        <v>15014</v>
      </c>
      <c r="AR23" s="677" t="s">
        <v>15015</v>
      </c>
      <c r="AS23" s="677" t="s">
        <v>15016</v>
      </c>
      <c r="AT23" s="677" t="s">
        <v>15017</v>
      </c>
      <c r="AU23" s="677" t="s">
        <v>15018</v>
      </c>
      <c r="AV23" s="677" t="s">
        <v>15019</v>
      </c>
      <c r="AW23" s="677" t="s">
        <v>15020</v>
      </c>
      <c r="AX23" s="677" t="s">
        <v>15021</v>
      </c>
      <c r="AY23" s="677" t="s">
        <v>15022</v>
      </c>
      <c r="AZ23" s="798" t="s">
        <v>15023</v>
      </c>
    </row>
    <row r="24" spans="2:52" ht="32.25" customHeight="1" thickBot="1">
      <c r="B24" s="463" t="s">
        <v>15024</v>
      </c>
      <c r="C24" s="1081" t="s">
        <v>3632</v>
      </c>
      <c r="D24" s="355" t="s">
        <v>681</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15025</v>
      </c>
      <c r="T24" s="197"/>
      <c r="U24" s="434"/>
      <c r="V24" s="436"/>
      <c r="W24" s="1167"/>
      <c r="X24" s="224"/>
      <c r="Y24" s="1167"/>
      <c r="Z24" s="224"/>
      <c r="AA24" s="224"/>
      <c r="AB24" s="224"/>
      <c r="AC24" s="224"/>
      <c r="AD24" s="224"/>
      <c r="AE24" s="224"/>
      <c r="AF24" s="224"/>
      <c r="AG24" s="224"/>
      <c r="AH24" s="224"/>
      <c r="AI24" s="224"/>
      <c r="AJ24" s="224"/>
      <c r="AK24" s="1167"/>
      <c r="AM24" s="463" t="s">
        <v>15024</v>
      </c>
      <c r="AN24" s="1081" t="s">
        <v>3632</v>
      </c>
      <c r="AO24" s="679" t="s">
        <v>15026</v>
      </c>
      <c r="AP24" s="679" t="s">
        <v>15027</v>
      </c>
      <c r="AQ24" s="679" t="s">
        <v>15028</v>
      </c>
      <c r="AR24" s="679" t="s">
        <v>15029</v>
      </c>
      <c r="AS24" s="679" t="s">
        <v>15030</v>
      </c>
      <c r="AT24" s="679" t="s">
        <v>15031</v>
      </c>
      <c r="AU24" s="679" t="s">
        <v>15032</v>
      </c>
      <c r="AV24" s="679" t="s">
        <v>15033</v>
      </c>
      <c r="AW24" s="679" t="s">
        <v>15034</v>
      </c>
      <c r="AX24" s="679" t="s">
        <v>15035</v>
      </c>
      <c r="AY24" s="679" t="s">
        <v>15036</v>
      </c>
      <c r="AZ24" s="417" t="s">
        <v>15037</v>
      </c>
    </row>
    <row r="25" spans="2:52" ht="15.75"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82" priority="24" operator="equal">
      <formula>0</formula>
    </cfRule>
  </conditionalFormatting>
  <conditionalFormatting sqref="X4:X7">
    <cfRule type="cellIs" dxfId="181" priority="13" operator="equal">
      <formula>0</formula>
    </cfRule>
  </conditionalFormatting>
  <conditionalFormatting sqref="X1:X2">
    <cfRule type="cellIs" dxfId="180" priority="12" operator="equal">
      <formula>0</formula>
    </cfRule>
  </conditionalFormatting>
  <conditionalFormatting sqref="X11">
    <cfRule type="cellIs" dxfId="179" priority="4" operator="equal">
      <formula>0</formula>
    </cfRule>
  </conditionalFormatting>
  <conditionalFormatting sqref="X13:X14">
    <cfRule type="cellIs" dxfId="178" priority="3" operator="equal">
      <formula>0</formula>
    </cfRule>
  </conditionalFormatting>
  <conditionalFormatting sqref="X16:X17">
    <cfRule type="cellIs" dxfId="177" priority="2" operator="equal">
      <formula>0</formula>
    </cfRule>
  </conditionalFormatting>
  <conditionalFormatting sqref="X19:X20">
    <cfRule type="cellIs" dxfId="17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theme="0" tint="-0.499984740745262"/>
  </sheetPr>
  <dimension ref="B1:BS27"/>
  <sheetViews>
    <sheetView showGridLines="0" topLeftCell="V3" zoomScaleNormal="100" workbookViewId="0"/>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797" t="s">
        <v>15038</v>
      </c>
      <c r="C1" s="2797"/>
      <c r="D1" s="2797"/>
      <c r="E1" s="2797"/>
      <c r="F1" s="2797"/>
      <c r="G1" s="2797"/>
      <c r="H1" s="2797"/>
      <c r="I1" s="2797"/>
      <c r="J1" s="2797"/>
      <c r="K1" s="2797"/>
      <c r="L1" s="2797"/>
      <c r="M1" s="2797"/>
      <c r="N1" s="2797"/>
      <c r="O1" s="2797"/>
      <c r="P1" s="2797"/>
      <c r="Q1" s="2797"/>
      <c r="R1" s="2797"/>
      <c r="S1" s="2797"/>
      <c r="T1" s="2797"/>
      <c r="U1" s="2797"/>
      <c r="V1" s="2797"/>
      <c r="W1" s="2797"/>
      <c r="X1" s="2661"/>
      <c r="Y1" s="2661"/>
      <c r="AC1" s="1165"/>
      <c r="AD1" s="284"/>
      <c r="AE1" s="1165"/>
      <c r="AW1" s="1165"/>
      <c r="AY1" s="2797" t="s">
        <v>7220</v>
      </c>
      <c r="AZ1" s="2797"/>
      <c r="BA1" s="2797"/>
      <c r="BB1" s="2797"/>
      <c r="BC1" s="723"/>
    </row>
    <row r="2" spans="2:71" ht="23.25">
      <c r="B2" s="2797" t="str">
        <f>SelectCompany!B4</f>
        <v>Northumbrian Water</v>
      </c>
      <c r="C2" s="2797"/>
      <c r="D2" s="2797"/>
      <c r="E2" s="2797"/>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50000000000001" customHeight="1">
      <c r="B3" s="2810" t="s">
        <v>15039</v>
      </c>
      <c r="C3" s="2810"/>
      <c r="D3" s="2810"/>
      <c r="E3" s="2810"/>
      <c r="F3" s="2810"/>
      <c r="G3" s="2810"/>
      <c r="H3" s="2810"/>
      <c r="I3" s="2810"/>
      <c r="J3" s="2810"/>
      <c r="K3" s="2810"/>
      <c r="L3" s="2810"/>
      <c r="M3" s="2810"/>
      <c r="N3" s="2810"/>
      <c r="O3" s="2810"/>
      <c r="P3" s="2810"/>
      <c r="Q3" s="2810"/>
      <c r="R3" s="2807"/>
      <c r="S3" s="2807"/>
      <c r="T3" s="2807"/>
      <c r="U3" s="2807"/>
      <c r="V3" s="2807"/>
      <c r="W3" s="2807"/>
      <c r="X3" s="390"/>
      <c r="Y3" s="390"/>
      <c r="AA3" s="219"/>
      <c r="AC3" s="1165"/>
      <c r="AD3" s="650" t="s">
        <v>7222</v>
      </c>
      <c r="AE3" s="1165"/>
      <c r="AW3" s="1165"/>
      <c r="AY3" s="2807" t="s">
        <v>15039</v>
      </c>
      <c r="AZ3" s="2807"/>
      <c r="BA3" s="2807"/>
      <c r="BB3" s="2807"/>
      <c r="BC3" s="2807"/>
      <c r="BD3" s="2807"/>
      <c r="BE3" s="2807"/>
      <c r="BF3" s="2807"/>
      <c r="BG3" s="2807"/>
      <c r="BH3" s="2807"/>
      <c r="BI3" s="2807"/>
      <c r="BJ3" s="2807"/>
      <c r="BK3" s="2807"/>
      <c r="BL3" s="2807"/>
      <c r="BM3" s="2807"/>
      <c r="BN3" s="2807"/>
      <c r="BO3" s="2810"/>
      <c r="BP3" s="2810"/>
      <c r="BQ3" s="2810"/>
      <c r="BR3" s="2810"/>
      <c r="BS3" s="390"/>
    </row>
    <row r="4" spans="2:71" ht="24"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5" thickTop="1">
      <c r="B5" s="2855" t="s">
        <v>12360</v>
      </c>
      <c r="C5" s="2817"/>
      <c r="D5" s="2817" t="s">
        <v>7225</v>
      </c>
      <c r="E5" s="2817" t="s">
        <v>670</v>
      </c>
      <c r="F5" s="2813" t="s">
        <v>12178</v>
      </c>
      <c r="G5" s="2813"/>
      <c r="H5" s="2813"/>
      <c r="I5" s="2813"/>
      <c r="J5" s="2813"/>
      <c r="K5" s="2813"/>
      <c r="L5" s="2813"/>
      <c r="M5" s="2813"/>
      <c r="N5" s="2813"/>
      <c r="O5" s="2813" t="s">
        <v>12361</v>
      </c>
      <c r="P5" s="2813"/>
      <c r="Q5" s="2813"/>
      <c r="R5" s="2813"/>
      <c r="S5" s="2813"/>
      <c r="T5" s="2813"/>
      <c r="U5" s="2813"/>
      <c r="V5" s="2813"/>
      <c r="W5" s="2814"/>
      <c r="X5" s="731"/>
      <c r="Y5" s="2790" t="s">
        <v>7229</v>
      </c>
      <c r="Z5" s="242"/>
      <c r="AA5" s="2790" t="s">
        <v>7230</v>
      </c>
      <c r="AC5" s="1165"/>
      <c r="AD5" s="284"/>
      <c r="AE5" s="1165"/>
      <c r="AW5" s="1165"/>
      <c r="AY5" s="2855" t="s">
        <v>12360</v>
      </c>
      <c r="AZ5" s="2817"/>
      <c r="BA5" s="2813" t="s">
        <v>12178</v>
      </c>
      <c r="BB5" s="2813"/>
      <c r="BC5" s="2813"/>
      <c r="BD5" s="2813"/>
      <c r="BE5" s="2813"/>
      <c r="BF5" s="2813"/>
      <c r="BG5" s="2813"/>
      <c r="BH5" s="2813"/>
      <c r="BI5" s="2813"/>
      <c r="BJ5" s="2813" t="s">
        <v>12361</v>
      </c>
      <c r="BK5" s="2813"/>
      <c r="BL5" s="2813"/>
      <c r="BM5" s="2813"/>
      <c r="BN5" s="2813"/>
      <c r="BO5" s="2813"/>
      <c r="BP5" s="2813"/>
      <c r="BQ5" s="2813"/>
      <c r="BR5" s="2814"/>
      <c r="BS5" s="731"/>
    </row>
    <row r="6" spans="2:71" ht="15.75">
      <c r="B6" s="2856"/>
      <c r="C6" s="2857"/>
      <c r="D6" s="2857"/>
      <c r="E6" s="2857"/>
      <c r="F6" s="2835" t="s">
        <v>12179</v>
      </c>
      <c r="G6" s="2835"/>
      <c r="H6" s="2835"/>
      <c r="I6" s="2835"/>
      <c r="J6" s="2835"/>
      <c r="K6" s="2828" t="s">
        <v>8163</v>
      </c>
      <c r="L6" s="2828"/>
      <c r="M6" s="2828"/>
      <c r="N6" s="2885" t="s">
        <v>7445</v>
      </c>
      <c r="O6" s="2835" t="s">
        <v>12179</v>
      </c>
      <c r="P6" s="2835"/>
      <c r="Q6" s="2835"/>
      <c r="R6" s="2835"/>
      <c r="S6" s="2835"/>
      <c r="T6" s="2828" t="s">
        <v>8163</v>
      </c>
      <c r="U6" s="2828"/>
      <c r="V6" s="2828"/>
      <c r="W6" s="2887" t="s">
        <v>7445</v>
      </c>
      <c r="X6" s="106"/>
      <c r="Y6" s="2791"/>
      <c r="Z6" s="242"/>
      <c r="AA6" s="2791"/>
      <c r="AB6" s="730"/>
      <c r="AC6" s="1165"/>
      <c r="AD6" s="284"/>
      <c r="AE6" s="1165"/>
      <c r="AF6" s="2884" t="s">
        <v>7223</v>
      </c>
      <c r="AG6" s="2884"/>
      <c r="AH6" s="2884"/>
      <c r="AI6" s="2884"/>
      <c r="AJ6" s="2884"/>
      <c r="AK6" s="2884"/>
      <c r="AL6" s="2884"/>
      <c r="AM6" s="2884"/>
      <c r="AN6" s="2884"/>
      <c r="AO6" s="2884"/>
      <c r="AP6" s="2884"/>
      <c r="AQ6" s="2884"/>
      <c r="AR6" s="2884"/>
      <c r="AS6" s="2884"/>
      <c r="AT6" s="2884"/>
      <c r="AU6" s="2884"/>
      <c r="AV6" s="2884"/>
      <c r="AW6" s="1165"/>
      <c r="AY6" s="2856"/>
      <c r="AZ6" s="2857"/>
      <c r="BA6" s="2835" t="s">
        <v>12179</v>
      </c>
      <c r="BB6" s="2835"/>
      <c r="BC6" s="2835"/>
      <c r="BD6" s="2835"/>
      <c r="BE6" s="2835"/>
      <c r="BF6" s="2828" t="s">
        <v>8163</v>
      </c>
      <c r="BG6" s="2828"/>
      <c r="BH6" s="2828"/>
      <c r="BI6" s="2885" t="s">
        <v>7445</v>
      </c>
      <c r="BJ6" s="2835" t="s">
        <v>12179</v>
      </c>
      <c r="BK6" s="2835"/>
      <c r="BL6" s="2835"/>
      <c r="BM6" s="2835"/>
      <c r="BN6" s="2835"/>
      <c r="BO6" s="2828" t="s">
        <v>8163</v>
      </c>
      <c r="BP6" s="2828"/>
      <c r="BQ6" s="2828"/>
      <c r="BR6" s="2887" t="s">
        <v>7445</v>
      </c>
      <c r="BS6" s="106"/>
    </row>
    <row r="7" spans="2:71" ht="103.5" thickBot="1">
      <c r="B7" s="2858"/>
      <c r="C7" s="2818"/>
      <c r="D7" s="2818"/>
      <c r="E7" s="2818"/>
      <c r="F7" s="1202" t="s">
        <v>11204</v>
      </c>
      <c r="G7" s="1202" t="s">
        <v>11205</v>
      </c>
      <c r="H7" s="1202" t="s">
        <v>11206</v>
      </c>
      <c r="I7" s="1202" t="s">
        <v>11207</v>
      </c>
      <c r="J7" s="1202" t="s">
        <v>11509</v>
      </c>
      <c r="K7" s="1202" t="s">
        <v>11209</v>
      </c>
      <c r="L7" s="1202" t="s">
        <v>11210</v>
      </c>
      <c r="M7" s="1202" t="s">
        <v>11211</v>
      </c>
      <c r="N7" s="2886"/>
      <c r="O7" s="1202" t="s">
        <v>11204</v>
      </c>
      <c r="P7" s="1202" t="s">
        <v>11205</v>
      </c>
      <c r="Q7" s="1202" t="s">
        <v>11206</v>
      </c>
      <c r="R7" s="1202" t="s">
        <v>11207</v>
      </c>
      <c r="S7" s="1202" t="s">
        <v>11509</v>
      </c>
      <c r="T7" s="1202" t="s">
        <v>11209</v>
      </c>
      <c r="U7" s="1202" t="s">
        <v>11210</v>
      </c>
      <c r="V7" s="1202" t="s">
        <v>11211</v>
      </c>
      <c r="W7" s="2888"/>
      <c r="X7" s="106"/>
      <c r="Y7" s="2792"/>
      <c r="Z7" s="242"/>
      <c r="AA7" s="2792"/>
      <c r="AB7" s="282"/>
      <c r="AC7" s="1165"/>
      <c r="AD7" s="284"/>
      <c r="AE7" s="1165"/>
      <c r="AF7" s="106" t="s">
        <v>7231</v>
      </c>
      <c r="AW7" s="1165"/>
      <c r="AY7" s="2858"/>
      <c r="AZ7" s="2818"/>
      <c r="BA7" s="1202" t="s">
        <v>11204</v>
      </c>
      <c r="BB7" s="1202" t="s">
        <v>11205</v>
      </c>
      <c r="BC7" s="1202" t="s">
        <v>11206</v>
      </c>
      <c r="BD7" s="1202" t="s">
        <v>11207</v>
      </c>
      <c r="BE7" s="1202" t="s">
        <v>11509</v>
      </c>
      <c r="BF7" s="1202" t="s">
        <v>11209</v>
      </c>
      <c r="BG7" s="1202" t="s">
        <v>11210</v>
      </c>
      <c r="BH7" s="1202" t="s">
        <v>11211</v>
      </c>
      <c r="BI7" s="2886"/>
      <c r="BJ7" s="1202" t="s">
        <v>11204</v>
      </c>
      <c r="BK7" s="1202" t="s">
        <v>11205</v>
      </c>
      <c r="BL7" s="1202" t="s">
        <v>11206</v>
      </c>
      <c r="BM7" s="1202" t="s">
        <v>11207</v>
      </c>
      <c r="BN7" s="1202" t="s">
        <v>11509</v>
      </c>
      <c r="BO7" s="1202" t="s">
        <v>11209</v>
      </c>
      <c r="BP7" s="1202" t="s">
        <v>11210</v>
      </c>
      <c r="BQ7" s="1202" t="s">
        <v>11211</v>
      </c>
      <c r="BR7" s="2888"/>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14835</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14835</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14836</v>
      </c>
      <c r="C10" s="1063" t="s">
        <v>3630</v>
      </c>
      <c r="D10" s="277" t="s">
        <v>681</v>
      </c>
      <c r="E10" s="277">
        <v>3</v>
      </c>
      <c r="F10" s="694"/>
      <c r="G10" s="694"/>
      <c r="H10" s="694"/>
      <c r="I10" s="694"/>
      <c r="J10" s="694"/>
      <c r="K10" s="694"/>
      <c r="L10" s="694"/>
      <c r="M10" s="694"/>
      <c r="N10" s="1595">
        <f>IFERROR(SUM(F10:M10),0)</f>
        <v>0</v>
      </c>
      <c r="O10" s="694"/>
      <c r="P10" s="694"/>
      <c r="Q10" s="694"/>
      <c r="R10" s="694"/>
      <c r="S10" s="694"/>
      <c r="T10" s="694"/>
      <c r="U10" s="694"/>
      <c r="V10" s="694"/>
      <c r="W10" s="1596">
        <f>IFERROR(SUM(O10:V10),0)</f>
        <v>0</v>
      </c>
      <c r="X10" s="997"/>
      <c r="Y10" s="1066" t="s">
        <v>15040</v>
      </c>
      <c r="Z10" s="242"/>
      <c r="AA10" s="283"/>
      <c r="AB10" s="282"/>
      <c r="AC10" s="345"/>
      <c r="AD10" s="284" t="str">
        <f>IF( SUM( AF10:AV10 ) = 0, 0, $AF$7 )</f>
        <v>Please complete all cells in row</v>
      </c>
      <c r="AE10" s="345"/>
      <c r="AF10" s="1199">
        <f xml:space="preserve"> IF( ISNUMBER(F10), 0, 1 )</f>
        <v>1</v>
      </c>
      <c r="AG10" s="1199">
        <f t="shared" ref="AG10:AM10" si="0" xml:space="preserve"> IF( ISNUMBER(G10), 0, 1 )</f>
        <v>1</v>
      </c>
      <c r="AH10" s="1199">
        <f t="shared" si="0"/>
        <v>1</v>
      </c>
      <c r="AI10" s="1199">
        <f t="shared" si="0"/>
        <v>1</v>
      </c>
      <c r="AJ10" s="1199">
        <f t="shared" si="0"/>
        <v>1</v>
      </c>
      <c r="AK10" s="1199">
        <f t="shared" si="0"/>
        <v>1</v>
      </c>
      <c r="AL10" s="1199">
        <f t="shared" si="0"/>
        <v>1</v>
      </c>
      <c r="AM10" s="1199">
        <f t="shared" si="0"/>
        <v>1</v>
      </c>
      <c r="AN10" s="224"/>
      <c r="AO10" s="1199">
        <f t="shared" ref="AO10" si="1" xml:space="preserve"> IF( ISNUMBER(O10), 0, 1 )</f>
        <v>1</v>
      </c>
      <c r="AP10" s="1199">
        <f t="shared" ref="AP10" si="2" xml:space="preserve"> IF( ISNUMBER(P10), 0, 1 )</f>
        <v>1</v>
      </c>
      <c r="AQ10" s="1199">
        <f t="shared" ref="AQ10" si="3" xml:space="preserve"> IF( ISNUMBER(Q10), 0, 1 )</f>
        <v>1</v>
      </c>
      <c r="AR10" s="1199">
        <f t="shared" ref="AR10" si="4" xml:space="preserve"> IF( ISNUMBER(R10), 0, 1 )</f>
        <v>1</v>
      </c>
      <c r="AS10" s="1199">
        <f t="shared" ref="AS10" si="5" xml:space="preserve"> IF( ISNUMBER(S10), 0, 1 )</f>
        <v>1</v>
      </c>
      <c r="AT10" s="1199">
        <f t="shared" ref="AT10" si="6" xml:space="preserve"> IF( ISNUMBER(T10), 0, 1 )</f>
        <v>1</v>
      </c>
      <c r="AU10" s="1199">
        <f t="shared" ref="AU10" si="7" xml:space="preserve"> IF( ISNUMBER(U10), 0, 1 )</f>
        <v>1</v>
      </c>
      <c r="AV10" s="1199">
        <f t="shared" ref="AV10" si="8" xml:space="preserve"> IF( ISNUMBER(V10), 0, 1 )</f>
        <v>1</v>
      </c>
      <c r="AW10" s="345"/>
      <c r="AY10" s="1062" t="s">
        <v>14836</v>
      </c>
      <c r="AZ10" s="1063" t="s">
        <v>3630</v>
      </c>
      <c r="BA10" s="904" t="s">
        <v>15041</v>
      </c>
      <c r="BB10" s="904" t="s">
        <v>15042</v>
      </c>
      <c r="BC10" s="904" t="s">
        <v>15043</v>
      </c>
      <c r="BD10" s="904" t="s">
        <v>15044</v>
      </c>
      <c r="BE10" s="904" t="s">
        <v>15045</v>
      </c>
      <c r="BF10" s="904" t="s">
        <v>15046</v>
      </c>
      <c r="BG10" s="904" t="s">
        <v>15047</v>
      </c>
      <c r="BH10" s="904" t="s">
        <v>15048</v>
      </c>
      <c r="BI10" s="675" t="s">
        <v>15049</v>
      </c>
      <c r="BJ10" s="904" t="s">
        <v>15050</v>
      </c>
      <c r="BK10" s="904" t="s">
        <v>15051</v>
      </c>
      <c r="BL10" s="904" t="s">
        <v>15052</v>
      </c>
      <c r="BM10" s="904" t="s">
        <v>15053</v>
      </c>
      <c r="BN10" s="904" t="s">
        <v>15054</v>
      </c>
      <c r="BO10" s="904" t="s">
        <v>15055</v>
      </c>
      <c r="BP10" s="904" t="s">
        <v>15056</v>
      </c>
      <c r="BQ10" s="904" t="s">
        <v>15057</v>
      </c>
      <c r="BR10" s="416" t="s">
        <v>15058</v>
      </c>
      <c r="BS10" s="997"/>
    </row>
    <row r="11" spans="2:71" ht="15.75" customHeight="1">
      <c r="B11" s="1067" t="s">
        <v>14836</v>
      </c>
      <c r="C11" s="354" t="s">
        <v>3631</v>
      </c>
      <c r="D11" s="286" t="s">
        <v>681</v>
      </c>
      <c r="E11" s="286">
        <v>3</v>
      </c>
      <c r="F11" s="697"/>
      <c r="G11" s="697"/>
      <c r="H11" s="697"/>
      <c r="I11" s="697"/>
      <c r="J11" s="697"/>
      <c r="K11" s="697"/>
      <c r="L11" s="697"/>
      <c r="M11" s="697"/>
      <c r="N11" s="1597">
        <f>IFERROR(SUM(F11:M11),0)</f>
        <v>0</v>
      </c>
      <c r="O11" s="697"/>
      <c r="P11" s="697"/>
      <c r="Q11" s="697"/>
      <c r="R11" s="697"/>
      <c r="S11" s="697"/>
      <c r="T11" s="697"/>
      <c r="U11" s="697"/>
      <c r="V11" s="697"/>
      <c r="W11" s="1598">
        <f>IFERROR(SUM(O11:V11),0)</f>
        <v>0</v>
      </c>
      <c r="X11" s="997"/>
      <c r="Y11" s="1071" t="s">
        <v>15059</v>
      </c>
      <c r="Z11" s="242"/>
      <c r="AA11" s="291"/>
      <c r="AB11" s="282"/>
      <c r="AC11" s="345"/>
      <c r="AD11" s="284" t="str">
        <f>IF( SUM( AF11:AV11 ) = 0, 0, $AF$7 )</f>
        <v>Please complete all cells in row</v>
      </c>
      <c r="AE11" s="345"/>
      <c r="AF11" s="1199">
        <f xml:space="preserve"> IF( ISNUMBER(F11), 0, 1 )</f>
        <v>1</v>
      </c>
      <c r="AG11" s="1199">
        <f t="shared" ref="AG11" si="9" xml:space="preserve"> IF( ISNUMBER(G11), 0, 1 )</f>
        <v>1</v>
      </c>
      <c r="AH11" s="1199">
        <f t="shared" ref="AH11" si="10" xml:space="preserve"> IF( ISNUMBER(H11), 0, 1 )</f>
        <v>1</v>
      </c>
      <c r="AI11" s="1199">
        <f t="shared" ref="AI11" si="11" xml:space="preserve"> IF( ISNUMBER(I11), 0, 1 )</f>
        <v>1</v>
      </c>
      <c r="AJ11" s="1199">
        <f t="shared" ref="AJ11" si="12" xml:space="preserve"> IF( ISNUMBER(J11), 0, 1 )</f>
        <v>1</v>
      </c>
      <c r="AK11" s="1199">
        <f t="shared" ref="AK11" si="13" xml:space="preserve"> IF( ISNUMBER(K11), 0, 1 )</f>
        <v>1</v>
      </c>
      <c r="AL11" s="1199">
        <f t="shared" ref="AL11" si="14" xml:space="preserve"> IF( ISNUMBER(L11), 0, 1 )</f>
        <v>1</v>
      </c>
      <c r="AM11" s="1199">
        <f t="shared" ref="AM11" si="15" xml:space="preserve"> IF( ISNUMBER(M11), 0, 1 )</f>
        <v>1</v>
      </c>
      <c r="AN11" s="224"/>
      <c r="AO11" s="1199">
        <f t="shared" ref="AO11" si="16" xml:space="preserve"> IF( ISNUMBER(O11), 0, 1 )</f>
        <v>1</v>
      </c>
      <c r="AP11" s="1199">
        <f t="shared" ref="AP11" si="17" xml:space="preserve"> IF( ISNUMBER(P11), 0, 1 )</f>
        <v>1</v>
      </c>
      <c r="AQ11" s="1199">
        <f t="shared" ref="AQ11" si="18" xml:space="preserve"> IF( ISNUMBER(Q11), 0, 1 )</f>
        <v>1</v>
      </c>
      <c r="AR11" s="1199">
        <f t="shared" ref="AR11" si="19" xml:space="preserve"> IF( ISNUMBER(R11), 0, 1 )</f>
        <v>1</v>
      </c>
      <c r="AS11" s="1199">
        <f t="shared" ref="AS11" si="20" xml:space="preserve"> IF( ISNUMBER(S11), 0, 1 )</f>
        <v>1</v>
      </c>
      <c r="AT11" s="1199">
        <f t="shared" ref="AT11" si="21" xml:space="preserve"> IF( ISNUMBER(T11), 0, 1 )</f>
        <v>1</v>
      </c>
      <c r="AU11" s="1199">
        <f t="shared" ref="AU11" si="22" xml:space="preserve"> IF( ISNUMBER(U11), 0, 1 )</f>
        <v>1</v>
      </c>
      <c r="AV11" s="1199">
        <f t="shared" ref="AV11" si="23" xml:space="preserve"> IF( ISNUMBER(V11), 0, 1 )</f>
        <v>1</v>
      </c>
      <c r="AW11" s="345"/>
      <c r="AY11" s="1067" t="s">
        <v>14836</v>
      </c>
      <c r="AZ11" s="354" t="s">
        <v>3631</v>
      </c>
      <c r="BA11" s="905" t="s">
        <v>15060</v>
      </c>
      <c r="BB11" s="905" t="s">
        <v>15061</v>
      </c>
      <c r="BC11" s="905" t="s">
        <v>15062</v>
      </c>
      <c r="BD11" s="905" t="s">
        <v>15063</v>
      </c>
      <c r="BE11" s="905" t="s">
        <v>15064</v>
      </c>
      <c r="BF11" s="905" t="s">
        <v>15065</v>
      </c>
      <c r="BG11" s="905" t="s">
        <v>15066</v>
      </c>
      <c r="BH11" s="905" t="s">
        <v>15067</v>
      </c>
      <c r="BI11" s="677" t="s">
        <v>15068</v>
      </c>
      <c r="BJ11" s="905" t="s">
        <v>15069</v>
      </c>
      <c r="BK11" s="905" t="s">
        <v>15070</v>
      </c>
      <c r="BL11" s="905" t="s">
        <v>15071</v>
      </c>
      <c r="BM11" s="905" t="s">
        <v>15072</v>
      </c>
      <c r="BN11" s="905" t="s">
        <v>15073</v>
      </c>
      <c r="BO11" s="905" t="s">
        <v>15074</v>
      </c>
      <c r="BP11" s="905" t="s">
        <v>15075</v>
      </c>
      <c r="BQ11" s="905" t="s">
        <v>15076</v>
      </c>
      <c r="BR11" s="893" t="s">
        <v>15077</v>
      </c>
      <c r="BS11" s="997"/>
    </row>
    <row r="12" spans="2:71" ht="15.75" customHeight="1">
      <c r="B12" s="1067" t="s">
        <v>14836</v>
      </c>
      <c r="C12" s="354" t="s">
        <v>3632</v>
      </c>
      <c r="D12" s="286" t="s">
        <v>681</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15078</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14836</v>
      </c>
      <c r="AZ12" s="354" t="s">
        <v>3632</v>
      </c>
      <c r="BA12" s="677" t="s">
        <v>15079</v>
      </c>
      <c r="BB12" s="677" t="s">
        <v>15080</v>
      </c>
      <c r="BC12" s="677" t="s">
        <v>15081</v>
      </c>
      <c r="BD12" s="677" t="s">
        <v>15082</v>
      </c>
      <c r="BE12" s="677" t="s">
        <v>15083</v>
      </c>
      <c r="BF12" s="677" t="s">
        <v>15084</v>
      </c>
      <c r="BG12" s="677" t="s">
        <v>15085</v>
      </c>
      <c r="BH12" s="677" t="s">
        <v>15086</v>
      </c>
      <c r="BI12" s="677" t="s">
        <v>15087</v>
      </c>
      <c r="BJ12" s="677" t="s">
        <v>15088</v>
      </c>
      <c r="BK12" s="677" t="s">
        <v>15089</v>
      </c>
      <c r="BL12" s="677" t="s">
        <v>15090</v>
      </c>
      <c r="BM12" s="677" t="s">
        <v>15091</v>
      </c>
      <c r="BN12" s="677" t="s">
        <v>15092</v>
      </c>
      <c r="BO12" s="677" t="s">
        <v>15093</v>
      </c>
      <c r="BP12" s="677" t="s">
        <v>15094</v>
      </c>
      <c r="BQ12" s="677" t="s">
        <v>15095</v>
      </c>
      <c r="BR12" s="893" t="s">
        <v>15096</v>
      </c>
      <c r="BS12" s="997"/>
    </row>
    <row r="13" spans="2:71" ht="15.75" customHeight="1">
      <c r="B13" s="1067" t="s">
        <v>14876</v>
      </c>
      <c r="C13" s="354" t="s">
        <v>3630</v>
      </c>
      <c r="D13" s="286" t="s">
        <v>681</v>
      </c>
      <c r="E13" s="286">
        <v>3</v>
      </c>
      <c r="F13" s="697"/>
      <c r="G13" s="697"/>
      <c r="H13" s="697"/>
      <c r="I13" s="697"/>
      <c r="J13" s="697"/>
      <c r="K13" s="697"/>
      <c r="L13" s="697"/>
      <c r="M13" s="697"/>
      <c r="N13" s="1597">
        <f>IFERROR(SUM(F13:M13),0)</f>
        <v>0</v>
      </c>
      <c r="O13" s="697"/>
      <c r="P13" s="697"/>
      <c r="Q13" s="697"/>
      <c r="R13" s="697"/>
      <c r="S13" s="697"/>
      <c r="T13" s="697"/>
      <c r="U13" s="697"/>
      <c r="V13" s="697"/>
      <c r="W13" s="1598">
        <f>IFERROR(SUM(O13:V13),0)</f>
        <v>0</v>
      </c>
      <c r="X13" s="997"/>
      <c r="Y13" s="1071" t="s">
        <v>15097</v>
      </c>
      <c r="Z13" s="242"/>
      <c r="AA13" s="291"/>
      <c r="AB13" s="282"/>
      <c r="AC13" s="345"/>
      <c r="AD13" s="284" t="str">
        <f t="shared" ref="AD13:AD14" si="25">IF( SUM( AF13:AV13 ) = 0, 0, $AF$7 )</f>
        <v>Please complete all cells in row</v>
      </c>
      <c r="AE13" s="345"/>
      <c r="AF13" s="1199">
        <f xml:space="preserve"> IF( ISNUMBER(F13), 0, 1 )</f>
        <v>1</v>
      </c>
      <c r="AG13" s="1199">
        <f t="shared" ref="AG13:AG14" si="26" xml:space="preserve"> IF( ISNUMBER(G13), 0, 1 )</f>
        <v>1</v>
      </c>
      <c r="AH13" s="1199">
        <f t="shared" ref="AH13:AH14" si="27" xml:space="preserve"> IF( ISNUMBER(H13), 0, 1 )</f>
        <v>1</v>
      </c>
      <c r="AI13" s="1199">
        <f t="shared" ref="AI13:AI14" si="28" xml:space="preserve"> IF( ISNUMBER(I13), 0, 1 )</f>
        <v>1</v>
      </c>
      <c r="AJ13" s="1199">
        <f t="shared" ref="AJ13:AJ14" si="29" xml:space="preserve"> IF( ISNUMBER(J13), 0, 1 )</f>
        <v>1</v>
      </c>
      <c r="AK13" s="1199">
        <f t="shared" ref="AK13:AK14" si="30" xml:space="preserve"> IF( ISNUMBER(K13), 0, 1 )</f>
        <v>1</v>
      </c>
      <c r="AL13" s="1199">
        <f t="shared" ref="AL13:AL14" si="31" xml:space="preserve"> IF( ISNUMBER(L13), 0, 1 )</f>
        <v>1</v>
      </c>
      <c r="AM13" s="1199">
        <f t="shared" ref="AM13:AM14" si="32" xml:space="preserve"> IF( ISNUMBER(M13), 0, 1 )</f>
        <v>1</v>
      </c>
      <c r="AN13" s="224"/>
      <c r="AO13" s="1199">
        <f t="shared" ref="AO13:AO14" si="33" xml:space="preserve"> IF( ISNUMBER(O13), 0, 1 )</f>
        <v>1</v>
      </c>
      <c r="AP13" s="1199">
        <f t="shared" ref="AP13:AP14" si="34" xml:space="preserve"> IF( ISNUMBER(P13), 0, 1 )</f>
        <v>1</v>
      </c>
      <c r="AQ13" s="1199">
        <f t="shared" ref="AQ13:AQ14" si="35" xml:space="preserve"> IF( ISNUMBER(Q13), 0, 1 )</f>
        <v>1</v>
      </c>
      <c r="AR13" s="1199">
        <f t="shared" ref="AR13:AR14" si="36" xml:space="preserve"> IF( ISNUMBER(R13), 0, 1 )</f>
        <v>1</v>
      </c>
      <c r="AS13" s="1199">
        <f t="shared" ref="AS13:AS14" si="37" xml:space="preserve"> IF( ISNUMBER(S13), 0, 1 )</f>
        <v>1</v>
      </c>
      <c r="AT13" s="1199">
        <f t="shared" ref="AT13:AT14" si="38" xml:space="preserve"> IF( ISNUMBER(T13), 0, 1 )</f>
        <v>1</v>
      </c>
      <c r="AU13" s="1199">
        <f t="shared" ref="AU13:AU14" si="39" xml:space="preserve"> IF( ISNUMBER(U13), 0, 1 )</f>
        <v>1</v>
      </c>
      <c r="AV13" s="1199">
        <f t="shared" ref="AV13:AV14" si="40" xml:space="preserve"> IF( ISNUMBER(V13), 0, 1 )</f>
        <v>1</v>
      </c>
      <c r="AW13" s="345"/>
      <c r="AY13" s="1067" t="s">
        <v>14876</v>
      </c>
      <c r="AZ13" s="354" t="s">
        <v>3630</v>
      </c>
      <c r="BA13" s="905" t="s">
        <v>15098</v>
      </c>
      <c r="BB13" s="905" t="s">
        <v>15099</v>
      </c>
      <c r="BC13" s="905" t="s">
        <v>15100</v>
      </c>
      <c r="BD13" s="905" t="s">
        <v>15101</v>
      </c>
      <c r="BE13" s="905" t="s">
        <v>15102</v>
      </c>
      <c r="BF13" s="905" t="s">
        <v>15103</v>
      </c>
      <c r="BG13" s="905" t="s">
        <v>15104</v>
      </c>
      <c r="BH13" s="905" t="s">
        <v>15105</v>
      </c>
      <c r="BI13" s="677" t="s">
        <v>15106</v>
      </c>
      <c r="BJ13" s="905" t="s">
        <v>15107</v>
      </c>
      <c r="BK13" s="905" t="s">
        <v>15108</v>
      </c>
      <c r="BL13" s="905" t="s">
        <v>15109</v>
      </c>
      <c r="BM13" s="905" t="s">
        <v>15110</v>
      </c>
      <c r="BN13" s="905" t="s">
        <v>15111</v>
      </c>
      <c r="BO13" s="905" t="s">
        <v>15112</v>
      </c>
      <c r="BP13" s="905" t="s">
        <v>15113</v>
      </c>
      <c r="BQ13" s="905" t="s">
        <v>15114</v>
      </c>
      <c r="BR13" s="893" t="s">
        <v>15115</v>
      </c>
      <c r="BS13" s="997"/>
    </row>
    <row r="14" spans="2:71" ht="15.75" customHeight="1">
      <c r="B14" s="1067" t="s">
        <v>14876</v>
      </c>
      <c r="C14" s="354" t="s">
        <v>3631</v>
      </c>
      <c r="D14" s="286" t="s">
        <v>681</v>
      </c>
      <c r="E14" s="286">
        <v>3</v>
      </c>
      <c r="F14" s="697"/>
      <c r="G14" s="697"/>
      <c r="H14" s="697"/>
      <c r="I14" s="697"/>
      <c r="J14" s="697"/>
      <c r="K14" s="697"/>
      <c r="L14" s="697"/>
      <c r="M14" s="697"/>
      <c r="N14" s="1597">
        <f>IFERROR(SUM(F14:M14),0)</f>
        <v>0</v>
      </c>
      <c r="O14" s="697"/>
      <c r="P14" s="697"/>
      <c r="Q14" s="697"/>
      <c r="R14" s="697"/>
      <c r="S14" s="697"/>
      <c r="T14" s="697"/>
      <c r="U14" s="697"/>
      <c r="V14" s="697"/>
      <c r="W14" s="1598">
        <f>IFERROR(SUM(O14:V14),0)</f>
        <v>0</v>
      </c>
      <c r="X14" s="997"/>
      <c r="Y14" s="1071" t="s">
        <v>15116</v>
      </c>
      <c r="Z14" s="242"/>
      <c r="AA14" s="291"/>
      <c r="AB14" s="282"/>
      <c r="AC14" s="1165"/>
      <c r="AD14" s="284" t="str">
        <f t="shared" si="25"/>
        <v>Please complete all cells in row</v>
      </c>
      <c r="AE14" s="1165"/>
      <c r="AF14" s="1199">
        <f xml:space="preserve"> IF( ISNUMBER(F14), 0, 1 )</f>
        <v>1</v>
      </c>
      <c r="AG14" s="1199">
        <f t="shared" si="26"/>
        <v>1</v>
      </c>
      <c r="AH14" s="1199">
        <f t="shared" si="27"/>
        <v>1</v>
      </c>
      <c r="AI14" s="1199">
        <f t="shared" si="28"/>
        <v>1</v>
      </c>
      <c r="AJ14" s="1199">
        <f t="shared" si="29"/>
        <v>1</v>
      </c>
      <c r="AK14" s="1199">
        <f t="shared" si="30"/>
        <v>1</v>
      </c>
      <c r="AL14" s="1199">
        <f t="shared" si="31"/>
        <v>1</v>
      </c>
      <c r="AM14" s="1199">
        <f t="shared" si="32"/>
        <v>1</v>
      </c>
      <c r="AN14" s="224"/>
      <c r="AO14" s="1199">
        <f t="shared" si="33"/>
        <v>1</v>
      </c>
      <c r="AP14" s="1199">
        <f t="shared" si="34"/>
        <v>1</v>
      </c>
      <c r="AQ14" s="1199">
        <f t="shared" si="35"/>
        <v>1</v>
      </c>
      <c r="AR14" s="1199">
        <f t="shared" si="36"/>
        <v>1</v>
      </c>
      <c r="AS14" s="1199">
        <f t="shared" si="37"/>
        <v>1</v>
      </c>
      <c r="AT14" s="1199">
        <f t="shared" si="38"/>
        <v>1</v>
      </c>
      <c r="AU14" s="1199">
        <f t="shared" si="39"/>
        <v>1</v>
      </c>
      <c r="AV14" s="1199">
        <f t="shared" si="40"/>
        <v>1</v>
      </c>
      <c r="AW14" s="1165"/>
      <c r="AY14" s="1067" t="s">
        <v>14876</v>
      </c>
      <c r="AZ14" s="354" t="s">
        <v>3631</v>
      </c>
      <c r="BA14" s="905" t="s">
        <v>15117</v>
      </c>
      <c r="BB14" s="905" t="s">
        <v>15118</v>
      </c>
      <c r="BC14" s="905" t="s">
        <v>15119</v>
      </c>
      <c r="BD14" s="905" t="s">
        <v>15120</v>
      </c>
      <c r="BE14" s="905" t="s">
        <v>15121</v>
      </c>
      <c r="BF14" s="905" t="s">
        <v>15122</v>
      </c>
      <c r="BG14" s="905" t="s">
        <v>15123</v>
      </c>
      <c r="BH14" s="905" t="s">
        <v>15124</v>
      </c>
      <c r="BI14" s="677" t="s">
        <v>15125</v>
      </c>
      <c r="BJ14" s="905" t="s">
        <v>15126</v>
      </c>
      <c r="BK14" s="905" t="s">
        <v>15127</v>
      </c>
      <c r="BL14" s="905" t="s">
        <v>15128</v>
      </c>
      <c r="BM14" s="905" t="s">
        <v>15129</v>
      </c>
      <c r="BN14" s="905" t="s">
        <v>15130</v>
      </c>
      <c r="BO14" s="905" t="s">
        <v>15131</v>
      </c>
      <c r="BP14" s="905" t="s">
        <v>15132</v>
      </c>
      <c r="BQ14" s="905" t="s">
        <v>15133</v>
      </c>
      <c r="BR14" s="893" t="s">
        <v>15134</v>
      </c>
      <c r="BS14" s="997"/>
    </row>
    <row r="15" spans="2:71" ht="15.75" customHeight="1">
      <c r="B15" s="1067" t="s">
        <v>14876</v>
      </c>
      <c r="C15" s="354" t="s">
        <v>3632</v>
      </c>
      <c r="D15" s="286" t="s">
        <v>681</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15135</v>
      </c>
      <c r="Z15" s="242"/>
      <c r="AA15" s="291"/>
      <c r="AB15" s="282"/>
      <c r="AC15" s="1165"/>
      <c r="AD15" s="284"/>
      <c r="AE15" s="1165"/>
      <c r="AW15" s="1165"/>
      <c r="AY15" s="1067" t="s">
        <v>14876</v>
      </c>
      <c r="AZ15" s="354" t="s">
        <v>3632</v>
      </c>
      <c r="BA15" s="677" t="s">
        <v>15136</v>
      </c>
      <c r="BB15" s="677" t="s">
        <v>15137</v>
      </c>
      <c r="BC15" s="677" t="s">
        <v>15138</v>
      </c>
      <c r="BD15" s="677" t="s">
        <v>15139</v>
      </c>
      <c r="BE15" s="677" t="s">
        <v>15140</v>
      </c>
      <c r="BF15" s="677" t="s">
        <v>15141</v>
      </c>
      <c r="BG15" s="677" t="s">
        <v>15142</v>
      </c>
      <c r="BH15" s="677" t="s">
        <v>15143</v>
      </c>
      <c r="BI15" s="677" t="s">
        <v>15144</v>
      </c>
      <c r="BJ15" s="677" t="s">
        <v>15145</v>
      </c>
      <c r="BK15" s="677" t="s">
        <v>15146</v>
      </c>
      <c r="BL15" s="677" t="s">
        <v>15147</v>
      </c>
      <c r="BM15" s="677" t="s">
        <v>15148</v>
      </c>
      <c r="BN15" s="677" t="s">
        <v>15149</v>
      </c>
      <c r="BO15" s="677" t="s">
        <v>15150</v>
      </c>
      <c r="BP15" s="677" t="s">
        <v>15151</v>
      </c>
      <c r="BQ15" s="677" t="s">
        <v>15152</v>
      </c>
      <c r="BR15" s="893" t="s">
        <v>15153</v>
      </c>
      <c r="BS15" s="997"/>
    </row>
    <row r="16" spans="2:71" ht="15.75" customHeight="1">
      <c r="B16" s="1067" t="s">
        <v>14916</v>
      </c>
      <c r="C16" s="354" t="s">
        <v>3630</v>
      </c>
      <c r="D16" s="286" t="s">
        <v>681</v>
      </c>
      <c r="E16" s="286">
        <v>3</v>
      </c>
      <c r="F16" s="697"/>
      <c r="G16" s="697"/>
      <c r="H16" s="697"/>
      <c r="I16" s="697"/>
      <c r="J16" s="697"/>
      <c r="K16" s="697"/>
      <c r="L16" s="697"/>
      <c r="M16" s="697"/>
      <c r="N16" s="1597">
        <f>IFERROR(SUM(F16:M16),0)</f>
        <v>0</v>
      </c>
      <c r="O16" s="697"/>
      <c r="P16" s="697"/>
      <c r="Q16" s="697"/>
      <c r="R16" s="697"/>
      <c r="S16" s="697"/>
      <c r="T16" s="697"/>
      <c r="U16" s="697"/>
      <c r="V16" s="697"/>
      <c r="W16" s="1598">
        <f>IFERROR(SUM(O16:V16),0)</f>
        <v>0</v>
      </c>
      <c r="X16" s="997"/>
      <c r="Y16" s="1071" t="s">
        <v>15154</v>
      </c>
      <c r="Z16" s="242"/>
      <c r="AA16" s="291"/>
      <c r="AB16" s="282"/>
      <c r="AC16" s="1165"/>
      <c r="AD16" s="284" t="str">
        <f t="shared" ref="AD16:AD17" si="42">IF( SUM( AF16:AV16 ) = 0, 0, $AF$7 )</f>
        <v>Please complete all cells in row</v>
      </c>
      <c r="AE16" s="1165"/>
      <c r="AF16" s="1199">
        <f xml:space="preserve"> IF( ISNUMBER(F16), 0, 1 )</f>
        <v>1</v>
      </c>
      <c r="AG16" s="1199">
        <f t="shared" ref="AG16:AG17" si="43" xml:space="preserve"> IF( ISNUMBER(G16), 0, 1 )</f>
        <v>1</v>
      </c>
      <c r="AH16" s="1199">
        <f t="shared" ref="AH16:AH17" si="44" xml:space="preserve"> IF( ISNUMBER(H16), 0, 1 )</f>
        <v>1</v>
      </c>
      <c r="AI16" s="1199">
        <f t="shared" ref="AI16:AI17" si="45" xml:space="preserve"> IF( ISNUMBER(I16), 0, 1 )</f>
        <v>1</v>
      </c>
      <c r="AJ16" s="1199">
        <f t="shared" ref="AJ16:AJ17" si="46" xml:space="preserve"> IF( ISNUMBER(J16), 0, 1 )</f>
        <v>1</v>
      </c>
      <c r="AK16" s="1199">
        <f t="shared" ref="AK16:AK17" si="47" xml:space="preserve"> IF( ISNUMBER(K16), 0, 1 )</f>
        <v>1</v>
      </c>
      <c r="AL16" s="1199">
        <f t="shared" ref="AL16:AL17" si="48" xml:space="preserve"> IF( ISNUMBER(L16), 0, 1 )</f>
        <v>1</v>
      </c>
      <c r="AM16" s="1199">
        <f t="shared" ref="AM16:AM17" si="49" xml:space="preserve"> IF( ISNUMBER(M16), 0, 1 )</f>
        <v>1</v>
      </c>
      <c r="AN16" s="224"/>
      <c r="AO16" s="1199">
        <f t="shared" ref="AO16:AO17" si="50" xml:space="preserve"> IF( ISNUMBER(O16), 0, 1 )</f>
        <v>1</v>
      </c>
      <c r="AP16" s="1199">
        <f t="shared" ref="AP16:AP17" si="51" xml:space="preserve"> IF( ISNUMBER(P16), 0, 1 )</f>
        <v>1</v>
      </c>
      <c r="AQ16" s="1199">
        <f t="shared" ref="AQ16:AQ17" si="52" xml:space="preserve"> IF( ISNUMBER(Q16), 0, 1 )</f>
        <v>1</v>
      </c>
      <c r="AR16" s="1199">
        <f t="shared" ref="AR16:AR17" si="53" xml:space="preserve"> IF( ISNUMBER(R16), 0, 1 )</f>
        <v>1</v>
      </c>
      <c r="AS16" s="1199">
        <f t="shared" ref="AS16:AS17" si="54" xml:space="preserve"> IF( ISNUMBER(S16), 0, 1 )</f>
        <v>1</v>
      </c>
      <c r="AT16" s="1199">
        <f t="shared" ref="AT16:AT17" si="55" xml:space="preserve"> IF( ISNUMBER(T16), 0, 1 )</f>
        <v>1</v>
      </c>
      <c r="AU16" s="1199">
        <f t="shared" ref="AU16:AU17" si="56" xml:space="preserve"> IF( ISNUMBER(U16), 0, 1 )</f>
        <v>1</v>
      </c>
      <c r="AV16" s="1199">
        <f t="shared" ref="AV16:AV17" si="57" xml:space="preserve"> IF( ISNUMBER(V16), 0, 1 )</f>
        <v>1</v>
      </c>
      <c r="AW16" s="1165"/>
      <c r="AY16" s="1067" t="s">
        <v>14916</v>
      </c>
      <c r="AZ16" s="354" t="s">
        <v>3630</v>
      </c>
      <c r="BA16" s="905" t="s">
        <v>15155</v>
      </c>
      <c r="BB16" s="905" t="s">
        <v>15156</v>
      </c>
      <c r="BC16" s="905" t="s">
        <v>15157</v>
      </c>
      <c r="BD16" s="905" t="s">
        <v>15158</v>
      </c>
      <c r="BE16" s="905" t="s">
        <v>15159</v>
      </c>
      <c r="BF16" s="905" t="s">
        <v>15160</v>
      </c>
      <c r="BG16" s="905" t="s">
        <v>15161</v>
      </c>
      <c r="BH16" s="905" t="s">
        <v>15162</v>
      </c>
      <c r="BI16" s="677" t="s">
        <v>15163</v>
      </c>
      <c r="BJ16" s="905" t="s">
        <v>15164</v>
      </c>
      <c r="BK16" s="905" t="s">
        <v>15165</v>
      </c>
      <c r="BL16" s="905" t="s">
        <v>15166</v>
      </c>
      <c r="BM16" s="905" t="s">
        <v>15167</v>
      </c>
      <c r="BN16" s="905" t="s">
        <v>15168</v>
      </c>
      <c r="BO16" s="905" t="s">
        <v>15169</v>
      </c>
      <c r="BP16" s="905" t="s">
        <v>15170</v>
      </c>
      <c r="BQ16" s="905" t="s">
        <v>15171</v>
      </c>
      <c r="BR16" s="893" t="s">
        <v>15172</v>
      </c>
      <c r="BS16" s="997"/>
    </row>
    <row r="17" spans="2:71" ht="15.75" customHeight="1">
      <c r="B17" s="1067" t="s">
        <v>14916</v>
      </c>
      <c r="C17" s="354" t="s">
        <v>3631</v>
      </c>
      <c r="D17" s="286" t="s">
        <v>681</v>
      </c>
      <c r="E17" s="286">
        <v>3</v>
      </c>
      <c r="F17" s="697"/>
      <c r="G17" s="697"/>
      <c r="H17" s="697"/>
      <c r="I17" s="697"/>
      <c r="J17" s="697"/>
      <c r="K17" s="697"/>
      <c r="L17" s="697"/>
      <c r="M17" s="697"/>
      <c r="N17" s="1597">
        <f>IFERROR(SUM(F17:M17),0)</f>
        <v>0</v>
      </c>
      <c r="O17" s="697"/>
      <c r="P17" s="697"/>
      <c r="Q17" s="697"/>
      <c r="R17" s="697"/>
      <c r="S17" s="697"/>
      <c r="T17" s="697"/>
      <c r="U17" s="697"/>
      <c r="V17" s="697"/>
      <c r="W17" s="1598">
        <f>IFERROR(SUM(O17:V17),0)</f>
        <v>0</v>
      </c>
      <c r="X17" s="997"/>
      <c r="Y17" s="1071" t="s">
        <v>15173</v>
      </c>
      <c r="Z17" s="242"/>
      <c r="AA17" s="291"/>
      <c r="AB17" s="282"/>
      <c r="AC17" s="1167"/>
      <c r="AD17" s="284" t="str">
        <f t="shared" si="42"/>
        <v>Please complete all cells in row</v>
      </c>
      <c r="AE17" s="1167"/>
      <c r="AF17" s="1199">
        <f xml:space="preserve"> IF( ISNUMBER(F17), 0, 1 )</f>
        <v>1</v>
      </c>
      <c r="AG17" s="1199">
        <f t="shared" si="43"/>
        <v>1</v>
      </c>
      <c r="AH17" s="1199">
        <f t="shared" si="44"/>
        <v>1</v>
      </c>
      <c r="AI17" s="1199">
        <f t="shared" si="45"/>
        <v>1</v>
      </c>
      <c r="AJ17" s="1199">
        <f t="shared" si="46"/>
        <v>1</v>
      </c>
      <c r="AK17" s="1199">
        <f t="shared" si="47"/>
        <v>1</v>
      </c>
      <c r="AL17" s="1199">
        <f t="shared" si="48"/>
        <v>1</v>
      </c>
      <c r="AM17" s="1199">
        <f t="shared" si="49"/>
        <v>1</v>
      </c>
      <c r="AN17" s="224"/>
      <c r="AO17" s="1199">
        <f t="shared" si="50"/>
        <v>1</v>
      </c>
      <c r="AP17" s="1199">
        <f t="shared" si="51"/>
        <v>1</v>
      </c>
      <c r="AQ17" s="1199">
        <f t="shared" si="52"/>
        <v>1</v>
      </c>
      <c r="AR17" s="1199">
        <f t="shared" si="53"/>
        <v>1</v>
      </c>
      <c r="AS17" s="1199">
        <f t="shared" si="54"/>
        <v>1</v>
      </c>
      <c r="AT17" s="1199">
        <f t="shared" si="55"/>
        <v>1</v>
      </c>
      <c r="AU17" s="1199">
        <f t="shared" si="56"/>
        <v>1</v>
      </c>
      <c r="AV17" s="1199">
        <f t="shared" si="57"/>
        <v>1</v>
      </c>
      <c r="AW17" s="1167"/>
      <c r="AY17" s="1067" t="s">
        <v>14916</v>
      </c>
      <c r="AZ17" s="354" t="s">
        <v>3631</v>
      </c>
      <c r="BA17" s="905" t="s">
        <v>15174</v>
      </c>
      <c r="BB17" s="905" t="s">
        <v>15175</v>
      </c>
      <c r="BC17" s="905" t="s">
        <v>15176</v>
      </c>
      <c r="BD17" s="905" t="s">
        <v>15177</v>
      </c>
      <c r="BE17" s="905" t="s">
        <v>15178</v>
      </c>
      <c r="BF17" s="905" t="s">
        <v>15179</v>
      </c>
      <c r="BG17" s="905" t="s">
        <v>15180</v>
      </c>
      <c r="BH17" s="905" t="s">
        <v>15181</v>
      </c>
      <c r="BI17" s="677" t="s">
        <v>15182</v>
      </c>
      <c r="BJ17" s="905" t="s">
        <v>15183</v>
      </c>
      <c r="BK17" s="905" t="s">
        <v>15184</v>
      </c>
      <c r="BL17" s="905" t="s">
        <v>15185</v>
      </c>
      <c r="BM17" s="905" t="s">
        <v>15186</v>
      </c>
      <c r="BN17" s="905" t="s">
        <v>15187</v>
      </c>
      <c r="BO17" s="905" t="s">
        <v>15188</v>
      </c>
      <c r="BP17" s="905" t="s">
        <v>15189</v>
      </c>
      <c r="BQ17" s="905" t="s">
        <v>15190</v>
      </c>
      <c r="BR17" s="893" t="s">
        <v>15191</v>
      </c>
      <c r="BS17" s="997"/>
    </row>
    <row r="18" spans="2:71" ht="15.75" customHeight="1">
      <c r="B18" s="1067" t="s">
        <v>14916</v>
      </c>
      <c r="C18" s="354" t="s">
        <v>3632</v>
      </c>
      <c r="D18" s="286" t="s">
        <v>681</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15192</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14916</v>
      </c>
      <c r="AZ18" s="354" t="s">
        <v>3632</v>
      </c>
      <c r="BA18" s="677" t="s">
        <v>15193</v>
      </c>
      <c r="BB18" s="677" t="s">
        <v>15194</v>
      </c>
      <c r="BC18" s="677" t="s">
        <v>15195</v>
      </c>
      <c r="BD18" s="677" t="s">
        <v>15196</v>
      </c>
      <c r="BE18" s="677" t="s">
        <v>15197</v>
      </c>
      <c r="BF18" s="677" t="s">
        <v>15198</v>
      </c>
      <c r="BG18" s="677" t="s">
        <v>15199</v>
      </c>
      <c r="BH18" s="677" t="s">
        <v>15200</v>
      </c>
      <c r="BI18" s="677" t="s">
        <v>15201</v>
      </c>
      <c r="BJ18" s="677" t="s">
        <v>15202</v>
      </c>
      <c r="BK18" s="677" t="s">
        <v>15203</v>
      </c>
      <c r="BL18" s="677" t="s">
        <v>15204</v>
      </c>
      <c r="BM18" s="677" t="s">
        <v>15205</v>
      </c>
      <c r="BN18" s="677" t="s">
        <v>15206</v>
      </c>
      <c r="BO18" s="677" t="s">
        <v>15207</v>
      </c>
      <c r="BP18" s="677" t="s">
        <v>15208</v>
      </c>
      <c r="BQ18" s="677" t="s">
        <v>15209</v>
      </c>
      <c r="BR18" s="893" t="s">
        <v>15210</v>
      </c>
      <c r="BS18" s="997"/>
    </row>
    <row r="19" spans="2:71" ht="15.75" customHeight="1">
      <c r="B19" s="1067" t="s">
        <v>14956</v>
      </c>
      <c r="C19" s="354" t="s">
        <v>3630</v>
      </c>
      <c r="D19" s="286" t="s">
        <v>681</v>
      </c>
      <c r="E19" s="286">
        <v>3</v>
      </c>
      <c r="F19" s="697"/>
      <c r="G19" s="697"/>
      <c r="H19" s="697"/>
      <c r="I19" s="697"/>
      <c r="J19" s="697"/>
      <c r="K19" s="697"/>
      <c r="L19" s="697"/>
      <c r="M19" s="697"/>
      <c r="N19" s="1597">
        <f>IFERROR(SUM(F19:M19),0)</f>
        <v>0</v>
      </c>
      <c r="O19" s="697"/>
      <c r="P19" s="697"/>
      <c r="Q19" s="697"/>
      <c r="R19" s="697"/>
      <c r="S19" s="697"/>
      <c r="T19" s="697"/>
      <c r="U19" s="697"/>
      <c r="V19" s="697"/>
      <c r="W19" s="1598">
        <f>IFERROR(SUM(O19:V19),0)</f>
        <v>0</v>
      </c>
      <c r="X19" s="997"/>
      <c r="Y19" s="1071" t="s">
        <v>15211</v>
      </c>
      <c r="Z19" s="242"/>
      <c r="AA19" s="1200"/>
      <c r="AB19" s="436"/>
      <c r="AC19" s="1167"/>
      <c r="AD19" s="284" t="str">
        <f t="shared" ref="AD19:AD20" si="59">IF( SUM( AF19:AV19 ) = 0, 0, $AF$7 )</f>
        <v>Please complete all cells in row</v>
      </c>
      <c r="AE19" s="1167"/>
      <c r="AF19" s="1199">
        <f xml:space="preserve"> IF( ISNUMBER(F19), 0, 1 )</f>
        <v>1</v>
      </c>
      <c r="AG19" s="1199">
        <f t="shared" ref="AG19:AG20" si="60" xml:space="preserve"> IF( ISNUMBER(G19), 0, 1 )</f>
        <v>1</v>
      </c>
      <c r="AH19" s="1199">
        <f t="shared" ref="AH19:AH20" si="61" xml:space="preserve"> IF( ISNUMBER(H19), 0, 1 )</f>
        <v>1</v>
      </c>
      <c r="AI19" s="1199">
        <f t="shared" ref="AI19:AI20" si="62" xml:space="preserve"> IF( ISNUMBER(I19), 0, 1 )</f>
        <v>1</v>
      </c>
      <c r="AJ19" s="1199">
        <f t="shared" ref="AJ19:AJ20" si="63" xml:space="preserve"> IF( ISNUMBER(J19), 0, 1 )</f>
        <v>1</v>
      </c>
      <c r="AK19" s="1199">
        <f t="shared" ref="AK19:AK20" si="64" xml:space="preserve"> IF( ISNUMBER(K19), 0, 1 )</f>
        <v>1</v>
      </c>
      <c r="AL19" s="1199">
        <f t="shared" ref="AL19:AL20" si="65" xml:space="preserve"> IF( ISNUMBER(L19), 0, 1 )</f>
        <v>1</v>
      </c>
      <c r="AM19" s="1199">
        <f t="shared" ref="AM19:AM20" si="66" xml:space="preserve"> IF( ISNUMBER(M19), 0, 1 )</f>
        <v>1</v>
      </c>
      <c r="AN19" s="224"/>
      <c r="AO19" s="1199">
        <f t="shared" ref="AO19:AO20" si="67" xml:space="preserve"> IF( ISNUMBER(O19), 0, 1 )</f>
        <v>1</v>
      </c>
      <c r="AP19" s="1199">
        <f t="shared" ref="AP19:AP20" si="68" xml:space="preserve"> IF( ISNUMBER(P19), 0, 1 )</f>
        <v>1</v>
      </c>
      <c r="AQ19" s="1199">
        <f t="shared" ref="AQ19:AQ20" si="69" xml:space="preserve"> IF( ISNUMBER(Q19), 0, 1 )</f>
        <v>1</v>
      </c>
      <c r="AR19" s="1199">
        <f t="shared" ref="AR19:AR20" si="70" xml:space="preserve"> IF( ISNUMBER(R19), 0, 1 )</f>
        <v>1</v>
      </c>
      <c r="AS19" s="1199">
        <f t="shared" ref="AS19:AS20" si="71" xml:space="preserve"> IF( ISNUMBER(S19), 0, 1 )</f>
        <v>1</v>
      </c>
      <c r="AT19" s="1199">
        <f t="shared" ref="AT19:AT20" si="72" xml:space="preserve"> IF( ISNUMBER(T19), 0, 1 )</f>
        <v>1</v>
      </c>
      <c r="AU19" s="1199">
        <f t="shared" ref="AU19:AU20" si="73" xml:space="preserve"> IF( ISNUMBER(U19), 0, 1 )</f>
        <v>1</v>
      </c>
      <c r="AV19" s="1199">
        <f t="shared" ref="AV19:AV20" si="74" xml:space="preserve"> IF( ISNUMBER(V19), 0, 1 )</f>
        <v>1</v>
      </c>
      <c r="AW19" s="1167"/>
      <c r="AY19" s="1067" t="s">
        <v>14956</v>
      </c>
      <c r="AZ19" s="354" t="s">
        <v>3630</v>
      </c>
      <c r="BA19" s="905" t="s">
        <v>15212</v>
      </c>
      <c r="BB19" s="905" t="s">
        <v>15213</v>
      </c>
      <c r="BC19" s="905" t="s">
        <v>15214</v>
      </c>
      <c r="BD19" s="905" t="s">
        <v>15215</v>
      </c>
      <c r="BE19" s="905" t="s">
        <v>15216</v>
      </c>
      <c r="BF19" s="905" t="s">
        <v>15217</v>
      </c>
      <c r="BG19" s="905" t="s">
        <v>15218</v>
      </c>
      <c r="BH19" s="905" t="s">
        <v>15219</v>
      </c>
      <c r="BI19" s="677" t="s">
        <v>15220</v>
      </c>
      <c r="BJ19" s="905" t="s">
        <v>15221</v>
      </c>
      <c r="BK19" s="905" t="s">
        <v>15222</v>
      </c>
      <c r="BL19" s="905" t="s">
        <v>15223</v>
      </c>
      <c r="BM19" s="905" t="s">
        <v>15224</v>
      </c>
      <c r="BN19" s="905" t="s">
        <v>15225</v>
      </c>
      <c r="BO19" s="905" t="s">
        <v>15226</v>
      </c>
      <c r="BP19" s="905" t="s">
        <v>15227</v>
      </c>
      <c r="BQ19" s="905" t="s">
        <v>15228</v>
      </c>
      <c r="BR19" s="893" t="s">
        <v>15229</v>
      </c>
      <c r="BS19" s="997"/>
    </row>
    <row r="20" spans="2:71" ht="15.75" customHeight="1">
      <c r="B20" s="1067" t="s">
        <v>14956</v>
      </c>
      <c r="C20" s="354" t="s">
        <v>3631</v>
      </c>
      <c r="D20" s="286" t="s">
        <v>681</v>
      </c>
      <c r="E20" s="286">
        <v>3</v>
      </c>
      <c r="F20" s="697"/>
      <c r="G20" s="697"/>
      <c r="H20" s="697"/>
      <c r="I20" s="697"/>
      <c r="J20" s="697"/>
      <c r="K20" s="697"/>
      <c r="L20" s="697"/>
      <c r="M20" s="697"/>
      <c r="N20" s="1597">
        <f>IFERROR(SUM(F20:M20),0)</f>
        <v>0</v>
      </c>
      <c r="O20" s="697"/>
      <c r="P20" s="697"/>
      <c r="Q20" s="697"/>
      <c r="R20" s="697"/>
      <c r="S20" s="697"/>
      <c r="T20" s="697"/>
      <c r="U20" s="697"/>
      <c r="V20" s="697"/>
      <c r="W20" s="1598">
        <f>IFERROR(SUM(O20:V20),0)</f>
        <v>0</v>
      </c>
      <c r="X20" s="997"/>
      <c r="Y20" s="1071" t="s">
        <v>15230</v>
      </c>
      <c r="Z20" s="242"/>
      <c r="AA20" s="1200"/>
      <c r="AB20" s="436"/>
      <c r="AC20" s="1167"/>
      <c r="AD20" s="284" t="str">
        <f t="shared" si="59"/>
        <v>Please complete all cells in row</v>
      </c>
      <c r="AE20" s="1167"/>
      <c r="AF20" s="1199">
        <f xml:space="preserve"> IF( ISNUMBER(F20), 0, 1 )</f>
        <v>1</v>
      </c>
      <c r="AG20" s="1199">
        <f t="shared" si="60"/>
        <v>1</v>
      </c>
      <c r="AH20" s="1199">
        <f t="shared" si="61"/>
        <v>1</v>
      </c>
      <c r="AI20" s="1199">
        <f t="shared" si="62"/>
        <v>1</v>
      </c>
      <c r="AJ20" s="1199">
        <f t="shared" si="63"/>
        <v>1</v>
      </c>
      <c r="AK20" s="1199">
        <f t="shared" si="64"/>
        <v>1</v>
      </c>
      <c r="AL20" s="1199">
        <f t="shared" si="65"/>
        <v>1</v>
      </c>
      <c r="AM20" s="1199">
        <f t="shared" si="66"/>
        <v>1</v>
      </c>
      <c r="AN20" s="224"/>
      <c r="AO20" s="1199">
        <f t="shared" si="67"/>
        <v>1</v>
      </c>
      <c r="AP20" s="1199">
        <f t="shared" si="68"/>
        <v>1</v>
      </c>
      <c r="AQ20" s="1199">
        <f t="shared" si="69"/>
        <v>1</v>
      </c>
      <c r="AR20" s="1199">
        <f t="shared" si="70"/>
        <v>1</v>
      </c>
      <c r="AS20" s="1199">
        <f t="shared" si="71"/>
        <v>1</v>
      </c>
      <c r="AT20" s="1199">
        <f t="shared" si="72"/>
        <v>1</v>
      </c>
      <c r="AU20" s="1199">
        <f t="shared" si="73"/>
        <v>1</v>
      </c>
      <c r="AV20" s="1199">
        <f t="shared" si="74"/>
        <v>1</v>
      </c>
      <c r="AW20" s="1167"/>
      <c r="AY20" s="1067" t="s">
        <v>14956</v>
      </c>
      <c r="AZ20" s="354" t="s">
        <v>3631</v>
      </c>
      <c r="BA20" s="905" t="s">
        <v>15231</v>
      </c>
      <c r="BB20" s="905" t="s">
        <v>15232</v>
      </c>
      <c r="BC20" s="905" t="s">
        <v>15233</v>
      </c>
      <c r="BD20" s="905" t="s">
        <v>15234</v>
      </c>
      <c r="BE20" s="905" t="s">
        <v>15235</v>
      </c>
      <c r="BF20" s="905" t="s">
        <v>15236</v>
      </c>
      <c r="BG20" s="905" t="s">
        <v>15237</v>
      </c>
      <c r="BH20" s="905" t="s">
        <v>15238</v>
      </c>
      <c r="BI20" s="677" t="s">
        <v>15239</v>
      </c>
      <c r="BJ20" s="905" t="s">
        <v>15240</v>
      </c>
      <c r="BK20" s="905" t="s">
        <v>15241</v>
      </c>
      <c r="BL20" s="905" t="s">
        <v>15242</v>
      </c>
      <c r="BM20" s="905" t="s">
        <v>15243</v>
      </c>
      <c r="BN20" s="905" t="s">
        <v>15244</v>
      </c>
      <c r="BO20" s="905" t="s">
        <v>15245</v>
      </c>
      <c r="BP20" s="905" t="s">
        <v>15246</v>
      </c>
      <c r="BQ20" s="905" t="s">
        <v>15247</v>
      </c>
      <c r="BR20" s="893" t="s">
        <v>15248</v>
      </c>
      <c r="BS20" s="997"/>
    </row>
    <row r="21" spans="2:71" ht="15.75" customHeight="1">
      <c r="B21" s="1067" t="s">
        <v>14956</v>
      </c>
      <c r="C21" s="354" t="s">
        <v>3632</v>
      </c>
      <c r="D21" s="286" t="s">
        <v>681</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15249</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14956</v>
      </c>
      <c r="AZ21" s="354" t="s">
        <v>3632</v>
      </c>
      <c r="BA21" s="677" t="s">
        <v>15250</v>
      </c>
      <c r="BB21" s="677" t="s">
        <v>15251</v>
      </c>
      <c r="BC21" s="677" t="s">
        <v>15252</v>
      </c>
      <c r="BD21" s="677" t="s">
        <v>15253</v>
      </c>
      <c r="BE21" s="677" t="s">
        <v>15254</v>
      </c>
      <c r="BF21" s="677" t="s">
        <v>15255</v>
      </c>
      <c r="BG21" s="677" t="s">
        <v>15256</v>
      </c>
      <c r="BH21" s="677" t="s">
        <v>15257</v>
      </c>
      <c r="BI21" s="677" t="s">
        <v>15258</v>
      </c>
      <c r="BJ21" s="677" t="s">
        <v>15259</v>
      </c>
      <c r="BK21" s="677" t="s">
        <v>15260</v>
      </c>
      <c r="BL21" s="677" t="s">
        <v>15261</v>
      </c>
      <c r="BM21" s="677" t="s">
        <v>15262</v>
      </c>
      <c r="BN21" s="677" t="s">
        <v>15263</v>
      </c>
      <c r="BO21" s="677" t="s">
        <v>15264</v>
      </c>
      <c r="BP21" s="677" t="s">
        <v>15265</v>
      </c>
      <c r="BQ21" s="677" t="s">
        <v>15266</v>
      </c>
      <c r="BR21" s="893" t="s">
        <v>15267</v>
      </c>
      <c r="BS21" s="997"/>
    </row>
    <row r="22" spans="2:71" ht="15.75" customHeight="1">
      <c r="B22" s="460" t="s">
        <v>14996</v>
      </c>
      <c r="C22" s="354" t="s">
        <v>3630</v>
      </c>
      <c r="D22" s="286" t="s">
        <v>681</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15268</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14996</v>
      </c>
      <c r="AZ22" s="354" t="s">
        <v>3630</v>
      </c>
      <c r="BA22" s="677" t="s">
        <v>15269</v>
      </c>
      <c r="BB22" s="677" t="s">
        <v>15270</v>
      </c>
      <c r="BC22" s="677" t="s">
        <v>15271</v>
      </c>
      <c r="BD22" s="677" t="s">
        <v>15272</v>
      </c>
      <c r="BE22" s="677" t="s">
        <v>15273</v>
      </c>
      <c r="BF22" s="677" t="s">
        <v>15274</v>
      </c>
      <c r="BG22" s="677" t="s">
        <v>15275</v>
      </c>
      <c r="BH22" s="677" t="s">
        <v>15276</v>
      </c>
      <c r="BI22" s="677" t="s">
        <v>15277</v>
      </c>
      <c r="BJ22" s="677" t="s">
        <v>15278</v>
      </c>
      <c r="BK22" s="677" t="s">
        <v>15279</v>
      </c>
      <c r="BL22" s="677" t="s">
        <v>15280</v>
      </c>
      <c r="BM22" s="677" t="s">
        <v>15281</v>
      </c>
      <c r="BN22" s="677" t="s">
        <v>15282</v>
      </c>
      <c r="BO22" s="677" t="s">
        <v>15283</v>
      </c>
      <c r="BP22" s="677" t="s">
        <v>15284</v>
      </c>
      <c r="BQ22" s="677" t="s">
        <v>15285</v>
      </c>
      <c r="BR22" s="893" t="s">
        <v>15286</v>
      </c>
      <c r="BS22" s="997"/>
    </row>
    <row r="23" spans="2:71" ht="15.75" customHeight="1">
      <c r="B23" s="460" t="s">
        <v>15010</v>
      </c>
      <c r="C23" s="354" t="s">
        <v>3631</v>
      </c>
      <c r="D23" s="286" t="s">
        <v>681</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15287</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15010</v>
      </c>
      <c r="AZ23" s="354" t="s">
        <v>3631</v>
      </c>
      <c r="BA23" s="677" t="s">
        <v>15288</v>
      </c>
      <c r="BB23" s="677" t="s">
        <v>15289</v>
      </c>
      <c r="BC23" s="677" t="s">
        <v>15290</v>
      </c>
      <c r="BD23" s="677" t="s">
        <v>15291</v>
      </c>
      <c r="BE23" s="677" t="s">
        <v>15292</v>
      </c>
      <c r="BF23" s="677" t="s">
        <v>15293</v>
      </c>
      <c r="BG23" s="677" t="s">
        <v>15294</v>
      </c>
      <c r="BH23" s="677" t="s">
        <v>15295</v>
      </c>
      <c r="BI23" s="677" t="s">
        <v>15296</v>
      </c>
      <c r="BJ23" s="677" t="s">
        <v>15297</v>
      </c>
      <c r="BK23" s="677" t="s">
        <v>15298</v>
      </c>
      <c r="BL23" s="677" t="s">
        <v>15299</v>
      </c>
      <c r="BM23" s="677" t="s">
        <v>15300</v>
      </c>
      <c r="BN23" s="677" t="s">
        <v>15301</v>
      </c>
      <c r="BO23" s="677" t="s">
        <v>15302</v>
      </c>
      <c r="BP23" s="677" t="s">
        <v>15303</v>
      </c>
      <c r="BQ23" s="677" t="s">
        <v>15304</v>
      </c>
      <c r="BR23" s="893" t="s">
        <v>15305</v>
      </c>
      <c r="BS23" s="997"/>
    </row>
    <row r="24" spans="2:71" ht="15.75" customHeight="1" thickBot="1">
      <c r="B24" s="463" t="s">
        <v>15024</v>
      </c>
      <c r="C24" s="1081" t="s">
        <v>3632</v>
      </c>
      <c r="D24" s="355" t="s">
        <v>681</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15306</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15024</v>
      </c>
      <c r="AZ24" s="1081" t="s">
        <v>3632</v>
      </c>
      <c r="BA24" s="679" t="s">
        <v>15307</v>
      </c>
      <c r="BB24" s="679" t="s">
        <v>15308</v>
      </c>
      <c r="BC24" s="679" t="s">
        <v>15309</v>
      </c>
      <c r="BD24" s="679" t="s">
        <v>15310</v>
      </c>
      <c r="BE24" s="679" t="s">
        <v>15311</v>
      </c>
      <c r="BF24" s="679" t="s">
        <v>15312</v>
      </c>
      <c r="BG24" s="679" t="s">
        <v>15313</v>
      </c>
      <c r="BH24" s="679" t="s">
        <v>15314</v>
      </c>
      <c r="BI24" s="679" t="s">
        <v>15315</v>
      </c>
      <c r="BJ24" s="679" t="s">
        <v>15316</v>
      </c>
      <c r="BK24" s="679" t="s">
        <v>15317</v>
      </c>
      <c r="BL24" s="679" t="s">
        <v>15318</v>
      </c>
      <c r="BM24" s="679" t="s">
        <v>15319</v>
      </c>
      <c r="BN24" s="679" t="s">
        <v>15320</v>
      </c>
      <c r="BO24" s="679" t="s">
        <v>15321</v>
      </c>
      <c r="BP24" s="679" t="s">
        <v>15322</v>
      </c>
      <c r="BQ24" s="679" t="s">
        <v>15323</v>
      </c>
      <c r="BR24" s="417" t="s">
        <v>15324</v>
      </c>
      <c r="BS24" s="383"/>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75" priority="17" operator="equal">
      <formula>0</formula>
    </cfRule>
  </conditionalFormatting>
  <conditionalFormatting sqref="AD11:AD12 AD15 AD18 AD21:AD27">
    <cfRule type="cellIs" dxfId="174" priority="15" operator="equal">
      <formula>0</formula>
    </cfRule>
  </conditionalFormatting>
  <conditionalFormatting sqref="AD22:AD27">
    <cfRule type="cellIs" dxfId="173" priority="12" operator="equal">
      <formula>0</formula>
    </cfRule>
  </conditionalFormatting>
  <conditionalFormatting sqref="AD15 AD18 AD21">
    <cfRule type="cellIs" dxfId="172" priority="8" operator="equal">
      <formula>0</formula>
    </cfRule>
  </conditionalFormatting>
  <conditionalFormatting sqref="AD4:AD7">
    <cfRule type="cellIs" dxfId="171" priority="6" operator="equal">
      <formula>0</formula>
    </cfRule>
  </conditionalFormatting>
  <conditionalFormatting sqref="AD1:AD2">
    <cfRule type="cellIs" dxfId="170" priority="5" operator="equal">
      <formula>0</formula>
    </cfRule>
  </conditionalFormatting>
  <conditionalFormatting sqref="AD13:AD14">
    <cfRule type="cellIs" dxfId="169" priority="4" operator="equal">
      <formula>0</formula>
    </cfRule>
  </conditionalFormatting>
  <conditionalFormatting sqref="AD16:AD17">
    <cfRule type="cellIs" dxfId="168" priority="3" operator="equal">
      <formula>0</formula>
    </cfRule>
  </conditionalFormatting>
  <conditionalFormatting sqref="AD19:AD20">
    <cfRule type="cellIs" dxfId="167" priority="2" operator="equal">
      <formula>0</formula>
    </cfRule>
  </conditionalFormatting>
  <conditionalFormatting sqref="AD8:AD9">
    <cfRule type="cellIs" dxfId="166"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theme="0" tint="-0.499984740745262"/>
  </sheetPr>
  <dimension ref="B1:AS26"/>
  <sheetViews>
    <sheetView showGridLines="0" topLeftCell="O2" zoomScaleNormal="100" workbookViewId="0"/>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797" t="s">
        <v>15325</v>
      </c>
      <c r="C1" s="2797"/>
      <c r="D1" s="2797"/>
      <c r="E1" s="2797"/>
      <c r="F1" s="2797"/>
      <c r="G1" s="2797"/>
      <c r="H1" s="2797"/>
      <c r="I1" s="2797"/>
      <c r="J1" s="2797"/>
      <c r="K1" s="2797"/>
      <c r="L1" s="2797"/>
      <c r="M1" s="2797"/>
      <c r="N1" s="2797"/>
      <c r="O1" s="260"/>
      <c r="P1" s="528"/>
      <c r="Q1" s="528"/>
      <c r="R1" s="106"/>
      <c r="S1" s="106"/>
      <c r="T1" s="1165"/>
      <c r="U1" s="284"/>
      <c r="V1" s="1165"/>
      <c r="W1" s="106"/>
      <c r="X1" s="106"/>
      <c r="Y1" s="106"/>
      <c r="Z1" s="106"/>
      <c r="AA1" s="106"/>
      <c r="AB1" s="106"/>
      <c r="AC1" s="106"/>
      <c r="AD1" s="106"/>
      <c r="AE1" s="106"/>
      <c r="AF1" s="106"/>
      <c r="AG1" s="1165"/>
      <c r="AI1" s="2797" t="s">
        <v>7220</v>
      </c>
      <c r="AJ1" s="2797"/>
      <c r="AK1" s="2797"/>
      <c r="AL1" s="2797"/>
    </row>
    <row r="2" spans="2:45" s="389" customFormat="1" ht="23.25">
      <c r="B2" s="2797" t="str">
        <f>SelectCompany!B4</f>
        <v>Northumbrian Water</v>
      </c>
      <c r="C2" s="2797"/>
      <c r="D2" s="2797"/>
      <c r="E2" s="2797"/>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3.25">
      <c r="B3" s="2807" t="s">
        <v>15326</v>
      </c>
      <c r="C3" s="2807"/>
      <c r="D3" s="2807"/>
      <c r="E3" s="2807"/>
      <c r="F3" s="2807"/>
      <c r="G3" s="2807"/>
      <c r="H3" s="2807"/>
      <c r="I3" s="2807"/>
      <c r="J3" s="2807"/>
      <c r="K3" s="2807"/>
      <c r="L3" s="2807"/>
      <c r="M3" s="2807"/>
      <c r="N3" s="2807"/>
      <c r="O3" s="690"/>
      <c r="P3" s="260"/>
      <c r="R3" s="224"/>
      <c r="T3" s="1165"/>
      <c r="U3" s="650" t="s">
        <v>7222</v>
      </c>
      <c r="V3" s="1165"/>
      <c r="AG3" s="1165"/>
      <c r="AI3" s="2807" t="s">
        <v>15326</v>
      </c>
      <c r="AJ3" s="2807"/>
      <c r="AK3" s="2807"/>
      <c r="AL3" s="2807"/>
      <c r="AM3" s="2807"/>
      <c r="AN3" s="2807"/>
      <c r="AO3" s="2807"/>
      <c r="AP3" s="2807"/>
      <c r="AQ3" s="2807"/>
      <c r="AR3" s="2807"/>
      <c r="AS3" s="2807"/>
    </row>
    <row r="4" spans="2:45" ht="24"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thickTop="1">
      <c r="B5" s="2811"/>
      <c r="C5" s="2813" t="s">
        <v>7225</v>
      </c>
      <c r="D5" s="2813" t="s">
        <v>670</v>
      </c>
      <c r="E5" s="2813" t="s">
        <v>7871</v>
      </c>
      <c r="F5" s="2813"/>
      <c r="G5" s="2813"/>
      <c r="H5" s="2813"/>
      <c r="I5" s="2813"/>
      <c r="J5" s="2813" t="s">
        <v>10650</v>
      </c>
      <c r="K5" s="2813"/>
      <c r="L5" s="2813"/>
      <c r="M5" s="2813"/>
      <c r="N5" s="2814"/>
      <c r="O5" s="781"/>
      <c r="P5" s="2889" t="s">
        <v>7229</v>
      </c>
      <c r="Q5" s="197"/>
      <c r="R5" s="2790" t="s">
        <v>7230</v>
      </c>
      <c r="T5" s="1165"/>
      <c r="U5" s="284"/>
      <c r="V5" s="1165"/>
      <c r="AG5" s="1165"/>
      <c r="AI5" s="2811"/>
      <c r="AJ5" s="2813" t="s">
        <v>7871</v>
      </c>
      <c r="AK5" s="2813"/>
      <c r="AL5" s="2813"/>
      <c r="AM5" s="2813"/>
      <c r="AN5" s="2813"/>
      <c r="AO5" s="2813" t="s">
        <v>10650</v>
      </c>
      <c r="AP5" s="2813"/>
      <c r="AQ5" s="2813"/>
      <c r="AR5" s="2813"/>
      <c r="AS5" s="2814"/>
    </row>
    <row r="6" spans="2:45" ht="77.25" thickBot="1">
      <c r="B6" s="2812"/>
      <c r="C6" s="2891"/>
      <c r="D6" s="2891"/>
      <c r="E6" s="1204" t="s">
        <v>8160</v>
      </c>
      <c r="F6" s="1204" t="s">
        <v>10651</v>
      </c>
      <c r="G6" s="1204" t="s">
        <v>10652</v>
      </c>
      <c r="H6" s="1204" t="s">
        <v>8163</v>
      </c>
      <c r="I6" s="1204" t="s">
        <v>9434</v>
      </c>
      <c r="J6" s="1204" t="s">
        <v>8160</v>
      </c>
      <c r="K6" s="1204" t="s">
        <v>10651</v>
      </c>
      <c r="L6" s="1204" t="s">
        <v>10652</v>
      </c>
      <c r="M6" s="1204" t="s">
        <v>8163</v>
      </c>
      <c r="N6" s="1205" t="s">
        <v>9434</v>
      </c>
      <c r="O6" s="349"/>
      <c r="P6" s="2890"/>
      <c r="Q6" s="197"/>
      <c r="R6" s="2792"/>
      <c r="S6" s="730"/>
      <c r="T6" s="1165"/>
      <c r="U6" s="284"/>
      <c r="V6" s="1165"/>
      <c r="W6" s="2668" t="s">
        <v>7223</v>
      </c>
      <c r="X6" s="2668"/>
      <c r="Y6" s="2668"/>
      <c r="Z6" s="2668"/>
      <c r="AA6" s="2668"/>
      <c r="AB6" s="2668"/>
      <c r="AC6" s="2668"/>
      <c r="AD6" s="2668"/>
      <c r="AE6" s="2668"/>
      <c r="AF6" s="2668"/>
      <c r="AG6" s="1165"/>
      <c r="AI6" s="2812"/>
      <c r="AJ6" s="1204" t="s">
        <v>8160</v>
      </c>
      <c r="AK6" s="1204" t="s">
        <v>10651</v>
      </c>
      <c r="AL6" s="1204" t="s">
        <v>10652</v>
      </c>
      <c r="AM6" s="1204" t="s">
        <v>8163</v>
      </c>
      <c r="AN6" s="1204" t="s">
        <v>9434</v>
      </c>
      <c r="AO6" s="1204" t="s">
        <v>8160</v>
      </c>
      <c r="AP6" s="1204" t="s">
        <v>10651</v>
      </c>
      <c r="AQ6" s="1204" t="s">
        <v>10652</v>
      </c>
      <c r="AR6" s="1204" t="s">
        <v>8163</v>
      </c>
      <c r="AS6" s="1205" t="s">
        <v>9434</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7231</v>
      </c>
      <c r="AG7" s="1165"/>
      <c r="AI7" s="415"/>
      <c r="AJ7" s="349"/>
      <c r="AK7" s="349"/>
      <c r="AL7" s="349"/>
      <c r="AM7" s="349"/>
      <c r="AN7" s="349"/>
      <c r="AO7" s="349"/>
      <c r="AP7" s="349"/>
      <c r="AQ7" s="349"/>
      <c r="AR7" s="349"/>
      <c r="AS7" s="349"/>
    </row>
    <row r="8" spans="2:45" ht="15.75" customHeight="1" thickTop="1" thickBot="1">
      <c r="B8" s="784" t="s">
        <v>15327</v>
      </c>
      <c r="C8" s="1206"/>
      <c r="D8" s="1206"/>
      <c r="E8" s="349"/>
      <c r="F8" s="349"/>
      <c r="G8" s="349"/>
      <c r="H8" s="349"/>
      <c r="I8" s="349"/>
      <c r="J8" s="349"/>
      <c r="K8" s="349"/>
      <c r="L8" s="349"/>
      <c r="M8" s="349"/>
      <c r="N8" s="349"/>
      <c r="O8" s="349"/>
      <c r="P8" s="582"/>
      <c r="Q8" s="197"/>
      <c r="R8" s="770"/>
      <c r="S8" s="282"/>
      <c r="T8" s="345"/>
      <c r="U8" s="284"/>
      <c r="V8" s="345"/>
      <c r="AG8" s="345"/>
      <c r="AI8" s="784" t="s">
        <v>15327</v>
      </c>
      <c r="AJ8" s="349"/>
      <c r="AK8" s="349"/>
      <c r="AL8" s="349"/>
      <c r="AM8" s="349"/>
      <c r="AN8" s="349"/>
      <c r="AO8" s="349"/>
      <c r="AP8" s="349"/>
      <c r="AQ8" s="349"/>
      <c r="AR8" s="349"/>
      <c r="AS8" s="349"/>
    </row>
    <row r="9" spans="2:45" ht="15.75" customHeight="1" thickTop="1">
      <c r="B9" s="787" t="s">
        <v>15328</v>
      </c>
      <c r="C9" s="1207" t="s">
        <v>681</v>
      </c>
      <c r="D9" s="1207">
        <v>3</v>
      </c>
      <c r="E9" s="789"/>
      <c r="F9" s="789"/>
      <c r="G9" s="789"/>
      <c r="H9" s="2099"/>
      <c r="I9" s="789"/>
      <c r="J9" s="789"/>
      <c r="K9" s="789"/>
      <c r="L9" s="789"/>
      <c r="M9" s="2099"/>
      <c r="N9" s="790"/>
      <c r="O9" s="997"/>
      <c r="P9" s="1066" t="s">
        <v>15329</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7" t="s">
        <v>15328</v>
      </c>
      <c r="AJ9" s="1208" t="s">
        <v>15330</v>
      </c>
      <c r="AK9" s="1208" t="s">
        <v>15331</v>
      </c>
      <c r="AL9" s="1208" t="s">
        <v>15332</v>
      </c>
      <c r="AM9" s="1209"/>
      <c r="AN9" s="1208" t="s">
        <v>15333</v>
      </c>
      <c r="AO9" s="1208" t="s">
        <v>15334</v>
      </c>
      <c r="AP9" s="1208" t="s">
        <v>15335</v>
      </c>
      <c r="AQ9" s="1208" t="s">
        <v>15336</v>
      </c>
      <c r="AR9" s="1209"/>
      <c r="AS9" s="1210" t="s">
        <v>15337</v>
      </c>
    </row>
    <row r="10" spans="2:45" ht="15.75" customHeight="1">
      <c r="B10" s="792" t="s">
        <v>15338</v>
      </c>
      <c r="C10" s="325" t="s">
        <v>681</v>
      </c>
      <c r="D10" s="325">
        <v>3</v>
      </c>
      <c r="E10" s="1698"/>
      <c r="F10" s="1698"/>
      <c r="G10" s="1698"/>
      <c r="H10" s="2100"/>
      <c r="I10" s="793"/>
      <c r="J10" s="793"/>
      <c r="K10" s="793"/>
      <c r="L10" s="793"/>
      <c r="M10" s="2100"/>
      <c r="N10" s="794"/>
      <c r="O10" s="997"/>
      <c r="P10" s="1071" t="s">
        <v>15339</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2" t="s">
        <v>15338</v>
      </c>
      <c r="AJ10" s="1211" t="s">
        <v>15340</v>
      </c>
      <c r="AK10" s="1211" t="s">
        <v>15341</v>
      </c>
      <c r="AL10" s="1211" t="s">
        <v>15342</v>
      </c>
      <c r="AM10" s="1212"/>
      <c r="AN10" s="1213" t="s">
        <v>15343</v>
      </c>
      <c r="AO10" s="1213" t="s">
        <v>15344</v>
      </c>
      <c r="AP10" s="1213" t="s">
        <v>15345</v>
      </c>
      <c r="AQ10" s="1213" t="s">
        <v>15346</v>
      </c>
      <c r="AR10" s="1212"/>
      <c r="AS10" s="1214" t="s">
        <v>15347</v>
      </c>
    </row>
    <row r="11" spans="2:45" ht="15.75" customHeight="1">
      <c r="B11" s="792" t="s">
        <v>10717</v>
      </c>
      <c r="C11" s="325" t="s">
        <v>681</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15348</v>
      </c>
      <c r="Q11" s="197"/>
      <c r="R11" s="291"/>
      <c r="S11" s="282"/>
      <c r="T11" s="345"/>
      <c r="U11" s="284"/>
      <c r="V11" s="345"/>
      <c r="W11" s="284"/>
      <c r="X11" s="284"/>
      <c r="Y11" s="284"/>
      <c r="Z11" s="284"/>
      <c r="AA11" s="284"/>
      <c r="AB11" s="284"/>
      <c r="AC11" s="284"/>
      <c r="AD11" s="284"/>
      <c r="AE11" s="284"/>
      <c r="AF11" s="284"/>
      <c r="AG11" s="345"/>
      <c r="AI11" s="792" t="s">
        <v>10717</v>
      </c>
      <c r="AJ11" s="1215" t="s">
        <v>15349</v>
      </c>
      <c r="AK11" s="1215" t="s">
        <v>15350</v>
      </c>
      <c r="AL11" s="1215" t="s">
        <v>15351</v>
      </c>
      <c r="AM11" s="1212"/>
      <c r="AN11" s="1215" t="s">
        <v>15352</v>
      </c>
      <c r="AO11" s="1215" t="s">
        <v>15353</v>
      </c>
      <c r="AP11" s="1215" t="s">
        <v>15354</v>
      </c>
      <c r="AQ11" s="1215" t="s">
        <v>15355</v>
      </c>
      <c r="AR11" s="1212"/>
      <c r="AS11" s="1216" t="s">
        <v>15356</v>
      </c>
    </row>
    <row r="12" spans="2:45" ht="15.75" customHeight="1">
      <c r="B12" s="792" t="s">
        <v>10729</v>
      </c>
      <c r="C12" s="325" t="s">
        <v>681</v>
      </c>
      <c r="D12" s="325">
        <v>3</v>
      </c>
      <c r="E12" s="1698"/>
      <c r="F12" s="1698"/>
      <c r="G12" s="1698"/>
      <c r="H12" s="2100"/>
      <c r="I12" s="793"/>
      <c r="J12" s="793"/>
      <c r="K12" s="793"/>
      <c r="L12" s="793"/>
      <c r="M12" s="2100"/>
      <c r="N12" s="794"/>
      <c r="O12" s="997"/>
      <c r="P12" s="1071" t="s">
        <v>15357</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2" t="s">
        <v>10729</v>
      </c>
      <c r="AJ12" s="1211" t="s">
        <v>15358</v>
      </c>
      <c r="AK12" s="1211" t="s">
        <v>15359</v>
      </c>
      <c r="AL12" s="1211" t="s">
        <v>15360</v>
      </c>
      <c r="AM12" s="1212"/>
      <c r="AN12" s="1213" t="s">
        <v>15361</v>
      </c>
      <c r="AO12" s="1213" t="s">
        <v>15362</v>
      </c>
      <c r="AP12" s="1213" t="s">
        <v>15363</v>
      </c>
      <c r="AQ12" s="1213" t="s">
        <v>15364</v>
      </c>
      <c r="AR12" s="1212"/>
      <c r="AS12" s="1214" t="s">
        <v>15365</v>
      </c>
    </row>
    <row r="13" spans="2:45" ht="15.75" customHeight="1">
      <c r="B13" s="792" t="s">
        <v>10741</v>
      </c>
      <c r="C13" s="325" t="s">
        <v>681</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15366</v>
      </c>
      <c r="Q13" s="197"/>
      <c r="R13" s="291"/>
      <c r="S13" s="282"/>
      <c r="T13" s="345"/>
      <c r="U13" s="284"/>
      <c r="V13" s="345"/>
      <c r="W13" s="284"/>
      <c r="X13" s="284"/>
      <c r="Y13" s="284"/>
      <c r="Z13" s="284"/>
      <c r="AA13" s="284"/>
      <c r="AB13" s="284"/>
      <c r="AC13" s="284"/>
      <c r="AD13" s="284"/>
      <c r="AE13" s="284"/>
      <c r="AF13" s="284"/>
      <c r="AG13" s="345"/>
      <c r="AI13" s="792" t="s">
        <v>10741</v>
      </c>
      <c r="AJ13" s="1215" t="s">
        <v>15367</v>
      </c>
      <c r="AK13" s="1215" t="s">
        <v>15368</v>
      </c>
      <c r="AL13" s="1215" t="s">
        <v>15369</v>
      </c>
      <c r="AM13" s="1212"/>
      <c r="AN13" s="1215" t="s">
        <v>15370</v>
      </c>
      <c r="AO13" s="1215" t="s">
        <v>15371</v>
      </c>
      <c r="AP13" s="1215" t="s">
        <v>15372</v>
      </c>
      <c r="AQ13" s="1215" t="s">
        <v>15373</v>
      </c>
      <c r="AR13" s="1212"/>
      <c r="AS13" s="1216" t="s">
        <v>15374</v>
      </c>
    </row>
    <row r="14" spans="2:45" ht="15.75" customHeight="1">
      <c r="B14" s="792" t="s">
        <v>10753</v>
      </c>
      <c r="C14" s="325" t="s">
        <v>3137</v>
      </c>
      <c r="D14" s="325">
        <v>2</v>
      </c>
      <c r="E14" s="1703"/>
      <c r="F14" s="1703"/>
      <c r="G14" s="1703"/>
      <c r="H14" s="2101"/>
      <c r="I14" s="804"/>
      <c r="J14" s="804"/>
      <c r="K14" s="804"/>
      <c r="L14" s="804"/>
      <c r="M14" s="2101"/>
      <c r="N14" s="805"/>
      <c r="O14" s="1221"/>
      <c r="P14" s="1071" t="s">
        <v>15375</v>
      </c>
      <c r="Q14" s="197"/>
      <c r="R14" s="291"/>
      <c r="S14" s="282"/>
      <c r="T14" s="1165"/>
      <c r="U14" s="284" t="str">
        <f t="shared" ref="U14:U15" si="18">IF( SUM( W14:AF14 ) = 0, 0, $W$7 )</f>
        <v>Please complete all cells in row</v>
      </c>
      <c r="V14" s="1165"/>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5"/>
      <c r="AI14" s="792" t="s">
        <v>10753</v>
      </c>
      <c r="AJ14" s="1217" t="s">
        <v>15376</v>
      </c>
      <c r="AK14" s="1217" t="s">
        <v>15377</v>
      </c>
      <c r="AL14" s="1217" t="s">
        <v>15378</v>
      </c>
      <c r="AM14" s="1218"/>
      <c r="AN14" s="1219" t="s">
        <v>15379</v>
      </c>
      <c r="AO14" s="1219" t="s">
        <v>15380</v>
      </c>
      <c r="AP14" s="1219" t="s">
        <v>15381</v>
      </c>
      <c r="AQ14" s="1219" t="s">
        <v>15382</v>
      </c>
      <c r="AR14" s="1218"/>
      <c r="AS14" s="1220" t="s">
        <v>15383</v>
      </c>
    </row>
    <row r="15" spans="2:45" ht="15">
      <c r="B15" s="792" t="s">
        <v>10765</v>
      </c>
      <c r="C15" s="325" t="s">
        <v>3137</v>
      </c>
      <c r="D15" s="325">
        <v>2</v>
      </c>
      <c r="E15" s="1703"/>
      <c r="F15" s="1703"/>
      <c r="G15" s="1703"/>
      <c r="H15" s="2101"/>
      <c r="I15" s="804"/>
      <c r="J15" s="804"/>
      <c r="K15" s="804"/>
      <c r="L15" s="804"/>
      <c r="M15" s="2101"/>
      <c r="N15" s="805"/>
      <c r="O15" s="1221"/>
      <c r="P15" s="1071" t="s">
        <v>15384</v>
      </c>
      <c r="Q15" s="197"/>
      <c r="R15" s="291"/>
      <c r="S15" s="282"/>
      <c r="T15" s="1165"/>
      <c r="U15" s="284" t="str">
        <f t="shared" si="18"/>
        <v>Please complete all cells in row</v>
      </c>
      <c r="V15" s="1165"/>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5"/>
      <c r="AI15" s="792" t="s">
        <v>10765</v>
      </c>
      <c r="AJ15" s="1217" t="s">
        <v>15385</v>
      </c>
      <c r="AK15" s="1217" t="s">
        <v>15386</v>
      </c>
      <c r="AL15" s="1217" t="s">
        <v>15387</v>
      </c>
      <c r="AM15" s="1218"/>
      <c r="AN15" s="1219" t="s">
        <v>15388</v>
      </c>
      <c r="AO15" s="1219" t="s">
        <v>15389</v>
      </c>
      <c r="AP15" s="1219" t="s">
        <v>15390</v>
      </c>
      <c r="AQ15" s="1219" t="s">
        <v>15391</v>
      </c>
      <c r="AR15" s="1218"/>
      <c r="AS15" s="1220" t="s">
        <v>15392</v>
      </c>
    </row>
    <row r="16" spans="2:45" ht="15.75" customHeight="1">
      <c r="B16" s="792" t="s">
        <v>15393</v>
      </c>
      <c r="C16" s="325" t="s">
        <v>681</v>
      </c>
      <c r="D16" s="325">
        <v>3</v>
      </c>
      <c r="E16" s="1670">
        <f>IF(E11&lt;0, E11*E14,0)</f>
        <v>0</v>
      </c>
      <c r="F16" s="1670">
        <f>IF(F11&lt;0, F11*F14,0)</f>
        <v>0</v>
      </c>
      <c r="G16" s="1670">
        <f>IF(G11&lt;0, G11*G14,0)</f>
        <v>0</v>
      </c>
      <c r="H16" s="2562"/>
      <c r="I16" s="1670">
        <f>IF(I11&lt;0, I11*I14,0)</f>
        <v>0</v>
      </c>
      <c r="J16" s="1670">
        <f>IF(J11&lt;0, J11*J14,0)</f>
        <v>0</v>
      </c>
      <c r="K16" s="1670">
        <f>IF(K11&lt;0, K11*K14,0)</f>
        <v>0</v>
      </c>
      <c r="L16" s="1670">
        <f>IF(L11&lt;0, L11*L14,0)</f>
        <v>0</v>
      </c>
      <c r="M16" s="2562"/>
      <c r="N16" s="1696">
        <f>IF(N11&lt;0, N11*N14,0)</f>
        <v>0</v>
      </c>
      <c r="O16" s="997"/>
      <c r="P16" s="1071" t="s">
        <v>15394</v>
      </c>
      <c r="Q16" s="197"/>
      <c r="R16" s="291"/>
      <c r="S16" s="282"/>
      <c r="T16" s="1165"/>
      <c r="U16" s="284"/>
      <c r="V16" s="1165"/>
      <c r="W16" s="284"/>
      <c r="X16" s="284"/>
      <c r="Y16" s="284"/>
      <c r="Z16" s="284"/>
      <c r="AA16" s="284"/>
      <c r="AB16" s="284"/>
      <c r="AC16" s="284"/>
      <c r="AD16" s="284"/>
      <c r="AE16" s="284"/>
      <c r="AF16" s="284"/>
      <c r="AG16" s="1165"/>
      <c r="AI16" s="792" t="s">
        <v>15393</v>
      </c>
      <c r="AJ16" s="1215" t="s">
        <v>15395</v>
      </c>
      <c r="AK16" s="1215" t="s">
        <v>15396</v>
      </c>
      <c r="AL16" s="1215" t="s">
        <v>15397</v>
      </c>
      <c r="AM16" s="1212"/>
      <c r="AN16" s="1215" t="s">
        <v>15398</v>
      </c>
      <c r="AO16" s="1215" t="s">
        <v>15399</v>
      </c>
      <c r="AP16" s="1215" t="s">
        <v>15400</v>
      </c>
      <c r="AQ16" s="1215" t="s">
        <v>15401</v>
      </c>
      <c r="AR16" s="1212"/>
      <c r="AS16" s="1216" t="s">
        <v>15402</v>
      </c>
    </row>
    <row r="17" spans="2:45" ht="15.75" customHeight="1">
      <c r="B17" s="792" t="s">
        <v>15403</v>
      </c>
      <c r="C17" s="325" t="s">
        <v>681</v>
      </c>
      <c r="D17" s="325">
        <v>3</v>
      </c>
      <c r="E17" s="1670">
        <f>IF(E11&gt;0, E11*E15, 0)</f>
        <v>0</v>
      </c>
      <c r="F17" s="1670">
        <f>IF(F11&gt;0, F11*F15, 0)</f>
        <v>0</v>
      </c>
      <c r="G17" s="1670">
        <f>IF(G11&gt;0, G11*G15, 0)</f>
        <v>0</v>
      </c>
      <c r="H17" s="2562"/>
      <c r="I17" s="1670">
        <f>IF(I11&gt;0, I11*I15, 0)</f>
        <v>0</v>
      </c>
      <c r="J17" s="1670">
        <f>IF(J11&gt;0, J11*J15, 0)</f>
        <v>0</v>
      </c>
      <c r="K17" s="1670">
        <f>IF(K11&gt;0, K11*K15, 0)</f>
        <v>0</v>
      </c>
      <c r="L17" s="1670">
        <f>IF(L11&gt;0, L11*L15, 0)</f>
        <v>0</v>
      </c>
      <c r="M17" s="2562"/>
      <c r="N17" s="1696">
        <f>IF(N11&gt;0, N11*N15, 0)</f>
        <v>0</v>
      </c>
      <c r="O17" s="997"/>
      <c r="P17" s="1071" t="s">
        <v>15404</v>
      </c>
      <c r="Q17" s="197"/>
      <c r="R17" s="291"/>
      <c r="S17" s="282"/>
      <c r="T17" s="1167"/>
      <c r="U17" s="284"/>
      <c r="V17" s="1167"/>
      <c r="W17" s="284"/>
      <c r="X17" s="284"/>
      <c r="Y17" s="284"/>
      <c r="Z17" s="284"/>
      <c r="AA17" s="284"/>
      <c r="AB17" s="284"/>
      <c r="AC17" s="284"/>
      <c r="AD17" s="284"/>
      <c r="AE17" s="284"/>
      <c r="AF17" s="284"/>
      <c r="AG17" s="1167"/>
      <c r="AI17" s="792" t="s">
        <v>15403</v>
      </c>
      <c r="AJ17" s="1215" t="s">
        <v>15405</v>
      </c>
      <c r="AK17" s="1215" t="s">
        <v>15406</v>
      </c>
      <c r="AL17" s="1215" t="s">
        <v>15407</v>
      </c>
      <c r="AM17" s="1212"/>
      <c r="AN17" s="1215" t="s">
        <v>15408</v>
      </c>
      <c r="AO17" s="1215" t="s">
        <v>15409</v>
      </c>
      <c r="AP17" s="1215" t="s">
        <v>15410</v>
      </c>
      <c r="AQ17" s="1215" t="s">
        <v>15411</v>
      </c>
      <c r="AR17" s="1212"/>
      <c r="AS17" s="1216" t="s">
        <v>15412</v>
      </c>
    </row>
    <row r="18" spans="2:45" ht="15.75" customHeight="1">
      <c r="B18" s="792" t="s">
        <v>15413</v>
      </c>
      <c r="C18" s="325" t="s">
        <v>681</v>
      </c>
      <c r="D18" s="325">
        <v>3</v>
      </c>
      <c r="E18" s="1670">
        <f>IF(E16=0, 0, E11-E16)</f>
        <v>0</v>
      </c>
      <c r="F18" s="1670">
        <f>IF(F16=0, 0, F11-F16)</f>
        <v>0</v>
      </c>
      <c r="G18" s="1670">
        <f>IF(G16=0, 0, G11-G16)</f>
        <v>0</v>
      </c>
      <c r="H18" s="2562"/>
      <c r="I18" s="1670">
        <f>IF(I16=0, 0, I11-I16)</f>
        <v>0</v>
      </c>
      <c r="J18" s="1670">
        <f>IF(J16=0, 0, J11-J16)</f>
        <v>0</v>
      </c>
      <c r="K18" s="1670">
        <f>IF(K16=0, 0, K11-K16)</f>
        <v>0</v>
      </c>
      <c r="L18" s="1670">
        <f>IF(L16=0, 0, L11-L16)</f>
        <v>0</v>
      </c>
      <c r="M18" s="2562"/>
      <c r="N18" s="1696">
        <f>IF(N16=0, 0, N11-N16)</f>
        <v>0</v>
      </c>
      <c r="O18" s="349"/>
      <c r="P18" s="1071" t="s">
        <v>15414</v>
      </c>
      <c r="Q18" s="197"/>
      <c r="R18" s="291"/>
      <c r="S18" s="436"/>
      <c r="T18" s="1167"/>
      <c r="U18" s="284"/>
      <c r="V18" s="1167"/>
      <c r="W18" s="284"/>
      <c r="X18" s="284"/>
      <c r="Y18" s="284"/>
      <c r="Z18" s="284"/>
      <c r="AA18" s="284"/>
      <c r="AB18" s="284"/>
      <c r="AC18" s="284"/>
      <c r="AD18" s="284"/>
      <c r="AE18" s="284"/>
      <c r="AF18" s="284"/>
      <c r="AG18" s="1167"/>
      <c r="AI18" s="792" t="s">
        <v>15413</v>
      </c>
      <c r="AJ18" s="1215" t="s">
        <v>15415</v>
      </c>
      <c r="AK18" s="1215" t="s">
        <v>15416</v>
      </c>
      <c r="AL18" s="1215" t="s">
        <v>15417</v>
      </c>
      <c r="AM18" s="1212"/>
      <c r="AN18" s="1215" t="s">
        <v>15418</v>
      </c>
      <c r="AO18" s="1215" t="s">
        <v>15419</v>
      </c>
      <c r="AP18" s="1215" t="s">
        <v>15420</v>
      </c>
      <c r="AQ18" s="1215" t="s">
        <v>15421</v>
      </c>
      <c r="AR18" s="1212"/>
      <c r="AS18" s="1216" t="s">
        <v>15422</v>
      </c>
    </row>
    <row r="19" spans="2:45" ht="15.75" customHeight="1" thickBot="1">
      <c r="B19" s="453" t="s">
        <v>15423</v>
      </c>
      <c r="C19" s="332" t="s">
        <v>681</v>
      </c>
      <c r="D19" s="332">
        <v>3</v>
      </c>
      <c r="E19" s="1700">
        <f>IF(E17=0, 0, E11-E17)</f>
        <v>0</v>
      </c>
      <c r="F19" s="1700">
        <f>IF(F17=0, 0, F11-F17)</f>
        <v>0</v>
      </c>
      <c r="G19" s="1700">
        <f>IF(G17=0, 0, G11-G17)</f>
        <v>0</v>
      </c>
      <c r="H19" s="2563"/>
      <c r="I19" s="1700">
        <f>IF(I17=0, 0, I11-I17)</f>
        <v>0</v>
      </c>
      <c r="J19" s="1700">
        <f>IF(J17=0, 0, J11-J17)</f>
        <v>0</v>
      </c>
      <c r="K19" s="1700">
        <f>IF(K17=0, 0, K11-K17)</f>
        <v>0</v>
      </c>
      <c r="L19" s="1700">
        <f>IF(L17=0, 0, L11-L17)</f>
        <v>0</v>
      </c>
      <c r="M19" s="2563"/>
      <c r="N19" s="1665">
        <f>IF(N17=0, 0, N11-N17)</f>
        <v>0</v>
      </c>
      <c r="O19" s="349"/>
      <c r="P19" s="1085" t="s">
        <v>15424</v>
      </c>
      <c r="Q19" s="197"/>
      <c r="R19" s="302"/>
      <c r="S19" s="436"/>
      <c r="T19" s="1167"/>
      <c r="U19" s="284"/>
      <c r="V19" s="1167"/>
      <c r="W19" s="284"/>
      <c r="X19" s="284"/>
      <c r="Y19" s="284"/>
      <c r="Z19" s="284"/>
      <c r="AA19" s="284"/>
      <c r="AB19" s="284"/>
      <c r="AC19" s="284"/>
      <c r="AD19" s="284"/>
      <c r="AE19" s="284"/>
      <c r="AF19" s="284"/>
      <c r="AG19" s="1167"/>
      <c r="AI19" s="453" t="s">
        <v>15423</v>
      </c>
      <c r="AJ19" s="1222" t="s">
        <v>15425</v>
      </c>
      <c r="AK19" s="1222" t="s">
        <v>15426</v>
      </c>
      <c r="AL19" s="1222" t="s">
        <v>15427</v>
      </c>
      <c r="AM19" s="1223"/>
      <c r="AN19" s="1222" t="s">
        <v>15428</v>
      </c>
      <c r="AO19" s="1222" t="s">
        <v>15429</v>
      </c>
      <c r="AP19" s="1222" t="s">
        <v>15430</v>
      </c>
      <c r="AQ19" s="1222" t="s">
        <v>15431</v>
      </c>
      <c r="AR19" s="1223"/>
      <c r="AS19" s="1224" t="s">
        <v>15432</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15433</v>
      </c>
      <c r="C21" s="318" t="s">
        <v>681</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15434</v>
      </c>
      <c r="Q21" s="197"/>
      <c r="R21" s="433"/>
      <c r="S21" s="436"/>
      <c r="T21" s="1167"/>
      <c r="U21" s="284"/>
      <c r="V21" s="1167"/>
      <c r="W21" s="284"/>
      <c r="X21" s="284"/>
      <c r="Y21" s="284"/>
      <c r="Z21" s="284"/>
      <c r="AA21" s="284"/>
      <c r="AB21" s="284"/>
      <c r="AC21" s="284"/>
      <c r="AD21" s="284"/>
      <c r="AE21" s="284"/>
      <c r="AF21" s="284"/>
      <c r="AG21" s="1167"/>
      <c r="AI21" s="814" t="s">
        <v>15433</v>
      </c>
      <c r="AJ21" s="1226" t="s">
        <v>15435</v>
      </c>
      <c r="AK21" s="1226" t="s">
        <v>15436</v>
      </c>
      <c r="AL21" s="1226" t="s">
        <v>15437</v>
      </c>
      <c r="AM21" s="1209"/>
      <c r="AN21" s="1226" t="s">
        <v>15438</v>
      </c>
      <c r="AO21" s="1226" t="s">
        <v>15439</v>
      </c>
      <c r="AP21" s="1226" t="s">
        <v>15440</v>
      </c>
      <c r="AQ21" s="1226" t="s">
        <v>15441</v>
      </c>
      <c r="AR21" s="1209"/>
      <c r="AS21" s="1227" t="s">
        <v>15442</v>
      </c>
    </row>
    <row r="22" spans="2:45" ht="15.75" customHeight="1">
      <c r="B22" s="792" t="s">
        <v>15443</v>
      </c>
      <c r="C22" s="325" t="s">
        <v>681</v>
      </c>
      <c r="D22" s="325">
        <v>3</v>
      </c>
      <c r="E22" s="793"/>
      <c r="F22" s="793"/>
      <c r="G22" s="793"/>
      <c r="H22" s="2100"/>
      <c r="I22" s="793"/>
      <c r="J22" s="793"/>
      <c r="K22" s="793"/>
      <c r="L22" s="793"/>
      <c r="M22" s="2100"/>
      <c r="N22" s="794"/>
      <c r="O22" s="349"/>
      <c r="P22" s="1071" t="s">
        <v>15444</v>
      </c>
      <c r="Q22" s="197"/>
      <c r="R22" s="437"/>
      <c r="S22" s="436"/>
      <c r="T22" s="1167"/>
      <c r="U22" s="284" t="str">
        <f>IF( SUM( W22:AF22 ) = 0, 0, $W$7 )</f>
        <v>Please complete all cells in row</v>
      </c>
      <c r="V22" s="1167"/>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7"/>
      <c r="AI22" s="792" t="s">
        <v>15443</v>
      </c>
      <c r="AJ22" s="1213" t="s">
        <v>15445</v>
      </c>
      <c r="AK22" s="1213" t="s">
        <v>15446</v>
      </c>
      <c r="AL22" s="1213" t="s">
        <v>15447</v>
      </c>
      <c r="AM22" s="1212"/>
      <c r="AN22" s="1213" t="s">
        <v>15448</v>
      </c>
      <c r="AO22" s="1213" t="s">
        <v>15449</v>
      </c>
      <c r="AP22" s="1213" t="s">
        <v>15450</v>
      </c>
      <c r="AQ22" s="1213" t="s">
        <v>15451</v>
      </c>
      <c r="AR22" s="1212"/>
      <c r="AS22" s="1214" t="s">
        <v>15452</v>
      </c>
    </row>
    <row r="23" spans="2:45" ht="15.75" customHeight="1" thickBot="1">
      <c r="B23" s="453" t="s">
        <v>15453</v>
      </c>
      <c r="C23" s="332" t="s">
        <v>681</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15454</v>
      </c>
      <c r="Q23" s="197"/>
      <c r="R23" s="434"/>
      <c r="S23" s="436"/>
      <c r="T23" s="1167"/>
      <c r="U23" s="284"/>
      <c r="V23" s="1167"/>
      <c r="W23" s="284"/>
      <c r="X23" s="284"/>
      <c r="Y23" s="284"/>
      <c r="Z23" s="284"/>
      <c r="AA23" s="284"/>
      <c r="AB23" s="284"/>
      <c r="AC23" s="284"/>
      <c r="AD23" s="284"/>
      <c r="AE23" s="284"/>
      <c r="AF23" s="284"/>
      <c r="AG23" s="1167"/>
      <c r="AI23" s="453" t="s">
        <v>15453</v>
      </c>
      <c r="AJ23" s="1222" t="s">
        <v>15455</v>
      </c>
      <c r="AK23" s="1222" t="s">
        <v>15456</v>
      </c>
      <c r="AL23" s="1222" t="s">
        <v>15457</v>
      </c>
      <c r="AM23" s="1223"/>
      <c r="AN23" s="1222" t="s">
        <v>15458</v>
      </c>
      <c r="AO23" s="1222" t="s">
        <v>15459</v>
      </c>
      <c r="AP23" s="1222" t="s">
        <v>15460</v>
      </c>
      <c r="AQ23" s="1222" t="s">
        <v>15461</v>
      </c>
      <c r="AR23" s="1223"/>
      <c r="AS23" s="1224" t="s">
        <v>15462</v>
      </c>
    </row>
    <row r="24" spans="2:45"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65" priority="27" operator="equal">
      <formula>0</formula>
    </cfRule>
  </conditionalFormatting>
  <conditionalFormatting sqref="U4:U7">
    <cfRule type="cellIs" dxfId="164" priority="16" operator="equal">
      <formula>0</formula>
    </cfRule>
  </conditionalFormatting>
  <conditionalFormatting sqref="U1:U2">
    <cfRule type="cellIs" dxfId="163" priority="15" operator="equal">
      <formula>0</formula>
    </cfRule>
  </conditionalFormatting>
  <conditionalFormatting sqref="U8">
    <cfRule type="cellIs" dxfId="162" priority="13" operator="equal">
      <formula>0</formula>
    </cfRule>
  </conditionalFormatting>
  <conditionalFormatting sqref="U11 U13 U16:U21 U23:U26">
    <cfRule type="cellIs" dxfId="161" priority="12" operator="equal">
      <formula>0</formula>
    </cfRule>
  </conditionalFormatting>
  <conditionalFormatting sqref="Z9 AE9">
    <cfRule type="cellIs" dxfId="160" priority="11" operator="equal">
      <formula>0</formula>
    </cfRule>
  </conditionalFormatting>
  <conditionalFormatting sqref="W11:AF11 W13:AF13 W16:AF21 W23:AF26">
    <cfRule type="cellIs" dxfId="159" priority="10" operator="equal">
      <formula>0</formula>
    </cfRule>
  </conditionalFormatting>
  <conditionalFormatting sqref="Z10 AE10">
    <cfRule type="cellIs" dxfId="158" priority="9" operator="equal">
      <formula>0</formula>
    </cfRule>
  </conditionalFormatting>
  <conditionalFormatting sqref="Z12 AE12">
    <cfRule type="cellIs" dxfId="157" priority="8" operator="equal">
      <formula>0</formula>
    </cfRule>
  </conditionalFormatting>
  <conditionalFormatting sqref="Z14 AE14">
    <cfRule type="cellIs" dxfId="156" priority="7" operator="equal">
      <formula>0</formula>
    </cfRule>
  </conditionalFormatting>
  <conditionalFormatting sqref="Z15 AE15">
    <cfRule type="cellIs" dxfId="155" priority="6" operator="equal">
      <formula>0</formula>
    </cfRule>
  </conditionalFormatting>
  <conditionalFormatting sqref="Z22 AE22">
    <cfRule type="cellIs" dxfId="154" priority="5" operator="equal">
      <formula>0</formula>
    </cfRule>
  </conditionalFormatting>
  <conditionalFormatting sqref="U10">
    <cfRule type="cellIs" dxfId="153" priority="4" operator="equal">
      <formula>0</formula>
    </cfRule>
  </conditionalFormatting>
  <conditionalFormatting sqref="U12">
    <cfRule type="cellIs" dxfId="152" priority="3" operator="equal">
      <formula>0</formula>
    </cfRule>
  </conditionalFormatting>
  <conditionalFormatting sqref="U14:U15">
    <cfRule type="cellIs" dxfId="151" priority="2" operator="equal">
      <formula>0</formula>
    </cfRule>
  </conditionalFormatting>
  <conditionalFormatting sqref="U22">
    <cfRule type="cellIs" dxfId="150" priority="1"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tabColor rgb="FF00B050"/>
  </sheetPr>
  <dimension ref="A1:AL18"/>
  <sheetViews>
    <sheetView zoomScale="80" zoomScaleNormal="80" workbookViewId="0">
      <selection activeCell="I33" sqref="I33"/>
    </sheetView>
  </sheetViews>
  <sheetFormatPr defaultColWidth="9" defaultRowHeight="15"/>
  <cols>
    <col min="1" max="1" width="1.625" style="2340" customWidth="1"/>
    <col min="2" max="2" width="48.625" style="2340" bestFit="1" customWidth="1"/>
    <col min="3" max="3" width="7.25" style="2340" customWidth="1"/>
    <col min="4" max="4" width="8.25" style="2340" customWidth="1"/>
    <col min="5" max="5" width="14.75" style="2340" customWidth="1"/>
    <col min="6" max="7" width="22.125" style="2340" customWidth="1"/>
    <col min="8" max="9" width="14.75" style="2340" customWidth="1"/>
    <col min="10" max="11" width="22.125" style="2340" customWidth="1"/>
    <col min="12" max="12" width="14.75" style="2340" customWidth="1"/>
    <col min="13" max="13" width="1.625" style="2340" customWidth="1"/>
    <col min="14" max="14" width="12.5" style="2340" customWidth="1"/>
    <col min="15" max="15" width="1.625" style="2340" customWidth="1"/>
    <col min="16" max="16" width="33.625" style="2340"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340" customWidth="1"/>
    <col min="30" max="30" width="48.625" style="2340" bestFit="1" customWidth="1"/>
    <col min="31" max="31" width="20.625" style="2340" bestFit="1" customWidth="1"/>
    <col min="32" max="33" width="22.125" style="2340" customWidth="1"/>
    <col min="34" max="35" width="14.75" style="2340" customWidth="1"/>
    <col min="36" max="37" width="22.125" style="2340" customWidth="1"/>
    <col min="38" max="38" width="14.75" style="2340" customWidth="1"/>
    <col min="39" max="16384" width="9" style="2340"/>
  </cols>
  <sheetData>
    <row r="1" spans="1:38" s="2393" customFormat="1" ht="23.25">
      <c r="A1" s="2509"/>
      <c r="B1" s="2510" t="s">
        <v>15463</v>
      </c>
      <c r="C1" s="2511"/>
      <c r="D1" s="2511"/>
      <c r="E1" s="2511"/>
      <c r="F1" s="2511"/>
      <c r="G1" s="2511"/>
      <c r="H1" s="2511"/>
      <c r="I1" s="2510"/>
      <c r="J1" s="2511"/>
      <c r="K1" s="2511"/>
      <c r="L1" s="267"/>
      <c r="M1" s="267"/>
      <c r="N1" s="267"/>
      <c r="O1" s="2509"/>
      <c r="P1" s="2509"/>
      <c r="Q1" s="969"/>
      <c r="R1" s="1165"/>
      <c r="S1" s="284"/>
      <c r="T1" s="1165"/>
      <c r="U1" s="106"/>
      <c r="V1" s="106"/>
      <c r="W1" s="106"/>
      <c r="X1" s="106"/>
      <c r="Y1" s="106"/>
      <c r="Z1" s="106"/>
      <c r="AA1" s="106"/>
      <c r="AB1" s="1165"/>
      <c r="AC1" s="2509"/>
      <c r="AD1" s="2509"/>
      <c r="AE1" s="2509"/>
      <c r="AF1" s="2511"/>
      <c r="AG1" s="2511"/>
      <c r="AH1" s="2511"/>
      <c r="AI1" s="2510"/>
      <c r="AJ1" s="2511"/>
      <c r="AK1" s="2511"/>
      <c r="AL1" s="267"/>
    </row>
    <row r="2" spans="1:38" s="2393" customFormat="1" ht="23.25">
      <c r="A2" s="2509"/>
      <c r="B2" s="2894" t="str">
        <f>SelectCompany!B4</f>
        <v>Northumbrian Water</v>
      </c>
      <c r="C2" s="2894"/>
      <c r="D2" s="2894"/>
      <c r="E2" s="2894"/>
      <c r="F2" s="2511"/>
      <c r="G2" s="2511"/>
      <c r="H2" s="2511"/>
      <c r="I2" s="2510"/>
      <c r="J2" s="2511"/>
      <c r="K2" s="2511"/>
      <c r="L2" s="267"/>
      <c r="M2" s="267"/>
      <c r="N2" s="267"/>
      <c r="O2" s="2509"/>
      <c r="P2" s="2509"/>
      <c r="Q2" s="969"/>
      <c r="R2" s="1165"/>
      <c r="S2" s="284"/>
      <c r="T2" s="1165"/>
      <c r="U2" s="106"/>
      <c r="V2" s="106"/>
      <c r="W2" s="106"/>
      <c r="X2" s="106"/>
      <c r="Y2" s="106"/>
      <c r="Z2" s="106"/>
      <c r="AA2" s="106"/>
      <c r="AB2" s="1165"/>
      <c r="AC2" s="2509"/>
      <c r="AD2" s="2509"/>
      <c r="AE2" s="2509"/>
      <c r="AF2" s="2511"/>
      <c r="AG2" s="2511"/>
      <c r="AH2" s="2511"/>
      <c r="AI2" s="2510"/>
      <c r="AJ2" s="2511"/>
      <c r="AK2" s="2511"/>
      <c r="AL2" s="267"/>
    </row>
    <row r="3" spans="1:38" s="2394" customFormat="1" ht="19.5">
      <c r="A3" s="2512"/>
      <c r="B3" s="2807" t="s">
        <v>15464</v>
      </c>
      <c r="C3" s="2807"/>
      <c r="D3" s="2807"/>
      <c r="E3" s="2807"/>
      <c r="F3" s="2807"/>
      <c r="G3" s="2807"/>
      <c r="H3" s="2807"/>
      <c r="I3" s="2807"/>
      <c r="J3" s="2807"/>
      <c r="K3" s="2807"/>
      <c r="L3" s="2807"/>
      <c r="M3" s="2807"/>
      <c r="N3" s="2807"/>
      <c r="O3" s="2807"/>
      <c r="P3" s="2807"/>
      <c r="Q3" s="969"/>
      <c r="R3" s="1165"/>
      <c r="S3" s="650" t="s">
        <v>7222</v>
      </c>
      <c r="T3" s="1165"/>
      <c r="U3" s="106"/>
      <c r="V3" s="106"/>
      <c r="W3" s="106"/>
      <c r="X3" s="106"/>
      <c r="Y3" s="106"/>
      <c r="Z3" s="106"/>
      <c r="AA3" s="106"/>
      <c r="AB3" s="1165"/>
      <c r="AC3" s="2512"/>
      <c r="AD3" s="2807" t="s">
        <v>15464</v>
      </c>
      <c r="AE3" s="2807"/>
      <c r="AF3" s="2807"/>
      <c r="AG3" s="2807"/>
      <c r="AH3" s="2807"/>
      <c r="AI3" s="2807"/>
      <c r="AJ3" s="2807"/>
      <c r="AK3" s="2807"/>
      <c r="AL3" s="2807"/>
    </row>
    <row r="4" spans="1:38" s="2394" customFormat="1" ht="19.5" thickBot="1">
      <c r="A4" s="2512"/>
      <c r="B4" s="2513"/>
      <c r="C4" s="2513"/>
      <c r="D4" s="2513"/>
      <c r="E4" s="2513"/>
      <c r="F4" s="2513"/>
      <c r="G4" s="2513"/>
      <c r="H4" s="2513"/>
      <c r="I4" s="2513"/>
      <c r="J4" s="2513"/>
      <c r="K4" s="2513"/>
      <c r="L4" s="2513"/>
      <c r="M4" s="2512"/>
      <c r="N4" s="2514"/>
      <c r="O4" s="2512"/>
      <c r="P4" s="2512"/>
      <c r="Q4" s="969"/>
      <c r="R4" s="1165"/>
      <c r="S4" s="284"/>
      <c r="T4" s="1165"/>
      <c r="U4" s="106"/>
      <c r="V4" s="106"/>
      <c r="W4" s="106"/>
      <c r="X4" s="106"/>
      <c r="Y4" s="106"/>
      <c r="Z4" s="106"/>
      <c r="AA4" s="106"/>
      <c r="AB4" s="1165"/>
      <c r="AC4" s="2512"/>
      <c r="AD4" s="2513"/>
      <c r="AE4" s="2513"/>
      <c r="AF4" s="2513"/>
      <c r="AG4" s="2513"/>
      <c r="AH4" s="2513"/>
      <c r="AI4" s="2513"/>
      <c r="AJ4" s="2513"/>
      <c r="AK4" s="2513"/>
      <c r="AL4" s="2513"/>
    </row>
    <row r="5" spans="1:38" s="2395" customFormat="1" ht="15" customHeight="1" thickTop="1">
      <c r="A5" s="272"/>
      <c r="B5" s="2711" t="s">
        <v>7224</v>
      </c>
      <c r="C5" s="2892" t="s">
        <v>7225</v>
      </c>
      <c r="D5" s="2892" t="s">
        <v>670</v>
      </c>
      <c r="E5" s="2673" t="s">
        <v>15465</v>
      </c>
      <c r="F5" s="2673"/>
      <c r="G5" s="2673"/>
      <c r="H5" s="2673"/>
      <c r="I5" s="2673" t="s">
        <v>15466</v>
      </c>
      <c r="J5" s="2673"/>
      <c r="K5" s="2673"/>
      <c r="L5" s="2675"/>
      <c r="M5" s="272"/>
      <c r="N5" s="2790" t="s">
        <v>7229</v>
      </c>
      <c r="O5" s="272"/>
      <c r="P5" s="2790" t="s">
        <v>7230</v>
      </c>
      <c r="Q5" s="969"/>
      <c r="R5" s="1165"/>
      <c r="S5" s="284"/>
      <c r="T5" s="1165"/>
      <c r="U5" s="106"/>
      <c r="V5" s="106"/>
      <c r="W5" s="106"/>
      <c r="X5" s="106"/>
      <c r="Y5" s="106"/>
      <c r="Z5" s="106"/>
      <c r="AA5" s="106"/>
      <c r="AB5" s="1165"/>
      <c r="AC5" s="272"/>
      <c r="AD5" s="2711" t="s">
        <v>7224</v>
      </c>
      <c r="AE5" s="2673" t="s">
        <v>15465</v>
      </c>
      <c r="AF5" s="2673"/>
      <c r="AG5" s="2673"/>
      <c r="AH5" s="2673"/>
      <c r="AI5" s="2673" t="s">
        <v>15466</v>
      </c>
      <c r="AJ5" s="2673"/>
      <c r="AK5" s="2673"/>
      <c r="AL5" s="2675"/>
    </row>
    <row r="6" spans="1:38" s="2395" customFormat="1" ht="15" customHeight="1" thickBot="1">
      <c r="A6" s="272"/>
      <c r="B6" s="2712"/>
      <c r="C6" s="2893"/>
      <c r="D6" s="2893"/>
      <c r="E6" s="271" t="s">
        <v>15467</v>
      </c>
      <c r="F6" s="271" t="s">
        <v>15468</v>
      </c>
      <c r="G6" s="271" t="s">
        <v>15469</v>
      </c>
      <c r="H6" s="271" t="s">
        <v>7445</v>
      </c>
      <c r="I6" s="271" t="s">
        <v>15467</v>
      </c>
      <c r="J6" s="271" t="s">
        <v>15468</v>
      </c>
      <c r="K6" s="271" t="s">
        <v>15469</v>
      </c>
      <c r="L6" s="672" t="s">
        <v>7445</v>
      </c>
      <c r="M6" s="272"/>
      <c r="N6" s="2792"/>
      <c r="O6" s="272"/>
      <c r="P6" s="2792"/>
      <c r="Q6" s="2408"/>
      <c r="R6" s="1165"/>
      <c r="S6" s="284"/>
      <c r="T6" s="1165"/>
      <c r="U6" s="2668" t="s">
        <v>7223</v>
      </c>
      <c r="V6" s="2668"/>
      <c r="W6" s="2668"/>
      <c r="X6" s="2668"/>
      <c r="Y6" s="2668"/>
      <c r="Z6" s="2668"/>
      <c r="AA6" s="2668"/>
      <c r="AB6" s="1165"/>
      <c r="AC6" s="272"/>
      <c r="AD6" s="2712"/>
      <c r="AE6" s="271" t="s">
        <v>15467</v>
      </c>
      <c r="AF6" s="271" t="s">
        <v>15468</v>
      </c>
      <c r="AG6" s="271" t="s">
        <v>15469</v>
      </c>
      <c r="AH6" s="271" t="s">
        <v>7445</v>
      </c>
      <c r="AI6" s="271" t="s">
        <v>15467</v>
      </c>
      <c r="AJ6" s="271" t="s">
        <v>15468</v>
      </c>
      <c r="AK6" s="271" t="s">
        <v>15469</v>
      </c>
      <c r="AL6" s="672" t="s">
        <v>7445</v>
      </c>
    </row>
    <row r="7" spans="1:38" s="2395"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7231</v>
      </c>
      <c r="V7" s="106"/>
      <c r="W7" s="106"/>
      <c r="X7" s="106"/>
      <c r="Y7" s="106"/>
      <c r="Z7" s="106"/>
      <c r="AA7" s="106"/>
      <c r="AB7" s="1165"/>
      <c r="AC7" s="272"/>
      <c r="AD7" s="956"/>
      <c r="AE7" s="956"/>
      <c r="AF7" s="957"/>
      <c r="AG7" s="957"/>
      <c r="AH7" s="957"/>
      <c r="AI7" s="956"/>
      <c r="AJ7" s="957"/>
      <c r="AK7" s="957"/>
      <c r="AL7" s="957"/>
    </row>
    <row r="8" spans="1:38" s="2395" customFormat="1" ht="15" customHeight="1" thickTop="1">
      <c r="A8" s="272"/>
      <c r="B8" s="396" t="s">
        <v>15470</v>
      </c>
      <c r="C8" s="2515" t="s">
        <v>681</v>
      </c>
      <c r="D8" s="2515">
        <v>3</v>
      </c>
      <c r="E8" s="2621">
        <v>-0.37842177538008798</v>
      </c>
      <c r="F8" s="2396">
        <v>0</v>
      </c>
      <c r="G8" s="2396">
        <v>0</v>
      </c>
      <c r="H8" s="2397">
        <f t="shared" ref="H8:H12" si="0">SUM(E8:G8)</f>
        <v>-0.37842177538008798</v>
      </c>
      <c r="I8" s="2621">
        <v>-0.37842177538008825</v>
      </c>
      <c r="J8" s="2396">
        <v>0</v>
      </c>
      <c r="K8" s="2398">
        <v>0</v>
      </c>
      <c r="L8" s="2399">
        <f t="shared" ref="L8:L13" si="1">SUM(I8:K8)</f>
        <v>-0.37842177538008825</v>
      </c>
      <c r="M8" s="272"/>
      <c r="N8" s="1040" t="s">
        <v>15471</v>
      </c>
      <c r="O8" s="272"/>
      <c r="P8" s="557"/>
      <c r="Q8" s="1031"/>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15470</v>
      </c>
      <c r="AE8" s="2396" t="s">
        <v>3017</v>
      </c>
      <c r="AF8" s="2396" t="s">
        <v>3019</v>
      </c>
      <c r="AG8" s="2396" t="s">
        <v>3021</v>
      </c>
      <c r="AH8" s="2397" t="s">
        <v>3023</v>
      </c>
      <c r="AI8" s="2396" t="s">
        <v>3025</v>
      </c>
      <c r="AJ8" s="2396" t="s">
        <v>3027</v>
      </c>
      <c r="AK8" s="2398" t="s">
        <v>3029</v>
      </c>
      <c r="AL8" s="2399" t="s">
        <v>3031</v>
      </c>
    </row>
    <row r="9" spans="1:38" s="2395" customFormat="1" ht="15" customHeight="1">
      <c r="A9" s="272"/>
      <c r="B9" s="403" t="s">
        <v>15472</v>
      </c>
      <c r="C9" s="2516" t="s">
        <v>681</v>
      </c>
      <c r="D9" s="2516">
        <v>3</v>
      </c>
      <c r="E9" s="2622">
        <v>-8.6250122609122112E-2</v>
      </c>
      <c r="F9" s="2400">
        <v>0</v>
      </c>
      <c r="G9" s="2400">
        <v>0</v>
      </c>
      <c r="H9" s="2401">
        <f t="shared" si="0"/>
        <v>-8.6250122609122112E-2</v>
      </c>
      <c r="I9" s="2622">
        <v>-8.6250122609122112E-2</v>
      </c>
      <c r="J9" s="2400">
        <v>0</v>
      </c>
      <c r="K9" s="2402">
        <v>0</v>
      </c>
      <c r="L9" s="2403">
        <f t="shared" si="1"/>
        <v>-8.6250122609122112E-2</v>
      </c>
      <c r="M9" s="272"/>
      <c r="N9" s="1041" t="s">
        <v>15473</v>
      </c>
      <c r="O9" s="272"/>
      <c r="P9" s="558"/>
      <c r="Q9" s="1031"/>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15472</v>
      </c>
      <c r="AE9" s="2400" t="s">
        <v>3033</v>
      </c>
      <c r="AF9" s="2400" t="s">
        <v>3035</v>
      </c>
      <c r="AG9" s="2400" t="s">
        <v>3037</v>
      </c>
      <c r="AH9" s="2401" t="s">
        <v>3039</v>
      </c>
      <c r="AI9" s="2400" t="s">
        <v>3041</v>
      </c>
      <c r="AJ9" s="2400" t="s">
        <v>3043</v>
      </c>
      <c r="AK9" s="2402" t="s">
        <v>3045</v>
      </c>
      <c r="AL9" s="2403" t="s">
        <v>3047</v>
      </c>
    </row>
    <row r="10" spans="1:38" s="2395" customFormat="1" ht="15" customHeight="1">
      <c r="A10" s="272"/>
      <c r="B10" s="403" t="s">
        <v>15474</v>
      </c>
      <c r="C10" s="2516" t="s">
        <v>681</v>
      </c>
      <c r="D10" s="2516">
        <v>3</v>
      </c>
      <c r="E10" s="2622">
        <v>52.607671897989221</v>
      </c>
      <c r="F10" s="2400">
        <v>0</v>
      </c>
      <c r="G10" s="2400">
        <v>0</v>
      </c>
      <c r="H10" s="2401">
        <f t="shared" si="0"/>
        <v>52.607671897989221</v>
      </c>
      <c r="I10" s="2622">
        <v>52.607671897989221</v>
      </c>
      <c r="J10" s="2400">
        <v>0</v>
      </c>
      <c r="K10" s="2402">
        <v>0</v>
      </c>
      <c r="L10" s="2403">
        <f t="shared" si="1"/>
        <v>52.607671897989221</v>
      </c>
      <c r="M10" s="272"/>
      <c r="N10" s="1041" t="s">
        <v>15475</v>
      </c>
      <c r="O10" s="272"/>
      <c r="P10" s="558"/>
      <c r="Q10" s="1031"/>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15474</v>
      </c>
      <c r="AE10" s="2400" t="s">
        <v>3049</v>
      </c>
      <c r="AF10" s="2400" t="s">
        <v>3051</v>
      </c>
      <c r="AG10" s="2400" t="s">
        <v>3053</v>
      </c>
      <c r="AH10" s="2401" t="s">
        <v>3055</v>
      </c>
      <c r="AI10" s="2400" t="s">
        <v>3057</v>
      </c>
      <c r="AJ10" s="2400" t="s">
        <v>3059</v>
      </c>
      <c r="AK10" s="2402" t="s">
        <v>3061</v>
      </c>
      <c r="AL10" s="2403" t="s">
        <v>3063</v>
      </c>
    </row>
    <row r="11" spans="1:38" s="2395" customFormat="1" ht="15" customHeight="1">
      <c r="A11" s="272"/>
      <c r="B11" s="403" t="s">
        <v>15476</v>
      </c>
      <c r="C11" s="2516" t="s">
        <v>681</v>
      </c>
      <c r="D11" s="2516">
        <v>3</v>
      </c>
      <c r="E11" s="2400">
        <v>0</v>
      </c>
      <c r="F11" s="2400">
        <v>0</v>
      </c>
      <c r="G11" s="2400">
        <v>0</v>
      </c>
      <c r="H11" s="2401">
        <f t="shared" si="0"/>
        <v>0</v>
      </c>
      <c r="I11" s="2400">
        <v>0</v>
      </c>
      <c r="J11" s="2400">
        <v>0</v>
      </c>
      <c r="K11" s="2402">
        <v>0</v>
      </c>
      <c r="L11" s="2403">
        <f t="shared" si="1"/>
        <v>0</v>
      </c>
      <c r="M11" s="272"/>
      <c r="N11" s="1041" t="s">
        <v>15477</v>
      </c>
      <c r="O11" s="272"/>
      <c r="P11" s="558"/>
      <c r="Q11" s="1031"/>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15476</v>
      </c>
      <c r="AE11" s="2400" t="s">
        <v>3065</v>
      </c>
      <c r="AF11" s="2400" t="s">
        <v>3067</v>
      </c>
      <c r="AG11" s="2400" t="s">
        <v>3069</v>
      </c>
      <c r="AH11" s="2401" t="s">
        <v>3071</v>
      </c>
      <c r="AI11" s="2400" t="s">
        <v>3073</v>
      </c>
      <c r="AJ11" s="2400" t="s">
        <v>3075</v>
      </c>
      <c r="AK11" s="2402" t="s">
        <v>3077</v>
      </c>
      <c r="AL11" s="2403" t="s">
        <v>3079</v>
      </c>
    </row>
    <row r="12" spans="1:38" s="2395" customFormat="1" ht="15" customHeight="1">
      <c r="A12" s="272"/>
      <c r="B12" s="403" t="s">
        <v>15478</v>
      </c>
      <c r="C12" s="2516" t="s">
        <v>681</v>
      </c>
      <c r="D12" s="2516">
        <v>3</v>
      </c>
      <c r="E12" s="2622">
        <v>34.927</v>
      </c>
      <c r="F12" s="2400">
        <v>0</v>
      </c>
      <c r="G12" s="2400">
        <v>0</v>
      </c>
      <c r="H12" s="2401">
        <f t="shared" si="0"/>
        <v>34.927</v>
      </c>
      <c r="I12" s="2622">
        <v>34.927</v>
      </c>
      <c r="J12" s="2400">
        <v>0</v>
      </c>
      <c r="K12" s="2402">
        <v>0</v>
      </c>
      <c r="L12" s="2403">
        <f t="shared" si="1"/>
        <v>34.927</v>
      </c>
      <c r="M12" s="272"/>
      <c r="N12" s="1041" t="s">
        <v>15479</v>
      </c>
      <c r="O12" s="272"/>
      <c r="P12" s="558"/>
      <c r="Q12" s="1031"/>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15478</v>
      </c>
      <c r="AE12" s="2400" t="s">
        <v>3081</v>
      </c>
      <c r="AF12" s="2400" t="s">
        <v>3083</v>
      </c>
      <c r="AG12" s="2400" t="s">
        <v>3085</v>
      </c>
      <c r="AH12" s="2401" t="s">
        <v>3087</v>
      </c>
      <c r="AI12" s="2400" t="s">
        <v>3089</v>
      </c>
      <c r="AJ12" s="2400" t="s">
        <v>3091</v>
      </c>
      <c r="AK12" s="2402" t="s">
        <v>3093</v>
      </c>
      <c r="AL12" s="2403" t="s">
        <v>3095</v>
      </c>
    </row>
    <row r="13" spans="1:38" s="2395" customFormat="1" ht="15" customHeight="1">
      <c r="A13" s="272"/>
      <c r="B13" s="403" t="s">
        <v>15480</v>
      </c>
      <c r="C13" s="2516" t="s">
        <v>681</v>
      </c>
      <c r="D13" s="2516">
        <v>3</v>
      </c>
      <c r="E13" s="2400">
        <v>0</v>
      </c>
      <c r="F13" s="2400">
        <v>0</v>
      </c>
      <c r="G13" s="2400">
        <v>0</v>
      </c>
      <c r="H13" s="2401">
        <f>SUM(E13:G13)</f>
        <v>0</v>
      </c>
      <c r="I13" s="2400">
        <v>0</v>
      </c>
      <c r="J13" s="2400">
        <v>0</v>
      </c>
      <c r="K13" s="2402">
        <v>0</v>
      </c>
      <c r="L13" s="2403">
        <f t="shared" si="1"/>
        <v>0</v>
      </c>
      <c r="M13" s="272"/>
      <c r="N13" s="1041" t="s">
        <v>15481</v>
      </c>
      <c r="O13" s="272"/>
      <c r="P13" s="558"/>
      <c r="Q13" s="1031"/>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15480</v>
      </c>
      <c r="AE13" s="2400" t="s">
        <v>3097</v>
      </c>
      <c r="AF13" s="2400" t="s">
        <v>3099</v>
      </c>
      <c r="AG13" s="2400" t="s">
        <v>3101</v>
      </c>
      <c r="AH13" s="2401" t="s">
        <v>3103</v>
      </c>
      <c r="AI13" s="2400" t="s">
        <v>3105</v>
      </c>
      <c r="AJ13" s="2400" t="s">
        <v>3107</v>
      </c>
      <c r="AK13" s="2402" t="s">
        <v>3109</v>
      </c>
      <c r="AL13" s="2403" t="s">
        <v>3111</v>
      </c>
    </row>
    <row r="14" spans="1:38" s="2395" customFormat="1" ht="15" customHeight="1" thickBot="1">
      <c r="A14" s="272"/>
      <c r="B14" s="406" t="s">
        <v>7445</v>
      </c>
      <c r="C14" s="2407" t="s">
        <v>681</v>
      </c>
      <c r="D14" s="2407">
        <v>3</v>
      </c>
      <c r="E14" s="2404">
        <f>IFERROR(SUM(E8:E13), 0)</f>
        <v>87.070000000000007</v>
      </c>
      <c r="F14" s="2404">
        <f t="shared" ref="F14:L14" si="11">IFERROR(SUM(F8:F13), 0)</f>
        <v>0</v>
      </c>
      <c r="G14" s="2404">
        <f t="shared" si="11"/>
        <v>0</v>
      </c>
      <c r="H14" s="2404">
        <f t="shared" si="11"/>
        <v>87.070000000000007</v>
      </c>
      <c r="I14" s="2404">
        <f>IFERROR(SUM(I8:I13), 0)</f>
        <v>87.070000000000007</v>
      </c>
      <c r="J14" s="2404">
        <f t="shared" si="11"/>
        <v>0</v>
      </c>
      <c r="K14" s="2405">
        <f t="shared" si="11"/>
        <v>0</v>
      </c>
      <c r="L14" s="2406">
        <f t="shared" si="11"/>
        <v>87.070000000000007</v>
      </c>
      <c r="M14" s="272"/>
      <c r="N14" s="1043" t="s">
        <v>15482</v>
      </c>
      <c r="O14" s="272"/>
      <c r="P14" s="560"/>
      <c r="Q14" s="1031"/>
      <c r="R14" s="1165"/>
      <c r="S14" s="284">
        <f>IF( SUM( U14:AA14 ) = 0, 0, $W$7 )</f>
        <v>0</v>
      </c>
      <c r="T14" s="1165"/>
      <c r="U14" s="106"/>
      <c r="V14" s="106"/>
      <c r="W14" s="106"/>
      <c r="X14" s="106"/>
      <c r="Y14" s="106"/>
      <c r="Z14" s="106"/>
      <c r="AA14" s="106"/>
      <c r="AB14" s="1165"/>
      <c r="AC14" s="272"/>
      <c r="AD14" s="406" t="s">
        <v>7445</v>
      </c>
      <c r="AE14" s="2404" t="s">
        <v>3113</v>
      </c>
      <c r="AF14" s="2404" t="s">
        <v>3115</v>
      </c>
      <c r="AG14" s="2404" t="s">
        <v>3117</v>
      </c>
      <c r="AH14" s="2404" t="s">
        <v>3119</v>
      </c>
      <c r="AI14" s="2404" t="s">
        <v>3121</v>
      </c>
      <c r="AJ14" s="2404" t="s">
        <v>3123</v>
      </c>
      <c r="AK14" s="2405" t="s">
        <v>3125</v>
      </c>
      <c r="AL14" s="2406" t="s">
        <v>3127</v>
      </c>
    </row>
    <row r="15" spans="1:38" ht="15.75" thickTop="1">
      <c r="A15" s="2517"/>
      <c r="B15" s="2517"/>
      <c r="C15" s="2517"/>
      <c r="D15" s="2517"/>
      <c r="E15" s="2517"/>
      <c r="F15" s="2517"/>
      <c r="G15" s="2517"/>
      <c r="H15" s="2517"/>
      <c r="I15" s="2517"/>
      <c r="J15" s="2517"/>
      <c r="K15" s="2517"/>
      <c r="L15" s="2517"/>
      <c r="M15" s="2517"/>
      <c r="N15" s="2517"/>
      <c r="O15" s="2517"/>
      <c r="P15" s="2517"/>
      <c r="Q15" s="969"/>
      <c r="R15" s="969"/>
      <c r="S15" s="969"/>
      <c r="T15" s="969"/>
      <c r="AC15" s="2517"/>
      <c r="AD15" s="2517"/>
      <c r="AE15" s="2517"/>
      <c r="AF15" s="2517"/>
      <c r="AG15" s="2517"/>
      <c r="AH15" s="2517"/>
      <c r="AI15" s="2517"/>
      <c r="AJ15" s="2517"/>
      <c r="AK15" s="2517"/>
      <c r="AL15" s="2517"/>
    </row>
    <row r="16" spans="1:38">
      <c r="A16" s="2517"/>
      <c r="B16" s="2517"/>
      <c r="C16" s="2517"/>
      <c r="D16" s="2517"/>
      <c r="E16" s="2517"/>
      <c r="F16" s="2517"/>
      <c r="G16" s="2517"/>
      <c r="H16" s="2517"/>
      <c r="I16" s="2517"/>
      <c r="J16" s="2517"/>
      <c r="K16" s="2517"/>
      <c r="L16" s="2517"/>
      <c r="M16" s="2517"/>
      <c r="N16" s="2517"/>
      <c r="O16" s="2517"/>
      <c r="P16" s="2517"/>
      <c r="Q16" s="969"/>
      <c r="R16" s="969"/>
      <c r="S16" s="969"/>
      <c r="T16" s="969"/>
      <c r="AC16" s="2517"/>
      <c r="AD16" s="2517"/>
      <c r="AE16" s="2517"/>
      <c r="AF16" s="2517"/>
      <c r="AG16" s="2517"/>
      <c r="AH16" s="2517"/>
      <c r="AI16" s="2517"/>
      <c r="AJ16" s="2517"/>
      <c r="AK16" s="2517"/>
      <c r="AL16" s="2517"/>
    </row>
    <row r="17" spans="7:37" ht="15.75">
      <c r="G17" s="260"/>
      <c r="H17" s="260"/>
      <c r="I17" s="224"/>
      <c r="J17" s="224"/>
      <c r="K17" s="106"/>
      <c r="L17" s="17"/>
      <c r="M17" s="17"/>
      <c r="N17" s="17"/>
      <c r="O17" s="17"/>
      <c r="P17" s="17"/>
      <c r="AC17" s="17"/>
      <c r="AD17" s="17"/>
      <c r="AE17" s="17"/>
      <c r="AF17" s="17"/>
      <c r="AG17" s="260"/>
      <c r="AH17" s="260"/>
      <c r="AI17" s="224"/>
      <c r="AJ17" s="224"/>
      <c r="AK17" s="106"/>
    </row>
    <row r="18" spans="7:37" ht="15.75">
      <c r="G18" s="260"/>
      <c r="H18" s="260"/>
      <c r="I18" s="224"/>
      <c r="J18" s="224"/>
      <c r="K18" s="106"/>
      <c r="L18" s="17"/>
      <c r="M18" s="17"/>
      <c r="N18" s="17"/>
      <c r="O18" s="17"/>
      <c r="P18" s="17"/>
      <c r="AC18" s="17"/>
      <c r="AD18" s="17"/>
      <c r="AE18" s="17"/>
      <c r="AF18" s="17"/>
      <c r="AG18" s="260"/>
      <c r="AH18" s="260"/>
      <c r="AI18" s="224"/>
      <c r="AJ18" s="224"/>
      <c r="AK18" s="106"/>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X8:X13">
    <cfRule type="cellIs" dxfId="149" priority="20" operator="equal">
      <formula>0</formula>
    </cfRule>
  </conditionalFormatting>
  <conditionalFormatting sqref="U11:AA11 U13:AA13">
    <cfRule type="cellIs" dxfId="148" priority="19" operator="equal">
      <formula>0</formula>
    </cfRule>
  </conditionalFormatting>
  <conditionalFormatting sqref="X10">
    <cfRule type="cellIs" dxfId="147" priority="18" operator="equal">
      <formula>0</formula>
    </cfRule>
  </conditionalFormatting>
  <conditionalFormatting sqref="X12">
    <cfRule type="cellIs" dxfId="146" priority="17" operator="equal">
      <formula>0</formula>
    </cfRule>
  </conditionalFormatting>
  <conditionalFormatting sqref="S9">
    <cfRule type="cellIs" dxfId="145" priority="9" operator="equal">
      <formula>0</formula>
    </cfRule>
  </conditionalFormatting>
  <conditionalFormatting sqref="S4:S7">
    <cfRule type="cellIs" dxfId="144" priority="8" operator="equal">
      <formula>0</formula>
    </cfRule>
  </conditionalFormatting>
  <conditionalFormatting sqref="S1:S2">
    <cfRule type="cellIs" dxfId="143" priority="7" operator="equal">
      <formula>0</formula>
    </cfRule>
  </conditionalFormatting>
  <conditionalFormatting sqref="S8">
    <cfRule type="cellIs" dxfId="142" priority="6" operator="equal">
      <formula>0</formula>
    </cfRule>
  </conditionalFormatting>
  <conditionalFormatting sqref="S11 S13">
    <cfRule type="cellIs" dxfId="141" priority="5" operator="equal">
      <formula>0</formula>
    </cfRule>
  </conditionalFormatting>
  <conditionalFormatting sqref="S10">
    <cfRule type="cellIs" dxfId="140" priority="4" operator="equal">
      <formula>0</formula>
    </cfRule>
  </conditionalFormatting>
  <conditionalFormatting sqref="S12">
    <cfRule type="cellIs" dxfId="139" priority="3" operator="equal">
      <formula>0</formula>
    </cfRule>
  </conditionalFormatting>
  <conditionalFormatting sqref="S14">
    <cfRule type="cellIs" dxfId="138" priority="2"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tabColor rgb="FF00B050"/>
  </sheetPr>
  <dimension ref="A1:Y31"/>
  <sheetViews>
    <sheetView topLeftCell="A28" zoomScale="60" zoomScaleNormal="60" workbookViewId="0">
      <selection activeCell="B45" sqref="B45"/>
    </sheetView>
  </sheetViews>
  <sheetFormatPr defaultColWidth="9" defaultRowHeight="15"/>
  <cols>
    <col min="1" max="1" width="1.625" style="2340" customWidth="1"/>
    <col min="2" max="2" width="48.625" style="2340" bestFit="1" customWidth="1"/>
    <col min="3" max="3" width="7.25" style="2340" customWidth="1"/>
    <col min="4" max="4" width="8.25" style="2340" customWidth="1"/>
    <col min="5" max="7" width="27.125" style="2340" customWidth="1"/>
    <col min="8" max="8" width="1.625" style="2340" customWidth="1"/>
    <col min="9" max="9" width="12.5" style="2340" customWidth="1"/>
    <col min="10" max="10" width="1.625" style="2340" customWidth="1"/>
    <col min="11" max="11" width="33.625" style="2340"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340" customWidth="1"/>
    <col min="21" max="21" width="48.625" style="2340" bestFit="1" customWidth="1"/>
    <col min="22" max="24" width="27.125" style="2340" customWidth="1"/>
    <col min="25" max="16384" width="9" style="2340"/>
  </cols>
  <sheetData>
    <row r="1" spans="1:25" s="2393" customFormat="1" ht="23.25">
      <c r="A1" s="2509"/>
      <c r="B1" s="2510" t="s">
        <v>15483</v>
      </c>
      <c r="C1" s="2510"/>
      <c r="D1" s="2510"/>
      <c r="E1" s="2510"/>
      <c r="F1" s="2511"/>
      <c r="G1" s="2511"/>
      <c r="H1" s="2509"/>
      <c r="I1" s="2509"/>
      <c r="J1" s="2509"/>
      <c r="K1" s="2509"/>
      <c r="L1" s="969"/>
      <c r="M1" s="1165"/>
      <c r="N1" s="284"/>
      <c r="O1" s="1165"/>
      <c r="P1" s="106"/>
      <c r="Q1" s="106"/>
      <c r="R1" s="106"/>
      <c r="S1" s="1165"/>
      <c r="T1" s="649"/>
      <c r="U1" s="2510"/>
      <c r="V1" s="2510"/>
      <c r="W1" s="2511"/>
      <c r="X1" s="2511"/>
      <c r="Y1" s="2511"/>
    </row>
    <row r="2" spans="1:25" s="2393" customFormat="1" ht="23.25">
      <c r="A2" s="2509"/>
      <c r="B2" s="2894" t="str">
        <f>SelectCompany!B4</f>
        <v>Northumbrian Water</v>
      </c>
      <c r="C2" s="2894"/>
      <c r="D2" s="2894"/>
      <c r="E2" s="2894"/>
      <c r="F2" s="2511"/>
      <c r="G2" s="2511"/>
      <c r="H2" s="2509"/>
      <c r="I2" s="2509"/>
      <c r="J2" s="2509"/>
      <c r="K2" s="2509"/>
      <c r="L2" s="969"/>
      <c r="M2" s="1165"/>
      <c r="N2" s="284"/>
      <c r="O2" s="1165"/>
      <c r="P2" s="106"/>
      <c r="Q2" s="106"/>
      <c r="R2" s="106"/>
      <c r="S2" s="1165"/>
      <c r="T2" s="649"/>
      <c r="U2" s="2510"/>
      <c r="V2" s="2510"/>
      <c r="W2" s="2511"/>
      <c r="X2" s="2511"/>
      <c r="Y2" s="2511"/>
    </row>
    <row r="3" spans="1:25" s="2394" customFormat="1" ht="19.5">
      <c r="A3" s="2512"/>
      <c r="B3" s="2807" t="s">
        <v>15484</v>
      </c>
      <c r="C3" s="2807"/>
      <c r="D3" s="2807"/>
      <c r="E3" s="2807"/>
      <c r="F3" s="2807"/>
      <c r="G3" s="2807"/>
      <c r="H3" s="2807"/>
      <c r="I3" s="2807"/>
      <c r="J3" s="2807"/>
      <c r="K3" s="2807"/>
      <c r="L3" s="969"/>
      <c r="M3" s="1165"/>
      <c r="N3" s="650" t="s">
        <v>7222</v>
      </c>
      <c r="O3" s="1165"/>
      <c r="P3" s="106"/>
      <c r="Q3" s="106"/>
      <c r="R3" s="106"/>
      <c r="S3" s="1165"/>
      <c r="T3" s="651"/>
      <c r="U3" s="2807" t="s">
        <v>15484</v>
      </c>
      <c r="V3" s="2807"/>
      <c r="W3" s="2807"/>
      <c r="X3" s="2807"/>
      <c r="Y3" s="2511"/>
    </row>
    <row r="4" spans="1:25" s="2394" customFormat="1" ht="19.5" thickBot="1">
      <c r="A4" s="2512"/>
      <c r="B4" s="2513"/>
      <c r="C4" s="2513"/>
      <c r="D4" s="2513"/>
      <c r="E4" s="2513"/>
      <c r="F4" s="2513"/>
      <c r="G4" s="2513"/>
      <c r="H4" s="2512"/>
      <c r="I4" s="2514"/>
      <c r="J4" s="2512"/>
      <c r="K4" s="2512"/>
      <c r="L4" s="969"/>
      <c r="M4" s="1165"/>
      <c r="N4" s="284"/>
      <c r="O4" s="1165"/>
      <c r="P4" s="106"/>
      <c r="Q4" s="106"/>
      <c r="R4" s="106"/>
      <c r="S4" s="1165"/>
      <c r="T4" s="651"/>
      <c r="U4" s="2513"/>
      <c r="V4" s="2513"/>
      <c r="W4" s="2513"/>
      <c r="X4" s="2513"/>
      <c r="Y4" s="2511"/>
    </row>
    <row r="5" spans="1:25" s="2395" customFormat="1" ht="16.5" thickTop="1">
      <c r="A5" s="272"/>
      <c r="B5" s="2711" t="s">
        <v>7224</v>
      </c>
      <c r="C5" s="2892" t="s">
        <v>7225</v>
      </c>
      <c r="D5" s="2892" t="s">
        <v>670</v>
      </c>
      <c r="E5" s="2673" t="s">
        <v>15485</v>
      </c>
      <c r="F5" s="2673"/>
      <c r="G5" s="2675"/>
      <c r="H5" s="272"/>
      <c r="I5" s="2790" t="s">
        <v>7229</v>
      </c>
      <c r="J5" s="272"/>
      <c r="K5" s="2790" t="s">
        <v>7230</v>
      </c>
      <c r="L5" s="969"/>
      <c r="M5" s="1165"/>
      <c r="N5" s="284"/>
      <c r="O5" s="1165"/>
      <c r="P5" s="106"/>
      <c r="Q5" s="106"/>
      <c r="R5" s="106"/>
      <c r="S5" s="1165"/>
      <c r="T5" s="197"/>
      <c r="U5" s="2711" t="s">
        <v>7224</v>
      </c>
      <c r="V5" s="2673" t="s">
        <v>15485</v>
      </c>
      <c r="W5" s="2673"/>
      <c r="X5" s="2675"/>
      <c r="Y5" s="2511"/>
    </row>
    <row r="6" spans="1:25" s="2395" customFormat="1" ht="16.5" thickBot="1">
      <c r="A6" s="272"/>
      <c r="B6" s="2712"/>
      <c r="C6" s="2893"/>
      <c r="D6" s="2893"/>
      <c r="E6" s="271" t="s">
        <v>15486</v>
      </c>
      <c r="F6" s="271" t="s">
        <v>15487</v>
      </c>
      <c r="G6" s="672" t="s">
        <v>15488</v>
      </c>
      <c r="H6" s="272"/>
      <c r="I6" s="2792"/>
      <c r="J6" s="272"/>
      <c r="K6" s="2792"/>
      <c r="L6" s="2408"/>
      <c r="M6" s="1165"/>
      <c r="N6" s="284"/>
      <c r="O6" s="1165"/>
      <c r="P6" s="2668" t="s">
        <v>7223</v>
      </c>
      <c r="Q6" s="2668"/>
      <c r="R6" s="2668"/>
      <c r="S6" s="1165"/>
      <c r="T6" s="197"/>
      <c r="U6" s="2712"/>
      <c r="V6" s="271" t="s">
        <v>15486</v>
      </c>
      <c r="W6" s="271" t="s">
        <v>15487</v>
      </c>
      <c r="X6" s="672" t="s">
        <v>15488</v>
      </c>
      <c r="Y6" s="2511"/>
    </row>
    <row r="7" spans="1:25" s="2395" customFormat="1" ht="17.25" thickTop="1" thickBot="1">
      <c r="A7" s="272"/>
      <c r="B7" s="956"/>
      <c r="C7" s="956"/>
      <c r="D7" s="956"/>
      <c r="E7" s="956"/>
      <c r="F7" s="957"/>
      <c r="G7" s="957"/>
      <c r="H7" s="272"/>
      <c r="I7" s="272"/>
      <c r="J7" s="272"/>
      <c r="K7" s="272"/>
      <c r="L7" s="1031"/>
      <c r="M7" s="1165"/>
      <c r="N7" s="284"/>
      <c r="O7" s="1165"/>
      <c r="P7" s="269" t="s">
        <v>7231</v>
      </c>
      <c r="Q7" s="106"/>
      <c r="R7" s="106"/>
      <c r="S7" s="1165"/>
      <c r="T7" s="197"/>
      <c r="U7" s="956"/>
      <c r="V7" s="956"/>
      <c r="W7" s="957"/>
      <c r="X7" s="957"/>
      <c r="Y7" s="2511"/>
    </row>
    <row r="8" spans="1:25" s="2395" customFormat="1" ht="17.25" thickTop="1" thickBot="1">
      <c r="A8" s="272"/>
      <c r="B8" s="784" t="s">
        <v>15489</v>
      </c>
      <c r="C8" s="2409"/>
      <c r="D8" s="2409"/>
      <c r="E8" s="1037"/>
      <c r="F8" s="274"/>
      <c r="G8" s="2518"/>
      <c r="H8" s="272"/>
      <c r="I8" s="272"/>
      <c r="J8" s="272"/>
      <c r="K8" s="272"/>
      <c r="L8" s="1031"/>
      <c r="M8" s="345"/>
      <c r="N8" s="2411"/>
      <c r="O8" s="345"/>
      <c r="P8" s="106"/>
      <c r="Q8" s="106"/>
      <c r="R8" s="106"/>
      <c r="S8" s="345"/>
      <c r="T8" s="197"/>
      <c r="U8" s="784" t="s">
        <v>15489</v>
      </c>
      <c r="V8" s="1037"/>
      <c r="W8" s="274"/>
      <c r="X8" s="2518"/>
      <c r="Y8" s="2511"/>
    </row>
    <row r="9" spans="1:25" s="2395" customFormat="1" ht="17.25" thickTop="1" thickBot="1">
      <c r="A9" s="272"/>
      <c r="B9" s="396" t="s">
        <v>15490</v>
      </c>
      <c r="C9" s="2515" t="s">
        <v>9911</v>
      </c>
      <c r="D9" s="2515" t="s">
        <v>11580</v>
      </c>
      <c r="E9" s="2396" t="s">
        <v>15491</v>
      </c>
      <c r="F9" s="2396"/>
      <c r="G9" s="2519"/>
      <c r="H9" s="272"/>
      <c r="I9" s="1040" t="s">
        <v>15492</v>
      </c>
      <c r="J9" s="272"/>
      <c r="K9" s="1040"/>
      <c r="L9" s="1031"/>
      <c r="M9" s="345"/>
      <c r="N9" s="2411"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15490</v>
      </c>
      <c r="V9" s="2396" t="s">
        <v>15493</v>
      </c>
      <c r="W9" s="2396" t="s">
        <v>15494</v>
      </c>
      <c r="X9" s="2519" t="s">
        <v>15495</v>
      </c>
      <c r="Y9" s="2511"/>
    </row>
    <row r="10" spans="1:25" s="2395" customFormat="1" ht="31.5" thickTop="1" thickBot="1">
      <c r="A10" s="272"/>
      <c r="B10" s="406" t="s">
        <v>15496</v>
      </c>
      <c r="C10" s="2407" t="s">
        <v>9911</v>
      </c>
      <c r="D10" s="2407" t="s">
        <v>11580</v>
      </c>
      <c r="E10" s="2396" t="s">
        <v>15497</v>
      </c>
      <c r="F10" s="2412"/>
      <c r="G10" s="2520"/>
      <c r="H10" s="272"/>
      <c r="I10" s="1043" t="s">
        <v>15498</v>
      </c>
      <c r="J10" s="272"/>
      <c r="K10" s="1043"/>
      <c r="L10" s="1031"/>
      <c r="M10" s="345"/>
      <c r="N10" s="2411"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15496</v>
      </c>
      <c r="V10" s="2412" t="s">
        <v>15499</v>
      </c>
      <c r="W10" s="2412" t="s">
        <v>15500</v>
      </c>
      <c r="X10" s="2520" t="s">
        <v>15501</v>
      </c>
      <c r="Y10" s="2511"/>
    </row>
    <row r="11" spans="1:25" s="2395" customFormat="1" ht="17.25" thickTop="1" thickBot="1">
      <c r="A11" s="272"/>
      <c r="B11" s="969"/>
      <c r="C11" s="1002"/>
      <c r="D11" s="1002"/>
      <c r="E11" s="1630"/>
      <c r="F11" s="2521"/>
      <c r="G11" s="2521"/>
      <c r="H11" s="272"/>
      <c r="I11" s="1805"/>
      <c r="J11" s="272"/>
      <c r="K11" s="272"/>
      <c r="L11" s="1031"/>
      <c r="M11" s="345"/>
      <c r="N11" s="2411"/>
      <c r="O11" s="345"/>
      <c r="P11" s="106"/>
      <c r="Q11" s="106"/>
      <c r="R11" s="106"/>
      <c r="S11" s="345"/>
      <c r="T11" s="197"/>
      <c r="U11" s="969"/>
      <c r="V11" s="1630"/>
      <c r="W11" s="2521"/>
      <c r="X11" s="2521"/>
      <c r="Y11" s="2511"/>
    </row>
    <row r="12" spans="1:25" s="2395" customFormat="1" ht="17.25" thickTop="1" thickBot="1">
      <c r="A12" s="272"/>
      <c r="B12" s="784" t="s">
        <v>15502</v>
      </c>
      <c r="C12" s="2410"/>
      <c r="D12" s="2410"/>
      <c r="E12" s="1643"/>
      <c r="F12" s="1630"/>
      <c r="G12" s="1630"/>
      <c r="H12" s="272"/>
      <c r="I12" s="1805"/>
      <c r="J12" s="272"/>
      <c r="K12" s="272"/>
      <c r="L12" s="1031"/>
      <c r="M12" s="345"/>
      <c r="N12" s="2411"/>
      <c r="O12" s="345"/>
      <c r="P12" s="106"/>
      <c r="Q12" s="106"/>
      <c r="R12" s="106"/>
      <c r="S12" s="345"/>
      <c r="T12" s="197"/>
      <c r="U12" s="784" t="s">
        <v>15502</v>
      </c>
      <c r="V12" s="1643"/>
      <c r="W12" s="1630"/>
      <c r="X12" s="1630"/>
      <c r="Y12" s="2511"/>
    </row>
    <row r="13" spans="1:25" s="2395" customFormat="1" ht="17.25" thickTop="1" thickBot="1">
      <c r="A13" s="272"/>
      <c r="B13" s="396" t="s">
        <v>15503</v>
      </c>
      <c r="C13" s="2515" t="s">
        <v>681</v>
      </c>
      <c r="D13" s="2515">
        <v>3</v>
      </c>
      <c r="E13" s="2396">
        <v>823.16099999999994</v>
      </c>
      <c r="F13" s="2396"/>
      <c r="G13" s="2519"/>
      <c r="H13" s="272"/>
      <c r="I13" s="1040" t="s">
        <v>15504</v>
      </c>
      <c r="J13" s="272"/>
      <c r="K13" s="557"/>
      <c r="L13" s="1031"/>
      <c r="M13" s="345"/>
      <c r="N13" s="2411" t="str">
        <f xml:space="preserve"> IF( SUM( P13:R13 ) = 0, 0,$P$7)</f>
        <v>Please complete all cells in row</v>
      </c>
      <c r="O13" s="345"/>
      <c r="P13" s="285">
        <f xml:space="preserve"> IF( ISNUMBER(E13), 0, 1 )</f>
        <v>0</v>
      </c>
      <c r="Q13" s="285">
        <f t="shared" ref="Q13:Q14" si="3" xml:space="preserve"> IF( ISNUMBER(F13), 0, 1 )</f>
        <v>1</v>
      </c>
      <c r="R13" s="285">
        <f t="shared" ref="R13:R14" si="4" xml:space="preserve"> IF( ISNUMBER(G13), 0, 1 )</f>
        <v>1</v>
      </c>
      <c r="S13" s="345"/>
      <c r="T13" s="197"/>
      <c r="U13" s="396" t="s">
        <v>15503</v>
      </c>
      <c r="V13" s="2396" t="s">
        <v>15505</v>
      </c>
      <c r="W13" s="2396" t="s">
        <v>15506</v>
      </c>
      <c r="X13" s="2519" t="s">
        <v>15507</v>
      </c>
      <c r="Y13" s="2511"/>
    </row>
    <row r="14" spans="1:25" s="2395" customFormat="1" ht="16.5" thickTop="1">
      <c r="A14" s="272"/>
      <c r="B14" s="403" t="s">
        <v>15508</v>
      </c>
      <c r="C14" s="2516" t="s">
        <v>681</v>
      </c>
      <c r="D14" s="2516">
        <v>3</v>
      </c>
      <c r="E14" s="2396">
        <v>805.26400000000001</v>
      </c>
      <c r="F14" s="2400"/>
      <c r="G14" s="2522"/>
      <c r="H14" s="272"/>
      <c r="I14" s="1041" t="s">
        <v>15509</v>
      </c>
      <c r="J14" s="272"/>
      <c r="K14" s="558"/>
      <c r="L14" s="1031"/>
      <c r="M14" s="1165"/>
      <c r="N14" s="2411" t="str">
        <f xml:space="preserve"> IF( SUM( P14:R14 ) = 0, 0,$P$7)</f>
        <v>Please complete all cells in row</v>
      </c>
      <c r="O14" s="345"/>
      <c r="P14" s="285">
        <f xml:space="preserve"> IF( ISNUMBER(E14), 0, 1 )</f>
        <v>0</v>
      </c>
      <c r="Q14" s="285">
        <f t="shared" si="3"/>
        <v>1</v>
      </c>
      <c r="R14" s="285">
        <f t="shared" si="4"/>
        <v>1</v>
      </c>
      <c r="S14" s="345"/>
      <c r="T14" s="197"/>
      <c r="U14" s="403" t="s">
        <v>15508</v>
      </c>
      <c r="V14" s="2400" t="s">
        <v>15510</v>
      </c>
      <c r="W14" s="2400" t="s">
        <v>15511</v>
      </c>
      <c r="X14" s="2522" t="s">
        <v>15512</v>
      </c>
      <c r="Y14" s="2511"/>
    </row>
    <row r="15" spans="1:25" s="2395" customFormat="1" ht="15.75">
      <c r="A15" s="272"/>
      <c r="B15" s="403" t="s">
        <v>15513</v>
      </c>
      <c r="C15" s="2516" t="s">
        <v>681</v>
      </c>
      <c r="D15" s="2516">
        <v>3</v>
      </c>
      <c r="E15" s="2523">
        <f>E13-E14</f>
        <v>17.896999999999935</v>
      </c>
      <c r="F15" s="2523">
        <f>F13-F14</f>
        <v>0</v>
      </c>
      <c r="G15" s="2524">
        <f>G13-G14</f>
        <v>0</v>
      </c>
      <c r="H15" s="272"/>
      <c r="I15" s="1041" t="s">
        <v>15514</v>
      </c>
      <c r="J15" s="272"/>
      <c r="K15" s="558"/>
      <c r="L15" s="969"/>
      <c r="M15" s="1165"/>
      <c r="N15" s="2411"/>
      <c r="O15" s="345"/>
      <c r="P15" s="106"/>
      <c r="Q15" s="106"/>
      <c r="R15" s="106"/>
      <c r="S15" s="345"/>
      <c r="T15" s="197"/>
      <c r="U15" s="403" t="s">
        <v>15513</v>
      </c>
      <c r="V15" s="2523" t="s">
        <v>15515</v>
      </c>
      <c r="W15" s="2523" t="s">
        <v>15516</v>
      </c>
      <c r="X15" s="2524" t="s">
        <v>15517</v>
      </c>
      <c r="Y15" s="2511"/>
    </row>
    <row r="16" spans="1:25" s="2395" customFormat="1" ht="15.75">
      <c r="A16" s="272"/>
      <c r="B16" s="403" t="s">
        <v>15518</v>
      </c>
      <c r="C16" s="2516" t="s">
        <v>681</v>
      </c>
      <c r="D16" s="2516">
        <v>3</v>
      </c>
      <c r="E16" s="2400">
        <v>17.597000000000001</v>
      </c>
      <c r="F16" s="2400"/>
      <c r="G16" s="2522"/>
      <c r="H16" s="272"/>
      <c r="I16" s="1041" t="s">
        <v>15519</v>
      </c>
      <c r="J16" s="272"/>
      <c r="K16" s="558"/>
      <c r="L16" s="969"/>
      <c r="M16" s="1165"/>
      <c r="N16" s="2411" t="str">
        <f xml:space="preserve"> IF( SUM( P16:R16 ) = 0, 0,$P$7)</f>
        <v>Please complete all cells in row</v>
      </c>
      <c r="O16" s="345"/>
      <c r="P16" s="285">
        <f xml:space="preserve"> IF( ISNUMBER(E16), 0, 1 )</f>
        <v>0</v>
      </c>
      <c r="Q16" s="285">
        <f t="shared" ref="Q16:Q17" si="5" xml:space="preserve"> IF( ISNUMBER(F16), 0, 1 )</f>
        <v>1</v>
      </c>
      <c r="R16" s="285">
        <f t="shared" ref="R16:R17" si="6" xml:space="preserve"> IF( ISNUMBER(G16), 0, 1 )</f>
        <v>1</v>
      </c>
      <c r="S16" s="345"/>
      <c r="T16" s="197"/>
      <c r="U16" s="403" t="s">
        <v>15518</v>
      </c>
      <c r="V16" s="2400" t="s">
        <v>15520</v>
      </c>
      <c r="W16" s="2400" t="s">
        <v>15521</v>
      </c>
      <c r="X16" s="2522" t="s">
        <v>15522</v>
      </c>
      <c r="Y16" s="2511"/>
    </row>
    <row r="17" spans="1:25" s="2395" customFormat="1" ht="16.5" thickBot="1">
      <c r="A17" s="272"/>
      <c r="B17" s="406" t="s">
        <v>8451</v>
      </c>
      <c r="C17" s="2407" t="s">
        <v>681</v>
      </c>
      <c r="D17" s="2407">
        <v>3</v>
      </c>
      <c r="E17" s="2412">
        <v>23.4</v>
      </c>
      <c r="F17" s="2412"/>
      <c r="G17" s="2520"/>
      <c r="H17" s="272"/>
      <c r="I17" s="1043" t="s">
        <v>15523</v>
      </c>
      <c r="J17" s="272"/>
      <c r="K17" s="560"/>
      <c r="L17" s="106"/>
      <c r="M17" s="1165"/>
      <c r="N17" s="2411" t="str">
        <f xml:space="preserve"> IF( SUM( P17:R17 ) = 0, 0,$P$7)</f>
        <v>Please complete all cells in row</v>
      </c>
      <c r="O17" s="345"/>
      <c r="P17" s="285">
        <f xml:space="preserve"> IF( ISNUMBER(E17), 0, 1 )</f>
        <v>0</v>
      </c>
      <c r="Q17" s="285">
        <f t="shared" si="5"/>
        <v>1</v>
      </c>
      <c r="R17" s="285">
        <f t="shared" si="6"/>
        <v>1</v>
      </c>
      <c r="S17" s="345"/>
      <c r="T17" s="197"/>
      <c r="U17" s="406" t="s">
        <v>8451</v>
      </c>
      <c r="V17" s="2412" t="s">
        <v>15524</v>
      </c>
      <c r="W17" s="2412" t="s">
        <v>15525</v>
      </c>
      <c r="X17" s="2520" t="s">
        <v>15526</v>
      </c>
      <c r="Y17" s="2511"/>
    </row>
    <row r="18" spans="1:25" s="2395" customFormat="1" ht="17.25" thickTop="1" thickBot="1">
      <c r="A18" s="272"/>
      <c r="B18" s="956"/>
      <c r="C18" s="957"/>
      <c r="D18" s="957"/>
      <c r="E18" s="2525"/>
      <c r="F18" s="1630"/>
      <c r="G18" s="1630"/>
      <c r="H18" s="272"/>
      <c r="I18" s="272"/>
      <c r="J18" s="272"/>
      <c r="K18" s="272"/>
      <c r="L18" s="106"/>
      <c r="M18" s="1165"/>
      <c r="N18" s="2411"/>
      <c r="O18" s="345"/>
      <c r="P18" s="106"/>
      <c r="Q18" s="106"/>
      <c r="R18" s="106"/>
      <c r="S18" s="345"/>
      <c r="T18" s="197"/>
      <c r="U18" s="956"/>
      <c r="V18" s="2525"/>
      <c r="W18" s="1630"/>
      <c r="X18" s="1630"/>
      <c r="Y18" s="2511"/>
    </row>
    <row r="19" spans="1:25" s="2395" customFormat="1" ht="17.25" thickTop="1" thickBot="1">
      <c r="A19" s="272"/>
      <c r="B19" s="784" t="s">
        <v>15527</v>
      </c>
      <c r="C19" s="2410"/>
      <c r="D19" s="2410"/>
      <c r="E19" s="1643"/>
      <c r="F19" s="1630"/>
      <c r="G19" s="1630"/>
      <c r="H19" s="272"/>
      <c r="I19" s="1805"/>
      <c r="J19" s="272"/>
      <c r="K19" s="272"/>
      <c r="L19" s="106"/>
      <c r="M19" s="1165"/>
      <c r="N19" s="2411"/>
      <c r="O19" s="345"/>
      <c r="P19" s="106"/>
      <c r="Q19" s="106"/>
      <c r="R19" s="106"/>
      <c r="S19" s="345"/>
      <c r="T19" s="197"/>
      <c r="U19" s="784" t="s">
        <v>15527</v>
      </c>
      <c r="V19" s="1643"/>
      <c r="W19" s="1630"/>
      <c r="X19" s="1630"/>
      <c r="Y19" s="2511"/>
    </row>
    <row r="20" spans="1:25" s="2395" customFormat="1" ht="16.5" thickTop="1">
      <c r="A20" s="272"/>
      <c r="B20" s="396" t="s">
        <v>15528</v>
      </c>
      <c r="C20" s="2515" t="s">
        <v>9912</v>
      </c>
      <c r="D20" s="2515" t="s">
        <v>11580</v>
      </c>
      <c r="E20" s="2526" t="s">
        <v>15529</v>
      </c>
      <c r="F20" s="2526"/>
      <c r="G20" s="2527"/>
      <c r="H20" s="272"/>
      <c r="I20" s="1040" t="s">
        <v>15530</v>
      </c>
      <c r="J20" s="272"/>
      <c r="K20" s="557"/>
      <c r="L20" s="106"/>
      <c r="M20" s="1165"/>
      <c r="N20" s="2411" t="str">
        <f xml:space="preserve"> IF( SUM( P20:R20 ) = 0, 0,$P$7)</f>
        <v>Please complete all cells in row</v>
      </c>
      <c r="O20" s="345"/>
      <c r="P20" s="285">
        <f xml:space="preserve"> IF( ISNUMBER(E20), 0, 1 )</f>
        <v>1</v>
      </c>
      <c r="Q20" s="285">
        <f t="shared" ref="Q20:Q22" si="7" xml:space="preserve"> IF( ISNUMBER(F20), 0, 1 )</f>
        <v>1</v>
      </c>
      <c r="R20" s="285">
        <f t="shared" ref="R20:R22" si="8" xml:space="preserve"> IF( ISNUMBER(G20), 0, 1 )</f>
        <v>1</v>
      </c>
      <c r="S20" s="345"/>
      <c r="T20" s="197"/>
      <c r="U20" s="396" t="s">
        <v>15528</v>
      </c>
      <c r="V20" s="2396" t="s">
        <v>15531</v>
      </c>
      <c r="W20" s="2396" t="s">
        <v>15532</v>
      </c>
      <c r="X20" s="2519" t="s">
        <v>15533</v>
      </c>
      <c r="Y20" s="2511"/>
    </row>
    <row r="21" spans="1:25" s="2395" customFormat="1" ht="15.75">
      <c r="A21" s="272"/>
      <c r="B21" s="403" t="s">
        <v>15534</v>
      </c>
      <c r="C21" s="2516" t="s">
        <v>681</v>
      </c>
      <c r="D21" s="2516">
        <v>3</v>
      </c>
      <c r="E21" s="2400">
        <v>1066.6890000000001</v>
      </c>
      <c r="F21" s="2400"/>
      <c r="G21" s="2522"/>
      <c r="H21" s="272"/>
      <c r="I21" s="1041" t="s">
        <v>15535</v>
      </c>
      <c r="J21" s="272"/>
      <c r="K21" s="558"/>
      <c r="L21" s="106"/>
      <c r="M21" s="1165"/>
      <c r="N21" s="2411" t="str">
        <f xml:space="preserve"> IF( SUM( P21:R21 ) = 0, 0,$P$7)</f>
        <v>Please complete all cells in row</v>
      </c>
      <c r="O21" s="345"/>
      <c r="P21" s="285">
        <f xml:space="preserve"> IF( ISNUMBER(E21), 0, 1 )</f>
        <v>0</v>
      </c>
      <c r="Q21" s="285">
        <f t="shared" si="7"/>
        <v>1</v>
      </c>
      <c r="R21" s="285">
        <f t="shared" si="8"/>
        <v>1</v>
      </c>
      <c r="S21" s="345"/>
      <c r="T21" s="197"/>
      <c r="U21" s="403" t="s">
        <v>15534</v>
      </c>
      <c r="V21" s="2400" t="s">
        <v>15536</v>
      </c>
      <c r="W21" s="2400" t="s">
        <v>15537</v>
      </c>
      <c r="X21" s="2522" t="s">
        <v>15538</v>
      </c>
      <c r="Y21" s="2511"/>
    </row>
    <row r="22" spans="1:25" s="2395" customFormat="1" ht="15.75">
      <c r="A22" s="272"/>
      <c r="B22" s="403" t="s">
        <v>15539</v>
      </c>
      <c r="C22" s="2516" t="s">
        <v>681</v>
      </c>
      <c r="D22" s="2516">
        <v>3</v>
      </c>
      <c r="E22" s="2400">
        <v>1291.8309999999999</v>
      </c>
      <c r="F22" s="2400"/>
      <c r="G22" s="2522"/>
      <c r="H22" s="272"/>
      <c r="I22" s="1041" t="s">
        <v>15540</v>
      </c>
      <c r="J22" s="272"/>
      <c r="K22" s="558"/>
      <c r="L22" s="106"/>
      <c r="M22" s="1165"/>
      <c r="N22" s="2411" t="str">
        <f xml:space="preserve"> IF( SUM( P22:R22 ) = 0, 0,$P$7)</f>
        <v>Please complete all cells in row</v>
      </c>
      <c r="O22" s="345"/>
      <c r="P22" s="285">
        <f xml:space="preserve"> IF( ISNUMBER(E22), 0, 1 )</f>
        <v>0</v>
      </c>
      <c r="Q22" s="285">
        <f t="shared" si="7"/>
        <v>1</v>
      </c>
      <c r="R22" s="285">
        <f t="shared" si="8"/>
        <v>1</v>
      </c>
      <c r="S22" s="345"/>
      <c r="T22" s="197"/>
      <c r="U22" s="403" t="s">
        <v>15539</v>
      </c>
      <c r="V22" s="2400" t="s">
        <v>15541</v>
      </c>
      <c r="W22" s="2400" t="s">
        <v>15542</v>
      </c>
      <c r="X22" s="2522" t="s">
        <v>15543</v>
      </c>
      <c r="Y22" s="2511"/>
    </row>
    <row r="23" spans="1:25" s="2395" customFormat="1" ht="15.75">
      <c r="A23" s="272"/>
      <c r="B23" s="403" t="s">
        <v>15544</v>
      </c>
      <c r="C23" s="2516" t="s">
        <v>681</v>
      </c>
      <c r="D23" s="2516">
        <v>3</v>
      </c>
      <c r="E23" s="2523">
        <f>E21-E22</f>
        <v>-225.14199999999983</v>
      </c>
      <c r="F23" s="2523">
        <f>F21-F22</f>
        <v>0</v>
      </c>
      <c r="G23" s="2524">
        <f>G21-G22</f>
        <v>0</v>
      </c>
      <c r="H23" s="272"/>
      <c r="I23" s="1041" t="s">
        <v>15545</v>
      </c>
      <c r="J23" s="272"/>
      <c r="K23" s="558"/>
      <c r="L23" s="106"/>
      <c r="M23" s="1165"/>
      <c r="N23" s="2411"/>
      <c r="O23" s="345"/>
      <c r="P23" s="106"/>
      <c r="Q23" s="106"/>
      <c r="R23" s="106"/>
      <c r="S23" s="345"/>
      <c r="T23" s="197"/>
      <c r="U23" s="403" t="s">
        <v>15544</v>
      </c>
      <c r="V23" s="2523" t="s">
        <v>15546</v>
      </c>
      <c r="W23" s="2523" t="s">
        <v>15547</v>
      </c>
      <c r="X23" s="2524" t="s">
        <v>15548</v>
      </c>
      <c r="Y23" s="2511"/>
    </row>
    <row r="24" spans="1:25" s="2395" customFormat="1" ht="30.75" thickBot="1">
      <c r="A24" s="272"/>
      <c r="B24" s="406" t="s">
        <v>15549</v>
      </c>
      <c r="C24" s="2407" t="s">
        <v>9911</v>
      </c>
      <c r="D24" s="2407" t="s">
        <v>11580</v>
      </c>
      <c r="E24" s="2412" t="s">
        <v>15550</v>
      </c>
      <c r="F24" s="2412"/>
      <c r="G24" s="2520"/>
      <c r="H24" s="272"/>
      <c r="I24" s="1043" t="s">
        <v>15551</v>
      </c>
      <c r="J24" s="272"/>
      <c r="K24" s="560"/>
      <c r="L24" s="106"/>
      <c r="M24" s="1165"/>
      <c r="N24" s="2411"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15549</v>
      </c>
      <c r="V24" s="2412" t="s">
        <v>15552</v>
      </c>
      <c r="W24" s="2412" t="s">
        <v>15553</v>
      </c>
      <c r="X24" s="2520" t="s">
        <v>15554</v>
      </c>
      <c r="Y24" s="2511"/>
    </row>
    <row r="25" spans="1:25" s="2395" customFormat="1" ht="17.25" thickTop="1" thickBot="1">
      <c r="A25" s="272"/>
      <c r="B25" s="956"/>
      <c r="C25" s="957"/>
      <c r="D25" s="957"/>
      <c r="E25" s="2525"/>
      <c r="F25" s="1630"/>
      <c r="G25" s="1630"/>
      <c r="H25" s="272"/>
      <c r="I25" s="272"/>
      <c r="J25" s="272"/>
      <c r="K25" s="272"/>
      <c r="L25" s="106"/>
      <c r="M25" s="1165"/>
      <c r="N25" s="2411"/>
      <c r="O25" s="345"/>
      <c r="P25" s="106"/>
      <c r="Q25" s="106"/>
      <c r="R25" s="106"/>
      <c r="S25" s="345"/>
      <c r="T25" s="197"/>
      <c r="U25" s="956"/>
      <c r="V25" s="2525"/>
      <c r="W25" s="1630"/>
      <c r="X25" s="1630"/>
      <c r="Y25" s="2511"/>
    </row>
    <row r="26" spans="1:25" s="2395" customFormat="1" ht="17.25" thickTop="1" thickBot="1">
      <c r="A26" s="272"/>
      <c r="B26" s="784" t="s">
        <v>15555</v>
      </c>
      <c r="C26" s="2410"/>
      <c r="D26" s="2410"/>
      <c r="E26" s="1643"/>
      <c r="F26" s="1630"/>
      <c r="G26" s="1630"/>
      <c r="H26" s="272"/>
      <c r="I26" s="1805"/>
      <c r="J26" s="272"/>
      <c r="K26" s="272"/>
      <c r="L26" s="106"/>
      <c r="M26" s="1165"/>
      <c r="N26" s="2411"/>
      <c r="O26" s="345"/>
      <c r="P26" s="106"/>
      <c r="Q26" s="106"/>
      <c r="R26" s="106"/>
      <c r="S26" s="345"/>
      <c r="T26" s="197"/>
      <c r="U26" s="784" t="s">
        <v>15555</v>
      </c>
      <c r="V26" s="1643"/>
      <c r="W26" s="1630"/>
      <c r="X26" s="1630"/>
      <c r="Y26" s="2511"/>
    </row>
    <row r="27" spans="1:25" s="2395" customFormat="1" ht="270.75" thickTop="1">
      <c r="A27" s="272"/>
      <c r="B27" s="396" t="s">
        <v>15556</v>
      </c>
      <c r="C27" s="2515" t="s">
        <v>9911</v>
      </c>
      <c r="D27" s="2515" t="s">
        <v>11580</v>
      </c>
      <c r="E27" s="2396" t="s">
        <v>15557</v>
      </c>
      <c r="F27" s="2396"/>
      <c r="G27" s="2519"/>
      <c r="H27" s="272"/>
      <c r="I27" s="1040" t="s">
        <v>15558</v>
      </c>
      <c r="J27" s="272"/>
      <c r="K27" s="557"/>
      <c r="L27" s="106"/>
      <c r="M27" s="1165"/>
      <c r="N27" s="2411"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15556</v>
      </c>
      <c r="V27" s="2396" t="s">
        <v>15559</v>
      </c>
      <c r="W27" s="2396" t="s">
        <v>15560</v>
      </c>
      <c r="X27" s="2519" t="s">
        <v>15561</v>
      </c>
      <c r="Y27" s="2511"/>
    </row>
    <row r="28" spans="1:25" s="2395" customFormat="1" ht="15.75">
      <c r="A28" s="272"/>
      <c r="B28" s="403" t="s">
        <v>15562</v>
      </c>
      <c r="C28" s="2516" t="s">
        <v>9912</v>
      </c>
      <c r="D28" s="2516" t="s">
        <v>11580</v>
      </c>
      <c r="E28" s="2528" t="s">
        <v>15563</v>
      </c>
      <c r="F28" s="2528"/>
      <c r="G28" s="2529"/>
      <c r="H28" s="272"/>
      <c r="I28" s="1041" t="s">
        <v>15564</v>
      </c>
      <c r="J28" s="272"/>
      <c r="K28" s="558"/>
      <c r="L28" s="106"/>
      <c r="M28" s="1165"/>
      <c r="N28" s="2411" t="str">
        <f xml:space="preserve"> IF( SUM( P28:R28 ) = 0, 0,$P$7)</f>
        <v>Please complete all cells in row</v>
      </c>
      <c r="O28" s="345"/>
      <c r="P28" s="285">
        <f xml:space="preserve"> IF( ISNUMBER(E28), 0, 1 )</f>
        <v>1</v>
      </c>
      <c r="Q28" s="285">
        <f t="shared" si="11"/>
        <v>1</v>
      </c>
      <c r="R28" s="285">
        <f t="shared" si="12"/>
        <v>1</v>
      </c>
      <c r="S28" s="345"/>
      <c r="T28" s="197"/>
      <c r="U28" s="403" t="s">
        <v>15562</v>
      </c>
      <c r="V28" s="2400" t="s">
        <v>15565</v>
      </c>
      <c r="W28" s="2400" t="s">
        <v>15566</v>
      </c>
      <c r="X28" s="2522" t="s">
        <v>15567</v>
      </c>
      <c r="Y28" s="2511"/>
    </row>
    <row r="29" spans="1:25" s="2395" customFormat="1" ht="15.75">
      <c r="A29" s="272"/>
      <c r="B29" s="403" t="s">
        <v>15568</v>
      </c>
      <c r="C29" s="2516" t="s">
        <v>9911</v>
      </c>
      <c r="D29" s="2516" t="s">
        <v>11580</v>
      </c>
      <c r="E29" s="2400" t="s">
        <v>15569</v>
      </c>
      <c r="F29" s="2400"/>
      <c r="G29" s="2522"/>
      <c r="H29" s="272"/>
      <c r="I29" s="1041" t="s">
        <v>15570</v>
      </c>
      <c r="J29" s="864"/>
      <c r="K29" s="558"/>
      <c r="L29" s="106"/>
      <c r="M29" s="1165"/>
      <c r="N29" s="2411" t="str">
        <f xml:space="preserve"> IF( SUM( P29:R29 ) = 0, 0,$P$7)</f>
        <v>Please complete all cells in row</v>
      </c>
      <c r="O29" s="345"/>
      <c r="P29" s="285">
        <f xml:space="preserve"> IF( ISNUMBER(E29), 0, 1 )</f>
        <v>1</v>
      </c>
      <c r="Q29" s="285">
        <f t="shared" si="11"/>
        <v>1</v>
      </c>
      <c r="R29" s="285">
        <f t="shared" si="12"/>
        <v>1</v>
      </c>
      <c r="S29" s="345"/>
      <c r="T29" s="197"/>
      <c r="U29" s="403" t="s">
        <v>15568</v>
      </c>
      <c r="V29" s="2400" t="s">
        <v>15571</v>
      </c>
      <c r="W29" s="2400" t="s">
        <v>15572</v>
      </c>
      <c r="X29" s="2522" t="s">
        <v>15573</v>
      </c>
      <c r="Y29" s="2511"/>
    </row>
    <row r="30" spans="1:25" s="2395" customFormat="1" ht="16.5" thickBot="1">
      <c r="A30" s="272"/>
      <c r="B30" s="406" t="s">
        <v>15574</v>
      </c>
      <c r="C30" s="2407" t="s">
        <v>9911</v>
      </c>
      <c r="D30" s="2407" t="s">
        <v>11580</v>
      </c>
      <c r="E30" s="2412" t="s">
        <v>15569</v>
      </c>
      <c r="F30" s="2412"/>
      <c r="G30" s="2520"/>
      <c r="H30" s="272"/>
      <c r="I30" s="1043" t="s">
        <v>15575</v>
      </c>
      <c r="J30" s="864"/>
      <c r="K30" s="560"/>
      <c r="L30" s="106"/>
      <c r="M30" s="1165"/>
      <c r="N30" s="2411" t="str">
        <f xml:space="preserve"> IF( SUM( P30:R30 ) = 0, 0,$P$7)</f>
        <v>Please complete all cells in row</v>
      </c>
      <c r="O30" s="345"/>
      <c r="P30" s="285">
        <f xml:space="preserve"> IF( ISNUMBER(E30), 0, 1 )</f>
        <v>1</v>
      </c>
      <c r="Q30" s="285">
        <f t="shared" si="11"/>
        <v>1</v>
      </c>
      <c r="R30" s="285">
        <f t="shared" si="12"/>
        <v>1</v>
      </c>
      <c r="S30" s="345"/>
      <c r="T30" s="197"/>
      <c r="U30" s="406" t="s">
        <v>15574</v>
      </c>
      <c r="V30" s="2412" t="s">
        <v>15576</v>
      </c>
      <c r="W30" s="2412" t="s">
        <v>15577</v>
      </c>
      <c r="X30" s="2520" t="s">
        <v>15578</v>
      </c>
      <c r="Y30" s="2511"/>
    </row>
    <row r="31" spans="1:25" ht="15.75" thickTop="1">
      <c r="A31" s="2409"/>
      <c r="B31" s="2409"/>
      <c r="C31" s="2409"/>
      <c r="D31" s="2409"/>
      <c r="E31" s="2409"/>
      <c r="F31" s="2409"/>
      <c r="G31" s="2409"/>
      <c r="H31" s="2409"/>
      <c r="I31" s="2409"/>
      <c r="J31" s="2409"/>
      <c r="K31" s="2409"/>
      <c r="M31" s="1165"/>
      <c r="N31" s="2411"/>
      <c r="O31" s="345"/>
      <c r="S31" s="345"/>
      <c r="T31"/>
      <c r="U31" s="2409"/>
      <c r="V31" s="2409"/>
      <c r="W31" s="2409"/>
      <c r="X31" s="2409"/>
      <c r="Y31" s="2511"/>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disablePrompts="1"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tabColor rgb="FF00B050"/>
    <pageSetUpPr fitToPage="1"/>
  </sheetPr>
  <dimension ref="A1:U41"/>
  <sheetViews>
    <sheetView showGridLines="0" zoomScale="60" zoomScaleNormal="60" zoomScaleSheetLayoutView="100" workbookViewId="0">
      <pane ySplit="5" topLeftCell="A12" activePane="bottomLeft" state="frozen"/>
      <selection pane="bottomLeft" activeCell="G31" sqref="B31:G31"/>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6.625" style="219" customWidth="1"/>
    <col min="6" max="6" width="1.625" style="219" customWidth="1"/>
    <col min="7" max="7" width="12.5" style="219" customWidth="1"/>
    <col min="8" max="8" width="1.625" style="219" customWidth="1"/>
    <col min="9" max="9" width="33.625" style="219"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46" customWidth="1"/>
    <col min="18" max="18" width="17.875" style="219" bestFit="1" customWidth="1"/>
    <col min="19" max="19" width="1.625" style="219" customWidth="1"/>
    <col min="20" max="21" width="14.625" style="219" customWidth="1"/>
    <col min="22" max="16384" width="8.625" style="219"/>
  </cols>
  <sheetData>
    <row r="1" spans="1:18" ht="29.45" customHeight="1">
      <c r="B1" s="1229" t="s">
        <v>15579</v>
      </c>
      <c r="C1" s="1229"/>
      <c r="D1" s="1229"/>
      <c r="E1" s="1229"/>
      <c r="F1" s="1229"/>
      <c r="G1" s="261"/>
      <c r="K1" s="238"/>
      <c r="M1" s="238"/>
      <c r="O1" s="238"/>
      <c r="Q1" s="1229" t="s">
        <v>7220</v>
      </c>
      <c r="R1" s="1229"/>
    </row>
    <row r="2" spans="1:18" ht="29.45" customHeight="1">
      <c r="B2" s="1229" t="str">
        <f>SelectCompany!B4</f>
        <v>Northumbrian Water</v>
      </c>
      <c r="C2" s="529"/>
      <c r="D2" s="529"/>
      <c r="E2" s="529"/>
      <c r="F2" s="529"/>
      <c r="G2" s="261"/>
      <c r="K2" s="238"/>
      <c r="M2" s="238"/>
      <c r="O2" s="238"/>
      <c r="Q2" s="1229"/>
      <c r="R2" s="529"/>
    </row>
    <row r="3" spans="1:18" ht="29.45" customHeight="1">
      <c r="B3" s="2807" t="s">
        <v>15580</v>
      </c>
      <c r="C3" s="2807"/>
      <c r="D3" s="2807"/>
      <c r="E3" s="2807"/>
      <c r="F3" s="2807"/>
      <c r="G3" s="2807"/>
      <c r="H3" s="2807"/>
      <c r="I3" s="2807"/>
      <c r="K3" s="238"/>
      <c r="L3" s="1240" t="s">
        <v>7222</v>
      </c>
      <c r="M3" s="238"/>
      <c r="O3" s="238"/>
      <c r="Q3" s="2807" t="s">
        <v>15580</v>
      </c>
      <c r="R3" s="2807"/>
    </row>
    <row r="4" spans="1:18" ht="29.45" customHeight="1" thickBot="1">
      <c r="B4" s="690"/>
      <c r="C4" s="690"/>
      <c r="D4" s="690"/>
      <c r="E4" s="690"/>
      <c r="F4" s="827"/>
      <c r="G4" s="261"/>
      <c r="K4" s="238"/>
      <c r="M4" s="238"/>
      <c r="N4" s="1230" t="s">
        <v>7223</v>
      </c>
      <c r="O4" s="238"/>
      <c r="Q4" s="690"/>
      <c r="R4" s="690"/>
    </row>
    <row r="5" spans="1:18" ht="29.45" customHeight="1" thickTop="1" thickBot="1">
      <c r="A5" s="242"/>
      <c r="B5" s="445" t="s">
        <v>7224</v>
      </c>
      <c r="C5" s="446" t="s">
        <v>7225</v>
      </c>
      <c r="D5" s="446" t="s">
        <v>670</v>
      </c>
      <c r="E5" s="447" t="s">
        <v>15581</v>
      </c>
      <c r="F5" s="197"/>
      <c r="G5" s="449" t="s">
        <v>7229</v>
      </c>
      <c r="H5" s="242"/>
      <c r="I5" s="449" t="s">
        <v>7230</v>
      </c>
      <c r="J5" s="242"/>
      <c r="K5" s="238"/>
      <c r="M5" s="238"/>
      <c r="N5" s="269" t="s">
        <v>7231</v>
      </c>
      <c r="O5" s="238"/>
      <c r="Q5" s="445" t="s">
        <v>7224</v>
      </c>
      <c r="R5" s="447" t="s">
        <v>15581</v>
      </c>
    </row>
    <row r="6" spans="1:18" ht="29.45" customHeight="1" thickTop="1" thickBot="1">
      <c r="A6" s="242"/>
      <c r="B6" s="358"/>
      <c r="C6" s="358"/>
      <c r="D6" s="358"/>
      <c r="E6" s="871"/>
      <c r="F6" s="197"/>
      <c r="G6" s="261"/>
      <c r="H6" s="242"/>
      <c r="I6" s="242"/>
      <c r="J6" s="242"/>
      <c r="K6" s="238"/>
      <c r="M6" s="238"/>
      <c r="O6" s="238"/>
      <c r="Q6" s="358"/>
      <c r="R6" s="871"/>
    </row>
    <row r="7" spans="1:18" ht="29.45" customHeight="1" thickTop="1" thickBot="1">
      <c r="A7" s="242"/>
      <c r="B7" s="393" t="s">
        <v>15582</v>
      </c>
      <c r="C7" s="482"/>
      <c r="D7" s="482"/>
      <c r="E7" s="859"/>
      <c r="F7" s="106"/>
      <c r="G7" s="944"/>
      <c r="H7" s="242"/>
      <c r="I7" s="242"/>
      <c r="J7" s="242"/>
      <c r="K7" s="238"/>
      <c r="M7" s="238"/>
      <c r="O7" s="238"/>
      <c r="Q7" s="393" t="s">
        <v>15582</v>
      </c>
      <c r="R7" s="859"/>
    </row>
    <row r="8" spans="1:18" ht="29.45" customHeight="1" thickTop="1">
      <c r="A8" s="242"/>
      <c r="B8" s="451" t="s">
        <v>15583</v>
      </c>
      <c r="C8" s="277" t="s">
        <v>3132</v>
      </c>
      <c r="D8" s="277">
        <v>2</v>
      </c>
      <c r="E8" s="1296">
        <v>430.87</v>
      </c>
      <c r="F8" s="106"/>
      <c r="G8" s="281" t="s">
        <v>15584</v>
      </c>
      <c r="H8" s="242"/>
      <c r="I8" s="1231"/>
      <c r="J8" s="242"/>
      <c r="K8" s="238"/>
      <c r="L8" s="1232">
        <f>IF( SUM( N8:N8 ) = 0, 0, $N$5 )</f>
        <v>0</v>
      </c>
      <c r="M8" s="238"/>
      <c r="N8" s="285">
        <f xml:space="preserve"> IF( ISNUMBER(E8), 0, 1 )</f>
        <v>0</v>
      </c>
      <c r="O8" s="238"/>
      <c r="Q8" s="451" t="s">
        <v>15583</v>
      </c>
      <c r="R8" s="960" t="s">
        <v>15585</v>
      </c>
    </row>
    <row r="9" spans="1:18" ht="29.45" customHeight="1">
      <c r="A9" s="242"/>
      <c r="B9" s="460" t="s">
        <v>15586</v>
      </c>
      <c r="C9" s="286" t="s">
        <v>3132</v>
      </c>
      <c r="D9" s="286">
        <v>2</v>
      </c>
      <c r="E9" s="1234">
        <v>298.37</v>
      </c>
      <c r="F9" s="106"/>
      <c r="G9" s="290" t="s">
        <v>15587</v>
      </c>
      <c r="H9" s="242"/>
      <c r="I9" s="1233"/>
      <c r="J9" s="242"/>
      <c r="K9" s="238"/>
      <c r="L9" s="1232">
        <f t="shared" ref="L9:L23" si="0">IF( SUM( N9:N9 ) = 0, 0, $N$5 )</f>
        <v>0</v>
      </c>
      <c r="M9" s="238"/>
      <c r="N9" s="285">
        <f t="shared" ref="N9:N23" si="1" xml:space="preserve"> IF( ISNUMBER(E9), 0, 1 )</f>
        <v>0</v>
      </c>
      <c r="O9" s="238"/>
      <c r="Q9" s="460" t="s">
        <v>15586</v>
      </c>
      <c r="R9" s="964" t="s">
        <v>15588</v>
      </c>
    </row>
    <row r="10" spans="1:18" ht="29.45" customHeight="1">
      <c r="A10" s="242"/>
      <c r="B10" s="460" t="s">
        <v>15589</v>
      </c>
      <c r="C10" s="286" t="s">
        <v>3132</v>
      </c>
      <c r="D10" s="286">
        <v>2</v>
      </c>
      <c r="E10" s="1234">
        <v>332.74</v>
      </c>
      <c r="F10" s="106"/>
      <c r="G10" s="290" t="s">
        <v>15590</v>
      </c>
      <c r="H10" s="242"/>
      <c r="I10" s="1233"/>
      <c r="J10" s="242"/>
      <c r="K10" s="238"/>
      <c r="L10" s="1232">
        <f t="shared" si="0"/>
        <v>0</v>
      </c>
      <c r="M10" s="238"/>
      <c r="N10" s="285">
        <f t="shared" si="1"/>
        <v>0</v>
      </c>
      <c r="O10" s="238"/>
      <c r="Q10" s="460" t="s">
        <v>15589</v>
      </c>
      <c r="R10" s="964" t="s">
        <v>15591</v>
      </c>
    </row>
    <row r="11" spans="1:18" ht="29.45" customHeight="1">
      <c r="A11" s="242"/>
      <c r="B11" s="460" t="s">
        <v>15592</v>
      </c>
      <c r="C11" s="286" t="s">
        <v>3132</v>
      </c>
      <c r="D11" s="286">
        <v>2</v>
      </c>
      <c r="E11" s="1234">
        <v>95.06</v>
      </c>
      <c r="F11" s="106"/>
      <c r="G11" s="290" t="s">
        <v>15593</v>
      </c>
      <c r="H11" s="242"/>
      <c r="I11" s="1233"/>
      <c r="J11" s="242"/>
      <c r="K11" s="238"/>
      <c r="L11" s="1232">
        <f t="shared" si="0"/>
        <v>0</v>
      </c>
      <c r="M11" s="238"/>
      <c r="N11" s="285">
        <f t="shared" si="1"/>
        <v>0</v>
      </c>
      <c r="O11" s="238"/>
      <c r="Q11" s="460" t="s">
        <v>15594</v>
      </c>
      <c r="R11" s="1234" t="s">
        <v>15595</v>
      </c>
    </row>
    <row r="12" spans="1:18" ht="29.45" customHeight="1">
      <c r="A12" s="242"/>
      <c r="B12" s="460" t="s">
        <v>15596</v>
      </c>
      <c r="C12" s="286" t="s">
        <v>3132</v>
      </c>
      <c r="D12" s="286">
        <v>2</v>
      </c>
      <c r="E12" s="1234">
        <v>0</v>
      </c>
      <c r="F12" s="106"/>
      <c r="G12" s="290" t="s">
        <v>15597</v>
      </c>
      <c r="H12" s="242"/>
      <c r="I12" s="1233"/>
      <c r="J12" s="242"/>
      <c r="K12" s="238"/>
      <c r="L12" s="1232">
        <f t="shared" si="0"/>
        <v>0</v>
      </c>
      <c r="M12" s="238"/>
      <c r="N12" s="285">
        <f t="shared" si="1"/>
        <v>0</v>
      </c>
      <c r="O12" s="238"/>
      <c r="Q12" s="460" t="s">
        <v>15596</v>
      </c>
      <c r="R12" s="1234" t="s">
        <v>15598</v>
      </c>
    </row>
    <row r="13" spans="1:18" ht="29.45" customHeight="1">
      <c r="A13" s="242"/>
      <c r="B13" s="460" t="s">
        <v>15599</v>
      </c>
      <c r="C13" s="286" t="s">
        <v>3132</v>
      </c>
      <c r="D13" s="286">
        <v>2</v>
      </c>
      <c r="E13" s="1234">
        <v>0</v>
      </c>
      <c r="F13" s="106"/>
      <c r="G13" s="290" t="s">
        <v>15600</v>
      </c>
      <c r="H13" s="242"/>
      <c r="I13" s="1233"/>
      <c r="J13" s="242"/>
      <c r="K13" s="238"/>
      <c r="L13" s="1232">
        <f t="shared" si="0"/>
        <v>0</v>
      </c>
      <c r="M13" s="238"/>
      <c r="N13" s="285">
        <f t="shared" si="1"/>
        <v>0</v>
      </c>
      <c r="O13" s="238"/>
      <c r="Q13" s="460" t="s">
        <v>15599</v>
      </c>
      <c r="R13" s="1234" t="s">
        <v>15601</v>
      </c>
    </row>
    <row r="14" spans="1:18" ht="29.45" customHeight="1">
      <c r="A14" s="242"/>
      <c r="B14" s="460" t="s">
        <v>15602</v>
      </c>
      <c r="C14" s="286" t="s">
        <v>3132</v>
      </c>
      <c r="D14" s="286">
        <v>2</v>
      </c>
      <c r="E14" s="1234">
        <v>0</v>
      </c>
      <c r="F14" s="200"/>
      <c r="G14" s="290" t="s">
        <v>15603</v>
      </c>
      <c r="H14" s="242"/>
      <c r="I14" s="1233"/>
      <c r="J14" s="242"/>
      <c r="K14" s="238"/>
      <c r="L14" s="1232">
        <f t="shared" si="0"/>
        <v>0</v>
      </c>
      <c r="M14" s="238"/>
      <c r="N14" s="285">
        <f t="shared" si="1"/>
        <v>0</v>
      </c>
      <c r="O14" s="238"/>
      <c r="Q14" s="460" t="s">
        <v>15602</v>
      </c>
      <c r="R14" s="1234" t="s">
        <v>15604</v>
      </c>
    </row>
    <row r="15" spans="1:18" ht="29.45" customHeight="1">
      <c r="A15" s="242"/>
      <c r="B15" s="460" t="s">
        <v>15605</v>
      </c>
      <c r="C15" s="286" t="s">
        <v>3132</v>
      </c>
      <c r="D15" s="286">
        <v>2</v>
      </c>
      <c r="E15" s="1234">
        <v>0</v>
      </c>
      <c r="F15" s="200"/>
      <c r="G15" s="290" t="s">
        <v>15606</v>
      </c>
      <c r="H15" s="242"/>
      <c r="I15" s="1233"/>
      <c r="J15" s="242"/>
      <c r="K15" s="238"/>
      <c r="L15" s="1232">
        <f t="shared" si="0"/>
        <v>0</v>
      </c>
      <c r="M15" s="238"/>
      <c r="N15" s="285">
        <f t="shared" si="1"/>
        <v>0</v>
      </c>
      <c r="O15" s="238"/>
      <c r="Q15" s="460" t="s">
        <v>15605</v>
      </c>
      <c r="R15" s="1234" t="s">
        <v>15607</v>
      </c>
    </row>
    <row r="16" spans="1:18" ht="29.45" customHeight="1">
      <c r="A16" s="242"/>
      <c r="B16" s="460" t="s">
        <v>15608</v>
      </c>
      <c r="C16" s="286" t="s">
        <v>1523</v>
      </c>
      <c r="D16" s="286">
        <v>0</v>
      </c>
      <c r="E16" s="1330">
        <v>13</v>
      </c>
      <c r="F16" s="106"/>
      <c r="G16" s="290" t="s">
        <v>15609</v>
      </c>
      <c r="H16" s="242"/>
      <c r="I16" s="1233"/>
      <c r="J16" s="242"/>
      <c r="K16" s="238"/>
      <c r="L16" s="1232">
        <f t="shared" si="0"/>
        <v>0</v>
      </c>
      <c r="M16" s="238"/>
      <c r="N16" s="285">
        <f t="shared" si="1"/>
        <v>0</v>
      </c>
      <c r="O16" s="238"/>
      <c r="Q16" s="460" t="s">
        <v>15608</v>
      </c>
      <c r="R16" s="964" t="s">
        <v>15610</v>
      </c>
    </row>
    <row r="17" spans="1:21" ht="29.45" customHeight="1">
      <c r="A17" s="242"/>
      <c r="B17" s="460" t="s">
        <v>15611</v>
      </c>
      <c r="C17" s="286" t="s">
        <v>1523</v>
      </c>
      <c r="D17" s="286">
        <v>0</v>
      </c>
      <c r="E17" s="1330">
        <v>3</v>
      </c>
      <c r="F17" s="106"/>
      <c r="G17" s="290" t="s">
        <v>15612</v>
      </c>
      <c r="H17" s="242"/>
      <c r="I17" s="1233"/>
      <c r="J17" s="242"/>
      <c r="K17" s="238"/>
      <c r="L17" s="1232">
        <f t="shared" si="0"/>
        <v>0</v>
      </c>
      <c r="M17" s="238"/>
      <c r="N17" s="285">
        <f t="shared" si="1"/>
        <v>0</v>
      </c>
      <c r="O17" s="238"/>
      <c r="Q17" s="460" t="s">
        <v>15611</v>
      </c>
      <c r="R17" s="964" t="s">
        <v>15613</v>
      </c>
    </row>
    <row r="18" spans="1:21" ht="29.45" customHeight="1">
      <c r="A18" s="242"/>
      <c r="B18" s="460" t="s">
        <v>15614</v>
      </c>
      <c r="C18" s="286" t="s">
        <v>1523</v>
      </c>
      <c r="D18" s="286">
        <v>0</v>
      </c>
      <c r="E18" s="1330">
        <v>9</v>
      </c>
      <c r="F18" s="106"/>
      <c r="G18" s="290" t="s">
        <v>15615</v>
      </c>
      <c r="H18" s="242"/>
      <c r="I18" s="1233"/>
      <c r="J18" s="242"/>
      <c r="K18" s="238"/>
      <c r="L18" s="1232">
        <f t="shared" si="0"/>
        <v>0</v>
      </c>
      <c r="M18" s="238"/>
      <c r="N18" s="285">
        <f t="shared" si="1"/>
        <v>0</v>
      </c>
      <c r="O18" s="238"/>
      <c r="Q18" s="460" t="s">
        <v>15614</v>
      </c>
      <c r="R18" s="964" t="s">
        <v>15616</v>
      </c>
    </row>
    <row r="19" spans="1:21" ht="29.45" customHeight="1">
      <c r="A19" s="242"/>
      <c r="B19" s="460" t="s">
        <v>15617</v>
      </c>
      <c r="C19" s="286" t="s">
        <v>1523</v>
      </c>
      <c r="D19" s="286">
        <v>0</v>
      </c>
      <c r="E19" s="1330">
        <v>51</v>
      </c>
      <c r="F19" s="106"/>
      <c r="G19" s="290" t="s">
        <v>15618</v>
      </c>
      <c r="H19" s="242"/>
      <c r="I19" s="1233"/>
      <c r="J19" s="242"/>
      <c r="K19" s="238"/>
      <c r="L19" s="1232">
        <f t="shared" si="0"/>
        <v>0</v>
      </c>
      <c r="M19" s="238"/>
      <c r="N19" s="285">
        <f t="shared" si="1"/>
        <v>0</v>
      </c>
      <c r="O19" s="238"/>
      <c r="Q19" s="460" t="s">
        <v>15617</v>
      </c>
      <c r="R19" s="964" t="s">
        <v>15619</v>
      </c>
      <c r="S19" s="308"/>
      <c r="T19" s="308"/>
      <c r="U19" s="338"/>
    </row>
    <row r="20" spans="1:21" ht="29.45" customHeight="1">
      <c r="A20" s="242"/>
      <c r="B20" s="460" t="s">
        <v>15620</v>
      </c>
      <c r="C20" s="286" t="s">
        <v>1523</v>
      </c>
      <c r="D20" s="286">
        <v>0</v>
      </c>
      <c r="E20" s="1330">
        <v>0</v>
      </c>
      <c r="F20" s="106"/>
      <c r="G20" s="290" t="s">
        <v>15621</v>
      </c>
      <c r="H20" s="242"/>
      <c r="I20" s="1233"/>
      <c r="J20" s="242"/>
      <c r="K20" s="238"/>
      <c r="L20" s="1232">
        <f t="shared" si="0"/>
        <v>0</v>
      </c>
      <c r="M20" s="238"/>
      <c r="N20" s="285">
        <f t="shared" si="1"/>
        <v>0</v>
      </c>
      <c r="O20" s="238"/>
      <c r="Q20" s="460" t="s">
        <v>15620</v>
      </c>
      <c r="R20" s="964" t="s">
        <v>15622</v>
      </c>
    </row>
    <row r="21" spans="1:21" ht="29.45" customHeight="1">
      <c r="A21" s="242"/>
      <c r="B21" s="460" t="s">
        <v>15623</v>
      </c>
      <c r="C21" s="286" t="s">
        <v>1523</v>
      </c>
      <c r="D21" s="286">
        <v>0</v>
      </c>
      <c r="E21" s="1330">
        <v>0</v>
      </c>
      <c r="F21" s="106"/>
      <c r="G21" s="290" t="s">
        <v>15624</v>
      </c>
      <c r="H21" s="242"/>
      <c r="I21" s="1233"/>
      <c r="J21" s="242"/>
      <c r="K21" s="238"/>
      <c r="L21" s="1232">
        <f t="shared" si="0"/>
        <v>0</v>
      </c>
      <c r="M21" s="238"/>
      <c r="N21" s="285">
        <f t="shared" si="1"/>
        <v>0</v>
      </c>
      <c r="O21" s="238"/>
      <c r="Q21" s="460" t="s">
        <v>15623</v>
      </c>
      <c r="R21" s="964" t="s">
        <v>15625</v>
      </c>
    </row>
    <row r="22" spans="1:21" ht="29.45" customHeight="1">
      <c r="A22" s="242"/>
      <c r="B22" s="460" t="s">
        <v>15626</v>
      </c>
      <c r="C22" s="286" t="s">
        <v>1523</v>
      </c>
      <c r="D22" s="286">
        <v>0</v>
      </c>
      <c r="E22" s="1330">
        <v>0</v>
      </c>
      <c r="F22" s="200"/>
      <c r="G22" s="290" t="s">
        <v>15627</v>
      </c>
      <c r="H22" s="242"/>
      <c r="I22" s="1233"/>
      <c r="J22" s="242"/>
      <c r="K22" s="238"/>
      <c r="L22" s="1232">
        <f t="shared" si="0"/>
        <v>0</v>
      </c>
      <c r="M22" s="238"/>
      <c r="N22" s="285">
        <f t="shared" si="1"/>
        <v>0</v>
      </c>
      <c r="O22" s="238"/>
      <c r="Q22" s="460" t="s">
        <v>15626</v>
      </c>
      <c r="R22" s="964" t="s">
        <v>15628</v>
      </c>
    </row>
    <row r="23" spans="1:21" ht="29.45" customHeight="1">
      <c r="A23" s="242"/>
      <c r="B23" s="460" t="s">
        <v>15629</v>
      </c>
      <c r="C23" s="286" t="s">
        <v>1523</v>
      </c>
      <c r="D23" s="286">
        <v>0</v>
      </c>
      <c r="E23" s="1330">
        <v>0</v>
      </c>
      <c r="F23" s="106"/>
      <c r="G23" s="290" t="s">
        <v>15630</v>
      </c>
      <c r="H23" s="242"/>
      <c r="I23" s="1233"/>
      <c r="J23" s="242"/>
      <c r="K23" s="238"/>
      <c r="L23" s="1232">
        <f t="shared" si="0"/>
        <v>0</v>
      </c>
      <c r="M23" s="238"/>
      <c r="N23" s="285">
        <f t="shared" si="1"/>
        <v>0</v>
      </c>
      <c r="O23" s="238"/>
      <c r="Q23" s="460" t="s">
        <v>15629</v>
      </c>
      <c r="R23" s="964" t="s">
        <v>15631</v>
      </c>
    </row>
    <row r="24" spans="1:21" ht="29.45" customHeight="1">
      <c r="A24" s="242"/>
      <c r="B24" s="460" t="s">
        <v>15632</v>
      </c>
      <c r="C24" s="286" t="s">
        <v>1523</v>
      </c>
      <c r="D24" s="286">
        <v>0</v>
      </c>
      <c r="E24" s="1332">
        <f>IFERROR(SUM(E16:E23),0)</f>
        <v>76</v>
      </c>
      <c r="F24" s="200"/>
      <c r="G24" s="290" t="s">
        <v>15633</v>
      </c>
      <c r="H24" s="242"/>
      <c r="I24" s="1233"/>
      <c r="J24" s="242"/>
      <c r="K24" s="238"/>
      <c r="M24" s="238"/>
      <c r="O24" s="238"/>
      <c r="Q24" s="460" t="s">
        <v>15632</v>
      </c>
      <c r="R24" s="1235" t="s">
        <v>15634</v>
      </c>
    </row>
    <row r="25" spans="1:21" ht="29.45" customHeight="1">
      <c r="A25" s="242"/>
      <c r="B25" s="460" t="s">
        <v>15635</v>
      </c>
      <c r="C25" s="286" t="s">
        <v>1523</v>
      </c>
      <c r="D25" s="286">
        <v>0</v>
      </c>
      <c r="E25" s="1330">
        <v>30</v>
      </c>
      <c r="F25" s="106"/>
      <c r="G25" s="290" t="s">
        <v>15636</v>
      </c>
      <c r="H25" s="242"/>
      <c r="I25" s="1233"/>
      <c r="J25" s="242"/>
      <c r="K25" s="238"/>
      <c r="L25" s="1232">
        <f t="shared" ref="L25:L37" si="2">IF( SUM( N25:N25 ) = 0, 0, $N$5 )</f>
        <v>0</v>
      </c>
      <c r="M25" s="238"/>
      <c r="N25" s="285">
        <f t="shared" ref="N25:N37" si="3" xml:space="preserve"> IF( ISNUMBER(E25), 0, 1 )</f>
        <v>0</v>
      </c>
      <c r="O25" s="238"/>
      <c r="Q25" s="460" t="s">
        <v>15635</v>
      </c>
      <c r="R25" s="1073" t="s">
        <v>15637</v>
      </c>
    </row>
    <row r="26" spans="1:21" ht="29.45" customHeight="1">
      <c r="A26" s="242"/>
      <c r="B26" s="460" t="s">
        <v>15638</v>
      </c>
      <c r="C26" s="286" t="s">
        <v>9772</v>
      </c>
      <c r="D26" s="286">
        <v>0</v>
      </c>
      <c r="E26" s="1330">
        <v>447668</v>
      </c>
      <c r="F26" s="106"/>
      <c r="G26" s="290" t="s">
        <v>15639</v>
      </c>
      <c r="H26" s="242"/>
      <c r="I26" s="1233"/>
      <c r="J26" s="242"/>
      <c r="K26" s="238"/>
      <c r="L26" s="1232">
        <f t="shared" si="2"/>
        <v>0</v>
      </c>
      <c r="M26" s="238"/>
      <c r="N26" s="285">
        <f t="shared" si="3"/>
        <v>0</v>
      </c>
      <c r="O26" s="238"/>
      <c r="Q26" s="460" t="s">
        <v>15638</v>
      </c>
      <c r="R26" s="964" t="s">
        <v>15640</v>
      </c>
    </row>
    <row r="27" spans="1:21" ht="29.45" customHeight="1">
      <c r="A27" s="242"/>
      <c r="B27" s="460" t="s">
        <v>15641</v>
      </c>
      <c r="C27" s="286" t="s">
        <v>1523</v>
      </c>
      <c r="D27" s="286">
        <v>0</v>
      </c>
      <c r="E27" s="1330">
        <v>81</v>
      </c>
      <c r="F27" s="106"/>
      <c r="G27" s="290" t="s">
        <v>15642</v>
      </c>
      <c r="H27" s="242"/>
      <c r="I27" s="1233"/>
      <c r="J27" s="242"/>
      <c r="K27" s="238"/>
      <c r="L27" s="1232">
        <f t="shared" si="2"/>
        <v>0</v>
      </c>
      <c r="M27" s="238"/>
      <c r="N27" s="285">
        <f t="shared" si="3"/>
        <v>0</v>
      </c>
      <c r="O27" s="238"/>
      <c r="Q27" s="460" t="s">
        <v>15641</v>
      </c>
      <c r="R27" s="964" t="s">
        <v>15643</v>
      </c>
    </row>
    <row r="28" spans="1:21" ht="29.45" customHeight="1">
      <c r="A28" s="242"/>
      <c r="B28" s="460" t="s">
        <v>15644</v>
      </c>
      <c r="C28" s="286" t="s">
        <v>15645</v>
      </c>
      <c r="D28" s="286">
        <v>0</v>
      </c>
      <c r="E28" s="1330">
        <v>46758</v>
      </c>
      <c r="F28" s="106"/>
      <c r="G28" s="290" t="s">
        <v>15646</v>
      </c>
      <c r="H28" s="242"/>
      <c r="I28" s="1233"/>
      <c r="J28" s="242"/>
      <c r="K28" s="238"/>
      <c r="L28" s="1232">
        <f t="shared" si="2"/>
        <v>0</v>
      </c>
      <c r="M28" s="238"/>
      <c r="N28" s="285">
        <f t="shared" si="3"/>
        <v>0</v>
      </c>
      <c r="O28" s="238"/>
      <c r="Q28" s="460" t="s">
        <v>15644</v>
      </c>
      <c r="R28" s="964" t="s">
        <v>15647</v>
      </c>
    </row>
    <row r="29" spans="1:21" ht="29.45" customHeight="1">
      <c r="A29" s="242"/>
      <c r="B29" s="460" t="s">
        <v>15648</v>
      </c>
      <c r="C29" s="286" t="s">
        <v>3217</v>
      </c>
      <c r="D29" s="286">
        <v>2</v>
      </c>
      <c r="E29" s="1234">
        <v>132.58000000000001</v>
      </c>
      <c r="F29" s="106"/>
      <c r="G29" s="290" t="s">
        <v>15649</v>
      </c>
      <c r="H29" s="242"/>
      <c r="I29" s="1233"/>
      <c r="J29" s="242"/>
      <c r="K29" s="238"/>
      <c r="L29" s="1232">
        <f t="shared" si="2"/>
        <v>0</v>
      </c>
      <c r="M29" s="238"/>
      <c r="N29" s="285">
        <f t="shared" si="3"/>
        <v>0</v>
      </c>
      <c r="O29" s="238"/>
      <c r="Q29" s="460" t="s">
        <v>15648</v>
      </c>
      <c r="R29" s="964" t="s">
        <v>15650</v>
      </c>
    </row>
    <row r="30" spans="1:21" ht="29.45" customHeight="1">
      <c r="A30" s="242"/>
      <c r="B30" s="460" t="s">
        <v>15651</v>
      </c>
      <c r="C30" s="286" t="s">
        <v>15652</v>
      </c>
      <c r="D30" s="286">
        <v>2</v>
      </c>
      <c r="E30" s="1234">
        <v>36.33</v>
      </c>
      <c r="F30" s="106"/>
      <c r="G30" s="290" t="s">
        <v>15653</v>
      </c>
      <c r="H30" s="242"/>
      <c r="I30" s="1233"/>
      <c r="J30" s="242"/>
      <c r="K30" s="238"/>
      <c r="L30" s="1232">
        <f t="shared" si="2"/>
        <v>0</v>
      </c>
      <c r="M30" s="238"/>
      <c r="N30" s="285">
        <f t="shared" si="3"/>
        <v>0</v>
      </c>
      <c r="O30" s="238"/>
      <c r="Q30" s="460" t="s">
        <v>15651</v>
      </c>
      <c r="R30" s="964" t="s">
        <v>15654</v>
      </c>
    </row>
    <row r="31" spans="1:21" ht="29.45" customHeight="1">
      <c r="A31" s="242"/>
      <c r="B31" s="460" t="s">
        <v>15655</v>
      </c>
      <c r="C31" s="286" t="s">
        <v>3251</v>
      </c>
      <c r="D31" s="286">
        <v>3</v>
      </c>
      <c r="E31" s="698">
        <v>66598.876000000004</v>
      </c>
      <c r="F31" s="200"/>
      <c r="G31" s="290" t="s">
        <v>15656</v>
      </c>
      <c r="H31" s="242"/>
      <c r="I31" s="1233"/>
      <c r="J31" s="242"/>
      <c r="K31" s="238"/>
      <c r="L31" s="1232">
        <f t="shared" si="2"/>
        <v>0</v>
      </c>
      <c r="M31" s="238"/>
      <c r="N31" s="285">
        <f t="shared" si="3"/>
        <v>0</v>
      </c>
      <c r="O31" s="238"/>
      <c r="Q31" s="460" t="s">
        <v>15657</v>
      </c>
      <c r="R31" s="964" t="s">
        <v>15658</v>
      </c>
    </row>
    <row r="32" spans="1:21" ht="29.45" customHeight="1">
      <c r="A32" s="242"/>
      <c r="B32" s="460" t="s">
        <v>15659</v>
      </c>
      <c r="C32" s="286" t="s">
        <v>1523</v>
      </c>
      <c r="D32" s="286">
        <v>0</v>
      </c>
      <c r="E32" s="1330">
        <v>0</v>
      </c>
      <c r="F32" s="106"/>
      <c r="G32" s="290" t="s">
        <v>15660</v>
      </c>
      <c r="H32" s="242"/>
      <c r="I32" s="1233"/>
      <c r="J32" s="242"/>
      <c r="K32" s="238"/>
      <c r="L32" s="1232">
        <f t="shared" si="2"/>
        <v>0</v>
      </c>
      <c r="M32" s="238"/>
      <c r="N32" s="285">
        <f t="shared" si="3"/>
        <v>0</v>
      </c>
      <c r="O32" s="238"/>
      <c r="Q32" s="460" t="s">
        <v>15659</v>
      </c>
      <c r="R32" s="964" t="s">
        <v>15661</v>
      </c>
    </row>
    <row r="33" spans="1:18" ht="29.45" customHeight="1">
      <c r="A33" s="242"/>
      <c r="B33" s="460" t="s">
        <v>15662</v>
      </c>
      <c r="C33" s="286" t="s">
        <v>3132</v>
      </c>
      <c r="D33" s="286">
        <v>2</v>
      </c>
      <c r="E33" s="1234">
        <v>0</v>
      </c>
      <c r="F33" s="106"/>
      <c r="G33" s="290" t="s">
        <v>15663</v>
      </c>
      <c r="H33" s="242"/>
      <c r="I33" s="1233"/>
      <c r="J33" s="242"/>
      <c r="K33" s="238"/>
      <c r="L33" s="1232">
        <f t="shared" si="2"/>
        <v>0</v>
      </c>
      <c r="M33" s="238"/>
      <c r="N33" s="285">
        <f t="shared" si="3"/>
        <v>0</v>
      </c>
      <c r="O33" s="238"/>
      <c r="Q33" s="460" t="s">
        <v>15664</v>
      </c>
      <c r="R33" s="1234" t="s">
        <v>15665</v>
      </c>
    </row>
    <row r="34" spans="1:18" ht="29.45" customHeight="1">
      <c r="A34" s="242"/>
      <c r="B34" s="460" t="s">
        <v>15666</v>
      </c>
      <c r="C34" s="286" t="s">
        <v>1523</v>
      </c>
      <c r="D34" s="286">
        <v>0</v>
      </c>
      <c r="E34" s="1330">
        <v>0</v>
      </c>
      <c r="F34" s="106"/>
      <c r="G34" s="290" t="s">
        <v>15667</v>
      </c>
      <c r="H34" s="242"/>
      <c r="I34" s="1233"/>
      <c r="J34" s="242"/>
      <c r="K34" s="238"/>
      <c r="L34" s="1232">
        <f t="shared" si="2"/>
        <v>0</v>
      </c>
      <c r="M34" s="238"/>
      <c r="N34" s="285">
        <f t="shared" si="3"/>
        <v>0</v>
      </c>
      <c r="O34" s="238"/>
      <c r="Q34" s="460" t="s">
        <v>15666</v>
      </c>
      <c r="R34" s="964" t="s">
        <v>15668</v>
      </c>
    </row>
    <row r="35" spans="1:18" ht="29.45" customHeight="1">
      <c r="A35" s="242"/>
      <c r="B35" s="460" t="s">
        <v>15669</v>
      </c>
      <c r="C35" s="286" t="s">
        <v>3132</v>
      </c>
      <c r="D35" s="286">
        <v>2</v>
      </c>
      <c r="E35" s="1234">
        <v>0</v>
      </c>
      <c r="F35" s="200"/>
      <c r="G35" s="290" t="s">
        <v>15670</v>
      </c>
      <c r="H35" s="242"/>
      <c r="I35" s="1233"/>
      <c r="J35" s="242"/>
      <c r="K35" s="238"/>
      <c r="L35" s="1232">
        <f t="shared" ref="L35:L36" si="4">IF( SUM( N35:N35 ) = 0, 0, $N$5 )</f>
        <v>0</v>
      </c>
      <c r="M35" s="238"/>
      <c r="N35" s="285">
        <f t="shared" ref="N35:N36" si="5" xml:space="preserve"> IF( ISNUMBER(E35), 0, 1 )</f>
        <v>0</v>
      </c>
      <c r="O35" s="238"/>
      <c r="Q35" s="460" t="s">
        <v>15671</v>
      </c>
      <c r="R35" s="1234" t="s">
        <v>15672</v>
      </c>
    </row>
    <row r="36" spans="1:18" ht="29.45" customHeight="1">
      <c r="A36" s="242"/>
      <c r="B36" s="2325" t="s">
        <v>15673</v>
      </c>
      <c r="C36" s="2326" t="s">
        <v>3132</v>
      </c>
      <c r="D36" s="2326">
        <v>2</v>
      </c>
      <c r="E36" s="2337">
        <v>1622.91</v>
      </c>
      <c r="F36" s="200"/>
      <c r="G36" s="2327" t="s">
        <v>15674</v>
      </c>
      <c r="H36" s="242"/>
      <c r="I36" s="2329"/>
      <c r="J36" s="242"/>
      <c r="K36" s="238"/>
      <c r="L36" s="1232">
        <f t="shared" si="4"/>
        <v>0</v>
      </c>
      <c r="M36" s="238"/>
      <c r="N36" s="285">
        <f t="shared" si="5"/>
        <v>0</v>
      </c>
      <c r="O36" s="238"/>
      <c r="Q36" s="2325" t="s">
        <v>15673</v>
      </c>
      <c r="R36" s="2337" t="s">
        <v>15675</v>
      </c>
    </row>
    <row r="37" spans="1:18" ht="29.45" customHeight="1" thickBot="1">
      <c r="A37" s="242"/>
      <c r="B37" s="2413" t="s">
        <v>15676</v>
      </c>
      <c r="C37" s="2414" t="s">
        <v>1523</v>
      </c>
      <c r="D37" s="2414">
        <v>0</v>
      </c>
      <c r="E37" s="2603">
        <v>45</v>
      </c>
      <c r="F37" s="200"/>
      <c r="G37" s="290" t="s">
        <v>15677</v>
      </c>
      <c r="H37" s="242"/>
      <c r="I37" s="2328"/>
      <c r="J37" s="242"/>
      <c r="K37" s="238"/>
      <c r="L37" s="1232">
        <f t="shared" si="2"/>
        <v>0</v>
      </c>
      <c r="M37" s="238"/>
      <c r="N37" s="285">
        <f t="shared" si="3"/>
        <v>0</v>
      </c>
      <c r="O37" s="238"/>
      <c r="Q37" s="2413" t="s">
        <v>15676</v>
      </c>
      <c r="R37" s="2336" t="s">
        <v>3129</v>
      </c>
    </row>
    <row r="38" spans="1:18" ht="29.45" customHeight="1" thickTop="1">
      <c r="A38" s="242"/>
      <c r="B38" s="242"/>
      <c r="C38" s="242"/>
      <c r="D38" s="242"/>
      <c r="E38" s="242"/>
      <c r="F38" s="242"/>
      <c r="G38" s="242"/>
      <c r="H38" s="242"/>
      <c r="I38" s="242"/>
      <c r="J38" s="242"/>
    </row>
    <row r="39" spans="1:18" ht="29.45" customHeight="1">
      <c r="A39" s="242"/>
      <c r="B39" s="242"/>
      <c r="C39" s="242"/>
      <c r="D39" s="242"/>
      <c r="E39" s="242"/>
      <c r="F39" s="242"/>
      <c r="G39" s="242"/>
      <c r="H39" s="242"/>
      <c r="I39" s="242"/>
      <c r="J39" s="242"/>
    </row>
    <row r="40" spans="1:18" ht="29.45" customHeight="1">
      <c r="A40" s="242"/>
      <c r="B40" s="242"/>
      <c r="C40" s="242"/>
      <c r="D40" s="242"/>
      <c r="E40" s="242"/>
      <c r="F40" s="242"/>
      <c r="G40" s="242"/>
      <c r="H40" s="242"/>
      <c r="I40" s="242"/>
      <c r="J40" s="242"/>
    </row>
    <row r="41" spans="1:18" ht="29.4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tabColor rgb="FF00B050"/>
    <pageSetUpPr fitToPage="1"/>
  </sheetPr>
  <dimension ref="A1:AP20"/>
  <sheetViews>
    <sheetView showGridLines="0" topLeftCell="A6" zoomScale="80" zoomScaleNormal="80" zoomScaleSheetLayoutView="100" workbookViewId="0">
      <selection activeCell="A14" sqref="A14"/>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229" t="s">
        <v>15678</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7220</v>
      </c>
      <c r="AE1" s="1229"/>
      <c r="AF1" s="1229"/>
      <c r="AG1" s="1229"/>
      <c r="AH1" s="1229"/>
      <c r="AI1" s="1229"/>
      <c r="AJ1" s="1229"/>
      <c r="AK1" s="1229"/>
      <c r="AL1" s="1229"/>
      <c r="AM1" s="1229"/>
      <c r="AN1" s="219"/>
      <c r="AO1" s="389"/>
      <c r="AP1" s="389"/>
    </row>
    <row r="2" spans="1:42" s="8" customFormat="1" ht="29.25" customHeight="1">
      <c r="A2" s="197"/>
      <c r="B2" s="1229" t="str">
        <f>SelectCompany!B4</f>
        <v>Northumbrian Water</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07" t="s">
        <v>15679</v>
      </c>
      <c r="C3" s="2807"/>
      <c r="D3" s="2807"/>
      <c r="E3" s="2807"/>
      <c r="F3" s="2807"/>
      <c r="G3" s="2807"/>
      <c r="H3" s="2807"/>
      <c r="I3" s="2807"/>
      <c r="J3" s="2807"/>
      <c r="K3" s="2807"/>
      <c r="L3" s="2807"/>
      <c r="M3" s="2807"/>
      <c r="N3" s="2807"/>
      <c r="O3" s="2807"/>
      <c r="P3" s="2807"/>
      <c r="Q3" s="267"/>
      <c r="R3" s="238"/>
      <c r="S3" s="1240" t="s">
        <v>7222</v>
      </c>
      <c r="T3" s="238"/>
      <c r="U3" s="219"/>
      <c r="V3" s="219"/>
      <c r="W3" s="219"/>
      <c r="X3" s="219"/>
      <c r="Y3" s="219"/>
      <c r="Z3" s="219"/>
      <c r="AA3" s="219"/>
      <c r="AB3" s="238"/>
      <c r="AC3" s="219"/>
      <c r="AD3" s="2807" t="s">
        <v>15679</v>
      </c>
      <c r="AE3" s="2807"/>
      <c r="AF3" s="2807"/>
      <c r="AG3" s="2807"/>
      <c r="AH3" s="2807"/>
      <c r="AI3" s="2807"/>
      <c r="AJ3" s="2807"/>
      <c r="AK3" s="2807"/>
      <c r="AL3" s="2807"/>
      <c r="AM3" s="2807"/>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895" t="s">
        <v>7223</v>
      </c>
      <c r="V4" s="2895"/>
      <c r="W4" s="2895"/>
      <c r="X4" s="2895"/>
      <c r="Y4" s="2895"/>
      <c r="Z4" s="2895"/>
      <c r="AA4" s="2895"/>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7224</v>
      </c>
      <c r="C5" s="446" t="s">
        <v>7225</v>
      </c>
      <c r="D5" s="446" t="s">
        <v>670</v>
      </c>
      <c r="E5" s="446" t="s">
        <v>15680</v>
      </c>
      <c r="F5" s="446" t="s">
        <v>15681</v>
      </c>
      <c r="G5" s="446" t="s">
        <v>15682</v>
      </c>
      <c r="H5" s="446" t="s">
        <v>15683</v>
      </c>
      <c r="I5" s="446" t="s">
        <v>15684</v>
      </c>
      <c r="J5" s="446" t="s">
        <v>15685</v>
      </c>
      <c r="K5" s="446" t="s">
        <v>7742</v>
      </c>
      <c r="L5" s="447" t="s">
        <v>7445</v>
      </c>
      <c r="M5" s="106"/>
      <c r="N5" s="449" t="s">
        <v>7229</v>
      </c>
      <c r="O5" s="969"/>
      <c r="P5" s="449" t="s">
        <v>7230</v>
      </c>
      <c r="Q5" s="969"/>
      <c r="R5" s="238"/>
      <c r="S5" s="219"/>
      <c r="T5" s="238"/>
      <c r="U5" s="269" t="s">
        <v>7231</v>
      </c>
      <c r="V5" s="219"/>
      <c r="W5" s="219"/>
      <c r="X5" s="219"/>
      <c r="Y5" s="219"/>
      <c r="Z5" s="219"/>
      <c r="AA5" s="219"/>
      <c r="AB5" s="238"/>
      <c r="AC5" s="219"/>
      <c r="AD5" s="445"/>
      <c r="AE5" s="446" t="s">
        <v>15680</v>
      </c>
      <c r="AF5" s="446" t="s">
        <v>15681</v>
      </c>
      <c r="AG5" s="446" t="s">
        <v>15682</v>
      </c>
      <c r="AH5" s="446" t="s">
        <v>15683</v>
      </c>
      <c r="AI5" s="446" t="s">
        <v>15684</v>
      </c>
      <c r="AJ5" s="446" t="s">
        <v>15685</v>
      </c>
      <c r="AK5" s="446" t="s">
        <v>7742</v>
      </c>
      <c r="AL5" s="447" t="s">
        <v>7445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8160</v>
      </c>
      <c r="AE7" s="482"/>
      <c r="AF7" s="349"/>
      <c r="AG7" s="349"/>
      <c r="AH7" s="349"/>
      <c r="AI7" s="349"/>
      <c r="AJ7" s="349"/>
      <c r="AK7" s="349"/>
      <c r="AL7" s="349"/>
      <c r="AM7" s="106"/>
      <c r="AN7" s="219"/>
      <c r="AO7" s="197"/>
      <c r="AP7" s="197"/>
    </row>
    <row r="8" spans="1:42" s="15" customFormat="1" ht="15.75" customHeight="1" thickTop="1">
      <c r="A8" s="195"/>
      <c r="B8" s="451" t="s">
        <v>8262</v>
      </c>
      <c r="C8" s="277" t="s">
        <v>681</v>
      </c>
      <c r="D8" s="277">
        <v>3</v>
      </c>
      <c r="E8" s="278">
        <v>0.09</v>
      </c>
      <c r="F8" s="278">
        <v>2.4020000000000001</v>
      </c>
      <c r="G8" s="278">
        <v>15.371</v>
      </c>
      <c r="H8" s="278">
        <v>2.786</v>
      </c>
      <c r="I8" s="278">
        <v>0</v>
      </c>
      <c r="J8" s="278">
        <v>0</v>
      </c>
      <c r="K8" s="278">
        <v>0</v>
      </c>
      <c r="L8" s="280">
        <f>IFERROR(SUM(E8:K8),0)</f>
        <v>20.649000000000001</v>
      </c>
      <c r="M8" s="415"/>
      <c r="N8" s="281" t="s">
        <v>15686</v>
      </c>
      <c r="O8" s="415"/>
      <c r="P8" s="283"/>
      <c r="Q8" s="415"/>
      <c r="R8" s="238"/>
      <c r="S8" s="1232">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8262</v>
      </c>
      <c r="AE8" s="278" t="s">
        <v>15687</v>
      </c>
      <c r="AF8" s="278" t="s">
        <v>15688</v>
      </c>
      <c r="AG8" s="278" t="s">
        <v>15689</v>
      </c>
      <c r="AH8" s="278" t="s">
        <v>15690</v>
      </c>
      <c r="AI8" s="278" t="s">
        <v>15691</v>
      </c>
      <c r="AJ8" s="278" t="s">
        <v>15692</v>
      </c>
      <c r="AK8" s="278" t="s">
        <v>15693</v>
      </c>
      <c r="AL8" s="280" t="s">
        <v>15694</v>
      </c>
      <c r="AM8" s="415"/>
      <c r="AN8" s="219"/>
      <c r="AO8" s="195"/>
      <c r="AP8" s="195"/>
    </row>
    <row r="9" spans="1:42" s="15" customFormat="1" ht="15.75" customHeight="1">
      <c r="A9" s="195"/>
      <c r="B9" s="460" t="s">
        <v>8270</v>
      </c>
      <c r="C9" s="286" t="s">
        <v>681</v>
      </c>
      <c r="D9" s="286">
        <v>3</v>
      </c>
      <c r="E9" s="287">
        <v>-0.26500000000000001</v>
      </c>
      <c r="F9" s="287">
        <v>0</v>
      </c>
      <c r="G9" s="287">
        <v>0</v>
      </c>
      <c r="H9" s="287">
        <v>0</v>
      </c>
      <c r="I9" s="287">
        <v>0</v>
      </c>
      <c r="J9" s="287">
        <v>0</v>
      </c>
      <c r="K9" s="287">
        <v>0</v>
      </c>
      <c r="L9" s="289">
        <f>IFERROR(SUM(E9:K9),0)</f>
        <v>-0.26500000000000001</v>
      </c>
      <c r="M9" s="415"/>
      <c r="N9" s="290" t="s">
        <v>15695</v>
      </c>
      <c r="O9" s="415"/>
      <c r="P9" s="291"/>
      <c r="Q9" s="415"/>
      <c r="R9" s="238"/>
      <c r="S9" s="1232">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8270</v>
      </c>
      <c r="AE9" s="287" t="s">
        <v>15696</v>
      </c>
      <c r="AF9" s="287" t="s">
        <v>15697</v>
      </c>
      <c r="AG9" s="287" t="s">
        <v>15698</v>
      </c>
      <c r="AH9" s="287" t="s">
        <v>15699</v>
      </c>
      <c r="AI9" s="287" t="s">
        <v>15700</v>
      </c>
      <c r="AJ9" s="287" t="s">
        <v>15701</v>
      </c>
      <c r="AK9" s="287" t="s">
        <v>15702</v>
      </c>
      <c r="AL9" s="289" t="s">
        <v>15703</v>
      </c>
      <c r="AM9" s="415"/>
      <c r="AN9" s="219"/>
      <c r="AO9" s="195"/>
      <c r="AP9" s="195"/>
    </row>
    <row r="10" spans="1:42" s="15" customFormat="1" ht="15.75" customHeight="1">
      <c r="A10" s="195"/>
      <c r="B10" s="460" t="s">
        <v>8280</v>
      </c>
      <c r="C10" s="286" t="s">
        <v>681</v>
      </c>
      <c r="D10" s="286">
        <v>3</v>
      </c>
      <c r="E10" s="287">
        <v>2.2360000000000002</v>
      </c>
      <c r="F10" s="287">
        <v>4.9870000000000001</v>
      </c>
      <c r="G10" s="287">
        <v>31.131</v>
      </c>
      <c r="H10" s="287">
        <v>1.2110000000000001</v>
      </c>
      <c r="I10" s="287">
        <v>0</v>
      </c>
      <c r="J10" s="287">
        <v>0</v>
      </c>
      <c r="K10" s="287">
        <v>0</v>
      </c>
      <c r="L10" s="289">
        <f>IFERROR(SUM(E10:K10),0)</f>
        <v>39.564999999999998</v>
      </c>
      <c r="M10" s="415"/>
      <c r="N10" s="290" t="s">
        <v>15704</v>
      </c>
      <c r="O10" s="415"/>
      <c r="P10" s="291"/>
      <c r="Q10" s="415"/>
      <c r="R10" s="238"/>
      <c r="S10" s="1232">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8280</v>
      </c>
      <c r="AE10" s="287" t="s">
        <v>15705</v>
      </c>
      <c r="AF10" s="287" t="s">
        <v>15706</v>
      </c>
      <c r="AG10" s="287" t="s">
        <v>15707</v>
      </c>
      <c r="AH10" s="287" t="s">
        <v>15708</v>
      </c>
      <c r="AI10" s="287" t="s">
        <v>15709</v>
      </c>
      <c r="AJ10" s="287" t="s">
        <v>15710</v>
      </c>
      <c r="AK10" s="287" t="s">
        <v>15711</v>
      </c>
      <c r="AL10" s="289" t="s">
        <v>15712</v>
      </c>
      <c r="AM10" s="415"/>
      <c r="AN10" s="219"/>
      <c r="AO10" s="195"/>
      <c r="AP10" s="195"/>
    </row>
    <row r="11" spans="1:42" s="15" customFormat="1" ht="15.75" customHeight="1" thickBot="1">
      <c r="A11" s="195"/>
      <c r="B11" s="463" t="s">
        <v>12063</v>
      </c>
      <c r="C11" s="355" t="s">
        <v>681</v>
      </c>
      <c r="D11" s="355">
        <v>3</v>
      </c>
      <c r="E11" s="297">
        <v>0</v>
      </c>
      <c r="F11" s="297">
        <v>0</v>
      </c>
      <c r="G11" s="297">
        <v>1.22</v>
      </c>
      <c r="H11" s="297">
        <v>0</v>
      </c>
      <c r="I11" s="297">
        <v>0</v>
      </c>
      <c r="J11" s="297">
        <v>0</v>
      </c>
      <c r="K11" s="297">
        <v>0</v>
      </c>
      <c r="L11" s="299">
        <f>IFERROR(SUM(E11:K11),0)</f>
        <v>1.22</v>
      </c>
      <c r="M11" s="415"/>
      <c r="N11" s="356" t="s">
        <v>15713</v>
      </c>
      <c r="O11" s="415"/>
      <c r="P11" s="302"/>
      <c r="Q11" s="415"/>
      <c r="R11" s="238"/>
      <c r="S11" s="1232">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12063</v>
      </c>
      <c r="AE11" s="297" t="s">
        <v>15714</v>
      </c>
      <c r="AF11" s="297" t="s">
        <v>15715</v>
      </c>
      <c r="AG11" s="297" t="s">
        <v>15716</v>
      </c>
      <c r="AH11" s="297" t="s">
        <v>15717</v>
      </c>
      <c r="AI11" s="297" t="s">
        <v>15718</v>
      </c>
      <c r="AJ11" s="297" t="s">
        <v>15719</v>
      </c>
      <c r="AK11" s="297" t="s">
        <v>15720</v>
      </c>
      <c r="AL11" s="299" t="s">
        <v>15721</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8313</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8313</v>
      </c>
      <c r="AE13" s="316"/>
      <c r="AF13" s="367"/>
      <c r="AG13" s="367"/>
      <c r="AH13" s="367"/>
      <c r="AI13" s="367"/>
      <c r="AJ13" s="367"/>
      <c r="AK13" s="367"/>
      <c r="AL13" s="367"/>
      <c r="AM13" s="106"/>
      <c r="AN13" s="219"/>
      <c r="AO13" s="195"/>
      <c r="AP13" s="195"/>
    </row>
    <row r="14" spans="1:42" s="15" customFormat="1" ht="15.75" customHeight="1" thickTop="1">
      <c r="A14" s="195"/>
      <c r="B14" s="451" t="s">
        <v>8295</v>
      </c>
      <c r="C14" s="277" t="s">
        <v>681</v>
      </c>
      <c r="D14" s="277">
        <v>3</v>
      </c>
      <c r="E14" s="278">
        <v>0.57399999999999995</v>
      </c>
      <c r="F14" s="278">
        <v>0</v>
      </c>
      <c r="G14" s="278">
        <v>0</v>
      </c>
      <c r="H14" s="278">
        <v>2.3E-2</v>
      </c>
      <c r="I14" s="278">
        <v>0</v>
      </c>
      <c r="J14" s="278">
        <v>0</v>
      </c>
      <c r="K14" s="278">
        <v>0</v>
      </c>
      <c r="L14" s="280">
        <f t="shared" ref="L14:L18" si="8">IFERROR(SUM(E14:K14),0)</f>
        <v>0.59699999999999998</v>
      </c>
      <c r="M14" s="415"/>
      <c r="N14" s="281" t="s">
        <v>15722</v>
      </c>
      <c r="O14" s="415"/>
      <c r="P14" s="283"/>
      <c r="Q14" s="415"/>
      <c r="R14" s="238"/>
      <c r="S14" s="1232">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8295</v>
      </c>
      <c r="AE14" s="278" t="s">
        <v>15723</v>
      </c>
      <c r="AF14" s="278" t="s">
        <v>15724</v>
      </c>
      <c r="AG14" s="278" t="s">
        <v>15725</v>
      </c>
      <c r="AH14" s="278" t="s">
        <v>15726</v>
      </c>
      <c r="AI14" s="278" t="s">
        <v>15727</v>
      </c>
      <c r="AJ14" s="278" t="s">
        <v>15728</v>
      </c>
      <c r="AK14" s="278" t="s">
        <v>15729</v>
      </c>
      <c r="AL14" s="280" t="s">
        <v>15730</v>
      </c>
      <c r="AM14" s="415"/>
      <c r="AN14" s="219"/>
      <c r="AO14" s="195"/>
      <c r="AP14" s="195"/>
    </row>
    <row r="15" spans="1:42" s="15" customFormat="1" ht="15.75" customHeight="1">
      <c r="A15" s="195"/>
      <c r="B15" s="460" t="s">
        <v>8303</v>
      </c>
      <c r="C15" s="286" t="s">
        <v>681</v>
      </c>
      <c r="D15" s="286">
        <v>3</v>
      </c>
      <c r="E15" s="287">
        <v>7.6999999999999999E-2</v>
      </c>
      <c r="F15" s="287">
        <v>5.0999999999999997E-2</v>
      </c>
      <c r="G15" s="287">
        <v>5.8000000000000003E-2</v>
      </c>
      <c r="H15" s="287">
        <v>1.7000000000000001E-2</v>
      </c>
      <c r="I15" s="287">
        <v>0</v>
      </c>
      <c r="J15" s="287">
        <v>0</v>
      </c>
      <c r="K15" s="287">
        <v>0</v>
      </c>
      <c r="L15" s="289">
        <f t="shared" si="8"/>
        <v>0.20300000000000001</v>
      </c>
      <c r="M15" s="415"/>
      <c r="N15" s="290" t="s">
        <v>15731</v>
      </c>
      <c r="O15" s="415"/>
      <c r="P15" s="291"/>
      <c r="Q15" s="415"/>
      <c r="R15" s="238"/>
      <c r="S15" s="1232">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8303</v>
      </c>
      <c r="AE15" s="287" t="s">
        <v>15732</v>
      </c>
      <c r="AF15" s="287" t="s">
        <v>15733</v>
      </c>
      <c r="AG15" s="287" t="s">
        <v>15734</v>
      </c>
      <c r="AH15" s="287" t="s">
        <v>15735</v>
      </c>
      <c r="AI15" s="287" t="s">
        <v>15736</v>
      </c>
      <c r="AJ15" s="287" t="s">
        <v>15737</v>
      </c>
      <c r="AK15" s="287" t="s">
        <v>15738</v>
      </c>
      <c r="AL15" s="289" t="s">
        <v>15739</v>
      </c>
      <c r="AM15" s="415"/>
      <c r="AN15" s="219"/>
      <c r="AO15" s="195"/>
      <c r="AP15" s="195"/>
    </row>
    <row r="16" spans="1:42" s="15" customFormat="1" ht="15.75" customHeight="1">
      <c r="A16" s="195"/>
      <c r="B16" s="460" t="s">
        <v>15740</v>
      </c>
      <c r="C16" s="286" t="s">
        <v>681</v>
      </c>
      <c r="D16" s="286">
        <v>3</v>
      </c>
      <c r="E16" s="287">
        <v>2.8130000000000002</v>
      </c>
      <c r="F16" s="287">
        <v>1.8839999999999999</v>
      </c>
      <c r="G16" s="287">
        <v>2.1429999999999998</v>
      </c>
      <c r="H16" s="287">
        <v>0.61699999999999999</v>
      </c>
      <c r="I16" s="287">
        <v>0</v>
      </c>
      <c r="J16" s="287">
        <v>0</v>
      </c>
      <c r="K16" s="287">
        <v>0</v>
      </c>
      <c r="L16" s="289">
        <f t="shared" si="8"/>
        <v>7.4569999999999999</v>
      </c>
      <c r="M16" s="415"/>
      <c r="N16" s="290" t="s">
        <v>15741</v>
      </c>
      <c r="O16" s="415"/>
      <c r="P16" s="291"/>
      <c r="Q16" s="415"/>
      <c r="R16" s="238"/>
      <c r="S16" s="1232">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15742</v>
      </c>
      <c r="AE16" s="287" t="s">
        <v>15743</v>
      </c>
      <c r="AF16" s="287" t="s">
        <v>15744</v>
      </c>
      <c r="AG16" s="287" t="s">
        <v>15745</v>
      </c>
      <c r="AH16" s="287" t="s">
        <v>15746</v>
      </c>
      <c r="AI16" s="287" t="s">
        <v>15747</v>
      </c>
      <c r="AJ16" s="287" t="s">
        <v>15748</v>
      </c>
      <c r="AK16" s="287" t="s">
        <v>15749</v>
      </c>
      <c r="AL16" s="289" t="s">
        <v>15750</v>
      </c>
      <c r="AM16" s="415"/>
      <c r="AN16" s="219"/>
      <c r="AO16" s="195"/>
      <c r="AP16" s="195"/>
    </row>
    <row r="17" spans="1:42" s="15" customFormat="1" ht="15.75" customHeight="1">
      <c r="A17" s="195"/>
      <c r="B17" s="460" t="s">
        <v>8320</v>
      </c>
      <c r="C17" s="286" t="s">
        <v>681</v>
      </c>
      <c r="D17" s="286">
        <v>3</v>
      </c>
      <c r="E17" s="287">
        <v>1.478</v>
      </c>
      <c r="F17" s="287">
        <v>1.0980000000000001</v>
      </c>
      <c r="G17" s="287">
        <v>0.253</v>
      </c>
      <c r="H17" s="287">
        <v>1.393</v>
      </c>
      <c r="I17" s="287">
        <v>0</v>
      </c>
      <c r="J17" s="287">
        <v>0</v>
      </c>
      <c r="K17" s="287">
        <v>0</v>
      </c>
      <c r="L17" s="289">
        <f t="shared" si="8"/>
        <v>4.2220000000000004</v>
      </c>
      <c r="M17" s="415"/>
      <c r="N17" s="290" t="s">
        <v>15751</v>
      </c>
      <c r="O17" s="415"/>
      <c r="P17" s="291"/>
      <c r="Q17" s="415"/>
      <c r="R17" s="238"/>
      <c r="S17" s="1232">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8320</v>
      </c>
      <c r="AE17" s="287" t="s">
        <v>15752</v>
      </c>
      <c r="AF17" s="287" t="s">
        <v>15753</v>
      </c>
      <c r="AG17" s="287" t="s">
        <v>15754</v>
      </c>
      <c r="AH17" s="287" t="s">
        <v>15755</v>
      </c>
      <c r="AI17" s="287" t="s">
        <v>15756</v>
      </c>
      <c r="AJ17" s="287" t="s">
        <v>15757</v>
      </c>
      <c r="AK17" s="287" t="s">
        <v>15758</v>
      </c>
      <c r="AL17" s="289" t="s">
        <v>15759</v>
      </c>
      <c r="AM17" s="415"/>
      <c r="AN17" s="219"/>
      <c r="AO17" s="195"/>
      <c r="AP17" s="195"/>
    </row>
    <row r="18" spans="1:42" s="15" customFormat="1" ht="15.75" customHeight="1" thickBot="1">
      <c r="A18" s="195"/>
      <c r="B18" s="463" t="s">
        <v>15760</v>
      </c>
      <c r="C18" s="355" t="s">
        <v>681</v>
      </c>
      <c r="D18" s="355">
        <v>3</v>
      </c>
      <c r="E18" s="298">
        <f t="shared" ref="E18:K18" si="17">IFERROR(SUM(E8:E11,E14:E17),0)</f>
        <v>7.0030000000000001</v>
      </c>
      <c r="F18" s="298">
        <f t="shared" si="17"/>
        <v>10.422000000000001</v>
      </c>
      <c r="G18" s="298">
        <f t="shared" si="17"/>
        <v>50.176000000000002</v>
      </c>
      <c r="H18" s="298">
        <f t="shared" si="17"/>
        <v>6.0469999999999997</v>
      </c>
      <c r="I18" s="298">
        <f t="shared" si="17"/>
        <v>0</v>
      </c>
      <c r="J18" s="298">
        <f t="shared" si="17"/>
        <v>0</v>
      </c>
      <c r="K18" s="298">
        <f t="shared" si="17"/>
        <v>0</v>
      </c>
      <c r="L18" s="299">
        <f t="shared" si="8"/>
        <v>73.647999999999996</v>
      </c>
      <c r="M18" s="415"/>
      <c r="N18" s="356" t="s">
        <v>15761</v>
      </c>
      <c r="O18" s="415"/>
      <c r="P18" s="302"/>
      <c r="Q18" s="415"/>
      <c r="R18" s="238"/>
      <c r="S18" s="219"/>
      <c r="T18" s="238"/>
      <c r="U18" s="219"/>
      <c r="V18" s="219"/>
      <c r="W18" s="219"/>
      <c r="X18" s="219"/>
      <c r="Y18" s="219"/>
      <c r="Z18" s="219"/>
      <c r="AA18" s="219"/>
      <c r="AB18" s="238"/>
      <c r="AC18" s="219"/>
      <c r="AD18" s="463" t="s">
        <v>15760</v>
      </c>
      <c r="AE18" s="298" t="s">
        <v>15762</v>
      </c>
      <c r="AF18" s="298" t="s">
        <v>15763</v>
      </c>
      <c r="AG18" s="298" t="s">
        <v>15764</v>
      </c>
      <c r="AH18" s="298" t="s">
        <v>15765</v>
      </c>
      <c r="AI18" s="298" t="s">
        <v>15766</v>
      </c>
      <c r="AJ18" s="298" t="s">
        <v>15767</v>
      </c>
      <c r="AK18" s="298" t="s">
        <v>15768</v>
      </c>
      <c r="AL18" s="299" t="s">
        <v>15769</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tabColor rgb="FF00B050"/>
    <pageSetUpPr fitToPage="1"/>
  </sheetPr>
  <dimension ref="A1:AG61"/>
  <sheetViews>
    <sheetView showGridLines="0" zoomScale="70" zoomScaleNormal="70" zoomScaleSheetLayoutView="100" workbookViewId="0">
      <selection activeCell="H14" sqref="B14:H14"/>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9"/>
      <c r="B1" s="1229" t="s">
        <v>15770</v>
      </c>
      <c r="C1" s="1229"/>
      <c r="D1" s="1229"/>
      <c r="E1" s="1229"/>
      <c r="F1" s="1229"/>
      <c r="G1" s="106"/>
      <c r="H1" s="565"/>
      <c r="I1" s="219"/>
      <c r="J1" s="219"/>
      <c r="K1" s="219"/>
      <c r="L1" s="238"/>
      <c r="M1" s="219"/>
      <c r="N1" s="238"/>
      <c r="O1" s="219"/>
      <c r="P1" s="219"/>
      <c r="Q1" s="219"/>
      <c r="R1" s="219"/>
      <c r="S1" s="238"/>
      <c r="T1" s="219"/>
      <c r="U1" s="1229" t="s">
        <v>7220</v>
      </c>
      <c r="V1" s="1229"/>
      <c r="W1" s="1229"/>
      <c r="X1" s="1229"/>
      <c r="Y1" s="1229"/>
      <c r="Z1" s="106"/>
      <c r="AA1" s="219"/>
      <c r="AB1" s="219"/>
      <c r="AC1" s="219"/>
      <c r="AD1" s="219"/>
      <c r="AE1" s="219"/>
      <c r="AF1" s="219"/>
      <c r="AG1" s="219"/>
    </row>
    <row r="2" spans="1:33" ht="30.75" customHeight="1">
      <c r="A2" s="219"/>
      <c r="B2" s="1229" t="str">
        <f>SelectCompany!B4</f>
        <v>Northumbrian Water</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07" t="s">
        <v>15771</v>
      </c>
      <c r="C3" s="2807"/>
      <c r="D3" s="2807"/>
      <c r="E3" s="2807"/>
      <c r="F3" s="2807"/>
      <c r="G3" s="2807"/>
      <c r="H3" s="2807"/>
      <c r="I3" s="2807"/>
      <c r="J3" s="2807"/>
      <c r="K3" s="219"/>
      <c r="L3" s="238"/>
      <c r="M3" s="1240" t="s">
        <v>7222</v>
      </c>
      <c r="N3" s="238"/>
      <c r="O3" s="219"/>
      <c r="P3" s="219"/>
      <c r="Q3" s="219"/>
      <c r="R3" s="219"/>
      <c r="S3" s="238"/>
      <c r="T3" s="219"/>
      <c r="U3" s="2807" t="s">
        <v>15771</v>
      </c>
      <c r="V3" s="2807"/>
      <c r="W3" s="2807"/>
      <c r="X3" s="2807"/>
      <c r="Y3" s="2807"/>
      <c r="Z3" s="2807"/>
      <c r="AA3" s="1241"/>
      <c r="AB3" s="1241"/>
      <c r="AC3" s="219"/>
      <c r="AD3" s="219"/>
      <c r="AE3" s="219"/>
      <c r="AF3" s="219"/>
      <c r="AG3" s="219"/>
    </row>
    <row r="4" spans="1:33" ht="24" thickBot="1">
      <c r="A4" s="219"/>
      <c r="B4" s="690"/>
      <c r="C4" s="690"/>
      <c r="D4" s="690"/>
      <c r="E4" s="690"/>
      <c r="F4" s="690"/>
      <c r="G4" s="827"/>
      <c r="H4" s="260"/>
      <c r="I4" s="219"/>
      <c r="J4" s="219"/>
      <c r="K4" s="219"/>
      <c r="L4" s="238"/>
      <c r="M4" s="219"/>
      <c r="N4" s="238"/>
      <c r="O4" s="2895" t="s">
        <v>7223</v>
      </c>
      <c r="P4" s="2895"/>
      <c r="Q4" s="2895"/>
      <c r="R4" s="2895"/>
      <c r="S4" s="238"/>
      <c r="T4" s="219"/>
      <c r="U4" s="690"/>
      <c r="V4" s="690"/>
      <c r="W4" s="690"/>
      <c r="X4" s="690"/>
      <c r="Y4" s="690"/>
      <c r="Z4" s="827"/>
      <c r="AA4" s="219"/>
      <c r="AB4" s="219"/>
      <c r="AC4" s="219"/>
      <c r="AD4" s="219"/>
      <c r="AE4" s="219"/>
      <c r="AF4" s="219"/>
      <c r="AG4" s="219"/>
    </row>
    <row r="5" spans="1:33" ht="46.5" thickTop="1" thickBot="1">
      <c r="A5" s="242"/>
      <c r="B5" s="445" t="s">
        <v>7224</v>
      </c>
      <c r="C5" s="446" t="s">
        <v>7225</v>
      </c>
      <c r="D5" s="446" t="s">
        <v>670</v>
      </c>
      <c r="E5" s="447" t="s">
        <v>15581</v>
      </c>
      <c r="F5" s="242"/>
      <c r="G5" s="731"/>
      <c r="H5" s="449" t="s">
        <v>7229</v>
      </c>
      <c r="I5" s="242"/>
      <c r="J5" s="449" t="s">
        <v>7230</v>
      </c>
      <c r="K5" s="242"/>
      <c r="L5" s="238"/>
      <c r="M5" s="219"/>
      <c r="N5" s="238"/>
      <c r="O5" s="269" t="s">
        <v>7231</v>
      </c>
      <c r="P5" s="269"/>
      <c r="Q5" s="269"/>
      <c r="R5" s="269"/>
      <c r="S5" s="238"/>
      <c r="T5" s="219"/>
      <c r="U5" s="445" t="s">
        <v>7224</v>
      </c>
      <c r="V5" s="447" t="s">
        <v>15581</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15772</v>
      </c>
      <c r="C7" s="482"/>
      <c r="D7" s="482"/>
      <c r="E7" s="482"/>
      <c r="F7" s="242"/>
      <c r="G7" s="1242"/>
      <c r="H7" s="565"/>
      <c r="I7" s="242"/>
      <c r="J7" s="242"/>
      <c r="K7" s="242"/>
      <c r="L7" s="238"/>
      <c r="M7" s="219"/>
      <c r="N7" s="238"/>
      <c r="O7" s="219"/>
      <c r="P7" s="219"/>
      <c r="Q7" s="219"/>
      <c r="R7" s="219"/>
      <c r="S7" s="238"/>
      <c r="T7" s="219"/>
      <c r="U7" s="33" t="s">
        <v>15772</v>
      </c>
      <c r="V7" s="482"/>
      <c r="W7" s="482"/>
      <c r="X7" s="482"/>
      <c r="Y7" s="242"/>
      <c r="Z7" s="1242"/>
      <c r="AA7" s="242"/>
      <c r="AB7" s="219"/>
      <c r="AC7" s="219"/>
      <c r="AD7" s="219"/>
      <c r="AE7" s="219"/>
      <c r="AF7" s="219"/>
      <c r="AG7" s="219"/>
    </row>
    <row r="8" spans="1:33" ht="15.75" customHeight="1" thickTop="1">
      <c r="A8" s="242"/>
      <c r="B8" s="829" t="s">
        <v>15773</v>
      </c>
      <c r="C8" s="788" t="s">
        <v>1523</v>
      </c>
      <c r="D8" s="788">
        <v>0</v>
      </c>
      <c r="E8" s="1704">
        <v>6</v>
      </c>
      <c r="F8" s="1243"/>
      <c r="G8" s="389"/>
      <c r="H8" s="832" t="s">
        <v>15774</v>
      </c>
      <c r="I8" s="242"/>
      <c r="J8" s="1231"/>
      <c r="K8" s="242"/>
      <c r="L8" s="238"/>
      <c r="M8" s="1232">
        <f>IF( SUM( O8:R8 ) = 0, 0, $O$5 )</f>
        <v>0</v>
      </c>
      <c r="N8" s="238"/>
      <c r="O8" s="219"/>
      <c r="P8" s="219"/>
      <c r="Q8" s="285">
        <f xml:space="preserve"> IF( ISNUMBER(E8 ), 0, 1 )</f>
        <v>0</v>
      </c>
      <c r="R8" s="219"/>
      <c r="S8" s="238"/>
      <c r="T8" s="219"/>
      <c r="U8" s="1564" t="s">
        <v>15773</v>
      </c>
      <c r="V8" s="1565" t="s">
        <v>15775</v>
      </c>
      <c r="W8" s="871"/>
      <c r="X8" s="871"/>
      <c r="Y8" s="242"/>
      <c r="Z8" s="389"/>
      <c r="AA8" s="242"/>
      <c r="AB8" s="219"/>
      <c r="AC8" s="219"/>
      <c r="AD8" s="219"/>
      <c r="AE8" s="219"/>
      <c r="AF8" s="219"/>
      <c r="AG8" s="219"/>
    </row>
    <row r="9" spans="1:33" ht="15.75" customHeight="1">
      <c r="A9" s="242"/>
      <c r="B9" s="833" t="s">
        <v>15776</v>
      </c>
      <c r="C9" s="834" t="s">
        <v>9772</v>
      </c>
      <c r="D9" s="834">
        <v>0</v>
      </c>
      <c r="E9" s="1705">
        <v>1655</v>
      </c>
      <c r="F9" s="1244"/>
      <c r="G9" s="389"/>
      <c r="H9" s="837" t="s">
        <v>15777</v>
      </c>
      <c r="I9" s="242"/>
      <c r="J9" s="1233"/>
      <c r="K9" s="242"/>
      <c r="L9" s="238"/>
      <c r="M9" s="1232">
        <f t="shared" ref="M9:M19" si="0">IF( SUM( O9:R9 ) = 0, 0, $O$5 )</f>
        <v>0</v>
      </c>
      <c r="N9" s="238"/>
      <c r="O9" s="219"/>
      <c r="P9" s="219"/>
      <c r="Q9" s="285">
        <f t="shared" ref="Q9:Q19" si="1" xml:space="preserve"> IF( ISNUMBER(E9 ), 0, 1 )</f>
        <v>0</v>
      </c>
      <c r="R9" s="219"/>
      <c r="S9" s="238"/>
      <c r="T9" s="219"/>
      <c r="U9" s="1566" t="s">
        <v>15776</v>
      </c>
      <c r="V9" s="1567" t="s">
        <v>15778</v>
      </c>
      <c r="W9" s="871"/>
      <c r="X9" s="871"/>
      <c r="Y9" s="242"/>
      <c r="Z9" s="389"/>
      <c r="AA9" s="242"/>
      <c r="AB9" s="219"/>
      <c r="AC9" s="219"/>
      <c r="AD9" s="219"/>
      <c r="AE9" s="219"/>
      <c r="AF9" s="219"/>
      <c r="AG9" s="219"/>
    </row>
    <row r="10" spans="1:33" ht="15.75" customHeight="1">
      <c r="A10" s="242"/>
      <c r="B10" s="833" t="s">
        <v>15779</v>
      </c>
      <c r="C10" s="834" t="s">
        <v>1523</v>
      </c>
      <c r="D10" s="834">
        <v>0</v>
      </c>
      <c r="E10" s="1705">
        <v>7</v>
      </c>
      <c r="F10" s="1244"/>
      <c r="G10" s="197"/>
      <c r="H10" s="837" t="s">
        <v>15780</v>
      </c>
      <c r="I10" s="242"/>
      <c r="J10" s="1233"/>
      <c r="K10" s="242"/>
      <c r="L10" s="238"/>
      <c r="M10" s="1232">
        <f t="shared" si="0"/>
        <v>0</v>
      </c>
      <c r="N10" s="238"/>
      <c r="O10" s="219"/>
      <c r="P10" s="219"/>
      <c r="Q10" s="285">
        <f t="shared" si="1"/>
        <v>0</v>
      </c>
      <c r="R10" s="219"/>
      <c r="S10" s="238"/>
      <c r="T10" s="219"/>
      <c r="U10" s="1566" t="s">
        <v>15779</v>
      </c>
      <c r="V10" s="1567" t="s">
        <v>15781</v>
      </c>
      <c r="W10" s="871"/>
      <c r="X10" s="871"/>
      <c r="Y10" s="242"/>
      <c r="Z10" s="197"/>
      <c r="AA10" s="242"/>
      <c r="AB10" s="219"/>
      <c r="AC10" s="219"/>
      <c r="AD10" s="219"/>
      <c r="AE10" s="219"/>
      <c r="AF10" s="219"/>
      <c r="AG10" s="219"/>
    </row>
    <row r="11" spans="1:33" ht="30">
      <c r="A11" s="242"/>
      <c r="B11" s="833" t="s">
        <v>15782</v>
      </c>
      <c r="C11" s="834" t="s">
        <v>15645</v>
      </c>
      <c r="D11" s="834">
        <v>0</v>
      </c>
      <c r="E11" s="1705">
        <v>3436</v>
      </c>
      <c r="F11" s="1244"/>
      <c r="G11" s="197"/>
      <c r="H11" s="837" t="s">
        <v>15783</v>
      </c>
      <c r="I11" s="242"/>
      <c r="J11" s="1233"/>
      <c r="K11" s="242"/>
      <c r="L11" s="238"/>
      <c r="M11" s="1232">
        <f t="shared" si="0"/>
        <v>0</v>
      </c>
      <c r="N11" s="238"/>
      <c r="O11" s="219"/>
      <c r="P11" s="219"/>
      <c r="Q11" s="285">
        <f t="shared" si="1"/>
        <v>0</v>
      </c>
      <c r="R11" s="219"/>
      <c r="S11" s="238"/>
      <c r="T11" s="219"/>
      <c r="U11" s="1566" t="s">
        <v>15782</v>
      </c>
      <c r="V11" s="1567" t="s">
        <v>15784</v>
      </c>
      <c r="W11" s="871"/>
      <c r="X11" s="871"/>
      <c r="Y11" s="242"/>
      <c r="Z11" s="197"/>
      <c r="AA11" s="242"/>
      <c r="AB11" s="219"/>
      <c r="AC11" s="219"/>
      <c r="AD11" s="219"/>
      <c r="AE11" s="219"/>
      <c r="AF11" s="219"/>
      <c r="AG11" s="219"/>
    </row>
    <row r="12" spans="1:33" ht="15.75" customHeight="1">
      <c r="A12" s="242"/>
      <c r="B12" s="833" t="s">
        <v>15785</v>
      </c>
      <c r="C12" s="834" t="s">
        <v>3217</v>
      </c>
      <c r="D12" s="834">
        <v>2</v>
      </c>
      <c r="E12" s="1245">
        <v>335.47</v>
      </c>
      <c r="F12" s="1244"/>
      <c r="G12" s="197"/>
      <c r="H12" s="837" t="s">
        <v>15786</v>
      </c>
      <c r="I12" s="242"/>
      <c r="J12" s="1233"/>
      <c r="K12" s="242"/>
      <c r="L12" s="238"/>
      <c r="M12" s="1232">
        <f t="shared" si="0"/>
        <v>0</v>
      </c>
      <c r="N12" s="238"/>
      <c r="O12" s="219"/>
      <c r="P12" s="219"/>
      <c r="Q12" s="285">
        <f t="shared" si="1"/>
        <v>0</v>
      </c>
      <c r="R12" s="219"/>
      <c r="S12" s="238"/>
      <c r="T12" s="219"/>
      <c r="U12" s="1566" t="s">
        <v>15785</v>
      </c>
      <c r="V12" s="1567" t="s">
        <v>15787</v>
      </c>
      <c r="W12" s="871"/>
      <c r="X12" s="871"/>
      <c r="Y12" s="242"/>
      <c r="Z12" s="197"/>
      <c r="AA12" s="242"/>
      <c r="AB12" s="219"/>
      <c r="AC12" s="219"/>
      <c r="AD12" s="219"/>
      <c r="AE12" s="219"/>
      <c r="AF12" s="219"/>
      <c r="AG12" s="219"/>
    </row>
    <row r="13" spans="1:33" ht="15.75" customHeight="1">
      <c r="A13" s="242"/>
      <c r="B13" s="833" t="s">
        <v>15788</v>
      </c>
      <c r="C13" s="834" t="s">
        <v>15652</v>
      </c>
      <c r="D13" s="834">
        <v>2</v>
      </c>
      <c r="E13" s="1245">
        <v>8.5299999999999994</v>
      </c>
      <c r="F13" s="1244"/>
      <c r="G13" s="197"/>
      <c r="H13" s="837" t="s">
        <v>15789</v>
      </c>
      <c r="I13" s="242"/>
      <c r="J13" s="1233"/>
      <c r="K13" s="242"/>
      <c r="L13" s="238"/>
      <c r="M13" s="1232">
        <f t="shared" si="0"/>
        <v>0</v>
      </c>
      <c r="N13" s="238"/>
      <c r="O13" s="219"/>
      <c r="P13" s="219"/>
      <c r="Q13" s="285">
        <f t="shared" si="1"/>
        <v>0</v>
      </c>
      <c r="R13" s="219"/>
      <c r="S13" s="238"/>
      <c r="T13" s="219"/>
      <c r="U13" s="1566" t="s">
        <v>15790</v>
      </c>
      <c r="V13" s="1567" t="s">
        <v>15791</v>
      </c>
      <c r="W13" s="871"/>
      <c r="X13" s="871"/>
      <c r="Y13" s="242"/>
      <c r="Z13" s="197"/>
      <c r="AA13" s="242"/>
      <c r="AB13" s="219"/>
      <c r="AC13" s="219"/>
      <c r="AD13" s="219"/>
      <c r="AE13" s="219"/>
      <c r="AF13" s="219"/>
      <c r="AG13" s="219"/>
    </row>
    <row r="14" spans="1:33" ht="15.75" customHeight="1">
      <c r="A14" s="242"/>
      <c r="B14" s="833" t="s">
        <v>15792</v>
      </c>
      <c r="C14" s="834" t="s">
        <v>3251</v>
      </c>
      <c r="D14" s="834">
        <v>3</v>
      </c>
      <c r="E14" s="878">
        <v>5476.3370000000004</v>
      </c>
      <c r="F14" s="1244"/>
      <c r="G14" s="197"/>
      <c r="H14" s="837" t="s">
        <v>15793</v>
      </c>
      <c r="I14" s="242"/>
      <c r="J14" s="1233"/>
      <c r="K14" s="242"/>
      <c r="L14" s="238"/>
      <c r="M14" s="1232">
        <f t="shared" si="0"/>
        <v>0</v>
      </c>
      <c r="N14" s="238"/>
      <c r="O14" s="219"/>
      <c r="P14" s="219"/>
      <c r="Q14" s="285">
        <f t="shared" si="1"/>
        <v>0</v>
      </c>
      <c r="R14" s="219"/>
      <c r="S14" s="238"/>
      <c r="T14" s="219"/>
      <c r="U14" s="1566" t="s">
        <v>15794</v>
      </c>
      <c r="V14" s="1567" t="s">
        <v>15795</v>
      </c>
      <c r="W14" s="871"/>
      <c r="X14" s="871"/>
      <c r="Y14" s="242"/>
      <c r="Z14" s="197"/>
      <c r="AA14" s="242"/>
      <c r="AB14" s="219"/>
      <c r="AC14" s="219"/>
      <c r="AD14" s="219"/>
      <c r="AE14" s="219"/>
      <c r="AF14" s="219"/>
      <c r="AG14" s="219"/>
    </row>
    <row r="15" spans="1:33" ht="15.75" customHeight="1">
      <c r="A15" s="242"/>
      <c r="B15" s="833" t="s">
        <v>15796</v>
      </c>
      <c r="C15" s="834" t="s">
        <v>1523</v>
      </c>
      <c r="D15" s="834">
        <v>0</v>
      </c>
      <c r="E15" s="1705">
        <v>1</v>
      </c>
      <c r="F15" s="1244"/>
      <c r="G15" s="197"/>
      <c r="H15" s="837" t="s">
        <v>15797</v>
      </c>
      <c r="I15" s="242"/>
      <c r="J15" s="1233"/>
      <c r="K15" s="242"/>
      <c r="L15" s="238"/>
      <c r="M15" s="1232">
        <f t="shared" si="0"/>
        <v>0</v>
      </c>
      <c r="N15" s="238"/>
      <c r="O15" s="219"/>
      <c r="P15" s="219"/>
      <c r="Q15" s="285">
        <f t="shared" si="1"/>
        <v>0</v>
      </c>
      <c r="R15" s="219"/>
      <c r="S15" s="238"/>
      <c r="T15" s="219"/>
      <c r="U15" s="1566" t="s">
        <v>15796</v>
      </c>
      <c r="V15" s="1567" t="s">
        <v>15798</v>
      </c>
      <c r="W15" s="871"/>
      <c r="X15" s="871"/>
      <c r="Y15" s="242"/>
      <c r="Z15" s="197"/>
      <c r="AA15" s="242"/>
      <c r="AB15" s="219"/>
      <c r="AC15" s="219"/>
      <c r="AD15" s="219"/>
      <c r="AE15" s="219"/>
      <c r="AF15" s="219"/>
      <c r="AG15" s="219"/>
    </row>
    <row r="16" spans="1:33" ht="15.75" customHeight="1">
      <c r="A16" s="242"/>
      <c r="B16" s="833" t="s">
        <v>15799</v>
      </c>
      <c r="C16" s="834" t="s">
        <v>3132</v>
      </c>
      <c r="D16" s="834">
        <v>2</v>
      </c>
      <c r="E16" s="1245">
        <v>83.82</v>
      </c>
      <c r="F16" s="1244"/>
      <c r="G16" s="197"/>
      <c r="H16" s="837" t="s">
        <v>15800</v>
      </c>
      <c r="I16" s="242"/>
      <c r="J16" s="1233"/>
      <c r="K16" s="242"/>
      <c r="L16" s="238"/>
      <c r="M16" s="1232">
        <f t="shared" si="0"/>
        <v>0</v>
      </c>
      <c r="N16" s="238"/>
      <c r="O16" s="219"/>
      <c r="P16" s="219"/>
      <c r="Q16" s="285">
        <f t="shared" si="1"/>
        <v>0</v>
      </c>
      <c r="R16" s="219"/>
      <c r="S16" s="238"/>
      <c r="T16" s="219"/>
      <c r="U16" s="1566" t="s">
        <v>15801</v>
      </c>
      <c r="V16" s="1567" t="s">
        <v>15802</v>
      </c>
      <c r="W16" s="871"/>
      <c r="X16" s="871"/>
      <c r="Y16" s="242"/>
      <c r="Z16" s="197"/>
      <c r="AA16" s="242"/>
      <c r="AB16" s="219"/>
      <c r="AC16" s="219"/>
      <c r="AD16" s="219"/>
      <c r="AE16" s="219"/>
      <c r="AF16" s="219"/>
      <c r="AG16" s="219"/>
    </row>
    <row r="17" spans="1:33" ht="15.75" customHeight="1">
      <c r="A17" s="242"/>
      <c r="B17" s="833" t="s">
        <v>15803</v>
      </c>
      <c r="C17" s="834" t="s">
        <v>1523</v>
      </c>
      <c r="D17" s="834">
        <v>0</v>
      </c>
      <c r="E17" s="1705">
        <v>0</v>
      </c>
      <c r="F17" s="1244"/>
      <c r="G17" s="197"/>
      <c r="H17" s="837" t="s">
        <v>15804</v>
      </c>
      <c r="I17" s="242"/>
      <c r="J17" s="1233"/>
      <c r="K17" s="242"/>
      <c r="L17" s="238"/>
      <c r="M17" s="1232">
        <f t="shared" si="0"/>
        <v>0</v>
      </c>
      <c r="N17" s="238"/>
      <c r="O17" s="219"/>
      <c r="P17" s="219"/>
      <c r="Q17" s="285">
        <f t="shared" si="1"/>
        <v>0</v>
      </c>
      <c r="R17" s="219"/>
      <c r="S17" s="238"/>
      <c r="T17" s="219"/>
      <c r="U17" s="1566" t="s">
        <v>15803</v>
      </c>
      <c r="V17" s="1567" t="s">
        <v>15805</v>
      </c>
      <c r="W17" s="871"/>
      <c r="X17" s="871"/>
      <c r="Y17" s="242"/>
      <c r="Z17" s="197"/>
      <c r="AA17" s="242"/>
      <c r="AB17" s="219"/>
      <c r="AC17" s="219"/>
      <c r="AD17" s="219"/>
      <c r="AE17" s="219"/>
      <c r="AF17" s="219"/>
      <c r="AG17" s="219"/>
    </row>
    <row r="18" spans="1:33" ht="15.75" customHeight="1">
      <c r="A18" s="242"/>
      <c r="B18" s="833" t="s">
        <v>15806</v>
      </c>
      <c r="C18" s="834" t="s">
        <v>3132</v>
      </c>
      <c r="D18" s="834">
        <v>2</v>
      </c>
      <c r="E18" s="1245">
        <v>0</v>
      </c>
      <c r="F18" s="1244"/>
      <c r="G18" s="197"/>
      <c r="H18" s="837" t="s">
        <v>15807</v>
      </c>
      <c r="I18" s="242"/>
      <c r="J18" s="1233"/>
      <c r="K18" s="242"/>
      <c r="L18" s="238"/>
      <c r="M18" s="1232">
        <f t="shared" si="0"/>
        <v>0</v>
      </c>
      <c r="N18" s="238"/>
      <c r="O18" s="219"/>
      <c r="P18" s="219"/>
      <c r="Q18" s="285">
        <f t="shared" si="1"/>
        <v>0</v>
      </c>
      <c r="R18" s="219"/>
      <c r="S18" s="238"/>
      <c r="T18" s="219"/>
      <c r="U18" s="1566" t="s">
        <v>15808</v>
      </c>
      <c r="V18" s="1567" t="s">
        <v>15809</v>
      </c>
      <c r="W18" s="871"/>
      <c r="X18" s="871"/>
      <c r="Y18" s="242"/>
      <c r="Z18" s="197"/>
      <c r="AA18" s="242"/>
      <c r="AB18" s="219"/>
      <c r="AC18" s="219"/>
      <c r="AD18" s="219"/>
      <c r="AE18" s="219"/>
      <c r="AF18" s="219"/>
      <c r="AG18" s="219"/>
    </row>
    <row r="19" spans="1:33" ht="33" customHeight="1" thickBot="1">
      <c r="A19" s="242"/>
      <c r="B19" s="868" t="s">
        <v>15810</v>
      </c>
      <c r="C19" s="844" t="s">
        <v>3217</v>
      </c>
      <c r="D19" s="844">
        <v>2</v>
      </c>
      <c r="E19" s="1255">
        <v>183.32</v>
      </c>
      <c r="F19" s="1247"/>
      <c r="G19" s="197"/>
      <c r="H19" s="847" t="s">
        <v>15811</v>
      </c>
      <c r="I19" s="242"/>
      <c r="J19" s="1237"/>
      <c r="K19" s="242"/>
      <c r="L19" s="238"/>
      <c r="M19" s="1232">
        <f t="shared" si="0"/>
        <v>0</v>
      </c>
      <c r="N19" s="238"/>
      <c r="O19" s="219"/>
      <c r="P19" s="219"/>
      <c r="Q19" s="285">
        <f t="shared" si="1"/>
        <v>0</v>
      </c>
      <c r="R19" s="219"/>
      <c r="S19" s="238"/>
      <c r="T19" s="219"/>
      <c r="U19" s="1568" t="s">
        <v>15810</v>
      </c>
      <c r="V19" s="1569" t="s">
        <v>15812</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11" t="s">
        <v>15813</v>
      </c>
      <c r="C21" s="2673" t="s">
        <v>15814</v>
      </c>
      <c r="D21" s="2673"/>
      <c r="E21" s="2673" t="s">
        <v>15815</v>
      </c>
      <c r="F21" s="2675"/>
      <c r="G21" s="242"/>
      <c r="H21" s="242"/>
      <c r="I21" s="242"/>
      <c r="J21" s="242"/>
      <c r="K21" s="242"/>
      <c r="L21" s="238"/>
      <c r="M21" s="219"/>
      <c r="N21" s="238"/>
      <c r="O21" s="219"/>
      <c r="P21" s="219"/>
      <c r="Q21" s="219"/>
      <c r="R21" s="219"/>
      <c r="S21" s="238"/>
      <c r="T21" s="219"/>
      <c r="U21" s="2711" t="s">
        <v>15813</v>
      </c>
      <c r="V21" s="2673" t="s">
        <v>15814</v>
      </c>
      <c r="W21" s="2673"/>
      <c r="X21" s="2673" t="s">
        <v>15815</v>
      </c>
      <c r="Y21" s="2675"/>
      <c r="Z21" s="242"/>
      <c r="AA21" s="242"/>
      <c r="AB21" s="219"/>
      <c r="AC21" s="219"/>
      <c r="AD21" s="219"/>
      <c r="AE21" s="219"/>
      <c r="AF21" s="219"/>
      <c r="AG21" s="219"/>
    </row>
    <row r="22" spans="1:33" ht="15.75" customHeight="1">
      <c r="A22" s="242"/>
      <c r="B22" s="2795"/>
      <c r="C22" s="427" t="s">
        <v>15816</v>
      </c>
      <c r="D22" s="427" t="s">
        <v>15817</v>
      </c>
      <c r="E22" s="427" t="s">
        <v>15816</v>
      </c>
      <c r="F22" s="428" t="s">
        <v>15817</v>
      </c>
      <c r="G22" s="242"/>
      <c r="H22" s="242"/>
      <c r="I22" s="242"/>
      <c r="J22" s="242"/>
      <c r="K22" s="242"/>
      <c r="L22" s="238"/>
      <c r="M22" s="219"/>
      <c r="N22" s="238"/>
      <c r="O22" s="219"/>
      <c r="P22" s="219"/>
      <c r="Q22" s="219"/>
      <c r="R22" s="219"/>
      <c r="S22" s="238"/>
      <c r="T22" s="219"/>
      <c r="U22" s="2795"/>
      <c r="V22" s="427" t="s">
        <v>15816</v>
      </c>
      <c r="W22" s="427" t="s">
        <v>15817</v>
      </c>
      <c r="X22" s="427" t="s">
        <v>15816</v>
      </c>
      <c r="Y22" s="428" t="s">
        <v>15817</v>
      </c>
      <c r="Z22" s="242"/>
      <c r="AA22" s="242"/>
      <c r="AB22" s="219"/>
      <c r="AC22" s="219"/>
      <c r="AD22" s="219"/>
      <c r="AE22" s="219"/>
      <c r="AF22" s="219"/>
      <c r="AG22" s="219"/>
    </row>
    <row r="23" spans="1:33" ht="15.75" customHeight="1">
      <c r="A23" s="242"/>
      <c r="B23" s="429" t="s">
        <v>7225</v>
      </c>
      <c r="C23" s="427" t="s">
        <v>3132</v>
      </c>
      <c r="D23" s="427" t="s">
        <v>1523</v>
      </c>
      <c r="E23" s="427" t="s">
        <v>3132</v>
      </c>
      <c r="F23" s="428" t="s">
        <v>1523</v>
      </c>
      <c r="G23" s="242"/>
      <c r="H23" s="242"/>
      <c r="I23" s="242"/>
      <c r="J23" s="242"/>
      <c r="K23" s="242"/>
      <c r="L23" s="238"/>
      <c r="M23" s="219"/>
      <c r="N23" s="238"/>
      <c r="O23" s="219"/>
      <c r="P23" s="219"/>
      <c r="Q23" s="219"/>
      <c r="R23" s="219"/>
      <c r="S23" s="238"/>
      <c r="T23" s="219"/>
      <c r="U23" s="429" t="s">
        <v>7225</v>
      </c>
      <c r="V23" s="427" t="s">
        <v>3132</v>
      </c>
      <c r="W23" s="427" t="s">
        <v>1523</v>
      </c>
      <c r="X23" s="427" t="s">
        <v>3132</v>
      </c>
      <c r="Y23" s="428" t="s">
        <v>1523</v>
      </c>
      <c r="Z23" s="242"/>
      <c r="AA23" s="242"/>
      <c r="AB23" s="219"/>
      <c r="AC23" s="219"/>
      <c r="AD23" s="219"/>
      <c r="AE23" s="219"/>
      <c r="AF23" s="219"/>
      <c r="AG23" s="219"/>
    </row>
    <row r="24" spans="1:33" ht="15.75" customHeight="1" thickBot="1">
      <c r="A24" s="242"/>
      <c r="B24" s="1249" t="s">
        <v>670</v>
      </c>
      <c r="C24" s="1250">
        <v>2</v>
      </c>
      <c r="D24" s="1250">
        <v>0</v>
      </c>
      <c r="E24" s="1250">
        <v>2</v>
      </c>
      <c r="F24" s="1251">
        <v>0</v>
      </c>
      <c r="G24" s="242"/>
      <c r="H24" s="242"/>
      <c r="I24" s="242"/>
      <c r="J24" s="242"/>
      <c r="K24" s="242"/>
      <c r="L24" s="238"/>
      <c r="M24" s="219"/>
      <c r="N24" s="238"/>
      <c r="O24" s="219"/>
      <c r="P24" s="219"/>
      <c r="Q24" s="219"/>
      <c r="R24" s="219"/>
      <c r="S24" s="238"/>
      <c r="T24" s="219"/>
      <c r="U24" s="1249" t="s">
        <v>670</v>
      </c>
      <c r="V24" s="1250">
        <v>2</v>
      </c>
      <c r="W24" s="1250">
        <v>0</v>
      </c>
      <c r="X24" s="1250">
        <v>2</v>
      </c>
      <c r="Y24" s="1251">
        <v>0</v>
      </c>
      <c r="Z24" s="242"/>
      <c r="AA24" s="242"/>
      <c r="AB24" s="219"/>
      <c r="AC24" s="219"/>
      <c r="AD24" s="219"/>
      <c r="AE24" s="219"/>
      <c r="AF24" s="219"/>
      <c r="AG24" s="219"/>
    </row>
    <row r="25" spans="1:33" ht="15.75" customHeight="1" thickTop="1">
      <c r="A25" s="242"/>
      <c r="B25" s="829" t="s">
        <v>15818</v>
      </c>
      <c r="C25" s="1252">
        <v>0</v>
      </c>
      <c r="D25" s="1704">
        <v>0</v>
      </c>
      <c r="E25" s="1252">
        <v>0</v>
      </c>
      <c r="F25" s="1708">
        <v>0</v>
      </c>
      <c r="G25" s="197"/>
      <c r="H25" s="832" t="s">
        <v>15819</v>
      </c>
      <c r="I25" s="242"/>
      <c r="J25" s="1231"/>
      <c r="K25" s="242"/>
      <c r="L25" s="238"/>
      <c r="M25" s="1232">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9" t="s">
        <v>15818</v>
      </c>
      <c r="V25" s="1252" t="s">
        <v>15820</v>
      </c>
      <c r="W25" s="860" t="s">
        <v>15821</v>
      </c>
      <c r="X25" s="1252" t="s">
        <v>15822</v>
      </c>
      <c r="Y25" s="1253" t="s">
        <v>15823</v>
      </c>
      <c r="Z25" s="197"/>
      <c r="AA25" s="242"/>
      <c r="AB25" s="219"/>
      <c r="AC25" s="219"/>
      <c r="AD25" s="219"/>
      <c r="AE25" s="219"/>
      <c r="AF25" s="219"/>
      <c r="AG25" s="219"/>
    </row>
    <row r="26" spans="1:33" ht="15.75" customHeight="1">
      <c r="A26" s="242"/>
      <c r="B26" s="833" t="s">
        <v>15824</v>
      </c>
      <c r="C26" s="1245">
        <v>0</v>
      </c>
      <c r="D26" s="1705">
        <v>0</v>
      </c>
      <c r="E26" s="1245">
        <v>16.61</v>
      </c>
      <c r="F26" s="1709">
        <v>10</v>
      </c>
      <c r="G26" s="197"/>
      <c r="H26" s="837" t="s">
        <v>15825</v>
      </c>
      <c r="I26" s="242"/>
      <c r="J26" s="1233"/>
      <c r="K26" s="242"/>
      <c r="L26" s="238"/>
      <c r="M26" s="1232">
        <f t="shared" si="2"/>
        <v>0</v>
      </c>
      <c r="N26" s="238"/>
      <c r="O26" s="285">
        <f t="shared" si="3"/>
        <v>0</v>
      </c>
      <c r="P26" s="285">
        <f t="shared" si="4"/>
        <v>0</v>
      </c>
      <c r="Q26" s="285">
        <f t="shared" si="5"/>
        <v>0</v>
      </c>
      <c r="R26" s="285">
        <f t="shared" si="6"/>
        <v>0</v>
      </c>
      <c r="S26" s="238"/>
      <c r="T26" s="219"/>
      <c r="U26" s="833" t="s">
        <v>15824</v>
      </c>
      <c r="V26" s="1245" t="s">
        <v>15826</v>
      </c>
      <c r="W26" s="841" t="s">
        <v>15827</v>
      </c>
      <c r="X26" s="1245" t="s">
        <v>15828</v>
      </c>
      <c r="Y26" s="1254" t="s">
        <v>15829</v>
      </c>
      <c r="Z26" s="197"/>
      <c r="AA26" s="242"/>
      <c r="AB26" s="219"/>
      <c r="AC26" s="219"/>
      <c r="AD26" s="219"/>
      <c r="AE26" s="219"/>
      <c r="AF26" s="219"/>
      <c r="AG26" s="219"/>
    </row>
    <row r="27" spans="1:33" ht="15.75" customHeight="1">
      <c r="A27" s="242"/>
      <c r="B27" s="833" t="s">
        <v>15830</v>
      </c>
      <c r="C27" s="1245">
        <v>0</v>
      </c>
      <c r="D27" s="1705">
        <v>0</v>
      </c>
      <c r="E27" s="1245">
        <v>5.28</v>
      </c>
      <c r="F27" s="1709">
        <v>3</v>
      </c>
      <c r="G27" s="197"/>
      <c r="H27" s="837" t="s">
        <v>15831</v>
      </c>
      <c r="I27" s="242"/>
      <c r="J27" s="1233"/>
      <c r="K27" s="242"/>
      <c r="L27" s="238"/>
      <c r="M27" s="1232">
        <f t="shared" si="2"/>
        <v>0</v>
      </c>
      <c r="N27" s="238"/>
      <c r="O27" s="285">
        <f t="shared" si="3"/>
        <v>0</v>
      </c>
      <c r="P27" s="285">
        <f t="shared" si="4"/>
        <v>0</v>
      </c>
      <c r="Q27" s="285">
        <f t="shared" si="5"/>
        <v>0</v>
      </c>
      <c r="R27" s="285">
        <f t="shared" si="6"/>
        <v>0</v>
      </c>
      <c r="S27" s="238"/>
      <c r="T27" s="219"/>
      <c r="U27" s="833" t="s">
        <v>15830</v>
      </c>
      <c r="V27" s="1245" t="s">
        <v>15832</v>
      </c>
      <c r="W27" s="841" t="s">
        <v>15833</v>
      </c>
      <c r="X27" s="1245" t="s">
        <v>15834</v>
      </c>
      <c r="Y27" s="1254" t="s">
        <v>15835</v>
      </c>
      <c r="Z27" s="197"/>
      <c r="AA27" s="242"/>
      <c r="AB27" s="219"/>
      <c r="AC27" s="219"/>
      <c r="AD27" s="219"/>
      <c r="AE27" s="219"/>
      <c r="AF27" s="219"/>
      <c r="AG27" s="219"/>
    </row>
    <row r="28" spans="1:33" ht="15.75" customHeight="1">
      <c r="A28" s="242"/>
      <c r="B28" s="833" t="s">
        <v>15836</v>
      </c>
      <c r="C28" s="1245">
        <v>16.760000000000002</v>
      </c>
      <c r="D28" s="1705">
        <v>2</v>
      </c>
      <c r="E28" s="1245">
        <v>20.62</v>
      </c>
      <c r="F28" s="1709">
        <v>5</v>
      </c>
      <c r="G28" s="197"/>
      <c r="H28" s="837" t="s">
        <v>15837</v>
      </c>
      <c r="I28" s="242"/>
      <c r="J28" s="1233"/>
      <c r="K28" s="242"/>
      <c r="L28" s="238"/>
      <c r="M28" s="1232">
        <f t="shared" si="2"/>
        <v>0</v>
      </c>
      <c r="N28" s="238"/>
      <c r="O28" s="285">
        <f t="shared" si="3"/>
        <v>0</v>
      </c>
      <c r="P28" s="285">
        <f t="shared" si="4"/>
        <v>0</v>
      </c>
      <c r="Q28" s="285">
        <f t="shared" si="5"/>
        <v>0</v>
      </c>
      <c r="R28" s="285">
        <f t="shared" si="6"/>
        <v>0</v>
      </c>
      <c r="S28" s="238"/>
      <c r="T28" s="219"/>
      <c r="U28" s="833" t="s">
        <v>15836</v>
      </c>
      <c r="V28" s="1245" t="s">
        <v>15838</v>
      </c>
      <c r="W28" s="841" t="s">
        <v>15839</v>
      </c>
      <c r="X28" s="1245" t="s">
        <v>15840</v>
      </c>
      <c r="Y28" s="1254" t="s">
        <v>15841</v>
      </c>
      <c r="Z28" s="197"/>
      <c r="AA28" s="242"/>
      <c r="AB28" s="219"/>
      <c r="AC28" s="219"/>
      <c r="AD28" s="219"/>
      <c r="AE28" s="219"/>
      <c r="AF28" s="219"/>
      <c r="AG28" s="219"/>
    </row>
    <row r="29" spans="1:33" ht="15.75" customHeight="1">
      <c r="A29" s="242"/>
      <c r="B29" s="833" t="s">
        <v>15842</v>
      </c>
      <c r="C29" s="1245">
        <v>644.6</v>
      </c>
      <c r="D29" s="1705">
        <v>15</v>
      </c>
      <c r="E29" s="1245">
        <v>13.39</v>
      </c>
      <c r="F29" s="1709">
        <v>6</v>
      </c>
      <c r="G29" s="197"/>
      <c r="H29" s="837" t="s">
        <v>15843</v>
      </c>
      <c r="I29" s="242"/>
      <c r="J29" s="1233"/>
      <c r="K29" s="242"/>
      <c r="L29" s="238"/>
      <c r="M29" s="1232">
        <f t="shared" si="2"/>
        <v>0</v>
      </c>
      <c r="N29" s="238"/>
      <c r="O29" s="285">
        <f t="shared" si="3"/>
        <v>0</v>
      </c>
      <c r="P29" s="285">
        <f t="shared" si="4"/>
        <v>0</v>
      </c>
      <c r="Q29" s="285">
        <f t="shared" si="5"/>
        <v>0</v>
      </c>
      <c r="R29" s="285">
        <f t="shared" si="6"/>
        <v>0</v>
      </c>
      <c r="S29" s="238"/>
      <c r="T29" s="219"/>
      <c r="U29" s="833" t="s">
        <v>15842</v>
      </c>
      <c r="V29" s="1245" t="s">
        <v>15844</v>
      </c>
      <c r="W29" s="841" t="s">
        <v>15845</v>
      </c>
      <c r="X29" s="1245" t="s">
        <v>15846</v>
      </c>
      <c r="Y29" s="1254" t="s">
        <v>15847</v>
      </c>
      <c r="Z29" s="197"/>
      <c r="AA29" s="242"/>
      <c r="AB29" s="219"/>
      <c r="AC29" s="219"/>
      <c r="AD29" s="219"/>
      <c r="AE29" s="219"/>
      <c r="AF29" s="219"/>
      <c r="AG29" s="219"/>
    </row>
    <row r="30" spans="1:33" ht="15.75" customHeight="1">
      <c r="A30" s="242"/>
      <c r="B30" s="833" t="s">
        <v>15848</v>
      </c>
      <c r="C30" s="1245">
        <v>428.06</v>
      </c>
      <c r="D30" s="1705">
        <v>6</v>
      </c>
      <c r="E30" s="1245">
        <v>20.37</v>
      </c>
      <c r="F30" s="1709">
        <v>5</v>
      </c>
      <c r="G30" s="197"/>
      <c r="H30" s="837" t="s">
        <v>15849</v>
      </c>
      <c r="I30" s="242"/>
      <c r="J30" s="1233"/>
      <c r="K30" s="242"/>
      <c r="L30" s="238"/>
      <c r="M30" s="1232">
        <f t="shared" si="2"/>
        <v>0</v>
      </c>
      <c r="N30" s="238"/>
      <c r="O30" s="285">
        <f t="shared" si="3"/>
        <v>0</v>
      </c>
      <c r="P30" s="285">
        <f t="shared" si="4"/>
        <v>0</v>
      </c>
      <c r="Q30" s="285">
        <f t="shared" si="5"/>
        <v>0</v>
      </c>
      <c r="R30" s="285">
        <f t="shared" si="6"/>
        <v>0</v>
      </c>
      <c r="S30" s="238"/>
      <c r="T30" s="219"/>
      <c r="U30" s="833" t="s">
        <v>15848</v>
      </c>
      <c r="V30" s="1245" t="s">
        <v>15850</v>
      </c>
      <c r="W30" s="841" t="s">
        <v>15851</v>
      </c>
      <c r="X30" s="1245" t="s">
        <v>15852</v>
      </c>
      <c r="Y30" s="1254" t="s">
        <v>15853</v>
      </c>
      <c r="Z30" s="197"/>
      <c r="AA30" s="242"/>
      <c r="AB30" s="219"/>
      <c r="AC30" s="219"/>
      <c r="AD30" s="219"/>
      <c r="AE30" s="219"/>
      <c r="AF30" s="219"/>
      <c r="AG30" s="219"/>
    </row>
    <row r="31" spans="1:33" ht="15.75" customHeight="1" thickBot="1">
      <c r="A31" s="242"/>
      <c r="B31" s="868" t="s">
        <v>15854</v>
      </c>
      <c r="C31" s="1255">
        <v>0</v>
      </c>
      <c r="D31" s="1707">
        <v>0</v>
      </c>
      <c r="E31" s="1255">
        <v>0</v>
      </c>
      <c r="F31" s="1710">
        <v>0</v>
      </c>
      <c r="G31" s="197"/>
      <c r="H31" s="847" t="s">
        <v>15855</v>
      </c>
      <c r="I31" s="242"/>
      <c r="J31" s="1237"/>
      <c r="K31" s="242"/>
      <c r="L31" s="238"/>
      <c r="M31" s="1232">
        <f t="shared" si="2"/>
        <v>0</v>
      </c>
      <c r="N31" s="238"/>
      <c r="O31" s="285">
        <f t="shared" si="3"/>
        <v>0</v>
      </c>
      <c r="P31" s="285">
        <f t="shared" si="4"/>
        <v>0</v>
      </c>
      <c r="Q31" s="285">
        <f t="shared" si="5"/>
        <v>0</v>
      </c>
      <c r="R31" s="285">
        <f t="shared" si="6"/>
        <v>0</v>
      </c>
      <c r="S31" s="238"/>
      <c r="T31" s="219"/>
      <c r="U31" s="868" t="s">
        <v>15854</v>
      </c>
      <c r="V31" s="1255" t="s">
        <v>15856</v>
      </c>
      <c r="W31" s="1246" t="s">
        <v>15857</v>
      </c>
      <c r="X31" s="1255" t="s">
        <v>15858</v>
      </c>
      <c r="Y31" s="1256" t="s">
        <v>15859</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15860</v>
      </c>
      <c r="C33" s="670" t="s">
        <v>15861</v>
      </c>
      <c r="D33" s="671" t="s">
        <v>15817</v>
      </c>
      <c r="E33" s="482"/>
      <c r="F33" s="482"/>
      <c r="G33" s="106"/>
      <c r="H33" s="242"/>
      <c r="I33" s="242"/>
      <c r="J33" s="242"/>
      <c r="K33" s="242"/>
      <c r="L33" s="238"/>
      <c r="M33" s="219"/>
      <c r="N33" s="238"/>
      <c r="O33" s="219"/>
      <c r="P33" s="219"/>
      <c r="Q33" s="219"/>
      <c r="R33" s="219"/>
      <c r="S33" s="238"/>
      <c r="T33" s="219"/>
      <c r="U33" s="1257" t="s">
        <v>15860</v>
      </c>
      <c r="V33" s="670" t="s">
        <v>15862</v>
      </c>
      <c r="W33" s="671" t="s">
        <v>15863</v>
      </c>
      <c r="X33" s="482"/>
      <c r="Y33" s="482"/>
      <c r="Z33" s="106"/>
      <c r="AA33" s="242"/>
      <c r="AB33" s="219"/>
      <c r="AC33" s="219"/>
      <c r="AD33" s="219"/>
      <c r="AE33" s="219"/>
      <c r="AF33" s="219"/>
      <c r="AG33" s="219"/>
    </row>
    <row r="34" spans="1:33" ht="15.75" customHeight="1">
      <c r="A34" s="242"/>
      <c r="B34" s="429" t="s">
        <v>7225</v>
      </c>
      <c r="C34" s="427" t="s">
        <v>15864</v>
      </c>
      <c r="D34" s="428" t="s">
        <v>1523</v>
      </c>
      <c r="E34" s="482"/>
      <c r="F34" s="482"/>
      <c r="G34" s="106"/>
      <c r="H34" s="242"/>
      <c r="I34" s="242"/>
      <c r="J34" s="242"/>
      <c r="K34" s="242"/>
      <c r="L34" s="238"/>
      <c r="M34" s="219"/>
      <c r="N34" s="238"/>
      <c r="O34" s="219"/>
      <c r="P34" s="219"/>
      <c r="Q34" s="219"/>
      <c r="R34" s="219"/>
      <c r="S34" s="238"/>
      <c r="T34" s="219"/>
      <c r="U34" s="429" t="s">
        <v>7225</v>
      </c>
      <c r="V34" s="427" t="s">
        <v>15864</v>
      </c>
      <c r="W34" s="428" t="s">
        <v>1523</v>
      </c>
      <c r="X34" s="482"/>
      <c r="Y34" s="482"/>
      <c r="Z34" s="106"/>
      <c r="AA34" s="242"/>
      <c r="AB34" s="219"/>
      <c r="AC34" s="219"/>
      <c r="AD34" s="219"/>
      <c r="AE34" s="219"/>
      <c r="AF34" s="219"/>
      <c r="AG34" s="219"/>
    </row>
    <row r="35" spans="1:33" ht="15.75" customHeight="1" thickBot="1">
      <c r="A35" s="242"/>
      <c r="B35" s="1249" t="s">
        <v>670</v>
      </c>
      <c r="C35" s="1250">
        <v>1</v>
      </c>
      <c r="D35" s="1251">
        <v>0</v>
      </c>
      <c r="E35" s="482"/>
      <c r="F35" s="482"/>
      <c r="G35" s="106"/>
      <c r="H35" s="242"/>
      <c r="I35" s="242"/>
      <c r="J35" s="242"/>
      <c r="K35" s="242"/>
      <c r="L35" s="238"/>
      <c r="M35" s="219"/>
      <c r="N35" s="238"/>
      <c r="O35" s="219"/>
      <c r="P35" s="219"/>
      <c r="Q35" s="219"/>
      <c r="R35" s="219"/>
      <c r="S35" s="238"/>
      <c r="T35" s="219"/>
      <c r="U35" s="1249" t="s">
        <v>670</v>
      </c>
      <c r="V35" s="1250">
        <v>1</v>
      </c>
      <c r="W35" s="1251">
        <v>0</v>
      </c>
      <c r="X35" s="482"/>
      <c r="Y35" s="482"/>
      <c r="Z35" s="106"/>
      <c r="AA35" s="242"/>
      <c r="AB35" s="219"/>
      <c r="AC35" s="219"/>
      <c r="AD35" s="219"/>
      <c r="AE35" s="219"/>
      <c r="AF35" s="219"/>
      <c r="AG35" s="219"/>
    </row>
    <row r="36" spans="1:33" ht="15.75" customHeight="1" thickTop="1">
      <c r="A36" s="242"/>
      <c r="B36" s="829" t="s">
        <v>15865</v>
      </c>
      <c r="C36" s="1571">
        <v>0.3</v>
      </c>
      <c r="D36" s="1704">
        <v>11</v>
      </c>
      <c r="E36" s="1258"/>
      <c r="F36" s="1259"/>
      <c r="G36" s="197"/>
      <c r="H36" s="832" t="s">
        <v>15866</v>
      </c>
      <c r="I36" s="242"/>
      <c r="J36" s="1231"/>
      <c r="K36" s="242"/>
      <c r="L36" s="238"/>
      <c r="M36" s="1232">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4" t="s">
        <v>15865</v>
      </c>
      <c r="V36" s="1570" t="s">
        <v>15867</v>
      </c>
      <c r="W36" s="1565" t="s">
        <v>15868</v>
      </c>
      <c r="X36" s="871"/>
      <c r="Y36" s="871"/>
      <c r="Z36" s="197"/>
      <c r="AA36" s="242"/>
      <c r="AB36" s="219"/>
      <c r="AC36" s="219"/>
      <c r="AD36" s="219"/>
      <c r="AE36" s="219"/>
      <c r="AF36" s="219"/>
      <c r="AG36" s="219"/>
    </row>
    <row r="37" spans="1:33" ht="15.75" customHeight="1">
      <c r="A37" s="242"/>
      <c r="B37" s="833" t="s">
        <v>15869</v>
      </c>
      <c r="C37" s="1572">
        <v>1.3</v>
      </c>
      <c r="D37" s="1705">
        <v>8</v>
      </c>
      <c r="E37" s="1260"/>
      <c r="F37" s="1261"/>
      <c r="G37" s="197"/>
      <c r="H37" s="837" t="s">
        <v>15870</v>
      </c>
      <c r="I37" s="242"/>
      <c r="J37" s="1233"/>
      <c r="K37" s="242"/>
      <c r="L37" s="238"/>
      <c r="M37" s="1232">
        <f t="shared" si="7"/>
        <v>0</v>
      </c>
      <c r="N37" s="238"/>
      <c r="O37" s="285">
        <f t="shared" si="8"/>
        <v>0</v>
      </c>
      <c r="P37" s="285">
        <f t="shared" si="9"/>
        <v>0</v>
      </c>
      <c r="Q37" s="219"/>
      <c r="R37" s="219"/>
      <c r="S37" s="238"/>
      <c r="T37" s="219"/>
      <c r="U37" s="1566" t="s">
        <v>15869</v>
      </c>
      <c r="V37" s="1563" t="s">
        <v>15871</v>
      </c>
      <c r="W37" s="1567" t="s">
        <v>15872</v>
      </c>
      <c r="X37" s="871"/>
      <c r="Y37" s="871"/>
      <c r="Z37" s="197"/>
      <c r="AA37" s="242"/>
      <c r="AB37" s="219"/>
      <c r="AC37" s="219"/>
      <c r="AD37" s="219"/>
      <c r="AE37" s="219"/>
      <c r="AF37" s="219"/>
      <c r="AG37" s="219"/>
    </row>
    <row r="38" spans="1:33" ht="15.75" customHeight="1">
      <c r="A38" s="242"/>
      <c r="B38" s="833" t="s">
        <v>15873</v>
      </c>
      <c r="C38" s="1572">
        <v>3.6</v>
      </c>
      <c r="D38" s="1705">
        <v>11</v>
      </c>
      <c r="E38" s="1260"/>
      <c r="F38" s="1261"/>
      <c r="G38" s="197"/>
      <c r="H38" s="837" t="s">
        <v>15874</v>
      </c>
      <c r="I38" s="242"/>
      <c r="J38" s="1233"/>
      <c r="K38" s="242"/>
      <c r="L38" s="238"/>
      <c r="M38" s="1232">
        <f t="shared" si="7"/>
        <v>0</v>
      </c>
      <c r="N38" s="238"/>
      <c r="O38" s="285">
        <f t="shared" si="8"/>
        <v>0</v>
      </c>
      <c r="P38" s="285">
        <f t="shared" si="9"/>
        <v>0</v>
      </c>
      <c r="Q38" s="219"/>
      <c r="R38" s="219"/>
      <c r="S38" s="238"/>
      <c r="T38" s="219"/>
      <c r="U38" s="1566" t="s">
        <v>15873</v>
      </c>
      <c r="V38" s="1563" t="s">
        <v>15875</v>
      </c>
      <c r="W38" s="1567" t="s">
        <v>15876</v>
      </c>
      <c r="X38" s="871"/>
      <c r="Y38" s="871"/>
      <c r="Z38" s="197"/>
      <c r="AA38" s="242"/>
      <c r="AB38" s="219"/>
      <c r="AC38" s="219"/>
      <c r="AD38" s="219"/>
      <c r="AE38" s="219"/>
      <c r="AF38" s="219"/>
      <c r="AG38" s="219"/>
    </row>
    <row r="39" spans="1:33" ht="15.75" customHeight="1">
      <c r="A39" s="242"/>
      <c r="B39" s="833" t="s">
        <v>15877</v>
      </c>
      <c r="C39" s="1572">
        <v>2.1</v>
      </c>
      <c r="D39" s="1705">
        <v>3</v>
      </c>
      <c r="E39" s="1260"/>
      <c r="F39" s="1261"/>
      <c r="G39" s="197"/>
      <c r="H39" s="837" t="s">
        <v>15878</v>
      </c>
      <c r="I39" s="242"/>
      <c r="J39" s="1233"/>
      <c r="K39" s="242"/>
      <c r="L39" s="238"/>
      <c r="M39" s="1232">
        <f t="shared" si="7"/>
        <v>0</v>
      </c>
      <c r="N39" s="238"/>
      <c r="O39" s="285">
        <f t="shared" si="8"/>
        <v>0</v>
      </c>
      <c r="P39" s="285">
        <f t="shared" si="9"/>
        <v>0</v>
      </c>
      <c r="Q39" s="219"/>
      <c r="R39" s="219"/>
      <c r="S39" s="238"/>
      <c r="T39" s="219"/>
      <c r="U39" s="1566" t="s">
        <v>15877</v>
      </c>
      <c r="V39" s="1563" t="s">
        <v>15879</v>
      </c>
      <c r="W39" s="1567" t="s">
        <v>15880</v>
      </c>
      <c r="X39" s="871"/>
      <c r="Y39" s="871"/>
      <c r="Z39" s="197"/>
      <c r="AA39" s="242"/>
      <c r="AB39" s="219"/>
      <c r="AC39" s="219"/>
      <c r="AD39" s="219"/>
      <c r="AE39" s="219"/>
      <c r="AF39" s="219"/>
      <c r="AG39" s="219"/>
    </row>
    <row r="40" spans="1:33" ht="15.75" customHeight="1">
      <c r="A40" s="242"/>
      <c r="B40" s="833" t="s">
        <v>15881</v>
      </c>
      <c r="C40" s="1572">
        <v>4.4000000000000004</v>
      </c>
      <c r="D40" s="1705">
        <v>3</v>
      </c>
      <c r="E40" s="1260"/>
      <c r="F40" s="1261"/>
      <c r="G40" s="197"/>
      <c r="H40" s="837" t="s">
        <v>15882</v>
      </c>
      <c r="I40" s="242"/>
      <c r="J40" s="1233"/>
      <c r="K40" s="242"/>
      <c r="L40" s="238"/>
      <c r="M40" s="1232">
        <f t="shared" si="7"/>
        <v>0</v>
      </c>
      <c r="N40" s="238"/>
      <c r="O40" s="285">
        <f t="shared" si="8"/>
        <v>0</v>
      </c>
      <c r="P40" s="285">
        <f t="shared" si="9"/>
        <v>0</v>
      </c>
      <c r="Q40" s="219"/>
      <c r="R40" s="219"/>
      <c r="S40" s="238"/>
      <c r="T40" s="219"/>
      <c r="U40" s="1566" t="s">
        <v>15881</v>
      </c>
      <c r="V40" s="1563" t="s">
        <v>15883</v>
      </c>
      <c r="W40" s="1567" t="s">
        <v>15884</v>
      </c>
      <c r="X40" s="871"/>
      <c r="Y40" s="871"/>
      <c r="Z40" s="197"/>
      <c r="AA40" s="242"/>
      <c r="AB40" s="219"/>
      <c r="AC40" s="219"/>
      <c r="AD40" s="219"/>
      <c r="AE40" s="219"/>
      <c r="AF40" s="219"/>
      <c r="AG40" s="219"/>
    </row>
    <row r="41" spans="1:33" ht="15.75" customHeight="1">
      <c r="A41" s="242"/>
      <c r="B41" s="833" t="s">
        <v>15885</v>
      </c>
      <c r="C41" s="1572">
        <v>15.2</v>
      </c>
      <c r="D41" s="1705">
        <v>6</v>
      </c>
      <c r="E41" s="1260"/>
      <c r="F41" s="1261"/>
      <c r="G41" s="197"/>
      <c r="H41" s="837" t="s">
        <v>15886</v>
      </c>
      <c r="I41" s="242"/>
      <c r="J41" s="1233"/>
      <c r="K41" s="242"/>
      <c r="L41" s="238"/>
      <c r="M41" s="1232">
        <f t="shared" si="7"/>
        <v>0</v>
      </c>
      <c r="N41" s="238"/>
      <c r="O41" s="285">
        <f t="shared" si="8"/>
        <v>0</v>
      </c>
      <c r="P41" s="285">
        <f t="shared" si="9"/>
        <v>0</v>
      </c>
      <c r="Q41" s="219"/>
      <c r="R41" s="219"/>
      <c r="S41" s="238"/>
      <c r="T41" s="219"/>
      <c r="U41" s="1566" t="s">
        <v>15885</v>
      </c>
      <c r="V41" s="1563" t="s">
        <v>15887</v>
      </c>
      <c r="W41" s="1567" t="s">
        <v>15888</v>
      </c>
      <c r="X41" s="871"/>
      <c r="Y41" s="871"/>
      <c r="Z41" s="197"/>
      <c r="AA41" s="242"/>
      <c r="AB41" s="219"/>
      <c r="AC41" s="219"/>
      <c r="AD41" s="219"/>
      <c r="AE41" s="219"/>
      <c r="AF41" s="219"/>
      <c r="AG41" s="219"/>
    </row>
    <row r="42" spans="1:33" ht="15.75" customHeight="1">
      <c r="A42" s="242"/>
      <c r="B42" s="833" t="s">
        <v>15889</v>
      </c>
      <c r="C42" s="1572">
        <v>33.6</v>
      </c>
      <c r="D42" s="1705">
        <v>4</v>
      </c>
      <c r="E42" s="1260"/>
      <c r="F42" s="1261"/>
      <c r="G42" s="197"/>
      <c r="H42" s="837" t="s">
        <v>15890</v>
      </c>
      <c r="I42" s="242"/>
      <c r="J42" s="1233"/>
      <c r="K42" s="242"/>
      <c r="L42" s="238"/>
      <c r="M42" s="1232">
        <f t="shared" si="7"/>
        <v>0</v>
      </c>
      <c r="N42" s="238"/>
      <c r="O42" s="285">
        <f t="shared" si="8"/>
        <v>0</v>
      </c>
      <c r="P42" s="285">
        <f t="shared" si="9"/>
        <v>0</v>
      </c>
      <c r="Q42" s="219"/>
      <c r="R42" s="219"/>
      <c r="S42" s="238"/>
      <c r="T42" s="219"/>
      <c r="U42" s="1566" t="s">
        <v>15889</v>
      </c>
      <c r="V42" s="1563" t="s">
        <v>15891</v>
      </c>
      <c r="W42" s="1567" t="s">
        <v>15892</v>
      </c>
      <c r="X42" s="871"/>
      <c r="Y42" s="871"/>
      <c r="Z42" s="197"/>
      <c r="AA42" s="242"/>
      <c r="AB42" s="219"/>
      <c r="AC42" s="219"/>
      <c r="AD42" s="219"/>
      <c r="AE42" s="219"/>
      <c r="AF42" s="219"/>
      <c r="AG42" s="219"/>
    </row>
    <row r="43" spans="1:33" ht="15.75" customHeight="1" thickBot="1">
      <c r="A43" s="242"/>
      <c r="B43" s="868" t="s">
        <v>15893</v>
      </c>
      <c r="C43" s="1706">
        <v>39.5</v>
      </c>
      <c r="D43" s="1707">
        <v>4</v>
      </c>
      <c r="E43" s="1262"/>
      <c r="F43" s="1263"/>
      <c r="G43" s="197"/>
      <c r="H43" s="847" t="s">
        <v>15894</v>
      </c>
      <c r="I43" s="242"/>
      <c r="J43" s="1237"/>
      <c r="K43" s="242"/>
      <c r="L43" s="238"/>
      <c r="M43" s="1232">
        <f t="shared" si="7"/>
        <v>0</v>
      </c>
      <c r="N43" s="238"/>
      <c r="O43" s="285">
        <f t="shared" si="8"/>
        <v>0</v>
      </c>
      <c r="P43" s="285">
        <f t="shared" si="9"/>
        <v>0</v>
      </c>
      <c r="Q43" s="219"/>
      <c r="R43" s="219"/>
      <c r="S43" s="238"/>
      <c r="T43" s="219"/>
      <c r="U43" s="1568" t="s">
        <v>15893</v>
      </c>
      <c r="V43" s="2530" t="s">
        <v>15895</v>
      </c>
      <c r="W43" s="2339" t="s">
        <v>15896</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15897</v>
      </c>
      <c r="C45" s="446" t="s">
        <v>7225</v>
      </c>
      <c r="D45" s="446" t="s">
        <v>670</v>
      </c>
      <c r="E45" s="447" t="s">
        <v>15581</v>
      </c>
      <c r="F45" s="242"/>
      <c r="G45" s="106"/>
      <c r="H45" s="242"/>
      <c r="I45" s="242"/>
      <c r="J45" s="242"/>
      <c r="K45" s="242"/>
      <c r="L45" s="238"/>
      <c r="M45" s="219"/>
      <c r="N45" s="238"/>
      <c r="O45" s="219"/>
      <c r="P45" s="219"/>
      <c r="Q45" s="219"/>
      <c r="R45" s="219"/>
      <c r="S45" s="238"/>
      <c r="T45" s="219"/>
      <c r="U45" s="445" t="s">
        <v>15897</v>
      </c>
      <c r="V45" s="447" t="s">
        <v>15581</v>
      </c>
      <c r="W45" s="482"/>
      <c r="X45" s="482"/>
      <c r="Y45" s="242"/>
      <c r="Z45" s="106"/>
      <c r="AA45" s="242"/>
      <c r="AB45" s="219"/>
      <c r="AC45" s="219"/>
      <c r="AD45" s="219"/>
      <c r="AE45" s="219"/>
      <c r="AF45" s="219"/>
      <c r="AG45" s="219"/>
    </row>
    <row r="46" spans="1:33" ht="15.75" customHeight="1" thickTop="1">
      <c r="A46" s="242"/>
      <c r="B46" s="2415" t="s">
        <v>15898</v>
      </c>
      <c r="C46" s="788" t="s">
        <v>3132</v>
      </c>
      <c r="D46" s="788">
        <v>2</v>
      </c>
      <c r="E46" s="1252">
        <v>1562.48</v>
      </c>
      <c r="F46" s="1243"/>
      <c r="G46" s="197"/>
      <c r="H46" s="2531" t="s">
        <v>15899</v>
      </c>
      <c r="I46" s="242"/>
      <c r="J46" s="2338"/>
      <c r="K46" s="242"/>
      <c r="L46" s="238"/>
      <c r="M46" s="1232">
        <f>IF( SUM( O46:R46 ) = 0, 0, $O$5 )</f>
        <v>0</v>
      </c>
      <c r="N46" s="238"/>
      <c r="O46" s="219"/>
      <c r="P46" s="219"/>
      <c r="Q46" s="285">
        <f xml:space="preserve"> IF( ISNUMBER(E46 ), 0, 1 )</f>
        <v>0</v>
      </c>
      <c r="R46" s="219"/>
      <c r="S46" s="238"/>
      <c r="T46" s="219"/>
      <c r="U46" s="2415" t="s">
        <v>15900</v>
      </c>
      <c r="V46" s="2532" t="s">
        <v>3130</v>
      </c>
      <c r="W46" s="871"/>
      <c r="X46" s="871"/>
      <c r="Y46" s="242"/>
      <c r="Z46" s="197"/>
      <c r="AA46" s="242"/>
      <c r="AB46" s="219"/>
      <c r="AC46" s="219"/>
      <c r="AD46" s="219"/>
      <c r="AE46" s="219"/>
      <c r="AF46" s="219"/>
      <c r="AG46" s="219"/>
    </row>
    <row r="47" spans="1:33" ht="40.5" customHeight="1">
      <c r="A47" s="242"/>
      <c r="B47" s="2375" t="s">
        <v>15901</v>
      </c>
      <c r="C47" s="834" t="s">
        <v>3132</v>
      </c>
      <c r="D47" s="834">
        <v>2</v>
      </c>
      <c r="E47" s="1245">
        <v>285.29000000000002</v>
      </c>
      <c r="F47" s="1244"/>
      <c r="G47" s="197"/>
      <c r="H47" s="2533" t="s">
        <v>15902</v>
      </c>
      <c r="I47" s="242"/>
      <c r="J47" s="2330"/>
      <c r="K47" s="242"/>
      <c r="L47" s="238"/>
      <c r="M47" s="1232">
        <f t="shared" ref="M47:M48" si="10">IF( SUM( O47:R47 ) = 0, 0, $O$5 )</f>
        <v>0</v>
      </c>
      <c r="N47" s="238"/>
      <c r="O47" s="219"/>
      <c r="P47" s="219"/>
      <c r="Q47" s="285"/>
      <c r="R47" s="219"/>
      <c r="S47" s="238"/>
      <c r="T47" s="219"/>
      <c r="U47" s="2375" t="s">
        <v>15903</v>
      </c>
      <c r="V47" s="2416" t="s">
        <v>15904</v>
      </c>
      <c r="W47" s="871"/>
      <c r="X47" s="871"/>
      <c r="Y47" s="242"/>
      <c r="Z47" s="197"/>
      <c r="AA47" s="242"/>
      <c r="AB47" s="219"/>
      <c r="AC47" s="219"/>
      <c r="AD47" s="219"/>
      <c r="AE47" s="219"/>
      <c r="AF47" s="219"/>
      <c r="AG47" s="219"/>
    </row>
    <row r="48" spans="1:33" ht="40.5" customHeight="1">
      <c r="A48" s="242"/>
      <c r="B48" s="2375" t="s">
        <v>15905</v>
      </c>
      <c r="C48" s="834" t="s">
        <v>3132</v>
      </c>
      <c r="D48" s="834">
        <v>2</v>
      </c>
      <c r="E48" s="1245">
        <v>0</v>
      </c>
      <c r="F48" s="1244"/>
      <c r="G48" s="197"/>
      <c r="H48" s="2533" t="s">
        <v>15906</v>
      </c>
      <c r="I48" s="242"/>
      <c r="J48" s="2330"/>
      <c r="K48" s="242"/>
      <c r="L48" s="238"/>
      <c r="M48" s="1232">
        <f t="shared" si="10"/>
        <v>0</v>
      </c>
      <c r="N48" s="238"/>
      <c r="O48" s="219"/>
      <c r="P48" s="219"/>
      <c r="Q48" s="285"/>
      <c r="R48" s="219"/>
      <c r="S48" s="238"/>
      <c r="T48" s="219"/>
      <c r="U48" s="2375" t="s">
        <v>15907</v>
      </c>
      <c r="V48" s="2416" t="s">
        <v>15908</v>
      </c>
      <c r="W48" s="871"/>
      <c r="X48" s="871"/>
      <c r="Y48" s="242"/>
      <c r="Z48" s="197"/>
      <c r="AA48" s="242"/>
      <c r="AB48" s="219"/>
      <c r="AC48" s="219"/>
      <c r="AD48" s="219"/>
      <c r="AE48" s="219"/>
      <c r="AF48" s="219"/>
      <c r="AG48" s="219"/>
    </row>
    <row r="49" spans="1:33" ht="15.75" customHeight="1">
      <c r="A49" s="242"/>
      <c r="B49" s="833" t="s">
        <v>15909</v>
      </c>
      <c r="C49" s="834" t="s">
        <v>3132</v>
      </c>
      <c r="D49" s="834">
        <v>2</v>
      </c>
      <c r="E49" s="1245">
        <v>0</v>
      </c>
      <c r="F49" s="1244"/>
      <c r="G49" s="197"/>
      <c r="H49" s="2533" t="s">
        <v>15910</v>
      </c>
      <c r="I49" s="242"/>
      <c r="J49" s="2321"/>
      <c r="K49" s="242"/>
      <c r="L49" s="238"/>
      <c r="M49" s="1232">
        <f t="shared" ref="M49:M57" si="11">IF( SUM( O49:R49 ) = 0, 0, $O$5 )</f>
        <v>0</v>
      </c>
      <c r="N49" s="238"/>
      <c r="O49" s="219"/>
      <c r="P49" s="219"/>
      <c r="Q49" s="285">
        <f xml:space="preserve"> IF( ISNUMBER(E49 ), 0, 1 )</f>
        <v>0</v>
      </c>
      <c r="R49" s="219"/>
      <c r="S49" s="238"/>
      <c r="T49" s="219"/>
      <c r="U49" s="833" t="s">
        <v>15909</v>
      </c>
      <c r="V49" s="2534" t="s">
        <v>15911</v>
      </c>
      <c r="W49" s="871"/>
      <c r="X49" s="871"/>
      <c r="Y49" s="242"/>
      <c r="Z49" s="197"/>
      <c r="AA49" s="242"/>
      <c r="AB49" s="219"/>
      <c r="AC49" s="219"/>
      <c r="AD49" s="219"/>
      <c r="AE49" s="219"/>
      <c r="AF49" s="219"/>
      <c r="AG49" s="219"/>
    </row>
    <row r="50" spans="1:33" ht="32.25" customHeight="1">
      <c r="A50" s="242"/>
      <c r="B50" s="833" t="s">
        <v>15912</v>
      </c>
      <c r="C50" s="834" t="s">
        <v>1523</v>
      </c>
      <c r="D50" s="834">
        <v>0</v>
      </c>
      <c r="E50" s="1705">
        <v>3</v>
      </c>
      <c r="F50" s="1244"/>
      <c r="G50" s="197"/>
      <c r="H50" s="2533" t="s">
        <v>15913</v>
      </c>
      <c r="I50" s="242"/>
      <c r="J50" s="1233"/>
      <c r="K50" s="242"/>
      <c r="L50" s="238"/>
      <c r="M50" s="1232">
        <f t="shared" si="11"/>
        <v>0</v>
      </c>
      <c r="N50" s="238"/>
      <c r="O50" s="219"/>
      <c r="P50" s="219"/>
      <c r="Q50" s="285">
        <f t="shared" ref="Q50:Q57" si="12" xml:space="preserve"> IF( ISNUMBER(E50 ), 0, 1 )</f>
        <v>0</v>
      </c>
      <c r="R50" s="219"/>
      <c r="S50" s="238"/>
      <c r="T50" s="219"/>
      <c r="U50" s="833" t="s">
        <v>15912</v>
      </c>
      <c r="V50" s="2534" t="s">
        <v>15914</v>
      </c>
      <c r="W50" s="871"/>
      <c r="X50" s="871"/>
      <c r="Y50" s="242"/>
      <c r="Z50" s="197"/>
      <c r="AA50" s="242"/>
      <c r="AB50" s="219"/>
      <c r="AC50" s="219"/>
      <c r="AD50" s="219"/>
      <c r="AE50" s="219"/>
      <c r="AF50" s="219"/>
      <c r="AG50" s="219"/>
    </row>
    <row r="51" spans="1:33" ht="15.75" customHeight="1">
      <c r="A51" s="242"/>
      <c r="B51" s="833" t="s">
        <v>15915</v>
      </c>
      <c r="C51" s="834" t="s">
        <v>15916</v>
      </c>
      <c r="D51" s="834">
        <v>3</v>
      </c>
      <c r="E51" s="878">
        <v>4465.6809999999996</v>
      </c>
      <c r="F51" s="1244"/>
      <c r="G51" s="197"/>
      <c r="H51" s="2533" t="s">
        <v>15917</v>
      </c>
      <c r="I51" s="242"/>
      <c r="J51" s="1233"/>
      <c r="K51" s="242"/>
      <c r="L51" s="238"/>
      <c r="M51" s="1232">
        <f t="shared" si="11"/>
        <v>0</v>
      </c>
      <c r="N51" s="238"/>
      <c r="O51" s="219"/>
      <c r="P51" s="219"/>
      <c r="Q51" s="285">
        <f t="shared" si="12"/>
        <v>0</v>
      </c>
      <c r="R51" s="219"/>
      <c r="S51" s="238"/>
      <c r="T51" s="219"/>
      <c r="U51" s="833" t="s">
        <v>15915</v>
      </c>
      <c r="V51" s="2534" t="s">
        <v>15918</v>
      </c>
      <c r="W51" s="871"/>
      <c r="X51" s="871"/>
      <c r="Y51" s="242"/>
      <c r="Z51" s="197"/>
      <c r="AA51" s="242"/>
      <c r="AB51" s="219"/>
      <c r="AC51" s="219"/>
      <c r="AD51" s="219"/>
      <c r="AE51" s="219"/>
      <c r="AF51" s="219"/>
      <c r="AG51" s="219"/>
    </row>
    <row r="52" spans="1:33" ht="15.75" customHeight="1">
      <c r="A52" s="242"/>
      <c r="B52" s="833" t="s">
        <v>15919</v>
      </c>
      <c r="C52" s="834" t="s">
        <v>15652</v>
      </c>
      <c r="D52" s="834">
        <v>2</v>
      </c>
      <c r="E52" s="1245">
        <v>2.09</v>
      </c>
      <c r="F52" s="1244"/>
      <c r="G52" s="197"/>
      <c r="H52" s="2533" t="s">
        <v>15920</v>
      </c>
      <c r="I52" s="242"/>
      <c r="J52" s="1233"/>
      <c r="K52" s="242"/>
      <c r="L52" s="238"/>
      <c r="M52" s="1232">
        <f t="shared" si="11"/>
        <v>0</v>
      </c>
      <c r="N52" s="238"/>
      <c r="O52" s="219"/>
      <c r="P52" s="219"/>
      <c r="Q52" s="285">
        <f t="shared" si="12"/>
        <v>0</v>
      </c>
      <c r="R52" s="219"/>
      <c r="S52" s="238"/>
      <c r="T52" s="219"/>
      <c r="U52" s="833" t="s">
        <v>15919</v>
      </c>
      <c r="V52" s="2534" t="s">
        <v>15921</v>
      </c>
      <c r="W52" s="871"/>
      <c r="X52" s="871"/>
      <c r="Y52" s="242"/>
      <c r="Z52" s="197"/>
      <c r="AA52" s="242"/>
      <c r="AB52" s="219"/>
      <c r="AC52" s="219"/>
      <c r="AD52" s="219"/>
      <c r="AE52" s="219"/>
      <c r="AF52" s="219"/>
      <c r="AG52" s="219"/>
    </row>
    <row r="53" spans="1:33" ht="15.75" customHeight="1">
      <c r="A53" s="242"/>
      <c r="B53" s="833" t="s">
        <v>15922</v>
      </c>
      <c r="C53" s="834" t="s">
        <v>3251</v>
      </c>
      <c r="D53" s="834">
        <v>3</v>
      </c>
      <c r="E53" s="878">
        <v>36617.283000000003</v>
      </c>
      <c r="F53" s="1244"/>
      <c r="G53" s="197"/>
      <c r="H53" s="2533" t="s">
        <v>15923</v>
      </c>
      <c r="I53" s="242"/>
      <c r="J53" s="1233"/>
      <c r="K53" s="242"/>
      <c r="L53" s="238"/>
      <c r="M53" s="1232">
        <f t="shared" si="11"/>
        <v>0</v>
      </c>
      <c r="N53" s="238"/>
      <c r="O53" s="219"/>
      <c r="P53" s="219"/>
      <c r="Q53" s="285">
        <f t="shared" si="12"/>
        <v>0</v>
      </c>
      <c r="R53" s="219"/>
      <c r="S53" s="238"/>
      <c r="T53" s="219"/>
      <c r="U53" s="833" t="s">
        <v>15924</v>
      </c>
      <c r="V53" s="2534" t="s">
        <v>15925</v>
      </c>
      <c r="W53" s="871"/>
      <c r="X53" s="871"/>
      <c r="Y53" s="242"/>
      <c r="Z53" s="197"/>
      <c r="AA53" s="242"/>
      <c r="AB53" s="219"/>
      <c r="AC53" s="219"/>
      <c r="AD53" s="219"/>
      <c r="AE53" s="219"/>
      <c r="AF53" s="219"/>
      <c r="AG53" s="219"/>
    </row>
    <row r="54" spans="1:33" ht="15.75" customHeight="1">
      <c r="A54" s="242"/>
      <c r="B54" s="833" t="s">
        <v>15926</v>
      </c>
      <c r="C54" s="834" t="s">
        <v>1523</v>
      </c>
      <c r="D54" s="834">
        <v>0</v>
      </c>
      <c r="E54" s="1705">
        <v>0</v>
      </c>
      <c r="F54" s="1244"/>
      <c r="G54" s="197"/>
      <c r="H54" s="2533" t="s">
        <v>15927</v>
      </c>
      <c r="I54" s="242"/>
      <c r="J54" s="1233"/>
      <c r="K54" s="242"/>
      <c r="L54" s="238"/>
      <c r="M54" s="1232">
        <f t="shared" si="11"/>
        <v>0</v>
      </c>
      <c r="N54" s="238"/>
      <c r="O54" s="219"/>
      <c r="P54" s="219"/>
      <c r="Q54" s="285">
        <f t="shared" si="12"/>
        <v>0</v>
      </c>
      <c r="R54" s="219"/>
      <c r="S54" s="238"/>
      <c r="T54" s="219"/>
      <c r="U54" s="833" t="s">
        <v>15926</v>
      </c>
      <c r="V54" s="2534" t="s">
        <v>15928</v>
      </c>
      <c r="W54" s="871"/>
      <c r="X54" s="871"/>
      <c r="Y54" s="242"/>
      <c r="Z54" s="197"/>
      <c r="AA54" s="242"/>
      <c r="AB54" s="219"/>
      <c r="AC54" s="219"/>
      <c r="AD54" s="219"/>
      <c r="AE54" s="219"/>
      <c r="AF54" s="219"/>
      <c r="AG54" s="219"/>
    </row>
    <row r="55" spans="1:33" ht="15.75" customHeight="1">
      <c r="A55" s="242"/>
      <c r="B55" s="833" t="s">
        <v>15929</v>
      </c>
      <c r="C55" s="834" t="s">
        <v>3132</v>
      </c>
      <c r="D55" s="834">
        <v>2</v>
      </c>
      <c r="E55" s="1245">
        <v>0</v>
      </c>
      <c r="F55" s="1244"/>
      <c r="G55" s="197"/>
      <c r="H55" s="2533" t="s">
        <v>15930</v>
      </c>
      <c r="I55" s="242"/>
      <c r="J55" s="1233"/>
      <c r="K55" s="242"/>
      <c r="L55" s="238"/>
      <c r="M55" s="1232">
        <f t="shared" si="11"/>
        <v>0</v>
      </c>
      <c r="N55" s="238"/>
      <c r="O55" s="219"/>
      <c r="P55" s="219"/>
      <c r="Q55" s="285">
        <f t="shared" si="12"/>
        <v>0</v>
      </c>
      <c r="R55" s="219"/>
      <c r="S55" s="238"/>
      <c r="T55" s="219"/>
      <c r="U55" s="833" t="s">
        <v>15931</v>
      </c>
      <c r="V55" s="2534" t="s">
        <v>15932</v>
      </c>
      <c r="W55" s="871"/>
      <c r="X55" s="871"/>
      <c r="Y55" s="242"/>
      <c r="Z55" s="197"/>
      <c r="AA55" s="242"/>
      <c r="AB55" s="219"/>
      <c r="AC55" s="219"/>
      <c r="AD55" s="219"/>
      <c r="AE55" s="219"/>
      <c r="AF55" s="219"/>
      <c r="AG55" s="219"/>
    </row>
    <row r="56" spans="1:33" ht="15.75" customHeight="1">
      <c r="A56" s="242"/>
      <c r="B56" s="833" t="s">
        <v>15933</v>
      </c>
      <c r="C56" s="834" t="s">
        <v>1523</v>
      </c>
      <c r="D56" s="834">
        <v>0</v>
      </c>
      <c r="E56" s="1705">
        <v>0</v>
      </c>
      <c r="F56" s="1244"/>
      <c r="G56" s="197"/>
      <c r="H56" s="2533" t="s">
        <v>15934</v>
      </c>
      <c r="I56" s="242"/>
      <c r="J56" s="1233"/>
      <c r="K56" s="242"/>
      <c r="L56" s="238"/>
      <c r="M56" s="1232">
        <f t="shared" si="11"/>
        <v>0</v>
      </c>
      <c r="N56" s="238"/>
      <c r="O56" s="219"/>
      <c r="P56" s="219"/>
      <c r="Q56" s="285">
        <f t="shared" si="12"/>
        <v>0</v>
      </c>
      <c r="R56" s="219"/>
      <c r="S56" s="238"/>
      <c r="T56" s="219"/>
      <c r="U56" s="833" t="s">
        <v>15933</v>
      </c>
      <c r="V56" s="2534" t="s">
        <v>15935</v>
      </c>
      <c r="W56" s="871"/>
      <c r="X56" s="871"/>
      <c r="Y56" s="242"/>
      <c r="Z56" s="197"/>
      <c r="AA56" s="242"/>
      <c r="AB56" s="219"/>
      <c r="AC56" s="219"/>
      <c r="AD56" s="219"/>
      <c r="AE56" s="219"/>
      <c r="AF56" s="219"/>
      <c r="AG56" s="219"/>
    </row>
    <row r="57" spans="1:33" ht="15.75" customHeight="1" thickBot="1">
      <c r="A57" s="242"/>
      <c r="B57" s="868" t="s">
        <v>15936</v>
      </c>
      <c r="C57" s="844" t="s">
        <v>3132</v>
      </c>
      <c r="D57" s="844">
        <v>2</v>
      </c>
      <c r="E57" s="1255">
        <v>0</v>
      </c>
      <c r="F57" s="1247"/>
      <c r="G57" s="197"/>
      <c r="H57" s="2431" t="s">
        <v>15937</v>
      </c>
      <c r="I57" s="242"/>
      <c r="J57" s="1237"/>
      <c r="K57" s="242"/>
      <c r="L57" s="238"/>
      <c r="M57" s="1232">
        <f t="shared" si="11"/>
        <v>0</v>
      </c>
      <c r="N57" s="238"/>
      <c r="O57" s="219"/>
      <c r="P57" s="219"/>
      <c r="Q57" s="285">
        <f t="shared" si="12"/>
        <v>0</v>
      </c>
      <c r="R57" s="219"/>
      <c r="S57" s="238"/>
      <c r="T57" s="219"/>
      <c r="U57" s="868" t="s">
        <v>15938</v>
      </c>
      <c r="V57" s="2535" t="s">
        <v>15939</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NES_APR2022_F2</v>
      </c>
      <c r="F1" s="219"/>
    </row>
    <row r="2" spans="1:6">
      <c r="A2" s="219" t="s">
        <v>3</v>
      </c>
      <c r="B2" s="249" t="s">
        <v>3636</v>
      </c>
      <c r="C2" s="249" t="s">
        <v>3637</v>
      </c>
      <c r="D2" s="249" t="s">
        <v>668</v>
      </c>
      <c r="E2" s="249" t="s">
        <v>3638</v>
      </c>
      <c r="F2" s="251" t="s">
        <v>3639</v>
      </c>
    </row>
    <row r="3" spans="1:6" ht="15">
      <c r="B3" s="239"/>
      <c r="C3" s="250"/>
      <c r="D3" s="249"/>
      <c r="E3" s="249"/>
      <c r="F3" s="251"/>
    </row>
    <row r="4" spans="1:6">
      <c r="B4" s="219" t="str">
        <f>'2A'!AM7</f>
        <v>A19030TOTRPC</v>
      </c>
      <c r="C4" s="219" t="s">
        <v>4110</v>
      </c>
      <c r="E4" s="249" t="s">
        <v>3641</v>
      </c>
      <c r="F4" s="255">
        <f>IF(ISBLANK('2A'!L7),"##BLANK",'2A'!L7)</f>
        <v>773.87399999999991</v>
      </c>
    </row>
    <row r="5" spans="1:6">
      <c r="B5" s="219" t="str">
        <f>'2A'!AF8</f>
        <v>A19016RHNPC</v>
      </c>
      <c r="C5" s="219" t="s">
        <v>4111</v>
      </c>
      <c r="E5" s="249" t="s">
        <v>3641</v>
      </c>
      <c r="F5" s="255">
        <f>IF(ISBLANK('2A'!E8),"##BLANK",'2A'!E8)</f>
        <v>0</v>
      </c>
    </row>
    <row r="6" spans="1:6">
      <c r="B6" s="219" t="str">
        <f>'2A'!AG8</f>
        <v>A19016RNHNPC</v>
      </c>
      <c r="C6" s="219" t="s">
        <v>4112</v>
      </c>
      <c r="E6" s="249" t="s">
        <v>3641</v>
      </c>
      <c r="F6" s="255">
        <f>IF(ISBLANK('2A'!F8),"##BLANK",'2A'!F8)</f>
        <v>0.252</v>
      </c>
    </row>
    <row r="7" spans="1:6">
      <c r="B7" s="219" t="str">
        <f>'2A'!AH8</f>
        <v>A19016RWRNPC</v>
      </c>
      <c r="C7" s="219" t="s">
        <v>4113</v>
      </c>
      <c r="E7" s="249" t="s">
        <v>3641</v>
      </c>
      <c r="F7" s="255">
        <f>IF(ISBLANK('2A'!G8),"##BLANK",'2A'!G8)</f>
        <v>0</v>
      </c>
    </row>
    <row r="8" spans="1:6">
      <c r="B8" s="219" t="str">
        <f>'2A'!AI8</f>
        <v>A19030WNNPC</v>
      </c>
      <c r="C8" s="219" t="s">
        <v>4114</v>
      </c>
      <c r="E8" s="249" t="s">
        <v>3641</v>
      </c>
      <c r="F8" s="255">
        <f>IF(ISBLANK('2A'!H8),"##BLANK",'2A'!H8)</f>
        <v>8.5730000000000004</v>
      </c>
    </row>
    <row r="9" spans="1:6">
      <c r="B9" s="219" t="str">
        <f>'2A'!AJ8</f>
        <v>A19030WNKNPC</v>
      </c>
      <c r="C9" s="219" t="s">
        <v>4115</v>
      </c>
      <c r="E9" s="249" t="s">
        <v>3641</v>
      </c>
      <c r="F9" s="255">
        <f>IF(ISBLANK('2A'!I8),"##BLANK",'2A'!I8)</f>
        <v>0</v>
      </c>
    </row>
    <row r="10" spans="1:6">
      <c r="B10" s="219" t="str">
        <f>'2A'!AK8</f>
        <v>A19030BIONPC</v>
      </c>
      <c r="C10" s="219" t="s">
        <v>4116</v>
      </c>
      <c r="E10" s="249" t="s">
        <v>3641</v>
      </c>
      <c r="F10" s="255">
        <f>IF(ISBLANK('2A'!J8),"##BLANK",'2A'!J8)</f>
        <v>0</v>
      </c>
    </row>
    <row r="11" spans="1:6">
      <c r="B11" s="219" t="str">
        <f>'2A'!AL8</f>
        <v>A19030APCNPC</v>
      </c>
      <c r="C11" s="219" t="s">
        <v>4117</v>
      </c>
      <c r="E11" s="249" t="s">
        <v>3641</v>
      </c>
      <c r="F11" s="255">
        <f>IF(ISBLANK('2A'!K8),"##BLANK",'2A'!K8)</f>
        <v>0</v>
      </c>
    </row>
    <row r="12" spans="1:6">
      <c r="B12" s="219" t="str">
        <f>'2A'!AM8</f>
        <v>A19030TOTRNPC</v>
      </c>
      <c r="C12" s="219" t="s">
        <v>4118</v>
      </c>
      <c r="E12" s="249" t="s">
        <v>3641</v>
      </c>
      <c r="F12" s="255">
        <f>IF(ISBLANK('2A'!L8),"##BLANK",'2A'!L8)</f>
        <v>8.8250000000000011</v>
      </c>
    </row>
    <row r="13" spans="1:6">
      <c r="B13" s="219" t="str">
        <f>'2A'!AF10</f>
        <v>BM9023XPUH</v>
      </c>
      <c r="C13" s="219" t="s">
        <v>4119</v>
      </c>
      <c r="E13" s="249" t="s">
        <v>3641</v>
      </c>
      <c r="F13" s="255">
        <f>IF(ISBLANK('2A'!E10),"##BLANK",'2A'!E10)</f>
        <v>-53.646999999999998</v>
      </c>
    </row>
    <row r="14" spans="1:6">
      <c r="B14" s="219" t="str">
        <f>'2A'!AG10</f>
        <v>BM9223XPUNH</v>
      </c>
      <c r="C14" s="219" t="s">
        <v>4120</v>
      </c>
      <c r="E14" s="249" t="s">
        <v>3641</v>
      </c>
      <c r="F14" s="255">
        <f>IF(ISBLANK('2A'!F10),"##BLANK",'2A'!F10)</f>
        <v>0</v>
      </c>
    </row>
    <row r="15" spans="1:6">
      <c r="B15" s="219" t="str">
        <f>'2A'!AH10</f>
        <v>BM9223XPU_WR</v>
      </c>
      <c r="C15" s="219" t="s">
        <v>4121</v>
      </c>
      <c r="E15" s="249" t="s">
        <v>3641</v>
      </c>
      <c r="F15" s="255">
        <f>IF(ISBLANK('2A'!G10),"##BLANK",'2A'!G10)</f>
        <v>-79.962999999999994</v>
      </c>
    </row>
    <row r="16" spans="1:6">
      <c r="B16" s="219" t="str">
        <f>'2A'!AI10</f>
        <v>BM9223XPU_WN</v>
      </c>
      <c r="C16" s="219" t="s">
        <v>4122</v>
      </c>
      <c r="E16" s="249" t="s">
        <v>3641</v>
      </c>
      <c r="F16" s="255">
        <f>IF(ISBLANK('2A'!H10),"##BLANK",'2A'!H10)</f>
        <v>-196.64100000000002</v>
      </c>
    </row>
    <row r="17" spans="2:6">
      <c r="B17" s="219" t="str">
        <f>'2A'!AJ10</f>
        <v>BM9223XPU_WWN</v>
      </c>
      <c r="C17" s="219" t="s">
        <v>4123</v>
      </c>
      <c r="E17" s="249" t="s">
        <v>3641</v>
      </c>
      <c r="F17" s="255">
        <f>IF(ISBLANK('2A'!I10),"##BLANK",'2A'!I10)</f>
        <v>-113.85299999999999</v>
      </c>
    </row>
    <row r="18" spans="2:6">
      <c r="B18" s="219" t="str">
        <f>'2A'!AK10</f>
        <v>BM9223XPU_B</v>
      </c>
      <c r="C18" s="219" t="s">
        <v>4124</v>
      </c>
      <c r="E18" s="249" t="s">
        <v>3641</v>
      </c>
      <c r="F18" s="255">
        <f>IF(ISBLANK('2A'!J10),"##BLANK",'2A'!J10)</f>
        <v>-0.48699999999999999</v>
      </c>
    </row>
    <row r="19" spans="2:6">
      <c r="B19" s="219" t="str">
        <f>'2A'!AL10</f>
        <v>BM9223XPU_AC</v>
      </c>
      <c r="C19" s="219" t="s">
        <v>4125</v>
      </c>
      <c r="E19" s="249" t="s">
        <v>3641</v>
      </c>
      <c r="F19" s="255">
        <f>IF(ISBLANK('2A'!K10),"##BLANK",'2A'!K10)</f>
        <v>0</v>
      </c>
    </row>
    <row r="20" spans="2:6">
      <c r="B20" s="219" t="str">
        <f>'2A'!AM10</f>
        <v>BM9223TOTOXIPU</v>
      </c>
      <c r="C20" s="219" t="s">
        <v>4126</v>
      </c>
      <c r="E20" s="249" t="s">
        <v>3641</v>
      </c>
      <c r="F20" s="255">
        <f>IF(ISBLANK('2A'!L10),"##BLANK",'2A'!L10)</f>
        <v>-444.59100000000001</v>
      </c>
    </row>
    <row r="21" spans="2:6">
      <c r="B21" s="219" t="str">
        <f>'2A'!AF11</f>
        <v>BM9023PUH</v>
      </c>
      <c r="C21" s="219" t="s">
        <v>4127</v>
      </c>
      <c r="E21" s="249" t="s">
        <v>3641</v>
      </c>
      <c r="F21" s="255">
        <f>IF(ISBLANK('2A'!E11),"##BLANK",'2A'!E11)</f>
        <v>-3.0190000000000006</v>
      </c>
    </row>
    <row r="22" spans="2:6">
      <c r="B22" s="219" t="str">
        <f>'2A'!AG11</f>
        <v>BM9223PUNH</v>
      </c>
      <c r="C22" s="219" t="s">
        <v>4128</v>
      </c>
      <c r="E22" s="249" t="s">
        <v>3641</v>
      </c>
      <c r="F22" s="255">
        <f>IF(ISBLANK('2A'!F11),"##BLANK",'2A'!F11)</f>
        <v>0</v>
      </c>
    </row>
    <row r="23" spans="2:6">
      <c r="B23" s="219" t="str">
        <f>'2A'!AH11</f>
        <v>BM9223PU_WR</v>
      </c>
      <c r="C23" s="219" t="s">
        <v>4129</v>
      </c>
      <c r="E23" s="249" t="s">
        <v>3641</v>
      </c>
      <c r="F23" s="255">
        <f>IF(ISBLANK('2A'!G11),"##BLANK",'2A'!G11)</f>
        <v>-0.44199999999999307</v>
      </c>
    </row>
    <row r="24" spans="2:6">
      <c r="B24" s="219" t="str">
        <f>'2A'!AI11</f>
        <v>BM9223PU_WN</v>
      </c>
      <c r="C24" s="219" t="s">
        <v>4130</v>
      </c>
      <c r="E24" s="249" t="s">
        <v>3641</v>
      </c>
      <c r="F24" s="255">
        <f>IF(ISBLANK('2A'!H11),"##BLANK",'2A'!H11)</f>
        <v>8.4860000000000468</v>
      </c>
    </row>
    <row r="25" spans="2:6">
      <c r="B25" s="219" t="str">
        <f>'2A'!AJ11</f>
        <v>BM9223PU_WWN</v>
      </c>
      <c r="C25" s="219" t="s">
        <v>4131</v>
      </c>
      <c r="E25" s="249" t="s">
        <v>3641</v>
      </c>
      <c r="F25" s="255">
        <f>IF(ISBLANK('2A'!I11),"##BLANK",'2A'!I11)</f>
        <v>-4.6740000000000066</v>
      </c>
    </row>
    <row r="26" spans="2:6">
      <c r="B26" s="219" t="str">
        <f>'2A'!AK11</f>
        <v>BM9223PU_B</v>
      </c>
      <c r="C26" s="219" t="s">
        <v>4132</v>
      </c>
      <c r="E26" s="249" t="s">
        <v>3641</v>
      </c>
      <c r="F26" s="255">
        <f>IF(ISBLANK('2A'!J11),"##BLANK",'2A'!J11)</f>
        <v>-0.35100000000000109</v>
      </c>
    </row>
    <row r="27" spans="2:6">
      <c r="B27" s="219" t="str">
        <f>'2A'!AL11</f>
        <v>BM9223PU_AC</v>
      </c>
      <c r="C27" s="219" t="s">
        <v>4133</v>
      </c>
      <c r="E27" s="249" t="s">
        <v>3641</v>
      </c>
      <c r="F27" s="255">
        <f>IF(ISBLANK('2A'!K11),"##BLANK",'2A'!K11)</f>
        <v>0</v>
      </c>
    </row>
    <row r="28" spans="2:6">
      <c r="B28" s="219" t="str">
        <f>'2A'!AM11</f>
        <v>BM9223TOTOXEPU</v>
      </c>
      <c r="C28" s="219" t="s">
        <v>4134</v>
      </c>
      <c r="E28" s="249" t="s">
        <v>3641</v>
      </c>
      <c r="F28" s="255">
        <f>IF(ISBLANK('2A'!L11),"##BLANK",'2A'!L11)</f>
        <v>4.5963233219481481E-14</v>
      </c>
    </row>
    <row r="29" spans="2:6">
      <c r="B29" s="219" t="str">
        <f>'2A'!AF12</f>
        <v>BM9023IPUH</v>
      </c>
      <c r="C29" s="219" t="s">
        <v>4135</v>
      </c>
      <c r="E29" s="249" t="s">
        <v>3641</v>
      </c>
      <c r="F29" s="255">
        <f>IF(ISBLANK('2A'!E12),"##BLANK",'2A'!E12)</f>
        <v>-56.665999999999997</v>
      </c>
    </row>
    <row r="30" spans="2:6">
      <c r="B30" s="219" t="str">
        <f>'2A'!AG12</f>
        <v>BM9223IPUNH</v>
      </c>
      <c r="C30" s="219" t="s">
        <v>4136</v>
      </c>
      <c r="E30" s="249" t="s">
        <v>3641</v>
      </c>
      <c r="F30" s="255">
        <f>IF(ISBLANK('2A'!F12),"##BLANK",'2A'!F12)</f>
        <v>0</v>
      </c>
    </row>
    <row r="31" spans="2:6">
      <c r="B31" s="219" t="str">
        <f>'2A'!AH12</f>
        <v>BM9223IPU_WR</v>
      </c>
      <c r="C31" s="219" t="s">
        <v>4137</v>
      </c>
      <c r="E31" s="249" t="s">
        <v>3641</v>
      </c>
      <c r="F31" s="255">
        <f>IF(ISBLANK('2A'!G12),"##BLANK",'2A'!G12)</f>
        <v>-80.404999999999987</v>
      </c>
    </row>
    <row r="32" spans="2:6">
      <c r="B32" s="219" t="str">
        <f>'2A'!AI12</f>
        <v>BM9223IPU_WN</v>
      </c>
      <c r="C32" s="219" t="s">
        <v>4138</v>
      </c>
      <c r="E32" s="249" t="s">
        <v>3641</v>
      </c>
      <c r="F32" s="255">
        <f>IF(ISBLANK('2A'!H12),"##BLANK",'2A'!H12)</f>
        <v>-188.15499999999997</v>
      </c>
    </row>
    <row r="33" spans="2:6">
      <c r="B33" s="219" t="str">
        <f>'2A'!AJ12</f>
        <v>BM9223IPU_WWN</v>
      </c>
      <c r="C33" s="219" t="s">
        <v>4139</v>
      </c>
      <c r="E33" s="249" t="s">
        <v>3641</v>
      </c>
      <c r="F33" s="255">
        <f>IF(ISBLANK('2A'!I12),"##BLANK",'2A'!I12)</f>
        <v>-118.527</v>
      </c>
    </row>
    <row r="34" spans="2:6">
      <c r="B34" s="219" t="str">
        <f>'2A'!AK12</f>
        <v>BM9223IPU_B</v>
      </c>
      <c r="C34" s="219" t="s">
        <v>4140</v>
      </c>
      <c r="E34" s="249" t="s">
        <v>3641</v>
      </c>
      <c r="F34" s="255">
        <f>IF(ISBLANK('2A'!J12),"##BLANK",'2A'!J12)</f>
        <v>-0.83800000000000108</v>
      </c>
    </row>
    <row r="35" spans="2:6">
      <c r="B35" s="219" t="str">
        <f>'2A'!AL12</f>
        <v>BM9223IPU_AC</v>
      </c>
      <c r="C35" s="219" t="s">
        <v>4141</v>
      </c>
      <c r="E35" s="249" t="s">
        <v>3641</v>
      </c>
      <c r="F35" s="255">
        <f>IF(ISBLANK('2A'!K12),"##BLANK",'2A'!K12)</f>
        <v>0</v>
      </c>
    </row>
    <row r="36" spans="2:6">
      <c r="B36" s="219" t="str">
        <f>'2A'!AM12</f>
        <v>BM9223IPUNHT</v>
      </c>
      <c r="C36" s="219" t="s">
        <v>4142</v>
      </c>
      <c r="E36" s="249" t="s">
        <v>3641</v>
      </c>
      <c r="F36" s="255">
        <f>IF(ISBLANK('2A'!L12),"##BLANK",'2A'!L12)</f>
        <v>-444.59099999999995</v>
      </c>
    </row>
    <row r="37" spans="2:6">
      <c r="B37" s="219" t="str">
        <f>'2A'!AM14</f>
        <v>A19030BIONDEPT_T</v>
      </c>
      <c r="C37" s="219" t="s">
        <v>4143</v>
      </c>
      <c r="E37" s="249" t="s">
        <v>3641</v>
      </c>
      <c r="F37" s="255">
        <f>IF(ISBLANK('2A'!L14),"##BLANK",'2A'!L14)</f>
        <v>-137.03500000000003</v>
      </c>
    </row>
    <row r="38" spans="2:6">
      <c r="B38" s="219" t="str">
        <f>'2A'!AM15</f>
        <v>A19030BIONAMOIT_T</v>
      </c>
      <c r="C38" s="219" t="s">
        <v>4144</v>
      </c>
      <c r="E38" s="249" t="s">
        <v>3641</v>
      </c>
      <c r="F38" s="255">
        <f>IF(ISBLANK('2A'!L15),"##BLANK",'2A'!L15)</f>
        <v>-8.7959999999999994</v>
      </c>
    </row>
    <row r="39" spans="2:6">
      <c r="B39" s="219" t="str">
        <f>'2A'!AF17</f>
        <v>BM9027H</v>
      </c>
      <c r="C39" s="219" t="s">
        <v>4145</v>
      </c>
      <c r="E39" s="249" t="s">
        <v>3641</v>
      </c>
      <c r="F39" s="255">
        <f>IF(ISBLANK('2A'!E17),"##BLANK",'2A'!E17)</f>
        <v>2.5000000000000001E-2</v>
      </c>
    </row>
    <row r="40" spans="2:6">
      <c r="B40" s="219" t="str">
        <f>'2A'!AG17</f>
        <v>BM9027NH</v>
      </c>
      <c r="C40" s="219" t="s">
        <v>4145</v>
      </c>
      <c r="E40" s="249" t="s">
        <v>3641</v>
      </c>
      <c r="F40" s="255">
        <f>IF(ISBLANK('2A'!F17),"##BLANK",'2A'!F17)</f>
        <v>0</v>
      </c>
    </row>
    <row r="41" spans="2:6">
      <c r="B41" s="219" t="str">
        <f>'2A'!AH17</f>
        <v>BM320WR</v>
      </c>
      <c r="C41" s="219" t="s">
        <v>4145</v>
      </c>
      <c r="E41" s="249" t="s">
        <v>3641</v>
      </c>
      <c r="F41" s="255">
        <f>IF(ISBLANK('2A'!G17),"##BLANK",'2A'!G17)</f>
        <v>0.435</v>
      </c>
    </row>
    <row r="42" spans="2:6">
      <c r="B42" s="219" t="str">
        <f>'2A'!AI17</f>
        <v>BM320WN</v>
      </c>
      <c r="C42" s="219" t="s">
        <v>4145</v>
      </c>
      <c r="E42" s="249" t="s">
        <v>3641</v>
      </c>
      <c r="F42" s="255">
        <f>IF(ISBLANK('2A'!H17),"##BLANK",'2A'!H17)</f>
        <v>0.92400000000000004</v>
      </c>
    </row>
    <row r="43" spans="2:6">
      <c r="B43" s="219" t="str">
        <f>'2A'!AJ17</f>
        <v>BM820WNK</v>
      </c>
      <c r="C43" s="219" t="s">
        <v>4145</v>
      </c>
      <c r="E43" s="249" t="s">
        <v>3641</v>
      </c>
      <c r="F43" s="255">
        <f>IF(ISBLANK('2A'!I17),"##BLANK",'2A'!I17)</f>
        <v>7.6999999999999999E-2</v>
      </c>
    </row>
    <row r="44" spans="2:6">
      <c r="B44" s="219" t="str">
        <f>'2A'!AK17</f>
        <v>BM820BIO</v>
      </c>
      <c r="C44" s="219" t="s">
        <v>4145</v>
      </c>
      <c r="E44" s="249" t="s">
        <v>3641</v>
      </c>
      <c r="F44" s="255">
        <f>IF(ISBLANK('2A'!J17),"##BLANK",'2A'!J17)</f>
        <v>6.7000000000000004E-2</v>
      </c>
    </row>
    <row r="45" spans="2:6">
      <c r="B45" s="219" t="str">
        <f>'2A'!AL17</f>
        <v>BM820APC</v>
      </c>
      <c r="C45" s="219" t="s">
        <v>4145</v>
      </c>
      <c r="E45" s="249" t="s">
        <v>3641</v>
      </c>
      <c r="F45" s="255">
        <f>IF(ISBLANK('2A'!K17),"##BLANK",'2A'!K17)</f>
        <v>0</v>
      </c>
    </row>
    <row r="46" spans="2:6">
      <c r="B46" s="219" t="str">
        <f>'2A'!AM17</f>
        <v>BM820TOT</v>
      </c>
      <c r="C46" s="219" t="s">
        <v>4145</v>
      </c>
      <c r="E46" s="249" t="s">
        <v>3641</v>
      </c>
      <c r="F46" s="255">
        <f>IF(ISBLANK('2A'!L17),"##BLANK",'2A'!L17)</f>
        <v>1.528</v>
      </c>
    </row>
    <row r="47" spans="2:6">
      <c r="B47" s="219" t="str">
        <f>'2A'!AF19</f>
        <v>HP00030RH</v>
      </c>
      <c r="C47" s="219" t="s">
        <v>4146</v>
      </c>
      <c r="E47" s="249" t="s">
        <v>3641</v>
      </c>
      <c r="F47" s="255">
        <f>IF(ISBLANK('2A'!E19),"##BLANK",'2A'!E19)</f>
        <v>0.47000000000000253</v>
      </c>
    </row>
    <row r="48" spans="2:6">
      <c r="B48" s="219" t="str">
        <f>'2A'!AG19</f>
        <v>HP00030RNH</v>
      </c>
      <c r="C48" s="219" t="s">
        <v>4147</v>
      </c>
      <c r="E48" s="249" t="s">
        <v>3641</v>
      </c>
      <c r="F48" s="255">
        <f>IF(ISBLANK('2A'!F19),"##BLANK",'2A'!F19)</f>
        <v>0.252</v>
      </c>
    </row>
    <row r="49" spans="2:6">
      <c r="B49" s="219" t="str">
        <f>'2A'!AH19</f>
        <v>HP00030WR</v>
      </c>
      <c r="C49" s="219" t="s">
        <v>4148</v>
      </c>
      <c r="E49" s="249" t="s">
        <v>3641</v>
      </c>
      <c r="F49" s="255">
        <f>IF(ISBLANK('2A'!G19),"##BLANK",'2A'!G19)</f>
        <v>15.350000000000007</v>
      </c>
    </row>
    <row r="50" spans="2:6">
      <c r="B50" s="219" t="str">
        <f>'2A'!AI19</f>
        <v>HP00030WNP</v>
      </c>
      <c r="C50" s="219" t="s">
        <v>4149</v>
      </c>
      <c r="E50" s="249" t="s">
        <v>3641</v>
      </c>
      <c r="F50" s="255">
        <f>IF(ISBLANK('2A'!H19),"##BLANK",'2A'!H19)</f>
        <v>73.58299999999997</v>
      </c>
    </row>
    <row r="51" spans="2:6">
      <c r="B51" s="219" t="str">
        <f>'2A'!AJ19</f>
        <v>HP00030WWNP</v>
      </c>
      <c r="C51" s="219" t="s">
        <v>4150</v>
      </c>
      <c r="E51" s="249" t="s">
        <v>3641</v>
      </c>
      <c r="F51" s="255">
        <f>IF(ISBLANK('2A'!I19),"##BLANK",'2A'!I19)</f>
        <v>88.481000000000023</v>
      </c>
    </row>
    <row r="52" spans="2:6">
      <c r="B52" s="219" t="str">
        <f>'2A'!AK19</f>
        <v>HP00030BIO</v>
      </c>
      <c r="C52" s="219" t="s">
        <v>4151</v>
      </c>
      <c r="E52" s="249" t="s">
        <v>3641</v>
      </c>
      <c r="F52" s="255">
        <f>IF(ISBLANK('2A'!J19),"##BLANK",'2A'!J19)</f>
        <v>15.668999999999997</v>
      </c>
    </row>
    <row r="53" spans="2:6">
      <c r="B53" s="219" t="str">
        <f>'2A'!AL19</f>
        <v>HP00030APC</v>
      </c>
      <c r="C53" s="219" t="s">
        <v>4152</v>
      </c>
      <c r="E53" s="249" t="s">
        <v>3641</v>
      </c>
      <c r="F53" s="255">
        <f>IF(ISBLANK('2A'!K19),"##BLANK",'2A'!K19)</f>
        <v>0</v>
      </c>
    </row>
    <row r="54" spans="2:6">
      <c r="B54" s="219" t="str">
        <f>'2A'!AM19</f>
        <v>HP00030CTOT</v>
      </c>
      <c r="C54" s="219" t="s">
        <v>4153</v>
      </c>
      <c r="E54" s="249" t="s">
        <v>3641</v>
      </c>
      <c r="F54" s="255">
        <f>IF(ISBLANK('2A'!L19),"##BLANK",'2A'!L19)</f>
        <v>193.80500000000001</v>
      </c>
    </row>
    <row r="55" spans="2:6">
      <c r="B55" s="219" t="str">
        <f>'2A'!AM22</f>
        <v>BR75033</v>
      </c>
      <c r="C55" s="219" t="s">
        <v>4154</v>
      </c>
      <c r="E55" s="249" t="s">
        <v>3641</v>
      </c>
      <c r="F55" s="255">
        <f>IF(ISBLANK('2A'!L22),"##BLANK",'2A'!L22)</f>
        <v>0.20699999999999999</v>
      </c>
    </row>
    <row r="56" spans="2:6">
      <c r="B56" s="219" t="str">
        <f>'2B'!AF8</f>
        <v>B0010WN</v>
      </c>
      <c r="C56" s="219" t="s">
        <v>4155</v>
      </c>
      <c r="E56" s="249" t="s">
        <v>3641</v>
      </c>
      <c r="F56" s="255">
        <f>IF(ISBLANK('2B'!F8),"##BLANK",'2B'!F8)</f>
        <v>38.039000000000001</v>
      </c>
    </row>
    <row r="57" spans="2:6">
      <c r="B57" s="219" t="str">
        <f>'2B'!AG8</f>
        <v>B0010WNK</v>
      </c>
      <c r="C57" s="219" t="s">
        <v>4156</v>
      </c>
      <c r="E57" s="249" t="s">
        <v>3641</v>
      </c>
      <c r="F57" s="255">
        <f>IF(ISBLANK('2B'!G8),"##BLANK",'2B'!G8)</f>
        <v>43.588000000000001</v>
      </c>
    </row>
    <row r="58" spans="2:6">
      <c r="B58" s="219" t="str">
        <f>'2B'!AH8</f>
        <v>B0010BIO</v>
      </c>
      <c r="C58" s="219" t="s">
        <v>4157</v>
      </c>
      <c r="E58" s="249" t="s">
        <v>3641</v>
      </c>
      <c r="F58" s="241">
        <f>IF(ISBLANK('2B'!H8),"##BLANK",'2B'!H8)</f>
        <v>5.181</v>
      </c>
    </row>
    <row r="59" spans="2:6">
      <c r="B59" s="219" t="str">
        <f>'2B'!AI8</f>
        <v>B0010APC</v>
      </c>
      <c r="C59" s="219" t="s">
        <v>4158</v>
      </c>
      <c r="E59" s="249" t="s">
        <v>3641</v>
      </c>
      <c r="F59" s="255">
        <f>IF(ISBLANK('2B'!I8),"##BLANK",'2B'!I8)</f>
        <v>0</v>
      </c>
    </row>
    <row r="60" spans="2:6">
      <c r="B60" s="219" t="str">
        <f>'2B'!AJ8</f>
        <v>B0010TOT</v>
      </c>
      <c r="C60" s="219" t="s">
        <v>4159</v>
      </c>
      <c r="E60" s="249" t="s">
        <v>3641</v>
      </c>
      <c r="F60" s="255">
        <f>IF(ISBLANK('2B'!J8),"##BLANK",'2B'!J8)</f>
        <v>107.45700000000001</v>
      </c>
    </row>
    <row r="61" spans="2:6">
      <c r="B61" s="219" t="str">
        <f>'2B'!AF9</f>
        <v>B0011WN</v>
      </c>
      <c r="C61" s="219" t="s">
        <v>4160</v>
      </c>
      <c r="E61" s="249" t="s">
        <v>3641</v>
      </c>
      <c r="F61" s="255">
        <f>IF(ISBLANK('2B'!F9),"##BLANK",'2B'!F9)</f>
        <v>-0.05</v>
      </c>
    </row>
    <row r="62" spans="2:6">
      <c r="B62" s="219" t="str">
        <f>'2B'!AG9</f>
        <v>B0011WNK</v>
      </c>
      <c r="C62" s="219" t="s">
        <v>4161</v>
      </c>
      <c r="E62" s="249" t="s">
        <v>3641</v>
      </c>
      <c r="F62" s="255">
        <f>IF(ISBLANK('2B'!G9),"##BLANK",'2B'!G9)</f>
        <v>0</v>
      </c>
    </row>
    <row r="63" spans="2:6">
      <c r="B63" s="219" t="str">
        <f>'2B'!AH9</f>
        <v>B0011BIO</v>
      </c>
      <c r="C63" s="219" t="s">
        <v>4162</v>
      </c>
      <c r="E63" s="249" t="s">
        <v>3641</v>
      </c>
      <c r="F63" s="255">
        <f>IF(ISBLANK('2B'!H9),"##BLANK",'2B'!H9)</f>
        <v>-19.463000000000001</v>
      </c>
    </row>
    <row r="64" spans="2:6">
      <c r="B64" s="219" t="str">
        <f>'2B'!AI9</f>
        <v>B0011APC</v>
      </c>
      <c r="C64" s="219" t="s">
        <v>4163</v>
      </c>
      <c r="E64" s="249" t="s">
        <v>3641</v>
      </c>
      <c r="F64" s="255">
        <f>IF(ISBLANK('2B'!I9),"##BLANK",'2B'!I9)</f>
        <v>0</v>
      </c>
    </row>
    <row r="65" spans="2:6">
      <c r="B65" s="219" t="str">
        <f>'2B'!AJ9</f>
        <v>B0011TOT</v>
      </c>
      <c r="C65" s="219" t="s">
        <v>4164</v>
      </c>
      <c r="E65" s="249" t="s">
        <v>3641</v>
      </c>
      <c r="F65" s="255">
        <f>IF(ISBLANK('2B'!J9),"##BLANK",'2B'!J9)</f>
        <v>-19.778000000000002</v>
      </c>
    </row>
    <row r="66" spans="2:6">
      <c r="B66" s="219" t="str">
        <f>'2B'!AE10</f>
        <v>B0012WR</v>
      </c>
      <c r="C66" s="219" t="s">
        <v>4165</v>
      </c>
      <c r="E66" s="249" t="s">
        <v>3641</v>
      </c>
      <c r="F66" s="255">
        <f>IF(ISBLANK('2B'!E10),"##BLANK",'2B'!E10)</f>
        <v>39.564999999999998</v>
      </c>
    </row>
    <row r="67" spans="2:6">
      <c r="B67" s="219" t="str">
        <f>'2B'!AF10</f>
        <v>B0012WN</v>
      </c>
      <c r="C67" s="219" t="s">
        <v>4166</v>
      </c>
      <c r="E67" s="249" t="s">
        <v>3641</v>
      </c>
      <c r="F67" s="255">
        <f>IF(ISBLANK('2B'!F10),"##BLANK",'2B'!F10)</f>
        <v>0.318</v>
      </c>
    </row>
    <row r="68" spans="2:6">
      <c r="B68" s="219" t="str">
        <f>'2B'!AG10</f>
        <v>B0012WNK</v>
      </c>
      <c r="C68" s="219" t="s">
        <v>4167</v>
      </c>
      <c r="E68" s="249" t="s">
        <v>3641</v>
      </c>
      <c r="F68" s="255">
        <f>IF(ISBLANK('2B'!G10),"##BLANK",'2B'!G10)</f>
        <v>3.766</v>
      </c>
    </row>
    <row r="69" spans="2:6">
      <c r="B69" s="219" t="str">
        <f>'2B'!AH10</f>
        <v>B0012BIO</v>
      </c>
      <c r="C69" s="219" t="s">
        <v>4168</v>
      </c>
      <c r="E69" s="249" t="s">
        <v>3641</v>
      </c>
      <c r="F69" s="255">
        <f>IF(ISBLANK('2B'!H10),"##BLANK",'2B'!H10)</f>
        <v>0</v>
      </c>
    </row>
    <row r="70" spans="2:6">
      <c r="B70" s="219" t="str">
        <f>'2B'!AI10</f>
        <v>B0012APC</v>
      </c>
      <c r="C70" s="219" t="s">
        <v>4169</v>
      </c>
      <c r="E70" s="249" t="s">
        <v>3641</v>
      </c>
      <c r="F70" s="255">
        <f>IF(ISBLANK('2B'!I10),"##BLANK",'2B'!I10)</f>
        <v>0</v>
      </c>
    </row>
    <row r="71" spans="2:6">
      <c r="B71" s="219" t="str">
        <f>'2B'!AJ10</f>
        <v>B0012TOT</v>
      </c>
      <c r="C71" s="219" t="s">
        <v>4170</v>
      </c>
      <c r="E71" s="249" t="s">
        <v>3641</v>
      </c>
      <c r="F71" s="255">
        <f>IF(ISBLANK('2B'!J10),"##BLANK",'2B'!J10)</f>
        <v>43.648999999999994</v>
      </c>
    </row>
    <row r="72" spans="2:6">
      <c r="B72" s="219" t="str">
        <f>'2B'!AF11</f>
        <v>B0013WN</v>
      </c>
      <c r="C72" s="219" t="s">
        <v>4171</v>
      </c>
      <c r="E72" s="249" t="s">
        <v>3641</v>
      </c>
      <c r="F72" s="255">
        <f>IF(ISBLANK('2B'!F11),"##BLANK",'2B'!F11)</f>
        <v>0</v>
      </c>
    </row>
    <row r="73" spans="2:6">
      <c r="B73" s="219" t="str">
        <f>'2B'!AG11</f>
        <v>B0013WNK</v>
      </c>
      <c r="C73" s="219" t="s">
        <v>4172</v>
      </c>
      <c r="E73" s="249" t="s">
        <v>3641</v>
      </c>
      <c r="F73" s="255">
        <f>IF(ISBLANK('2B'!G11),"##BLANK",'2B'!G11)</f>
        <v>0</v>
      </c>
    </row>
    <row r="74" spans="2:6">
      <c r="B74" s="219" t="str">
        <f>'2B'!AH11</f>
        <v>B0013BIO</v>
      </c>
      <c r="C74" s="219" t="s">
        <v>4173</v>
      </c>
      <c r="E74" s="249" t="s">
        <v>3641</v>
      </c>
      <c r="F74" s="255">
        <f>IF(ISBLANK('2B'!H11),"##BLANK",'2B'!H11)</f>
        <v>0</v>
      </c>
    </row>
    <row r="75" spans="2:6">
      <c r="B75" s="219" t="str">
        <f>'2B'!AI11</f>
        <v>B0013APC</v>
      </c>
      <c r="C75" s="219" t="s">
        <v>4174</v>
      </c>
      <c r="E75" s="249" t="s">
        <v>3641</v>
      </c>
      <c r="F75" s="255">
        <f>IF(ISBLANK('2B'!I11),"##BLANK",'2B'!I11)</f>
        <v>0</v>
      </c>
    </row>
    <row r="76" spans="2:6">
      <c r="B76" s="219" t="str">
        <f>'2B'!AJ11</f>
        <v>B0013TOT</v>
      </c>
      <c r="C76" s="219" t="s">
        <v>4175</v>
      </c>
      <c r="E76" s="249" t="s">
        <v>3641</v>
      </c>
      <c r="F76" s="255">
        <f>IF(ISBLANK('2B'!J11),"##BLANK",'2B'!J11)</f>
        <v>1.22</v>
      </c>
    </row>
    <row r="77" spans="2:6">
      <c r="B77" s="219" t="str">
        <f>'2B'!AF12</f>
        <v>B0014WN</v>
      </c>
      <c r="C77" s="219" t="s">
        <v>4176</v>
      </c>
      <c r="E77" s="249" t="s">
        <v>3641</v>
      </c>
      <c r="F77" s="255">
        <f>IF(ISBLANK('2B'!F12),"##BLANK",'2B'!F12)</f>
        <v>0.41699999999999998</v>
      </c>
    </row>
    <row r="78" spans="2:6">
      <c r="B78" s="219" t="str">
        <f>'2B'!AG12</f>
        <v>B0014WNK</v>
      </c>
      <c r="C78" s="219" t="s">
        <v>4177</v>
      </c>
      <c r="E78" s="249" t="s">
        <v>3641</v>
      </c>
      <c r="F78" s="256">
        <f>IF(ISBLANK('2B'!G12),"##BLANK",'2B'!G12)</f>
        <v>1.647</v>
      </c>
    </row>
    <row r="79" spans="2:6">
      <c r="B79" s="219" t="str">
        <f>'2B'!AH12</f>
        <v>B0014BIO</v>
      </c>
      <c r="C79" s="219" t="s">
        <v>4178</v>
      </c>
      <c r="E79" s="249" t="s">
        <v>3641</v>
      </c>
      <c r="F79" s="256">
        <f>IF(ISBLANK('2B'!H12),"##BLANK",'2B'!H12)</f>
        <v>0</v>
      </c>
    </row>
    <row r="80" spans="2:6">
      <c r="B80" s="219" t="str">
        <f>'2B'!AI12</f>
        <v>B0014APC</v>
      </c>
      <c r="C80" s="219" t="s">
        <v>4179</v>
      </c>
      <c r="E80" s="249" t="s">
        <v>3641</v>
      </c>
      <c r="F80" s="256">
        <f>IF(ISBLANK('2B'!I12),"##BLANK",'2B'!I12)</f>
        <v>0</v>
      </c>
    </row>
    <row r="81" spans="2:6">
      <c r="B81" s="219" t="str">
        <f>'2B'!AJ12</f>
        <v>B0014TOT</v>
      </c>
      <c r="C81" s="219" t="s">
        <v>4180</v>
      </c>
      <c r="E81" s="249" t="s">
        <v>3641</v>
      </c>
      <c r="F81" s="256">
        <f>IF(ISBLANK('2B'!J12),"##BLANK",'2B'!J12)</f>
        <v>2.661</v>
      </c>
    </row>
    <row r="82" spans="2:6">
      <c r="B82" s="219" t="str">
        <f>'2B'!AF13</f>
        <v>B0015WN</v>
      </c>
      <c r="C82" s="219" t="s">
        <v>4181</v>
      </c>
      <c r="E82" s="249" t="s">
        <v>3641</v>
      </c>
      <c r="F82" s="256">
        <f>IF(ISBLANK('2B'!F13),"##BLANK",'2B'!F13)</f>
        <v>5.8359999999999994</v>
      </c>
    </row>
    <row r="83" spans="2:6">
      <c r="B83" s="219" t="str">
        <f>'2B'!AG13</f>
        <v>B0015WNK</v>
      </c>
      <c r="C83" s="219" t="s">
        <v>4182</v>
      </c>
      <c r="E83" s="249" t="s">
        <v>3641</v>
      </c>
      <c r="F83" s="256">
        <f>IF(ISBLANK('2B'!G13),"##BLANK",'2B'!G13)</f>
        <v>2.6120000000000001</v>
      </c>
    </row>
    <row r="84" spans="2:6">
      <c r="B84" s="219" t="str">
        <f>'2B'!AH13</f>
        <v>B0015BIO</v>
      </c>
      <c r="C84" s="219" t="s">
        <v>4183</v>
      </c>
      <c r="E84" s="249" t="s">
        <v>3641</v>
      </c>
      <c r="F84" s="256">
        <f>IF(ISBLANK('2B'!H13),"##BLANK",'2B'!H13)</f>
        <v>0.214</v>
      </c>
    </row>
    <row r="85" spans="2:6">
      <c r="B85" s="219" t="str">
        <f>'2B'!AI13</f>
        <v>B0015APC</v>
      </c>
      <c r="C85" s="219" t="s">
        <v>4184</v>
      </c>
      <c r="E85" s="249" t="s">
        <v>3641</v>
      </c>
      <c r="F85" s="256">
        <f>IF(ISBLANK('2B'!I13),"##BLANK",'2B'!I13)</f>
        <v>0</v>
      </c>
    </row>
    <row r="86" spans="2:6">
      <c r="B86" s="219" t="str">
        <f>'2B'!AJ13</f>
        <v>B0015TOT</v>
      </c>
      <c r="C86" s="219" t="s">
        <v>4185</v>
      </c>
      <c r="E86" s="249" t="s">
        <v>3641</v>
      </c>
      <c r="F86" s="256">
        <f>IF(ISBLANK('2B'!J13),"##BLANK",'2B'!J13)</f>
        <v>8.8650000000000002</v>
      </c>
    </row>
    <row r="87" spans="2:6">
      <c r="B87" s="219" t="str">
        <f>'2B'!AE14</f>
        <v>B0016WR</v>
      </c>
      <c r="C87" s="219" t="s">
        <v>4186</v>
      </c>
      <c r="E87" s="249" t="s">
        <v>3641</v>
      </c>
      <c r="F87" s="256">
        <f>IF(ISBLANK('2B'!E14),"##BLANK",'2B'!E14)</f>
        <v>7.4560000000000004</v>
      </c>
    </row>
    <row r="88" spans="2:6">
      <c r="B88" s="219" t="str">
        <f>'2B'!AF14</f>
        <v>B0016WN</v>
      </c>
      <c r="C88" s="219" t="s">
        <v>4187</v>
      </c>
      <c r="E88" s="249" t="s">
        <v>3641</v>
      </c>
      <c r="F88" s="256">
        <f>IF(ISBLANK('2B'!F14),"##BLANK",'2B'!F14)</f>
        <v>111.72699999999999</v>
      </c>
    </row>
    <row r="89" spans="2:6">
      <c r="B89" s="219" t="str">
        <f>'2B'!AG14</f>
        <v>B0016WNK</v>
      </c>
      <c r="C89" s="219" t="s">
        <v>4188</v>
      </c>
      <c r="E89" s="249" t="s">
        <v>3641</v>
      </c>
      <c r="F89" s="256">
        <f>IF(ISBLANK('2B'!G14),"##BLANK",'2B'!G14)</f>
        <v>58.509</v>
      </c>
    </row>
    <row r="90" spans="2:6">
      <c r="B90" s="219" t="str">
        <f>'2B'!AH14</f>
        <v>B0016BIO</v>
      </c>
      <c r="C90" s="219" t="s">
        <v>4189</v>
      </c>
      <c r="E90" s="249" t="s">
        <v>3641</v>
      </c>
      <c r="F90" s="256">
        <f>IF(ISBLANK('2B'!H14),"##BLANK",'2B'!H14)</f>
        <v>13.284000000000001</v>
      </c>
    </row>
    <row r="91" spans="2:6">
      <c r="B91" s="219" t="str">
        <f>'2B'!AI14</f>
        <v>B0016APC</v>
      </c>
      <c r="C91" s="219" t="s">
        <v>4190</v>
      </c>
      <c r="E91" s="249" t="s">
        <v>3641</v>
      </c>
      <c r="F91" s="256">
        <f>IF(ISBLANK('2B'!I14),"##BLANK",'2B'!I14)</f>
        <v>0</v>
      </c>
    </row>
    <row r="92" spans="2:6">
      <c r="B92" s="219" t="str">
        <f>'2B'!AJ14</f>
        <v>B0016TOT</v>
      </c>
      <c r="C92" s="219" t="s">
        <v>4191</v>
      </c>
      <c r="E92" s="249" t="s">
        <v>3641</v>
      </c>
      <c r="F92" s="256">
        <f>IF(ISBLANK('2B'!J14),"##BLANK",'2B'!J14)</f>
        <v>190.976</v>
      </c>
    </row>
    <row r="93" spans="2:6">
      <c r="B93" s="219" t="str">
        <f>'2B'!AF15</f>
        <v>BM317WN</v>
      </c>
      <c r="C93" s="219" t="s">
        <v>4192</v>
      </c>
      <c r="E93" s="249" t="s">
        <v>3641</v>
      </c>
      <c r="F93" s="256">
        <f>IF(ISBLANK('2B'!F15),"##BLANK",'2B'!F15)</f>
        <v>26.941000000000003</v>
      </c>
    </row>
    <row r="94" spans="2:6">
      <c r="B94" s="219" t="str">
        <f>'2B'!AG15</f>
        <v>BM817WNK</v>
      </c>
      <c r="C94" s="219" t="s">
        <v>4193</v>
      </c>
      <c r="E94" s="249" t="s">
        <v>3641</v>
      </c>
      <c r="F94" s="256">
        <f>IF(ISBLANK('2B'!G15),"##BLANK",'2B'!G15)</f>
        <v>7.7169999999999996</v>
      </c>
    </row>
    <row r="95" spans="2:6">
      <c r="B95" s="219" t="str">
        <f>'2B'!AH15</f>
        <v>BM817SG</v>
      </c>
      <c r="C95" s="219" t="s">
        <v>4194</v>
      </c>
      <c r="E95" s="249" t="s">
        <v>3641</v>
      </c>
      <c r="F95" s="256">
        <f>IF(ISBLANK('2B'!H15),"##BLANK",'2B'!H15)</f>
        <v>1.615</v>
      </c>
    </row>
    <row r="96" spans="2:6">
      <c r="B96" s="219" t="str">
        <f>'2B'!AI15</f>
        <v>BM817TTT</v>
      </c>
      <c r="C96" s="219" t="s">
        <v>4195</v>
      </c>
      <c r="E96" s="249" t="s">
        <v>3641</v>
      </c>
      <c r="F96" s="256">
        <f>IF(ISBLANK('2B'!I15),"##BLANK",'2B'!I15)</f>
        <v>0</v>
      </c>
    </row>
    <row r="97" spans="2:6">
      <c r="B97" s="219" t="str">
        <f>'2B'!AJ15</f>
        <v>BM917TAS</v>
      </c>
      <c r="C97" s="219" t="s">
        <v>4196</v>
      </c>
      <c r="E97" s="249" t="s">
        <v>3641</v>
      </c>
      <c r="F97" s="256">
        <f>IF(ISBLANK('2B'!J15),"##BLANK",'2B'!J15)</f>
        <v>40.495000000000005</v>
      </c>
    </row>
    <row r="98" spans="2:6">
      <c r="B98" s="219" t="str">
        <f>'2B'!AE16</f>
        <v>B0017WR</v>
      </c>
      <c r="C98" s="219" t="s">
        <v>4197</v>
      </c>
      <c r="E98" s="249" t="s">
        <v>3641</v>
      </c>
      <c r="F98" s="256">
        <f>IF(ISBLANK('2B'!E16),"##BLANK",'2B'!E16)</f>
        <v>73.646999999999991</v>
      </c>
    </row>
    <row r="99" spans="2:6">
      <c r="B99" s="219" t="str">
        <f>'2B'!AF16</f>
        <v>B0017WN</v>
      </c>
      <c r="C99" s="219" t="s">
        <v>4198</v>
      </c>
      <c r="E99" s="249" t="s">
        <v>3641</v>
      </c>
      <c r="F99" s="256">
        <f>IF(ISBLANK('2B'!F16),"##BLANK",'2B'!F16)</f>
        <v>183.22799999999998</v>
      </c>
    </row>
    <row r="100" spans="2:6">
      <c r="B100" s="219" t="str">
        <f>'2B'!AG16</f>
        <v>B0017WNK</v>
      </c>
      <c r="C100" s="219" t="s">
        <v>4199</v>
      </c>
      <c r="E100" s="249" t="s">
        <v>3641</v>
      </c>
      <c r="F100" s="256">
        <f>IF(ISBLANK('2B'!G16),"##BLANK",'2B'!G16)</f>
        <v>117.839</v>
      </c>
    </row>
    <row r="101" spans="2:6">
      <c r="B101" s="219" t="str">
        <f>'2B'!AH16</f>
        <v>B0017BIO</v>
      </c>
      <c r="C101" s="219" t="s">
        <v>4200</v>
      </c>
      <c r="E101" s="249" t="s">
        <v>3641</v>
      </c>
      <c r="F101" s="256">
        <f>IF(ISBLANK('2B'!H16),"##BLANK",'2B'!H16)</f>
        <v>0.83100000000000107</v>
      </c>
    </row>
    <row r="102" spans="2:6">
      <c r="B102" s="219" t="str">
        <f>'2B'!AI16</f>
        <v>B0017APC</v>
      </c>
      <c r="C102" s="219" t="s">
        <v>4201</v>
      </c>
      <c r="E102" s="249" t="s">
        <v>3641</v>
      </c>
      <c r="F102" s="256">
        <f>IF(ISBLANK('2B'!I16),"##BLANK",'2B'!I16)</f>
        <v>0</v>
      </c>
    </row>
    <row r="103" spans="2:6">
      <c r="B103" s="219" t="str">
        <f>'2B'!AJ16</f>
        <v>B0017TOT</v>
      </c>
      <c r="C103" s="219" t="s">
        <v>4202</v>
      </c>
      <c r="E103" s="249" t="s">
        <v>3641</v>
      </c>
      <c r="F103" s="256">
        <f>IF(ISBLANK('2B'!J16),"##BLANK",'2B'!J16)</f>
        <v>375.54500000000002</v>
      </c>
    </row>
    <row r="104" spans="2:6">
      <c r="B104" s="219" t="str">
        <f>'2B'!AF19</f>
        <v>B0018WN</v>
      </c>
      <c r="C104" s="219" t="s">
        <v>4203</v>
      </c>
      <c r="E104" s="249" t="s">
        <v>3641</v>
      </c>
      <c r="F104" s="256">
        <f>IF(ISBLANK('2B'!F19),"##BLANK",'2B'!F19)</f>
        <v>0.92799999999999994</v>
      </c>
    </row>
    <row r="105" spans="2:6">
      <c r="B105" s="219" t="str">
        <f>'2B'!AG19</f>
        <v>B0018WNK</v>
      </c>
      <c r="C105" s="219" t="s">
        <v>4204</v>
      </c>
      <c r="E105" s="249" t="s">
        <v>3641</v>
      </c>
      <c r="F105" s="256">
        <f>IF(ISBLANK('2B'!G19),"##BLANK",'2B'!G19)</f>
        <v>0.26400000000000001</v>
      </c>
    </row>
    <row r="106" spans="2:6">
      <c r="B106" s="219" t="str">
        <f>'2B'!AH19</f>
        <v>B0018BIO</v>
      </c>
      <c r="C106" s="219" t="s">
        <v>4205</v>
      </c>
      <c r="E106" s="249" t="s">
        <v>3641</v>
      </c>
      <c r="F106" s="256">
        <f>IF(ISBLANK('2B'!H19),"##BLANK",'2B'!H19)</f>
        <v>5.0000000000000001E-3</v>
      </c>
    </row>
    <row r="107" spans="2:6">
      <c r="B107" s="219" t="str">
        <f>'2B'!AI19</f>
        <v>B0018APC</v>
      </c>
      <c r="C107" s="219" t="s">
        <v>4206</v>
      </c>
      <c r="E107" s="249" t="s">
        <v>3641</v>
      </c>
      <c r="F107" s="256">
        <f>IF(ISBLANK('2B'!I19),"##BLANK",'2B'!I19)</f>
        <v>0</v>
      </c>
    </row>
    <row r="108" spans="2:6">
      <c r="B108" s="219" t="str">
        <f>'2B'!AJ19</f>
        <v>B0018TOT</v>
      </c>
      <c r="C108" s="219" t="s">
        <v>4207</v>
      </c>
      <c r="E108" s="249" t="s">
        <v>3641</v>
      </c>
      <c r="F108" s="256">
        <f>IF(ISBLANK('2B'!J19),"##BLANK",'2B'!J19)</f>
        <v>2.3549999999999995</v>
      </c>
    </row>
    <row r="109" spans="2:6">
      <c r="B109" s="219" t="str">
        <f>'2B'!AF20</f>
        <v>B0019WN</v>
      </c>
      <c r="C109" s="219" t="s">
        <v>4208</v>
      </c>
      <c r="E109" s="249" t="s">
        <v>3641</v>
      </c>
      <c r="F109" s="256">
        <f>IF(ISBLANK('2B'!F20),"##BLANK",'2B'!F20)</f>
        <v>0</v>
      </c>
    </row>
    <row r="110" spans="2:6">
      <c r="B110" s="219" t="str">
        <f>'2B'!AG20</f>
        <v>B0019WNK</v>
      </c>
      <c r="C110" s="219" t="s">
        <v>4209</v>
      </c>
      <c r="E110" s="249" t="s">
        <v>3641</v>
      </c>
      <c r="F110" s="256">
        <f>IF(ISBLANK('2B'!G20),"##BLANK",'2B'!G20)</f>
        <v>0.23599999999999999</v>
      </c>
    </row>
    <row r="111" spans="2:6">
      <c r="B111" s="219" t="str">
        <f>'2B'!AH20</f>
        <v>B0019BIO</v>
      </c>
      <c r="C111" s="219" t="s">
        <v>4210</v>
      </c>
      <c r="E111" s="249" t="s">
        <v>3641</v>
      </c>
      <c r="F111" s="256">
        <f>IF(ISBLANK('2B'!H20),"##BLANK",'2B'!H20)</f>
        <v>0</v>
      </c>
    </row>
    <row r="112" spans="2:6">
      <c r="B112" s="219" t="str">
        <f>'2B'!AI20</f>
        <v>B0019APC</v>
      </c>
      <c r="C112" s="219" t="s">
        <v>4211</v>
      </c>
      <c r="E112" s="249" t="s">
        <v>3641</v>
      </c>
      <c r="F112" s="256">
        <f>IF(ISBLANK('2B'!I20),"##BLANK",'2B'!I20)</f>
        <v>0</v>
      </c>
    </row>
    <row r="113" spans="2:6">
      <c r="B113" s="219" t="str">
        <f>'2B'!AJ20</f>
        <v>B0019TOT</v>
      </c>
      <c r="C113" s="219" t="s">
        <v>4212</v>
      </c>
      <c r="E113" s="249" t="s">
        <v>3641</v>
      </c>
      <c r="F113" s="256">
        <f>IF(ISBLANK('2B'!J20),"##BLANK",'2B'!J20)</f>
        <v>0.23599999999999999</v>
      </c>
    </row>
    <row r="114" spans="2:6">
      <c r="B114" s="219" t="str">
        <f>'2B'!AE21</f>
        <v>BM319WR</v>
      </c>
      <c r="C114" s="219" t="s">
        <v>4213</v>
      </c>
      <c r="E114" s="249" t="s">
        <v>3641</v>
      </c>
      <c r="F114" s="256">
        <f>IF(ISBLANK('2B'!E21),"##BLANK",'2B'!E21)</f>
        <v>74.804999999999993</v>
      </c>
    </row>
    <row r="115" spans="2:6">
      <c r="B115" s="219" t="str">
        <f>'2B'!AF21</f>
        <v>BM319WN</v>
      </c>
      <c r="C115" s="219" t="s">
        <v>4214</v>
      </c>
      <c r="E115" s="249" t="s">
        <v>3641</v>
      </c>
      <c r="F115" s="256">
        <f>IF(ISBLANK('2B'!F21),"##BLANK",'2B'!F21)</f>
        <v>184.15599999999998</v>
      </c>
    </row>
    <row r="116" spans="2:6">
      <c r="B116" s="219" t="str">
        <f>'2B'!AG21</f>
        <v>BM844WNK</v>
      </c>
      <c r="C116" s="219" t="s">
        <v>4215</v>
      </c>
      <c r="E116" s="249" t="s">
        <v>3641</v>
      </c>
      <c r="F116" s="256">
        <f>IF(ISBLANK('2B'!G21),"##BLANK",'2B'!G21)</f>
        <v>118.339</v>
      </c>
    </row>
    <row r="117" spans="2:6">
      <c r="B117" s="219" t="str">
        <f>'2B'!AH21</f>
        <v>BM844SG</v>
      </c>
      <c r="C117" s="219" t="s">
        <v>4216</v>
      </c>
      <c r="E117" s="249" t="s">
        <v>3641</v>
      </c>
      <c r="F117" s="256">
        <f>IF(ISBLANK('2B'!H21),"##BLANK",'2B'!H21)</f>
        <v>0.83600000000000108</v>
      </c>
    </row>
    <row r="118" spans="2:6">
      <c r="B118" s="219" t="str">
        <f>'2B'!AI21</f>
        <v>BM844TTT</v>
      </c>
      <c r="C118" s="219" t="s">
        <v>4217</v>
      </c>
      <c r="E118" s="249" t="s">
        <v>3641</v>
      </c>
      <c r="F118" s="256">
        <f>IF(ISBLANK('2B'!I21),"##BLANK",'2B'!I21)</f>
        <v>0</v>
      </c>
    </row>
    <row r="119" spans="2:6">
      <c r="B119" s="219" t="str">
        <f>'2B'!AJ21</f>
        <v>BM950TAS</v>
      </c>
      <c r="C119" s="219" t="s">
        <v>4218</v>
      </c>
      <c r="E119" s="249" t="s">
        <v>3641</v>
      </c>
      <c r="F119" s="256">
        <f>IF(ISBLANK('2B'!J21),"##BLANK",'2B'!J21)</f>
        <v>378.13599999999997</v>
      </c>
    </row>
    <row r="120" spans="2:6">
      <c r="B120" s="219" t="str">
        <f>'2B'!AF22</f>
        <v>BM323WN</v>
      </c>
      <c r="C120" s="219" t="s">
        <v>4219</v>
      </c>
      <c r="E120" s="249" t="s">
        <v>3641</v>
      </c>
      <c r="F120" s="256">
        <f>IF(ISBLANK('2B'!F22),"##BLANK",'2B'!F22)</f>
        <v>3.9989999999999997</v>
      </c>
    </row>
    <row r="121" spans="2:6">
      <c r="B121" s="219" t="str">
        <f>'2B'!AG22</f>
        <v>BM823WNK</v>
      </c>
      <c r="C121" s="219" t="s">
        <v>4220</v>
      </c>
      <c r="E121" s="249" t="s">
        <v>3641</v>
      </c>
      <c r="F121" s="256">
        <f>IF(ISBLANK('2B'!G22),"##BLANK",'2B'!G22)</f>
        <v>0.188</v>
      </c>
    </row>
    <row r="122" spans="2:6">
      <c r="B122" s="219" t="str">
        <f>'2B'!AH22</f>
        <v>BM823SG</v>
      </c>
      <c r="C122" s="219" t="s">
        <v>4221</v>
      </c>
      <c r="E122" s="249" t="s">
        <v>3641</v>
      </c>
      <c r="F122" s="256">
        <f>IF(ISBLANK('2B'!H22),"##BLANK",'2B'!H22)</f>
        <v>2E-3</v>
      </c>
    </row>
    <row r="123" spans="2:6">
      <c r="B123" s="219" t="str">
        <f>'2B'!AI22</f>
        <v>BM823TTT</v>
      </c>
      <c r="C123" s="219" t="s">
        <v>4222</v>
      </c>
      <c r="E123" s="249" t="s">
        <v>3641</v>
      </c>
      <c r="F123" s="256">
        <f>IF(ISBLANK('2B'!I22),"##BLANK",'2B'!I22)</f>
        <v>0</v>
      </c>
    </row>
    <row r="124" spans="2:6">
      <c r="B124" s="219" t="str">
        <f>'2B'!AJ22</f>
        <v>BM923TAS</v>
      </c>
      <c r="C124" s="219" t="s">
        <v>4223</v>
      </c>
      <c r="E124" s="249" t="s">
        <v>3641</v>
      </c>
      <c r="F124" s="256">
        <f>IF(ISBLANK('2B'!J22),"##BLANK",'2B'!J22)</f>
        <v>9.7890000000000015</v>
      </c>
    </row>
    <row r="125" spans="2:6">
      <c r="B125" s="219" t="str">
        <f>'2B'!AE23</f>
        <v>BM351WR</v>
      </c>
      <c r="C125" s="219" t="s">
        <v>4224</v>
      </c>
      <c r="E125" s="249" t="s">
        <v>3641</v>
      </c>
      <c r="F125" s="256">
        <f>IF(ISBLANK('2B'!E23),"##BLANK",'2B'!E23)</f>
        <v>80.404999999999987</v>
      </c>
    </row>
    <row r="126" spans="2:6">
      <c r="B126" s="219" t="str">
        <f>'2B'!AF23</f>
        <v>BM351WN</v>
      </c>
      <c r="C126" s="219" t="s">
        <v>4225</v>
      </c>
      <c r="E126" s="249" t="s">
        <v>3641</v>
      </c>
      <c r="F126" s="256">
        <f>IF(ISBLANK('2B'!F23),"##BLANK",'2B'!F23)</f>
        <v>188.15499999999997</v>
      </c>
    </row>
    <row r="127" spans="2:6">
      <c r="B127" s="219" t="str">
        <f>'2B'!AG23</f>
        <v>BM850WNK</v>
      </c>
      <c r="C127" s="219" t="s">
        <v>4226</v>
      </c>
      <c r="E127" s="249" t="s">
        <v>3641</v>
      </c>
      <c r="F127" s="256">
        <f>IF(ISBLANK('2B'!G23),"##BLANK",'2B'!G23)</f>
        <v>118.527</v>
      </c>
    </row>
    <row r="128" spans="2:6">
      <c r="B128" s="219" t="str">
        <f>'2B'!AH23</f>
        <v>BM850SG</v>
      </c>
      <c r="C128" s="219" t="s">
        <v>4227</v>
      </c>
      <c r="E128" s="249" t="s">
        <v>3641</v>
      </c>
      <c r="F128" s="256">
        <f>IF(ISBLANK('2B'!H23),"##BLANK",'2B'!H23)</f>
        <v>0.83800000000000108</v>
      </c>
    </row>
    <row r="129" spans="2:6">
      <c r="B129" s="219" t="str">
        <f>'2B'!AI23</f>
        <v>BM850TTT</v>
      </c>
      <c r="C129" s="219" t="s">
        <v>4228</v>
      </c>
      <c r="E129" s="249" t="s">
        <v>3641</v>
      </c>
      <c r="F129" s="256">
        <f>IF(ISBLANK('2B'!I23),"##BLANK",'2B'!I23)</f>
        <v>0</v>
      </c>
    </row>
    <row r="130" spans="2:6">
      <c r="B130" s="219" t="str">
        <f>'2B'!AJ23</f>
        <v>BM951TAS</v>
      </c>
      <c r="C130" s="219" t="s">
        <v>4229</v>
      </c>
      <c r="E130" s="249" t="s">
        <v>3641</v>
      </c>
      <c r="F130" s="256">
        <f>IF(ISBLANK('2B'!J23),"##BLANK",'2B'!J23)</f>
        <v>387.92499999999995</v>
      </c>
    </row>
    <row r="131" spans="2:6">
      <c r="B131" s="219" t="str">
        <f>'2B'!AF26</f>
        <v>B0020WN</v>
      </c>
      <c r="C131" s="219" t="s">
        <v>4230</v>
      </c>
      <c r="E131" s="249" t="s">
        <v>3641</v>
      </c>
      <c r="F131" s="256">
        <f>IF(ISBLANK('2B'!F26),"##BLANK",'2B'!F26)</f>
        <v>0</v>
      </c>
    </row>
    <row r="132" spans="2:6">
      <c r="B132" s="219" t="str">
        <f>'2B'!AG26</f>
        <v>B0020WNK</v>
      </c>
      <c r="C132" s="219" t="s">
        <v>4231</v>
      </c>
      <c r="E132" s="249" t="s">
        <v>3641</v>
      </c>
      <c r="F132" s="256">
        <f>IF(ISBLANK('2B'!G26),"##BLANK",'2B'!G26)</f>
        <v>0</v>
      </c>
    </row>
    <row r="133" spans="2:6">
      <c r="B133" s="219" t="str">
        <f>'2B'!AH26</f>
        <v>B0020BIO</v>
      </c>
      <c r="C133" s="219" t="s">
        <v>4232</v>
      </c>
      <c r="E133" s="249" t="s">
        <v>3641</v>
      </c>
      <c r="F133" s="256">
        <f>IF(ISBLANK('2B'!H26),"##BLANK",'2B'!H26)</f>
        <v>0</v>
      </c>
    </row>
    <row r="134" spans="2:6">
      <c r="B134" s="219" t="str">
        <f>'2B'!AI26</f>
        <v>B0020APC</v>
      </c>
      <c r="C134" s="219" t="s">
        <v>4233</v>
      </c>
      <c r="E134" s="249" t="s">
        <v>3641</v>
      </c>
      <c r="F134" s="256">
        <f>IF(ISBLANK('2B'!I26),"##BLANK",'2B'!I26)</f>
        <v>0</v>
      </c>
    </row>
    <row r="135" spans="2:6">
      <c r="B135" s="219" t="str">
        <f>'2B'!AJ26</f>
        <v>B0020TOT</v>
      </c>
      <c r="C135" s="219" t="s">
        <v>4234</v>
      </c>
      <c r="E135" s="249" t="s">
        <v>3641</v>
      </c>
      <c r="F135" s="256">
        <f>IF(ISBLANK('2B'!J26),"##BLANK",'2B'!J26)</f>
        <v>0</v>
      </c>
    </row>
    <row r="136" spans="2:6">
      <c r="B136" s="219" t="str">
        <f>'2B'!AF29</f>
        <v>B0021WN</v>
      </c>
      <c r="C136" s="219" t="s">
        <v>4235</v>
      </c>
      <c r="E136" s="249" t="s">
        <v>3641</v>
      </c>
      <c r="F136" s="256">
        <f>IF(ISBLANK('2B'!F29),"##BLANK",'2B'!F29)</f>
        <v>117.31</v>
      </c>
    </row>
    <row r="137" spans="2:6">
      <c r="B137" s="219" t="str">
        <f>'2B'!AG29</f>
        <v>B0021WNK</v>
      </c>
      <c r="C137" s="219" t="s">
        <v>4236</v>
      </c>
      <c r="E137" s="249" t="s">
        <v>3641</v>
      </c>
      <c r="F137" s="256">
        <f>IF(ISBLANK('2B'!G29),"##BLANK",'2B'!G29)</f>
        <v>66.918999999999997</v>
      </c>
    </row>
    <row r="138" spans="2:6">
      <c r="B138" s="219" t="str">
        <f>'2B'!AH29</f>
        <v>B0021BIO</v>
      </c>
      <c r="C138" s="219" t="s">
        <v>4237</v>
      </c>
      <c r="E138" s="249" t="s">
        <v>3641</v>
      </c>
      <c r="F138" s="256">
        <f>IF(ISBLANK('2B'!H29),"##BLANK",'2B'!H29)</f>
        <v>3.5229999999999997</v>
      </c>
    </row>
    <row r="139" spans="2:6">
      <c r="B139" s="219" t="str">
        <f>'2B'!AI29</f>
        <v>B0021APC</v>
      </c>
      <c r="C139" s="219" t="s">
        <v>4238</v>
      </c>
      <c r="E139" s="249" t="s">
        <v>3641</v>
      </c>
      <c r="F139" s="256">
        <f>IF(ISBLANK('2B'!I29),"##BLANK",'2B'!I29)</f>
        <v>0</v>
      </c>
    </row>
    <row r="140" spans="2:6">
      <c r="B140" s="219" t="str">
        <f>'2B'!AJ29</f>
        <v>B0021TOT</v>
      </c>
      <c r="C140" s="219" t="s">
        <v>4239</v>
      </c>
      <c r="E140" s="249" t="s">
        <v>3641</v>
      </c>
      <c r="F140" s="256">
        <f>IF(ISBLANK('2B'!J29),"##BLANK",'2B'!J29)</f>
        <v>209.55999999999997</v>
      </c>
    </row>
    <row r="141" spans="2:6">
      <c r="B141" s="219" t="str">
        <f>'2B'!AF30</f>
        <v>B0022WN</v>
      </c>
      <c r="C141" s="219" t="s">
        <v>4240</v>
      </c>
      <c r="E141" s="249" t="s">
        <v>3641</v>
      </c>
      <c r="F141" s="256">
        <f>IF(ISBLANK('2B'!F30),"##BLANK",'2B'!F30)</f>
        <v>22.049999999999997</v>
      </c>
    </row>
    <row r="142" spans="2:6">
      <c r="B142" s="219" t="str">
        <f>'2B'!AG30</f>
        <v>B0022WNK</v>
      </c>
      <c r="C142" s="219" t="s">
        <v>4241</v>
      </c>
      <c r="E142" s="249" t="s">
        <v>3641</v>
      </c>
      <c r="F142" s="256">
        <f>IF(ISBLANK('2B'!G30),"##BLANK",'2B'!G30)</f>
        <v>30.718999999999998</v>
      </c>
    </row>
    <row r="143" spans="2:6">
      <c r="B143" s="219" t="str">
        <f>'2B'!AH30</f>
        <v>B0022BIO</v>
      </c>
      <c r="C143" s="219" t="s">
        <v>4242</v>
      </c>
      <c r="E143" s="249" t="s">
        <v>3641</v>
      </c>
      <c r="F143" s="256">
        <f>IF(ISBLANK('2B'!H30),"##BLANK",'2B'!H30)</f>
        <v>0</v>
      </c>
    </row>
    <row r="144" spans="2:6">
      <c r="B144" s="219" t="str">
        <f>'2B'!AI30</f>
        <v>B0022APC</v>
      </c>
      <c r="C144" s="219" t="s">
        <v>4243</v>
      </c>
      <c r="E144" s="249" t="s">
        <v>3641</v>
      </c>
      <c r="F144" s="256">
        <f>IF(ISBLANK('2B'!I30),"##BLANK",'2B'!I30)</f>
        <v>0</v>
      </c>
    </row>
    <row r="145" spans="2:6">
      <c r="B145" s="219" t="str">
        <f>'2B'!AJ30</f>
        <v>B0022TOT</v>
      </c>
      <c r="C145" s="219" t="s">
        <v>4244</v>
      </c>
      <c r="E145" s="249" t="s">
        <v>3641</v>
      </c>
      <c r="F145" s="256">
        <f>IF(ISBLANK('2B'!J30),"##BLANK",'2B'!J30)</f>
        <v>55.165999999999997</v>
      </c>
    </row>
    <row r="146" spans="2:6">
      <c r="B146" s="219" t="str">
        <f>'2B'!AF31</f>
        <v>B0023WN</v>
      </c>
      <c r="C146" s="219" t="s">
        <v>4245</v>
      </c>
      <c r="E146" s="249" t="s">
        <v>3641</v>
      </c>
      <c r="F146" s="256">
        <f>IF(ISBLANK('2B'!F31),"##BLANK",'2B'!F31)</f>
        <v>20.472000000000001</v>
      </c>
    </row>
    <row r="147" spans="2:6">
      <c r="B147" s="219" t="str">
        <f>'2B'!AG31</f>
        <v>B0023WNK</v>
      </c>
      <c r="C147" s="219" t="s">
        <v>4246</v>
      </c>
      <c r="E147" s="249" t="s">
        <v>3641</v>
      </c>
      <c r="F147" s="256">
        <f>IF(ISBLANK('2B'!G31),"##BLANK",'2B'!G31)</f>
        <v>1.4140000000000001</v>
      </c>
    </row>
    <row r="148" spans="2:6">
      <c r="B148" s="219" t="str">
        <f>'2B'!AH31</f>
        <v>B0023BIO</v>
      </c>
      <c r="C148" s="219" t="s">
        <v>4247</v>
      </c>
      <c r="E148" s="249" t="s">
        <v>3641</v>
      </c>
      <c r="F148" s="256">
        <f>IF(ISBLANK('2B'!H31),"##BLANK",'2B'!H31)</f>
        <v>0</v>
      </c>
    </row>
    <row r="149" spans="2:6">
      <c r="B149" s="219" t="str">
        <f>'2B'!AI31</f>
        <v>B0023APC</v>
      </c>
      <c r="C149" s="219" t="s">
        <v>4248</v>
      </c>
      <c r="E149" s="249" t="s">
        <v>3641</v>
      </c>
      <c r="F149" s="256">
        <f>IF(ISBLANK('2B'!I31),"##BLANK",'2B'!I31)</f>
        <v>0</v>
      </c>
    </row>
    <row r="150" spans="2:6">
      <c r="B150" s="219" t="str">
        <f>'2B'!AJ31</f>
        <v>B0023TOT</v>
      </c>
      <c r="C150" s="219" t="s">
        <v>4249</v>
      </c>
      <c r="E150" s="249" t="s">
        <v>3641</v>
      </c>
      <c r="F150" s="256">
        <f>IF(ISBLANK('2B'!J31),"##BLANK",'2B'!J31)</f>
        <v>21.886000000000003</v>
      </c>
    </row>
    <row r="151" spans="2:6">
      <c r="B151" s="219" t="str">
        <f>'2B'!AE32</f>
        <v>BC30498WR</v>
      </c>
      <c r="C151" s="219" t="s">
        <v>4250</v>
      </c>
      <c r="E151" s="249" t="s">
        <v>3641</v>
      </c>
      <c r="F151" s="256">
        <f>IF(ISBLANK('2B'!E32),"##BLANK",'2B'!E32)</f>
        <v>24.204999999999998</v>
      </c>
    </row>
    <row r="152" spans="2:6">
      <c r="B152" s="219" t="str">
        <f>'2B'!AF32</f>
        <v>BC30498WN</v>
      </c>
      <c r="C152" s="219" t="s">
        <v>4251</v>
      </c>
      <c r="E152" s="249" t="s">
        <v>3641</v>
      </c>
      <c r="F152" s="256">
        <f>IF(ISBLANK('2B'!F32),"##BLANK",'2B'!F32)</f>
        <v>159.83200000000002</v>
      </c>
    </row>
    <row r="153" spans="2:6">
      <c r="B153" s="219" t="str">
        <f>'2B'!AG32</f>
        <v>BC30998WNK</v>
      </c>
      <c r="C153" s="219" t="s">
        <v>4252</v>
      </c>
      <c r="E153" s="249" t="s">
        <v>3641</v>
      </c>
      <c r="F153" s="256">
        <f>IF(ISBLANK('2B'!G32),"##BLANK",'2B'!G32)</f>
        <v>99.051999999999992</v>
      </c>
    </row>
    <row r="154" spans="2:6">
      <c r="B154" s="219" t="str">
        <f>'2B'!AH32</f>
        <v>BC30998SG</v>
      </c>
      <c r="C154" s="219" t="s">
        <v>4253</v>
      </c>
      <c r="E154" s="249" t="s">
        <v>3641</v>
      </c>
      <c r="F154" s="256">
        <f>IF(ISBLANK('2B'!H32),"##BLANK",'2B'!H32)</f>
        <v>3.5229999999999997</v>
      </c>
    </row>
    <row r="155" spans="2:6">
      <c r="B155" s="219" t="str">
        <f>'2B'!AI32</f>
        <v>BM815TTT</v>
      </c>
      <c r="C155" s="219" t="s">
        <v>4254</v>
      </c>
      <c r="E155" s="249" t="s">
        <v>3641</v>
      </c>
      <c r="F155" s="256">
        <f>IF(ISBLANK('2B'!I32),"##BLANK",'2B'!I32)</f>
        <v>0</v>
      </c>
    </row>
    <row r="156" spans="2:6">
      <c r="B156" s="219" t="str">
        <f>'2B'!AJ32</f>
        <v>BM916</v>
      </c>
      <c r="C156" s="219" t="s">
        <v>4255</v>
      </c>
      <c r="E156" s="249" t="s">
        <v>3641</v>
      </c>
      <c r="F156" s="256">
        <f>IF(ISBLANK('2B'!J32),"##BLANK",'2B'!J32)</f>
        <v>286.61200000000008</v>
      </c>
    </row>
    <row r="157" spans="2:6">
      <c r="B157" s="219" t="str">
        <f>'2B'!AF33</f>
        <v>BM333WN</v>
      </c>
      <c r="C157" s="219" t="s">
        <v>4219</v>
      </c>
      <c r="E157" s="249" t="s">
        <v>3641</v>
      </c>
      <c r="F157" s="256">
        <f>IF(ISBLANK('2B'!F33),"##BLANK",'2B'!F33)</f>
        <v>0</v>
      </c>
    </row>
    <row r="158" spans="2:6">
      <c r="B158" s="219" t="str">
        <f>'2B'!AG33</f>
        <v>BM833WNK</v>
      </c>
      <c r="C158" s="219" t="s">
        <v>4220</v>
      </c>
      <c r="E158" s="249" t="s">
        <v>3641</v>
      </c>
      <c r="F158" s="256">
        <f>IF(ISBLANK('2B'!G33),"##BLANK",'2B'!G33)</f>
        <v>0</v>
      </c>
    </row>
    <row r="159" spans="2:6">
      <c r="B159" s="219" t="str">
        <f>'2B'!AH33</f>
        <v>BM833SG</v>
      </c>
      <c r="C159" s="219" t="s">
        <v>4221</v>
      </c>
      <c r="E159" s="249" t="s">
        <v>3641</v>
      </c>
      <c r="F159" s="256">
        <f>IF(ISBLANK('2B'!H33),"##BLANK",'2B'!H33)</f>
        <v>0</v>
      </c>
    </row>
    <row r="160" spans="2:6">
      <c r="B160" s="219" t="str">
        <f>'2B'!AI33</f>
        <v>BM833TTT</v>
      </c>
      <c r="C160" s="219" t="s">
        <v>4222</v>
      </c>
      <c r="E160" s="249" t="s">
        <v>3641</v>
      </c>
      <c r="F160" s="256">
        <f>IF(ISBLANK('2B'!I33),"##BLANK",'2B'!I33)</f>
        <v>0</v>
      </c>
    </row>
    <row r="161" spans="2:6">
      <c r="B161" s="219" t="str">
        <f>'2B'!AJ33</f>
        <v>BM923CET</v>
      </c>
      <c r="C161" s="219" t="s">
        <v>4256</v>
      </c>
      <c r="E161" s="249" t="s">
        <v>3641</v>
      </c>
      <c r="F161" s="256">
        <f>IF(ISBLANK('2B'!J33),"##BLANK",'2B'!J33)</f>
        <v>0</v>
      </c>
    </row>
    <row r="162" spans="2:6">
      <c r="B162" s="219" t="str">
        <f>'2B'!AE34</f>
        <v>BA1070WR</v>
      </c>
      <c r="C162" s="219" t="s">
        <v>4257</v>
      </c>
      <c r="E162" s="249" t="s">
        <v>3641</v>
      </c>
      <c r="F162" s="256">
        <f>IF(ISBLANK('2B'!E34),"##BLANK",'2B'!E34)</f>
        <v>24.204999999999998</v>
      </c>
    </row>
    <row r="163" spans="2:6">
      <c r="B163" s="219" t="str">
        <f>'2B'!AF34</f>
        <v>BA1070WN</v>
      </c>
      <c r="C163" s="219" t="s">
        <v>4258</v>
      </c>
      <c r="E163" s="249" t="s">
        <v>3641</v>
      </c>
      <c r="F163" s="256">
        <f>IF(ISBLANK('2B'!F34),"##BLANK",'2B'!F34)</f>
        <v>159.83200000000002</v>
      </c>
    </row>
    <row r="164" spans="2:6">
      <c r="B164" s="219" t="str">
        <f>'2B'!AG34</f>
        <v>BA2120WNK</v>
      </c>
      <c r="C164" s="219" t="s">
        <v>4259</v>
      </c>
      <c r="E164" s="249" t="s">
        <v>3641</v>
      </c>
      <c r="F164" s="256">
        <f>IF(ISBLANK('2B'!G34),"##BLANK",'2B'!G34)</f>
        <v>99.051999999999992</v>
      </c>
    </row>
    <row r="165" spans="2:6">
      <c r="B165" s="219" t="str">
        <f>'2B'!AH34</f>
        <v>BA2120SG</v>
      </c>
      <c r="C165" s="219" t="s">
        <v>4260</v>
      </c>
      <c r="E165" s="249" t="s">
        <v>3641</v>
      </c>
      <c r="F165" s="256">
        <f>IF(ISBLANK('2B'!H34),"##BLANK",'2B'!H34)</f>
        <v>3.5229999999999997</v>
      </c>
    </row>
    <row r="166" spans="2:6">
      <c r="B166" s="219" t="str">
        <f>'2B'!AI34</f>
        <v>BA2120TTT</v>
      </c>
      <c r="C166" s="219" t="s">
        <v>4261</v>
      </c>
      <c r="E166" s="249" t="s">
        <v>3641</v>
      </c>
      <c r="F166" s="256">
        <f>IF(ISBLANK('2B'!I34),"##BLANK",'2B'!I34)</f>
        <v>0</v>
      </c>
    </row>
    <row r="167" spans="2:6">
      <c r="B167" s="219" t="str">
        <f>'2B'!AJ34</f>
        <v>BA3000</v>
      </c>
      <c r="C167" s="219" t="s">
        <v>4262</v>
      </c>
      <c r="E167" s="249" t="s">
        <v>3641</v>
      </c>
      <c r="F167" s="256">
        <f>IF(ISBLANK('2B'!J34),"##BLANK",'2B'!J34)</f>
        <v>286.61200000000008</v>
      </c>
    </row>
    <row r="168" spans="2:6">
      <c r="B168" s="219" t="str">
        <f>'2B'!AF37</f>
        <v>B0024WN</v>
      </c>
      <c r="C168" s="219" t="s">
        <v>4263</v>
      </c>
      <c r="E168" s="249" t="s">
        <v>3641</v>
      </c>
      <c r="F168" s="256">
        <f>IF(ISBLANK('2B'!F37),"##BLANK",'2B'!F37)</f>
        <v>13.089</v>
      </c>
    </row>
    <row r="169" spans="2:6">
      <c r="B169" s="219" t="str">
        <f>'2B'!AG37</f>
        <v>B0024WNK</v>
      </c>
      <c r="C169" s="219" t="s">
        <v>4264</v>
      </c>
      <c r="E169" s="249" t="s">
        <v>3641</v>
      </c>
      <c r="F169" s="256">
        <f>IF(ISBLANK('2B'!G37),"##BLANK",'2B'!G37)</f>
        <v>1.9860000000000002</v>
      </c>
    </row>
    <row r="170" spans="2:6">
      <c r="B170" s="219" t="str">
        <f>'2B'!AH37</f>
        <v>B0024BIO</v>
      </c>
      <c r="C170" s="219" t="s">
        <v>4265</v>
      </c>
      <c r="E170" s="249" t="s">
        <v>3641</v>
      </c>
      <c r="F170" s="256">
        <f>IF(ISBLANK('2B'!H37),"##BLANK",'2B'!H37)</f>
        <v>0</v>
      </c>
    </row>
    <row r="171" spans="2:6">
      <c r="B171" s="219" t="str">
        <f>'2B'!AI37</f>
        <v>B0024APC</v>
      </c>
      <c r="C171" s="219" t="s">
        <v>4266</v>
      </c>
      <c r="E171" s="249" t="s">
        <v>3641</v>
      </c>
      <c r="F171" s="256">
        <f>IF(ISBLANK('2B'!I37),"##BLANK",'2B'!I37)</f>
        <v>0</v>
      </c>
    </row>
    <row r="172" spans="2:6">
      <c r="B172" s="219" t="str">
        <f>'2B'!AJ37</f>
        <v>B0024TOT</v>
      </c>
      <c r="C172" s="219" t="s">
        <v>4267</v>
      </c>
      <c r="E172" s="249" t="s">
        <v>3641</v>
      </c>
      <c r="F172" s="256">
        <f>IF(ISBLANK('2B'!J37),"##BLANK",'2B'!J37)</f>
        <v>15.075000000000001</v>
      </c>
    </row>
    <row r="173" spans="2:6">
      <c r="B173" s="219" t="str">
        <f>'2B'!AE39</f>
        <v>BM325WR</v>
      </c>
      <c r="C173" s="219" t="s">
        <v>4268</v>
      </c>
      <c r="E173" s="249" t="s">
        <v>3641</v>
      </c>
      <c r="F173" s="256">
        <f>IF(ISBLANK('2B'!E39),"##BLANK",'2B'!E39)</f>
        <v>104.60999999999999</v>
      </c>
    </row>
    <row r="174" spans="2:6">
      <c r="B174" s="219" t="str">
        <f>'2B'!AF39</f>
        <v>BM325WN</v>
      </c>
      <c r="C174" s="219" t="s">
        <v>4269</v>
      </c>
      <c r="E174" s="249" t="s">
        <v>3641</v>
      </c>
      <c r="F174" s="256">
        <f>IF(ISBLANK('2B'!F39),"##BLANK",'2B'!F39)</f>
        <v>334.89799999999997</v>
      </c>
    </row>
    <row r="175" spans="2:6">
      <c r="B175" s="219" t="str">
        <f>'2B'!AG39</f>
        <v>BM825WNK</v>
      </c>
      <c r="C175" s="219" t="s">
        <v>4270</v>
      </c>
      <c r="E175" s="249" t="s">
        <v>3641</v>
      </c>
      <c r="F175" s="256">
        <f>IF(ISBLANK('2B'!G39),"##BLANK",'2B'!G39)</f>
        <v>215.59300000000002</v>
      </c>
    </row>
    <row r="176" spans="2:6">
      <c r="B176" s="219" t="str">
        <f>'2B'!AH39</f>
        <v>BM825SG</v>
      </c>
      <c r="C176" s="219" t="s">
        <v>4271</v>
      </c>
      <c r="E176" s="249" t="s">
        <v>3641</v>
      </c>
      <c r="F176" s="256">
        <f>IF(ISBLANK('2B'!H39),"##BLANK",'2B'!H39)</f>
        <v>4.3610000000000007</v>
      </c>
    </row>
    <row r="177" spans="2:6">
      <c r="B177" s="219" t="str">
        <f>'2B'!AI39</f>
        <v>S3039TTT</v>
      </c>
      <c r="C177" s="219" t="s">
        <v>4272</v>
      </c>
      <c r="E177" s="249" t="s">
        <v>3641</v>
      </c>
      <c r="F177" s="256">
        <f>IF(ISBLANK('2B'!I39),"##BLANK",'2B'!I39)</f>
        <v>0</v>
      </c>
    </row>
    <row r="178" spans="2:6">
      <c r="B178" s="219" t="str">
        <f>'2B'!AJ39</f>
        <v>T3039</v>
      </c>
      <c r="C178" s="219" t="s">
        <v>4273</v>
      </c>
      <c r="E178" s="249" t="s">
        <v>3641</v>
      </c>
      <c r="F178" s="256">
        <f>IF(ISBLANK('2B'!J39),"##BLANK",'2B'!J39)</f>
        <v>659.46199999999988</v>
      </c>
    </row>
    <row r="179" spans="2:6">
      <c r="B179" s="219" t="str">
        <f>'2B'!AF42</f>
        <v>CR00558WN</v>
      </c>
      <c r="C179" s="219" t="s">
        <v>4274</v>
      </c>
      <c r="E179" s="249" t="s">
        <v>3641</v>
      </c>
      <c r="F179" s="256">
        <f>IF(ISBLANK('2B'!F42),"##BLANK",'2B'!F42)</f>
        <v>12.881</v>
      </c>
    </row>
    <row r="180" spans="2:6">
      <c r="B180" s="219" t="str">
        <f>'2B'!AG42</f>
        <v>CR00559WNK</v>
      </c>
      <c r="C180" s="219" t="s">
        <v>4275</v>
      </c>
      <c r="E180" s="249" t="s">
        <v>3641</v>
      </c>
      <c r="F180" s="256">
        <f>IF(ISBLANK('2B'!G42),"##BLANK",'2B'!G42)</f>
        <v>6.0459999999999994</v>
      </c>
    </row>
    <row r="181" spans="2:6">
      <c r="B181" s="219" t="str">
        <f>'2B'!AH42</f>
        <v>CR00559SG</v>
      </c>
      <c r="C181" s="219" t="s">
        <v>4276</v>
      </c>
      <c r="E181" s="249" t="s">
        <v>3641</v>
      </c>
      <c r="F181" s="256">
        <f>IF(ISBLANK('2B'!H42),"##BLANK",'2B'!H42)</f>
        <v>0.33100000000000002</v>
      </c>
    </row>
    <row r="182" spans="2:6">
      <c r="B182" s="219" t="str">
        <f>'2B'!AI42</f>
        <v>CR0559TTT</v>
      </c>
      <c r="C182" s="219" t="s">
        <v>4277</v>
      </c>
      <c r="E182" s="249" t="s">
        <v>3641</v>
      </c>
      <c r="F182" s="256">
        <f>IF(ISBLANK('2B'!I42),"##BLANK",'2B'!I42)</f>
        <v>0</v>
      </c>
    </row>
    <row r="183" spans="2:6">
      <c r="B183" s="219" t="str">
        <f>'2B'!AJ42</f>
        <v>CR00560</v>
      </c>
      <c r="C183" s="219" t="s">
        <v>4278</v>
      </c>
      <c r="E183" s="249" t="s">
        <v>3641</v>
      </c>
      <c r="F183" s="256">
        <f>IF(ISBLANK('2B'!J42),"##BLANK",'2B'!J42)</f>
        <v>19.837</v>
      </c>
    </row>
    <row r="184" spans="2:6">
      <c r="B184" s="219" t="str">
        <f>'2B'!AF43</f>
        <v>CR00561WN</v>
      </c>
      <c r="C184" s="219" t="s">
        <v>4279</v>
      </c>
      <c r="E184" s="249" t="s">
        <v>3641</v>
      </c>
      <c r="F184" s="256">
        <f>IF(ISBLANK('2B'!F43),"##BLANK",'2B'!F43)</f>
        <v>0</v>
      </c>
    </row>
    <row r="185" spans="2:6">
      <c r="B185" s="219" t="str">
        <f>'2B'!AG43</f>
        <v>CR00562WNK</v>
      </c>
      <c r="C185" s="219" t="s">
        <v>4280</v>
      </c>
      <c r="E185" s="249" t="s">
        <v>3641</v>
      </c>
      <c r="F185" s="256">
        <f>IF(ISBLANK('2B'!G43),"##BLANK",'2B'!G43)</f>
        <v>0</v>
      </c>
    </row>
    <row r="186" spans="2:6">
      <c r="B186" s="219" t="str">
        <f>'2B'!AH43</f>
        <v>CR00562SG</v>
      </c>
      <c r="C186" s="219" t="s">
        <v>4281</v>
      </c>
      <c r="E186" s="249" t="s">
        <v>3641</v>
      </c>
      <c r="F186" s="256">
        <f>IF(ISBLANK('2B'!H43),"##BLANK",'2B'!H43)</f>
        <v>0</v>
      </c>
    </row>
    <row r="187" spans="2:6">
      <c r="B187" s="219" t="str">
        <f>'2B'!AI43</f>
        <v>CR00562TTT</v>
      </c>
      <c r="C187" s="219" t="s">
        <v>4282</v>
      </c>
      <c r="E187" s="249" t="s">
        <v>3641</v>
      </c>
      <c r="F187" s="256">
        <f>IF(ISBLANK('2B'!I43),"##BLANK",'2B'!I43)</f>
        <v>0</v>
      </c>
    </row>
    <row r="188" spans="2:6">
      <c r="B188" s="219" t="str">
        <f>'2B'!AJ43</f>
        <v>CR00563</v>
      </c>
      <c r="C188" s="219" t="s">
        <v>4283</v>
      </c>
      <c r="E188" s="249" t="s">
        <v>3641</v>
      </c>
      <c r="F188" s="256">
        <f>IF(ISBLANK('2B'!J43),"##BLANK",'2B'!J43)</f>
        <v>0</v>
      </c>
    </row>
    <row r="189" spans="2:6">
      <c r="B189" s="219" t="str">
        <f>'2B'!AE44</f>
        <v>W3026WR</v>
      </c>
      <c r="C189" s="219" t="s">
        <v>4284</v>
      </c>
      <c r="E189" s="249" t="s">
        <v>3641</v>
      </c>
      <c r="F189" s="256">
        <f>IF(ISBLANK('2B'!E44),"##BLANK",'2B'!E44)</f>
        <v>105.18899999999998</v>
      </c>
    </row>
    <row r="190" spans="2:6">
      <c r="B190" s="219" t="str">
        <f>'2B'!AF44</f>
        <v>W3026WN</v>
      </c>
      <c r="C190" s="219" t="s">
        <v>4285</v>
      </c>
      <c r="E190" s="249" t="s">
        <v>3641</v>
      </c>
      <c r="F190" s="256">
        <f>IF(ISBLANK('2B'!F44),"##BLANK",'2B'!F44)</f>
        <v>347.779</v>
      </c>
    </row>
    <row r="191" spans="2:6">
      <c r="B191" s="219" t="str">
        <f>'2B'!AG44</f>
        <v>S3040WNK</v>
      </c>
      <c r="C191" s="219" t="s">
        <v>4286</v>
      </c>
      <c r="E191" s="249" t="s">
        <v>3641</v>
      </c>
      <c r="F191" s="256">
        <f>IF(ISBLANK('2B'!G44),"##BLANK",'2B'!G44)</f>
        <v>221.63900000000001</v>
      </c>
    </row>
    <row r="192" spans="2:6">
      <c r="B192" s="219" t="str">
        <f>'2B'!AH44</f>
        <v>S3040SG</v>
      </c>
      <c r="C192" s="219" t="s">
        <v>4287</v>
      </c>
      <c r="E192" s="249" t="s">
        <v>3641</v>
      </c>
      <c r="F192" s="256">
        <f>IF(ISBLANK('2B'!H44),"##BLANK",'2B'!H44)</f>
        <v>4.6920000000000011</v>
      </c>
    </row>
    <row r="193" spans="2:6">
      <c r="B193" s="219" t="str">
        <f>'2B'!AI44</f>
        <v>S3040TOTTTT</v>
      </c>
      <c r="C193" s="219" t="s">
        <v>4288</v>
      </c>
      <c r="E193" s="249" t="s">
        <v>3641</v>
      </c>
      <c r="F193" s="256">
        <f>IF(ISBLANK('2B'!I44),"##BLANK",'2B'!I44)</f>
        <v>0</v>
      </c>
    </row>
    <row r="194" spans="2:6">
      <c r="B194" s="219" t="str">
        <f>'2B'!AJ44</f>
        <v>CR00564</v>
      </c>
      <c r="C194" s="219" t="s">
        <v>4289</v>
      </c>
      <c r="E194" s="249" t="s">
        <v>3641</v>
      </c>
      <c r="F194" s="256">
        <f>IF(ISBLANK('2B'!J44),"##BLANK",'2B'!J44)</f>
        <v>679.29899999999998</v>
      </c>
    </row>
    <row r="195" spans="2:6">
      <c r="B195" s="219" t="str">
        <f>'2C'!U8</f>
        <v>BM9030</v>
      </c>
      <c r="C195" s="219" t="s">
        <v>4290</v>
      </c>
      <c r="E195" s="249" t="s">
        <v>3641</v>
      </c>
      <c r="F195" s="256">
        <f>IF(ISBLANK('2C'!E8),"##BLANK",'2C'!E8)</f>
        <v>15.497999999999999</v>
      </c>
    </row>
    <row r="196" spans="2:6">
      <c r="B196" s="219" t="str">
        <f>'2C'!V8</f>
        <v>BM9031</v>
      </c>
      <c r="C196" s="219" t="s">
        <v>4291</v>
      </c>
      <c r="E196" s="249" t="s">
        <v>3641</v>
      </c>
      <c r="F196" s="256">
        <f>IF(ISBLANK('2C'!F8),"##BLANK",'2C'!F8)</f>
        <v>0</v>
      </c>
    </row>
    <row r="197" spans="2:6">
      <c r="B197" s="219" t="str">
        <f>'2C'!W8</f>
        <v>BM9032</v>
      </c>
      <c r="C197" s="219" t="s">
        <v>4292</v>
      </c>
      <c r="E197" s="249" t="s">
        <v>3641</v>
      </c>
      <c r="F197" s="256">
        <f>IF(ISBLANK('2C'!G8),"##BLANK",'2C'!G8)</f>
        <v>15.497999999999999</v>
      </c>
    </row>
    <row r="198" spans="2:6">
      <c r="B198" s="219" t="str">
        <f>'2C'!U9</f>
        <v>BM9002</v>
      </c>
      <c r="C198" s="219" t="s">
        <v>4293</v>
      </c>
      <c r="E198" s="249" t="s">
        <v>3641</v>
      </c>
      <c r="F198" s="256">
        <f>IF(ISBLANK('2C'!E9),"##BLANK",'2C'!E9)</f>
        <v>4.5140000000000002</v>
      </c>
    </row>
    <row r="199" spans="2:6">
      <c r="B199" s="219" t="str">
        <f>'2C'!V9</f>
        <v>BM9202</v>
      </c>
      <c r="C199" s="219" t="s">
        <v>4294</v>
      </c>
      <c r="E199" s="249" t="s">
        <v>3641</v>
      </c>
      <c r="F199" s="256">
        <f>IF(ISBLANK('2C'!F9),"##BLANK",'2C'!F9)</f>
        <v>0</v>
      </c>
    </row>
    <row r="200" spans="2:6">
      <c r="B200" s="219" t="str">
        <f>'2C'!W9</f>
        <v>BM9502</v>
      </c>
      <c r="C200" s="219" t="s">
        <v>4295</v>
      </c>
      <c r="E200" s="249" t="s">
        <v>3641</v>
      </c>
      <c r="F200" s="256">
        <f>IF(ISBLANK('2C'!G9),"##BLANK",'2C'!G9)</f>
        <v>4.5140000000000002</v>
      </c>
    </row>
    <row r="201" spans="2:6">
      <c r="B201" s="219" t="str">
        <f>'2C'!U10</f>
        <v>BM9003</v>
      </c>
      <c r="C201" s="219" t="s">
        <v>4296</v>
      </c>
      <c r="E201" s="249" t="s">
        <v>3641</v>
      </c>
      <c r="F201" s="256">
        <f>IF(ISBLANK('2C'!E10),"##BLANK",'2C'!E10)</f>
        <v>18.04</v>
      </c>
    </row>
    <row r="202" spans="2:6">
      <c r="B202" s="219" t="str">
        <f>'2C'!V10</f>
        <v>BM9203</v>
      </c>
      <c r="C202" s="219" t="s">
        <v>4297</v>
      </c>
      <c r="E202" s="249" t="s">
        <v>3641</v>
      </c>
      <c r="F202" s="256">
        <f>IF(ISBLANK('2C'!F10),"##BLANK",'2C'!F10)</f>
        <v>0</v>
      </c>
    </row>
    <row r="203" spans="2:6">
      <c r="B203" s="219" t="str">
        <f>'2C'!W10</f>
        <v>BM9503</v>
      </c>
      <c r="C203" s="219" t="s">
        <v>4298</v>
      </c>
      <c r="E203" s="249" t="s">
        <v>3641</v>
      </c>
      <c r="F203" s="256">
        <f>IF(ISBLANK('2C'!G10),"##BLANK",'2C'!G10)</f>
        <v>18.04</v>
      </c>
    </row>
    <row r="204" spans="2:6">
      <c r="B204" s="219" t="str">
        <f>'2C'!U11</f>
        <v>BM9007</v>
      </c>
      <c r="C204" s="219" t="s">
        <v>4299</v>
      </c>
      <c r="E204" s="249" t="s">
        <v>3641</v>
      </c>
      <c r="F204" s="256">
        <f>IF(ISBLANK('2C'!E11),"##BLANK",'2C'!E11)</f>
        <v>2.012</v>
      </c>
    </row>
    <row r="205" spans="2:6">
      <c r="B205" s="219" t="str">
        <f>'2C'!V11</f>
        <v>BM9207</v>
      </c>
      <c r="C205" s="219" t="s">
        <v>4300</v>
      </c>
      <c r="E205" s="249" t="s">
        <v>3641</v>
      </c>
      <c r="F205" s="256">
        <f>IF(ISBLANK('2C'!F11),"##BLANK",'2C'!F11)</f>
        <v>0</v>
      </c>
    </row>
    <row r="206" spans="2:6">
      <c r="B206" s="219" t="str">
        <f>'2C'!W11</f>
        <v>BM9507</v>
      </c>
      <c r="C206" s="219" t="s">
        <v>4301</v>
      </c>
      <c r="E206" s="249" t="s">
        <v>3641</v>
      </c>
      <c r="F206" s="256">
        <f>IF(ISBLANK('2C'!G11),"##BLANK",'2C'!G11)</f>
        <v>2.012</v>
      </c>
    </row>
    <row r="207" spans="2:6">
      <c r="B207" s="219" t="str">
        <f>'2C'!V12</f>
        <v>BM9230</v>
      </c>
      <c r="C207" s="219" t="s">
        <v>4302</v>
      </c>
      <c r="E207" s="249" t="s">
        <v>3641</v>
      </c>
      <c r="F207" s="256">
        <f>IF(ISBLANK('2C'!F12),"##BLANK",'2C'!F12)</f>
        <v>0</v>
      </c>
    </row>
    <row r="208" spans="2:6">
      <c r="B208" s="219" t="str">
        <f>'2C'!U13</f>
        <v>B0025OXH</v>
      </c>
      <c r="C208" s="219" t="s">
        <v>4303</v>
      </c>
      <c r="E208" s="249" t="s">
        <v>3641</v>
      </c>
      <c r="F208" s="256">
        <f>IF(ISBLANK('2C'!E13),"##BLANK",'2C'!E13)</f>
        <v>9.34</v>
      </c>
    </row>
    <row r="209" spans="2:6">
      <c r="B209" s="219" t="str">
        <f>'2C'!V13</f>
        <v>B0025OXNH</v>
      </c>
      <c r="C209" s="219" t="s">
        <v>4304</v>
      </c>
      <c r="E209" s="249" t="s">
        <v>3641</v>
      </c>
      <c r="F209" s="256">
        <f>IF(ISBLANK('2C'!F13),"##BLANK",'2C'!F13)</f>
        <v>0</v>
      </c>
    </row>
    <row r="210" spans="2:6">
      <c r="B210" s="219" t="str">
        <f>'2C'!W13</f>
        <v>B0025OXT</v>
      </c>
      <c r="C210" s="219" t="s">
        <v>4191</v>
      </c>
      <c r="E210" s="249" t="s">
        <v>3641</v>
      </c>
      <c r="F210" s="256">
        <f>IF(ISBLANK('2C'!G13),"##BLANK",'2C'!G13)</f>
        <v>9.34</v>
      </c>
    </row>
    <row r="211" spans="2:6">
      <c r="B211" s="219" t="str">
        <f>'2C'!U14</f>
        <v>B0026LAH</v>
      </c>
      <c r="C211" s="219" t="s">
        <v>4305</v>
      </c>
      <c r="E211" s="249" t="s">
        <v>3641</v>
      </c>
      <c r="F211" s="256">
        <f>IF(ISBLANK('2C'!E14),"##BLANK",'2C'!E14)</f>
        <v>0.246</v>
      </c>
    </row>
    <row r="212" spans="2:6">
      <c r="B212" s="219" t="str">
        <f>'2C'!V14</f>
        <v>B0026LANH</v>
      </c>
      <c r="C212" s="219" t="s">
        <v>4306</v>
      </c>
      <c r="E212" s="249" t="s">
        <v>3641</v>
      </c>
      <c r="F212" s="256">
        <f>IF(ISBLANK('2C'!F14),"##BLANK",'2C'!F14)</f>
        <v>0</v>
      </c>
    </row>
    <row r="213" spans="2:6">
      <c r="B213" s="219" t="str">
        <f>'2C'!W14</f>
        <v>B0026LAT</v>
      </c>
      <c r="C213" s="219" t="s">
        <v>4307</v>
      </c>
      <c r="E213" s="249" t="s">
        <v>3641</v>
      </c>
      <c r="F213" s="256">
        <f>IF(ISBLANK('2C'!G14),"##BLANK",'2C'!G14)</f>
        <v>0.246</v>
      </c>
    </row>
    <row r="214" spans="2:6">
      <c r="B214" s="219" t="str">
        <f>'2C'!U15</f>
        <v>B0027TXH</v>
      </c>
      <c r="C214" s="219" t="s">
        <v>4308</v>
      </c>
      <c r="E214" s="249" t="s">
        <v>3641</v>
      </c>
      <c r="F214" s="256">
        <f>IF(ISBLANK('2C'!E15),"##BLANK",'2C'!E15)</f>
        <v>49.65</v>
      </c>
    </row>
    <row r="215" spans="2:6">
      <c r="B215" s="219" t="str">
        <f>'2C'!V15</f>
        <v>B0027TXNH</v>
      </c>
      <c r="C215" s="219" t="s">
        <v>4309</v>
      </c>
      <c r="E215" s="249" t="s">
        <v>3641</v>
      </c>
      <c r="F215" s="256">
        <f>IF(ISBLANK('2C'!F15),"##BLANK",'2C'!F15)</f>
        <v>0</v>
      </c>
    </row>
    <row r="216" spans="2:6">
      <c r="B216" s="219" t="str">
        <f>'2C'!W15</f>
        <v>B0027TXT</v>
      </c>
      <c r="C216" s="219" t="s">
        <v>4310</v>
      </c>
      <c r="E216" s="249" t="s">
        <v>3641</v>
      </c>
      <c r="F216" s="255">
        <f>IF(ISBLANK('2C'!G15),"##BLANK",'2C'!G15)</f>
        <v>49.65</v>
      </c>
    </row>
    <row r="217" spans="2:6">
      <c r="B217" s="219" t="str">
        <f>'2C'!U18</f>
        <v>B0028DEXH</v>
      </c>
      <c r="C217" s="219" t="s">
        <v>4311</v>
      </c>
      <c r="E217" s="249" t="s">
        <v>3641</v>
      </c>
      <c r="F217" s="255">
        <f>IF(ISBLANK('2C'!E18),"##BLANK",'2C'!E18)</f>
        <v>0.40300000000000002</v>
      </c>
    </row>
    <row r="218" spans="2:6">
      <c r="B218" s="219" t="str">
        <f>'2C'!V18</f>
        <v>B0028DEXNH</v>
      </c>
      <c r="C218" s="219" t="s">
        <v>4312</v>
      </c>
      <c r="E218" s="249" t="s">
        <v>3641</v>
      </c>
      <c r="F218" s="255">
        <f>IF(ISBLANK('2C'!F18),"##BLANK",'2C'!F18)</f>
        <v>0</v>
      </c>
    </row>
    <row r="219" spans="2:6">
      <c r="B219" s="219" t="str">
        <f>'2C'!W18</f>
        <v>B0028DEXT</v>
      </c>
      <c r="C219" s="219" t="s">
        <v>4313</v>
      </c>
      <c r="E219" s="249" t="s">
        <v>3641</v>
      </c>
      <c r="F219" s="255">
        <f>IF(ISBLANK('2C'!G18),"##BLANK",'2C'!G18)</f>
        <v>0.40300000000000002</v>
      </c>
    </row>
    <row r="220" spans="2:6">
      <c r="B220" s="219" t="str">
        <f>'2C'!U19</f>
        <v>B0029DAXH</v>
      </c>
      <c r="C220" s="219" t="s">
        <v>4314</v>
      </c>
      <c r="E220" s="249" t="s">
        <v>3641</v>
      </c>
      <c r="F220" s="255">
        <f>IF(ISBLANK('2C'!E19),"##BLANK",'2C'!E19)</f>
        <v>1.6950000000000001</v>
      </c>
    </row>
    <row r="221" spans="2:6">
      <c r="B221" s="219" t="str">
        <f>'2C'!V19</f>
        <v>B0029DAXNH</v>
      </c>
      <c r="C221" s="219" t="s">
        <v>4315</v>
      </c>
      <c r="E221" s="249" t="s">
        <v>3641</v>
      </c>
      <c r="F221" s="255">
        <f>IF(ISBLANK('2C'!F19),"##BLANK",'2C'!F19)</f>
        <v>0</v>
      </c>
    </row>
    <row r="222" spans="2:6">
      <c r="B222" s="219" t="str">
        <f>'2C'!W19</f>
        <v>B0029DAXT</v>
      </c>
      <c r="C222" s="219" t="s">
        <v>4316</v>
      </c>
      <c r="E222" s="249" t="s">
        <v>3641</v>
      </c>
      <c r="F222" s="255">
        <f>IF(ISBLANK('2C'!G19),"##BLANK",'2C'!G19)</f>
        <v>1.6950000000000001</v>
      </c>
    </row>
    <row r="223" spans="2:6">
      <c r="B223" s="219" t="str">
        <f>'2C'!U20</f>
        <v>B0030AEXH</v>
      </c>
      <c r="C223" s="219" t="s">
        <v>4317</v>
      </c>
      <c r="E223" s="249" t="s">
        <v>3641</v>
      </c>
      <c r="F223" s="255">
        <f>IF(ISBLANK('2C'!E20),"##BLANK",'2C'!E20)</f>
        <v>3.2000000000000001E-2</v>
      </c>
    </row>
    <row r="224" spans="2:6">
      <c r="B224" s="219" t="str">
        <f>'2C'!V20</f>
        <v>B0030AEXNH</v>
      </c>
      <c r="C224" s="219" t="s">
        <v>4318</v>
      </c>
      <c r="E224" s="249" t="s">
        <v>3641</v>
      </c>
      <c r="F224" s="255">
        <f>IF(ISBLANK('2C'!F20),"##BLANK",'2C'!F20)</f>
        <v>0</v>
      </c>
    </row>
    <row r="225" spans="2:6">
      <c r="B225" s="219" t="str">
        <f>'2C'!W20</f>
        <v>B0030AEXT</v>
      </c>
      <c r="C225" s="219" t="s">
        <v>4319</v>
      </c>
      <c r="E225" s="249" t="s">
        <v>3641</v>
      </c>
      <c r="F225" s="255">
        <f>IF(ISBLANK('2C'!G20),"##BLANK",'2C'!G20)</f>
        <v>3.2000000000000001E-2</v>
      </c>
    </row>
    <row r="226" spans="2:6">
      <c r="B226" s="219" t="str">
        <f>'2C'!U21</f>
        <v>B0031AAXH</v>
      </c>
      <c r="C226" s="219" t="s">
        <v>4320</v>
      </c>
      <c r="E226" s="249" t="s">
        <v>3641</v>
      </c>
      <c r="F226" s="255">
        <f>IF(ISBLANK('2C'!E21),"##BLANK",'2C'!E21)</f>
        <v>2.0539999999999998</v>
      </c>
    </row>
    <row r="227" spans="2:6">
      <c r="B227" s="219" t="str">
        <f>'2C'!V21</f>
        <v>B0031AAXNH</v>
      </c>
      <c r="C227" s="219" t="s">
        <v>4321</v>
      </c>
      <c r="E227" s="249" t="s">
        <v>3641</v>
      </c>
      <c r="F227" s="255">
        <f>IF(ISBLANK('2C'!F21),"##BLANK",'2C'!F21)</f>
        <v>0</v>
      </c>
    </row>
    <row r="228" spans="2:6">
      <c r="B228" s="219" t="str">
        <f>'2C'!W21</f>
        <v>B0031AAXT</v>
      </c>
      <c r="C228" s="219" t="s">
        <v>4322</v>
      </c>
      <c r="E228" s="249" t="s">
        <v>3641</v>
      </c>
      <c r="F228" s="255">
        <f>IF(ISBLANK('2C'!G21),"##BLANK",'2C'!G21)</f>
        <v>2.0539999999999998</v>
      </c>
    </row>
    <row r="229" spans="2:6">
      <c r="B229" s="219" t="str">
        <f>'2C'!U24</f>
        <v>B0032RCL</v>
      </c>
      <c r="C229" s="219" t="s">
        <v>4323</v>
      </c>
      <c r="E229" s="249" t="s">
        <v>3641</v>
      </c>
      <c r="F229" s="255">
        <f>IF(ISBLANK('2C'!E24),"##BLANK",'2C'!E24)</f>
        <v>0.91</v>
      </c>
    </row>
    <row r="230" spans="2:6">
      <c r="B230" s="219" t="str">
        <f>'2C'!V24</f>
        <v>B0032RCLB</v>
      </c>
      <c r="C230" s="219" t="s">
        <v>4324</v>
      </c>
      <c r="E230" s="249" t="s">
        <v>3641</v>
      </c>
      <c r="F230" s="255">
        <f>IF(ISBLANK('2C'!F24),"##BLANK",'2C'!F24)</f>
        <v>0</v>
      </c>
    </row>
    <row r="231" spans="2:6">
      <c r="B231" s="219" t="str">
        <f>'2C'!W24</f>
        <v>B0032RCLT</v>
      </c>
      <c r="C231" s="219" t="s">
        <v>4325</v>
      </c>
      <c r="E231" s="249" t="s">
        <v>3641</v>
      </c>
      <c r="F231" s="255">
        <f>IF(ISBLANK('2C'!G24),"##BLANK",'2C'!G24)</f>
        <v>0.91</v>
      </c>
    </row>
    <row r="232" spans="2:6">
      <c r="B232" s="219" t="str">
        <f>'2C'!U25</f>
        <v>B0033INCM</v>
      </c>
      <c r="C232" s="219" t="s">
        <v>4326</v>
      </c>
      <c r="E232" s="249" t="s">
        <v>3641</v>
      </c>
      <c r="F232" s="255">
        <f>IF(ISBLANK('2C'!E25),"##BLANK",'2C'!E25)</f>
        <v>0.13400000000000001</v>
      </c>
    </row>
    <row r="233" spans="2:6">
      <c r="B233" s="219" t="str">
        <f>'2C'!V25</f>
        <v>B0033INCMB</v>
      </c>
      <c r="C233" s="219" t="s">
        <v>4327</v>
      </c>
      <c r="E233" s="249" t="s">
        <v>3641</v>
      </c>
      <c r="F233" s="255">
        <f>IF(ISBLANK('2C'!F25),"##BLANK",'2C'!F25)</f>
        <v>0</v>
      </c>
    </row>
    <row r="234" spans="2:6">
      <c r="B234" s="219" t="str">
        <f>'2C'!W25</f>
        <v>B0033INCMT</v>
      </c>
      <c r="C234" s="219" t="s">
        <v>4328</v>
      </c>
      <c r="E234" s="249" t="s">
        <v>3641</v>
      </c>
      <c r="F234" s="255">
        <f>IF(ISBLANK('2C'!G25),"##BLANK",'2C'!G25)</f>
        <v>0.13400000000000001</v>
      </c>
    </row>
    <row r="235" spans="2:6">
      <c r="B235" s="219" t="str">
        <f>'2C'!U26</f>
        <v>B0034RCW</v>
      </c>
      <c r="C235" s="219" t="s">
        <v>4329</v>
      </c>
      <c r="E235" s="249" t="s">
        <v>3641</v>
      </c>
      <c r="F235" s="255">
        <f>IF(ISBLANK('2C'!E26),"##BLANK",'2C'!E26)</f>
        <v>2.3250000000000002</v>
      </c>
    </row>
    <row r="236" spans="2:6">
      <c r="B236" s="219" t="str">
        <f>'2C'!V26</f>
        <v>B0034RCWB</v>
      </c>
      <c r="C236" s="219" t="s">
        <v>4330</v>
      </c>
      <c r="E236" s="249" t="s">
        <v>3641</v>
      </c>
      <c r="F236" s="255">
        <f>IF(ISBLANK('2C'!F26),"##BLANK",'2C'!F26)</f>
        <v>0</v>
      </c>
    </row>
    <row r="237" spans="2:6">
      <c r="B237" s="219" t="str">
        <f>'2C'!W26</f>
        <v>B0034RCWT</v>
      </c>
      <c r="C237" s="219" t="s">
        <v>4331</v>
      </c>
      <c r="E237" s="249" t="s">
        <v>3641</v>
      </c>
      <c r="F237" s="255">
        <f>IF(ISBLANK('2C'!G26),"##BLANK",'2C'!G26)</f>
        <v>2.3250000000000002</v>
      </c>
    </row>
    <row r="238" spans="2:6">
      <c r="B238" s="219" t="str">
        <f>'2C'!U27</f>
        <v>B0035INCA</v>
      </c>
      <c r="C238" s="219" t="s">
        <v>4332</v>
      </c>
      <c r="E238" s="249" t="s">
        <v>3641</v>
      </c>
      <c r="F238" s="255">
        <f>IF(ISBLANK('2C'!E27),"##BLANK",'2C'!E27)</f>
        <v>8.2000000000000003E-2</v>
      </c>
    </row>
    <row r="239" spans="2:6">
      <c r="B239" s="219" t="str">
        <f>'2C'!V27</f>
        <v>B0035INCAB</v>
      </c>
      <c r="C239" s="219" t="s">
        <v>4333</v>
      </c>
      <c r="E239" s="249" t="s">
        <v>3641</v>
      </c>
      <c r="F239" s="255">
        <f>IF(ISBLANK('2C'!F27),"##BLANK",'2C'!F27)</f>
        <v>0</v>
      </c>
    </row>
    <row r="240" spans="2:6">
      <c r="B240" s="219" t="str">
        <f>'2C'!W27</f>
        <v>B0035INCAT</v>
      </c>
      <c r="C240" s="219" t="s">
        <v>4334</v>
      </c>
      <c r="E240" s="249" t="s">
        <v>3641</v>
      </c>
      <c r="F240" s="255">
        <f>IF(ISBLANK('2C'!G27),"##BLANK",'2C'!G27)</f>
        <v>8.2000000000000003E-2</v>
      </c>
    </row>
    <row r="241" spans="2:6">
      <c r="B241" s="219" t="str">
        <f>'2C'!U28</f>
        <v>B0036NRC</v>
      </c>
      <c r="C241" s="219" t="s">
        <v>4335</v>
      </c>
      <c r="E241" s="249" t="s">
        <v>3641</v>
      </c>
      <c r="F241" s="255">
        <f>IF(ISBLANK('2C'!E28),"##BLANK",'2C'!E28)</f>
        <v>3.0190000000000006</v>
      </c>
    </row>
    <row r="242" spans="2:6">
      <c r="B242" s="219" t="str">
        <f>'2C'!V28</f>
        <v>B0036NRCB</v>
      </c>
      <c r="C242" s="219" t="s">
        <v>4336</v>
      </c>
      <c r="E242" s="249" t="s">
        <v>3641</v>
      </c>
      <c r="F242" s="255">
        <f>IF(ISBLANK('2C'!F28),"##BLANK",'2C'!F28)</f>
        <v>0</v>
      </c>
    </row>
    <row r="243" spans="2:6">
      <c r="B243" s="219" t="str">
        <f>'2C'!W28</f>
        <v>B0036NRCT</v>
      </c>
      <c r="C243" s="219" t="s">
        <v>4337</v>
      </c>
      <c r="E243" s="249" t="s">
        <v>3641</v>
      </c>
      <c r="F243" s="255">
        <f>IF(ISBLANK('2C'!G28),"##BLANK",'2C'!G28)</f>
        <v>3.0190000000000006</v>
      </c>
    </row>
    <row r="244" spans="2:6">
      <c r="B244" s="219" t="str">
        <f>'2C'!U30</f>
        <v>B0037TRCH</v>
      </c>
      <c r="C244" s="219" t="s">
        <v>4338</v>
      </c>
      <c r="E244" s="249" t="s">
        <v>3641</v>
      </c>
      <c r="F244" s="255">
        <f>IF(ISBLANK('2C'!E30),"##BLANK",'2C'!E30)</f>
        <v>56.852999999999994</v>
      </c>
    </row>
    <row r="245" spans="2:6">
      <c r="B245" s="219" t="str">
        <f>'2C'!V30</f>
        <v>B0037TRCNH</v>
      </c>
      <c r="C245" s="219" t="s">
        <v>4339</v>
      </c>
      <c r="E245" s="249" t="s">
        <v>3641</v>
      </c>
      <c r="F245" s="255">
        <f>IF(ISBLANK('2C'!F30),"##BLANK",'2C'!F30)</f>
        <v>0</v>
      </c>
    </row>
    <row r="246" spans="2:6">
      <c r="B246" s="219" t="str">
        <f>'2C'!W30</f>
        <v>B0037TRCT</v>
      </c>
      <c r="C246" s="219" t="s">
        <v>4340</v>
      </c>
      <c r="E246" s="249" t="s">
        <v>3641</v>
      </c>
      <c r="F246" s="255">
        <f>IF(ISBLANK('2C'!G30),"##BLANK",'2C'!G30)</f>
        <v>56.852999999999994</v>
      </c>
    </row>
    <row r="247" spans="2:6">
      <c r="B247" s="219" t="str">
        <f>'2C'!U32</f>
        <v>BM9022</v>
      </c>
      <c r="C247" s="219" t="s">
        <v>4341</v>
      </c>
      <c r="E247" s="249" t="s">
        <v>3641</v>
      </c>
      <c r="F247" s="255">
        <f>IF(ISBLANK('2C'!E32),"##BLANK",'2C'!E32)</f>
        <v>3.4000000000000002E-2</v>
      </c>
    </row>
    <row r="248" spans="2:6">
      <c r="B248" s="219" t="str">
        <f>'2C'!V32</f>
        <v>BM9222</v>
      </c>
      <c r="C248" s="219" t="s">
        <v>4342</v>
      </c>
      <c r="E248" s="249" t="s">
        <v>3641</v>
      </c>
      <c r="F248" s="255">
        <f>IF(ISBLANK('2C'!F32),"##BLANK",'2C'!F32)</f>
        <v>0</v>
      </c>
    </row>
    <row r="249" spans="2:6">
      <c r="B249" s="219" t="str">
        <f>'2C'!W32</f>
        <v>BM9522</v>
      </c>
      <c r="C249" s="219" t="s">
        <v>4343</v>
      </c>
      <c r="E249" s="249" t="s">
        <v>3641</v>
      </c>
      <c r="F249" s="255">
        <f>IF(ISBLANK('2C'!G32),"##BLANK",'2C'!G32)</f>
        <v>3.4000000000000002E-2</v>
      </c>
    </row>
    <row r="250" spans="2:6">
      <c r="B250" s="219" t="str">
        <f>'2C'!U33</f>
        <v>B0038PDRCH</v>
      </c>
      <c r="C250" s="219" t="s">
        <v>4344</v>
      </c>
      <c r="E250" s="249" t="s">
        <v>3641</v>
      </c>
      <c r="F250" s="255">
        <f>IF(ISBLANK('2C'!E33),"##BLANK",'2C'!E33)</f>
        <v>3.9630000000000001</v>
      </c>
    </row>
    <row r="251" spans="2:6">
      <c r="B251" s="219" t="str">
        <f>'2C'!V33</f>
        <v>B0038PDRCNH</v>
      </c>
      <c r="C251" s="219" t="s">
        <v>4345</v>
      </c>
      <c r="E251" s="249" t="s">
        <v>3641</v>
      </c>
      <c r="F251" s="255">
        <f>IF(ISBLANK('2C'!F33),"##BLANK",'2C'!F33)</f>
        <v>0</v>
      </c>
    </row>
    <row r="252" spans="2:6">
      <c r="B252" s="219" t="str">
        <f>'2C'!W33</f>
        <v>B0038PDRCT</v>
      </c>
      <c r="C252" s="219" t="s">
        <v>4346</v>
      </c>
      <c r="E252" s="249" t="s">
        <v>3641</v>
      </c>
      <c r="F252" s="255">
        <f>IF(ISBLANK('2C'!G33),"##BLANK",'2C'!G33)</f>
        <v>3.9630000000000001</v>
      </c>
    </row>
    <row r="253" spans="2:6">
      <c r="B253" s="219" t="str">
        <f>'2C'!U35</f>
        <v>B0039TRCH_PDRC</v>
      </c>
      <c r="C253" s="219" t="s">
        <v>4347</v>
      </c>
      <c r="E253" s="249" t="s">
        <v>3641</v>
      </c>
      <c r="F253" s="255">
        <f>IF(ISBLANK('2C'!E35),"##BLANK",'2C'!E35)</f>
        <v>60.849999999999994</v>
      </c>
    </row>
    <row r="254" spans="2:6">
      <c r="B254" s="219" t="str">
        <f>'2C'!V35</f>
        <v>B0039TRCNH_PDRC</v>
      </c>
      <c r="C254" s="219" t="s">
        <v>4348</v>
      </c>
      <c r="E254" s="249" t="s">
        <v>3641</v>
      </c>
      <c r="F254" s="255">
        <f>IF(ISBLANK('2C'!F35),"##BLANK",'2C'!F35)</f>
        <v>0</v>
      </c>
    </row>
    <row r="255" spans="2:6">
      <c r="B255" s="219" t="str">
        <f>'2C'!W35</f>
        <v>B0039TRCT_PDRC</v>
      </c>
      <c r="C255" s="219" t="s">
        <v>4349</v>
      </c>
      <c r="E255" s="249" t="s">
        <v>3641</v>
      </c>
      <c r="F255" s="255">
        <f>IF(ISBLANK('2C'!G35),"##BLANK",'2C'!G35)</f>
        <v>60.849999999999994</v>
      </c>
    </row>
    <row r="256" spans="2:6">
      <c r="B256" s="219" t="str">
        <f>'2C'!U38</f>
        <v>BM9038</v>
      </c>
      <c r="C256" s="219" t="s">
        <v>4350</v>
      </c>
      <c r="E256" s="249" t="s">
        <v>3641</v>
      </c>
      <c r="F256" s="255">
        <f>IF(ISBLANK('2C'!E38),"##BLANK",'2C'!E38)</f>
        <v>12.576000000000001</v>
      </c>
    </row>
    <row r="257" spans="2:6">
      <c r="B257" s="219" t="str">
        <f>'2C'!V38</f>
        <v>BM9338</v>
      </c>
      <c r="C257" s="219" t="s">
        <v>4351</v>
      </c>
      <c r="E257" s="249" t="s">
        <v>3641</v>
      </c>
      <c r="F257" s="255">
        <f>IF(ISBLANK('2C'!F38),"##BLANK",'2C'!F38)</f>
        <v>0</v>
      </c>
    </row>
    <row r="258" spans="2:6">
      <c r="B258" s="219" t="str">
        <f>'2C'!W38</f>
        <v>BM9538</v>
      </c>
      <c r="C258" s="219" t="s">
        <v>4352</v>
      </c>
      <c r="E258" s="249" t="s">
        <v>3641</v>
      </c>
      <c r="F258" s="255">
        <f>IF(ISBLANK('2C'!G38),"##BLANK",'2C'!G38)</f>
        <v>12.576000000000001</v>
      </c>
    </row>
    <row r="259" spans="2:6">
      <c r="B259" s="219" t="str">
        <f>'2C'!U41</f>
        <v>B0040CAPXH</v>
      </c>
      <c r="C259" s="219" t="s">
        <v>4353</v>
      </c>
      <c r="E259" s="249" t="s">
        <v>3641</v>
      </c>
      <c r="F259" s="255">
        <f>IF(ISBLANK('2C'!E41),"##BLANK",'2C'!E41)</f>
        <v>3.2069999999999999</v>
      </c>
    </row>
    <row r="260" spans="2:6">
      <c r="B260" s="219" t="str">
        <f>'2C'!V41</f>
        <v>B0040CAPXNH</v>
      </c>
      <c r="C260" s="219" t="s">
        <v>4354</v>
      </c>
      <c r="E260" s="249" t="s">
        <v>3641</v>
      </c>
      <c r="F260" s="255">
        <f>IF(ISBLANK('2C'!F41),"##BLANK",'2C'!F41)</f>
        <v>0</v>
      </c>
    </row>
    <row r="261" spans="2:6">
      <c r="B261" s="219" t="str">
        <f>'2C'!W41</f>
        <v>B0040CAPXT</v>
      </c>
      <c r="C261" s="219" t="s">
        <v>4355</v>
      </c>
      <c r="E261" s="249" t="s">
        <v>3641</v>
      </c>
      <c r="F261" s="255">
        <f>IF(ISBLANK('2C'!G41),"##BLANK",'2C'!G41)</f>
        <v>3.2069999999999999</v>
      </c>
    </row>
    <row r="262" spans="2:6">
      <c r="B262" s="219" t="str">
        <f>'2C'!U44</f>
        <v>R3006</v>
      </c>
      <c r="C262" s="219" t="s">
        <v>4356</v>
      </c>
      <c r="E262" s="249" t="s">
        <v>3641</v>
      </c>
      <c r="F262" s="255">
        <f>IF(ISBLANK('2C'!E44),"##BLANK",'2C'!E44)</f>
        <v>1.1200000000000001</v>
      </c>
    </row>
    <row r="263" spans="2:6">
      <c r="B263" s="219" t="str">
        <f>'2C'!U45</f>
        <v>R3007</v>
      </c>
      <c r="C263" s="219" t="s">
        <v>4357</v>
      </c>
      <c r="E263" s="249" t="s">
        <v>3641</v>
      </c>
      <c r="F263" s="255">
        <f>IF(ISBLANK('2C'!E45),"##BLANK",'2C'!E45)</f>
        <v>1.1200000000000001</v>
      </c>
    </row>
    <row r="264" spans="2:6">
      <c r="B264" s="219" t="str">
        <f>'2C'!U46</f>
        <v>R3008</v>
      </c>
      <c r="C264" s="219" t="s">
        <v>4358</v>
      </c>
      <c r="E264" s="249" t="s">
        <v>3641</v>
      </c>
      <c r="F264" s="255">
        <f>IF(ISBLANK('2C'!E46),"##BLANK",'2C'!E46)</f>
        <v>0</v>
      </c>
    </row>
    <row r="265" spans="2:6">
      <c r="B265" s="219" t="str">
        <f>'2C'!U48</f>
        <v>R3009</v>
      </c>
      <c r="C265" s="219" t="s">
        <v>4359</v>
      </c>
      <c r="E265" s="249" t="s">
        <v>3641</v>
      </c>
      <c r="F265" s="255">
        <f>IF(ISBLANK('2C'!E48),"##BLANK",'2C'!E48)</f>
        <v>1.2310000000000001</v>
      </c>
    </row>
    <row r="266" spans="2:6">
      <c r="B266" s="219" t="str">
        <f>'2C'!U49</f>
        <v>R3010</v>
      </c>
      <c r="C266" s="219" t="s">
        <v>4360</v>
      </c>
      <c r="E266" s="249" t="s">
        <v>3641</v>
      </c>
      <c r="F266" s="255">
        <f>IF(ISBLANK('2C'!E49),"##BLANK",'2C'!E49)</f>
        <v>1.2310000000000001</v>
      </c>
    </row>
    <row r="267" spans="2:6">
      <c r="B267" s="219" t="str">
        <f>'2C'!U50</f>
        <v>R3011</v>
      </c>
      <c r="C267" s="219" t="s">
        <v>4361</v>
      </c>
      <c r="E267" s="249" t="s">
        <v>3641</v>
      </c>
      <c r="F267" s="255">
        <f>IF(ISBLANK('2C'!E50),"##BLANK",'2C'!E50)</f>
        <v>0</v>
      </c>
    </row>
    <row r="268" spans="2:6">
      <c r="B268" s="219" t="str">
        <f>'2C'!U53</f>
        <v>B0041CARE</v>
      </c>
      <c r="C268" s="219" t="s">
        <v>4362</v>
      </c>
      <c r="E268" s="249" t="s">
        <v>3641</v>
      </c>
      <c r="F268" s="255">
        <f>IF(ISBLANK('2C'!E53),"##BLANK",'2C'!E53)</f>
        <v>175.54499999999999</v>
      </c>
    </row>
    <row r="269" spans="2:6">
      <c r="B269" s="219" t="str">
        <f>'2C'!U54</f>
        <v>B0042CAE</v>
      </c>
      <c r="C269" s="219" t="s">
        <v>4363</v>
      </c>
      <c r="E269" s="249" t="s">
        <v>3641</v>
      </c>
      <c r="F269" s="255">
        <f>IF(ISBLANK('2C'!E54),"##BLANK",'2C'!E54)</f>
        <v>147.08600000000001</v>
      </c>
    </row>
    <row r="270" spans="2:6">
      <c r="B270" s="219" t="str">
        <f>'2C'!U55</f>
        <v>B0043TAE</v>
      </c>
      <c r="C270" s="219" t="s">
        <v>4364</v>
      </c>
      <c r="E270" s="249" t="s">
        <v>3641</v>
      </c>
      <c r="F270" s="255">
        <f>IF(ISBLANK('2C'!E55),"##BLANK",'2C'!E55)</f>
        <v>247.49</v>
      </c>
    </row>
    <row r="271" spans="2:6">
      <c r="B271" s="219" t="str">
        <f>'2D'!AE8</f>
        <v>BM4012H</v>
      </c>
      <c r="C271" s="219" t="s">
        <v>4365</v>
      </c>
      <c r="E271" s="249" t="s">
        <v>3641</v>
      </c>
      <c r="F271" s="255">
        <f>IF(ISBLANK('2D'!E8),"##BLANK",'2D'!E8)</f>
        <v>30.855</v>
      </c>
    </row>
    <row r="272" spans="2:6">
      <c r="B272" s="219" t="str">
        <f>'2D'!AF8</f>
        <v>BM4012NH</v>
      </c>
      <c r="C272" s="219" t="s">
        <v>4366</v>
      </c>
      <c r="E272" s="249" t="s">
        <v>3641</v>
      </c>
      <c r="F272" s="255">
        <f>IF(ISBLANK('2D'!F8),"##BLANK",'2D'!F8)</f>
        <v>0</v>
      </c>
    </row>
    <row r="273" spans="2:6">
      <c r="B273" s="219" t="str">
        <f>'2D'!AG8</f>
        <v>BM4012WR</v>
      </c>
      <c r="C273" s="219" t="s">
        <v>4367</v>
      </c>
      <c r="E273" s="249" t="s">
        <v>3641</v>
      </c>
      <c r="F273" s="255">
        <f>IF(ISBLANK('2D'!G8),"##BLANK",'2D'!G8)</f>
        <v>335.82799999999997</v>
      </c>
    </row>
    <row r="274" spans="2:6">
      <c r="B274" s="219" t="str">
        <f>'2D'!AH8</f>
        <v>BM4012WN</v>
      </c>
      <c r="C274" s="219" t="s">
        <v>4368</v>
      </c>
      <c r="E274" s="249" t="s">
        <v>3641</v>
      </c>
      <c r="F274" s="255">
        <f>IF(ISBLANK('2D'!H8),"##BLANK",'2D'!H8)</f>
        <v>3457.4630000000002</v>
      </c>
    </row>
    <row r="275" spans="2:6">
      <c r="B275" s="219" t="str">
        <f>'2D'!AI8</f>
        <v>BM4012WNK</v>
      </c>
      <c r="C275" s="219" t="s">
        <v>4369</v>
      </c>
      <c r="E275" s="249" t="s">
        <v>3641</v>
      </c>
      <c r="F275" s="255">
        <f>IF(ISBLANK('2D'!I8),"##BLANK",'2D'!I8)</f>
        <v>3053.9549999999999</v>
      </c>
    </row>
    <row r="276" spans="2:6">
      <c r="B276" s="219" t="str">
        <f>'2D'!AJ8</f>
        <v>BM4012SG</v>
      </c>
      <c r="C276" s="219" t="s">
        <v>4370</v>
      </c>
      <c r="E276" s="249" t="s">
        <v>3641</v>
      </c>
      <c r="F276" s="255">
        <f>IF(ISBLANK('2D'!J8),"##BLANK",'2D'!J8)</f>
        <v>204.35900000000001</v>
      </c>
    </row>
    <row r="277" spans="2:6">
      <c r="B277" s="219" t="str">
        <f>'2D'!AK8</f>
        <v>BM4012STTT</v>
      </c>
      <c r="C277" s="219" t="s">
        <v>4371</v>
      </c>
      <c r="E277" s="249" t="s">
        <v>3641</v>
      </c>
      <c r="F277" s="255">
        <f>IF(ISBLANK('2D'!K8),"##BLANK",'2D'!K8)</f>
        <v>0</v>
      </c>
    </row>
    <row r="278" spans="2:6">
      <c r="B278" s="219" t="str">
        <f>'2D'!AL8</f>
        <v>BM4012CTOT</v>
      </c>
      <c r="C278" s="219" t="s">
        <v>4372</v>
      </c>
      <c r="E278" s="249" t="s">
        <v>3641</v>
      </c>
      <c r="F278" s="255">
        <f>IF(ISBLANK('2D'!L8),"##BLANK",'2D'!L8)</f>
        <v>7082.4600000000009</v>
      </c>
    </row>
    <row r="279" spans="2:6">
      <c r="B279" s="219" t="str">
        <f>'2D'!AE9</f>
        <v>BM4016H</v>
      </c>
      <c r="C279" s="219" t="s">
        <v>4373</v>
      </c>
      <c r="E279" s="249" t="s">
        <v>3641</v>
      </c>
      <c r="F279" s="255">
        <f>IF(ISBLANK('2D'!E9),"##BLANK",'2D'!E9)</f>
        <v>-0.13</v>
      </c>
    </row>
    <row r="280" spans="2:6">
      <c r="B280" s="219" t="str">
        <f>'2D'!AF9</f>
        <v>BM4016NH</v>
      </c>
      <c r="C280" s="219" t="s">
        <v>4374</v>
      </c>
      <c r="E280" s="249" t="s">
        <v>3641</v>
      </c>
      <c r="F280" s="255">
        <f>IF(ISBLANK('2D'!F9),"##BLANK",'2D'!F9)</f>
        <v>0</v>
      </c>
    </row>
    <row r="281" spans="2:6">
      <c r="B281" s="219" t="str">
        <f>'2D'!AG9</f>
        <v>BM4016WR</v>
      </c>
      <c r="C281" s="219" t="s">
        <v>4375</v>
      </c>
      <c r="E281" s="249" t="s">
        <v>3641</v>
      </c>
      <c r="F281" s="255">
        <f>IF(ISBLANK('2D'!G9),"##BLANK",'2D'!G9)</f>
        <v>-0.17599999999999999</v>
      </c>
    </row>
    <row r="282" spans="2:6">
      <c r="B282" s="219" t="str">
        <f>'2D'!AH9</f>
        <v>BM4016WN</v>
      </c>
      <c r="C282" s="219" t="s">
        <v>4376</v>
      </c>
      <c r="E282" s="249" t="s">
        <v>3641</v>
      </c>
      <c r="F282" s="255">
        <f>IF(ISBLANK('2D'!H9),"##BLANK",'2D'!H9)</f>
        <v>-11.561999999999999</v>
      </c>
    </row>
    <row r="283" spans="2:6">
      <c r="B283" s="219" t="str">
        <f>'2D'!AI9</f>
        <v>BM4016WNK</v>
      </c>
      <c r="C283" s="219" t="s">
        <v>4377</v>
      </c>
      <c r="E283" s="249" t="s">
        <v>3641</v>
      </c>
      <c r="F283" s="255">
        <f>IF(ISBLANK('2D'!I9),"##BLANK",'2D'!I9)</f>
        <v>-0.67200000000000004</v>
      </c>
    </row>
    <row r="284" spans="2:6">
      <c r="B284" s="219" t="str">
        <f>'2D'!AJ9</f>
        <v>BM4016SG</v>
      </c>
      <c r="C284" s="219" t="s">
        <v>4378</v>
      </c>
      <c r="E284" s="249" t="s">
        <v>3641</v>
      </c>
      <c r="F284" s="255">
        <f>IF(ISBLANK('2D'!J9),"##BLANK",'2D'!J9)</f>
        <v>-0.35899999999999999</v>
      </c>
    </row>
    <row r="285" spans="2:6">
      <c r="B285" s="219" t="str">
        <f>'2D'!AK9</f>
        <v>BM4016STTT</v>
      </c>
      <c r="C285" s="219" t="s">
        <v>4379</v>
      </c>
      <c r="E285" s="249" t="s">
        <v>3641</v>
      </c>
      <c r="F285" s="255">
        <f>IF(ISBLANK('2D'!K9),"##BLANK",'2D'!K9)</f>
        <v>0</v>
      </c>
    </row>
    <row r="286" spans="2:6">
      <c r="B286" s="219" t="str">
        <f>'2D'!AL9</f>
        <v>BM4016CTOT</v>
      </c>
      <c r="C286" s="219" t="s">
        <v>4380</v>
      </c>
      <c r="E286" s="249" t="s">
        <v>3641</v>
      </c>
      <c r="F286" s="255">
        <f>IF(ISBLANK('2D'!L9),"##BLANK",'2D'!L9)</f>
        <v>-12.898999999999999</v>
      </c>
    </row>
    <row r="287" spans="2:6">
      <c r="B287" s="219" t="str">
        <f>'2D'!AE10</f>
        <v>BM4017H</v>
      </c>
      <c r="C287" s="219" t="s">
        <v>4381</v>
      </c>
      <c r="E287" s="249" t="s">
        <v>3641</v>
      </c>
      <c r="F287" s="255">
        <f>IF(ISBLANK('2D'!E10),"##BLANK",'2D'!E10)</f>
        <v>1.1309999999999998</v>
      </c>
    </row>
    <row r="288" spans="2:6">
      <c r="B288" s="219" t="str">
        <f>'2D'!AF10</f>
        <v>BM4017NH</v>
      </c>
      <c r="C288" s="219" t="s">
        <v>4382</v>
      </c>
      <c r="E288" s="249" t="s">
        <v>3641</v>
      </c>
      <c r="F288" s="255">
        <f>IF(ISBLANK('2D'!F10),"##BLANK",'2D'!F10)</f>
        <v>0</v>
      </c>
    </row>
    <row r="289" spans="2:6">
      <c r="B289" s="219" t="str">
        <f>'2D'!AG10</f>
        <v>BM4017WR</v>
      </c>
      <c r="C289" s="219" t="s">
        <v>4383</v>
      </c>
      <c r="E289" s="249" t="s">
        <v>3641</v>
      </c>
      <c r="F289" s="255">
        <f>IF(ISBLANK('2D'!G10),"##BLANK",'2D'!G10)</f>
        <v>24.204999999999998</v>
      </c>
    </row>
    <row r="290" spans="2:6">
      <c r="B290" s="219" t="str">
        <f>'2D'!AH10</f>
        <v>BM4017WN</v>
      </c>
      <c r="C290" s="219" t="s">
        <v>4384</v>
      </c>
      <c r="E290" s="249" t="s">
        <v>3641</v>
      </c>
      <c r="F290" s="255">
        <f>IF(ISBLANK('2D'!H10),"##BLANK",'2D'!H10)</f>
        <v>152.53700000000001</v>
      </c>
    </row>
    <row r="291" spans="2:6">
      <c r="B291" s="219" t="str">
        <f>'2D'!AI10</f>
        <v>BM4017WNK</v>
      </c>
      <c r="C291" s="219" t="s">
        <v>4385</v>
      </c>
      <c r="E291" s="249" t="s">
        <v>3641</v>
      </c>
      <c r="F291" s="255">
        <f>IF(ISBLANK('2D'!I10),"##BLANK",'2D'!I10)</f>
        <v>99.057000000000002</v>
      </c>
    </row>
    <row r="292" spans="2:6">
      <c r="B292" s="219" t="str">
        <f>'2D'!AJ10</f>
        <v>BM4017SG</v>
      </c>
      <c r="C292" s="219" t="s">
        <v>4386</v>
      </c>
      <c r="E292" s="249" t="s">
        <v>3641</v>
      </c>
      <c r="F292" s="255">
        <f>IF(ISBLANK('2D'!J10),"##BLANK",'2D'!J10)</f>
        <v>3.5230000000000001</v>
      </c>
    </row>
    <row r="293" spans="2:6">
      <c r="B293" s="219" t="str">
        <f>'2D'!AK10</f>
        <v>BM4017STTT</v>
      </c>
      <c r="C293" s="219" t="s">
        <v>4387</v>
      </c>
      <c r="E293" s="249" t="s">
        <v>3641</v>
      </c>
      <c r="F293" s="255">
        <f>IF(ISBLANK('2D'!K10),"##BLANK",'2D'!K10)</f>
        <v>0</v>
      </c>
    </row>
    <row r="294" spans="2:6">
      <c r="B294" s="219" t="str">
        <f>'2D'!AL10</f>
        <v>BM4017CTOT</v>
      </c>
      <c r="C294" s="219" t="s">
        <v>4388</v>
      </c>
      <c r="E294" s="249" t="s">
        <v>3641</v>
      </c>
      <c r="F294" s="255">
        <f>IF(ISBLANK('2D'!L10),"##BLANK",'2D'!L10)</f>
        <v>280.45300000000003</v>
      </c>
    </row>
    <row r="295" spans="2:6">
      <c r="B295" s="219" t="str">
        <f>'2D'!AE11</f>
        <v>BM4021H</v>
      </c>
      <c r="C295" s="219" t="s">
        <v>4389</v>
      </c>
      <c r="E295" s="249" t="s">
        <v>3641</v>
      </c>
      <c r="F295" s="255">
        <f>IF(ISBLANK('2D'!E11),"##BLANK",'2D'!E11)</f>
        <v>4.3999999999999997E-2</v>
      </c>
    </row>
    <row r="296" spans="2:6">
      <c r="B296" s="219" t="str">
        <f>'2D'!AF11</f>
        <v>BM4021NH</v>
      </c>
      <c r="C296" s="219" t="s">
        <v>4390</v>
      </c>
      <c r="E296" s="249" t="s">
        <v>3641</v>
      </c>
      <c r="F296" s="255">
        <f>IF(ISBLANK('2D'!F11),"##BLANK",'2D'!F11)</f>
        <v>0</v>
      </c>
    </row>
    <row r="297" spans="2:6">
      <c r="B297" s="219" t="str">
        <f>'2D'!AG11</f>
        <v>BM4021WR</v>
      </c>
      <c r="C297" s="219" t="s">
        <v>4391</v>
      </c>
      <c r="E297" s="249" t="s">
        <v>3641</v>
      </c>
      <c r="F297" s="255">
        <f>IF(ISBLANK('2D'!G11),"##BLANK",'2D'!G11)</f>
        <v>-0.23300000000000001</v>
      </c>
    </row>
    <row r="298" spans="2:6">
      <c r="B298" s="219" t="str">
        <f>'2D'!AH11</f>
        <v>BM4021WN</v>
      </c>
      <c r="C298" s="219" t="s">
        <v>4392</v>
      </c>
      <c r="E298" s="249" t="s">
        <v>3641</v>
      </c>
      <c r="F298" s="255">
        <f>IF(ISBLANK('2D'!H11),"##BLANK",'2D'!H11)</f>
        <v>0.31900000000000001</v>
      </c>
    </row>
    <row r="299" spans="2:6">
      <c r="B299" s="219" t="str">
        <f>'2D'!AI11</f>
        <v>BM4021WNK</v>
      </c>
      <c r="C299" s="219" t="s">
        <v>4393</v>
      </c>
      <c r="E299" s="249" t="s">
        <v>3641</v>
      </c>
      <c r="F299" s="255">
        <f>IF(ISBLANK('2D'!I11),"##BLANK",'2D'!I11)</f>
        <v>-0.22500000000000001</v>
      </c>
    </row>
    <row r="300" spans="2:6">
      <c r="B300" s="219" t="str">
        <f>'2D'!AJ11</f>
        <v>BM4021SG</v>
      </c>
      <c r="C300" s="219" t="s">
        <v>4394</v>
      </c>
      <c r="E300" s="249" t="s">
        <v>3641</v>
      </c>
      <c r="F300" s="255">
        <f>IF(ISBLANK('2D'!J11),"##BLANK",'2D'!J11)</f>
        <v>9.5000000000000001E-2</v>
      </c>
    </row>
    <row r="301" spans="2:6">
      <c r="B301" s="219" t="str">
        <f>'2D'!AK11</f>
        <v>BM4021STTT</v>
      </c>
      <c r="C301" s="219" t="s">
        <v>4395</v>
      </c>
      <c r="E301" s="249" t="s">
        <v>3641</v>
      </c>
      <c r="F301" s="255">
        <f>IF(ISBLANK('2D'!K11),"##BLANK",'2D'!K11)</f>
        <v>0</v>
      </c>
    </row>
    <row r="302" spans="2:6">
      <c r="B302" s="219" t="str">
        <f>'2D'!AL11</f>
        <v>BM4021CTOT</v>
      </c>
      <c r="C302" s="219" t="s">
        <v>4396</v>
      </c>
      <c r="E302" s="249" t="s">
        <v>3641</v>
      </c>
      <c r="F302" s="255">
        <f>IF(ISBLANK('2D'!L11),"##BLANK",'2D'!L11)</f>
        <v>0</v>
      </c>
    </row>
    <row r="303" spans="2:6">
      <c r="B303" s="219" t="str">
        <f>'2D'!AE12</f>
        <v>BM4019H</v>
      </c>
      <c r="C303" s="219" t="s">
        <v>4397</v>
      </c>
      <c r="E303" s="249" t="s">
        <v>3641</v>
      </c>
      <c r="F303" s="255">
        <f>IF(ISBLANK('2D'!E12),"##BLANK",'2D'!E12)</f>
        <v>0</v>
      </c>
    </row>
    <row r="304" spans="2:6">
      <c r="B304" s="219" t="str">
        <f>'2D'!AF12</f>
        <v>BM4019NH</v>
      </c>
      <c r="C304" s="219" t="s">
        <v>4398</v>
      </c>
      <c r="E304" s="249" t="s">
        <v>3641</v>
      </c>
      <c r="F304" s="255">
        <f>IF(ISBLANK('2D'!F12),"##BLANK",'2D'!F12)</f>
        <v>0</v>
      </c>
    </row>
    <row r="305" spans="2:6">
      <c r="B305" s="219" t="str">
        <f>'2D'!AG12</f>
        <v>BM4019WR</v>
      </c>
      <c r="C305" s="219" t="s">
        <v>4399</v>
      </c>
      <c r="E305" s="249" t="s">
        <v>3641</v>
      </c>
      <c r="F305" s="255">
        <f>IF(ISBLANK('2D'!G12),"##BLANK",'2D'!G12)</f>
        <v>0</v>
      </c>
    </row>
    <row r="306" spans="2:6">
      <c r="B306" s="219" t="str">
        <f>'2D'!AH12</f>
        <v>BM4019WN</v>
      </c>
      <c r="C306" s="219" t="s">
        <v>4400</v>
      </c>
      <c r="E306" s="249" t="s">
        <v>3641</v>
      </c>
      <c r="F306" s="255">
        <f>IF(ISBLANK('2D'!H12),"##BLANK",'2D'!H12)</f>
        <v>2.6179999999999999</v>
      </c>
    </row>
    <row r="307" spans="2:6">
      <c r="B307" s="219" t="str">
        <f>'2D'!AI12</f>
        <v>BM4019WNK</v>
      </c>
      <c r="C307" s="219" t="s">
        <v>4401</v>
      </c>
      <c r="E307" s="249" t="s">
        <v>3641</v>
      </c>
      <c r="F307" s="255">
        <f>IF(ISBLANK('2D'!I12),"##BLANK",'2D'!I12)</f>
        <v>24.195</v>
      </c>
    </row>
    <row r="308" spans="2:6">
      <c r="B308" s="219" t="str">
        <f>'2D'!AJ12</f>
        <v>BM4019SG</v>
      </c>
      <c r="C308" s="219" t="s">
        <v>4402</v>
      </c>
      <c r="E308" s="249" t="s">
        <v>3641</v>
      </c>
      <c r="F308" s="255">
        <f>IF(ISBLANK('2D'!J12),"##BLANK",'2D'!J12)</f>
        <v>0</v>
      </c>
    </row>
    <row r="309" spans="2:6">
      <c r="B309" s="219" t="str">
        <f>'2D'!AK12</f>
        <v>BM4019STTT</v>
      </c>
      <c r="C309" s="219" t="s">
        <v>4403</v>
      </c>
      <c r="E309" s="249" t="s">
        <v>3641</v>
      </c>
      <c r="F309" s="255">
        <f>IF(ISBLANK('2D'!K12),"##BLANK",'2D'!K12)</f>
        <v>0</v>
      </c>
    </row>
    <row r="310" spans="2:6">
      <c r="B310" s="219" t="str">
        <f>'2D'!AL12</f>
        <v>BM4019CTOT</v>
      </c>
      <c r="C310" s="219" t="s">
        <v>4404</v>
      </c>
      <c r="E310" s="249" t="s">
        <v>3641</v>
      </c>
      <c r="F310" s="255">
        <f>IF(ISBLANK('2D'!L12),"##BLANK",'2D'!L12)</f>
        <v>26.812999999999999</v>
      </c>
    </row>
    <row r="311" spans="2:6">
      <c r="B311" s="219" t="str">
        <f>'2D'!AE13</f>
        <v>BM4018H</v>
      </c>
      <c r="C311" s="219" t="s">
        <v>4405</v>
      </c>
      <c r="E311" s="249" t="s">
        <v>3641</v>
      </c>
      <c r="F311" s="255">
        <f>IF(ISBLANK('2D'!E13),"##BLANK",'2D'!E13)</f>
        <v>31.900000000000002</v>
      </c>
    </row>
    <row r="312" spans="2:6">
      <c r="B312" s="219" t="str">
        <f>'2D'!AF13</f>
        <v>BM4018NH</v>
      </c>
      <c r="C312" s="219" t="s">
        <v>4406</v>
      </c>
      <c r="E312" s="249" t="s">
        <v>3641</v>
      </c>
      <c r="F312" s="255">
        <f>IF(ISBLANK('2D'!F13),"##BLANK",'2D'!F13)</f>
        <v>0</v>
      </c>
    </row>
    <row r="313" spans="2:6">
      <c r="B313" s="219" t="str">
        <f>'2D'!AG13</f>
        <v>BM4018WR</v>
      </c>
      <c r="C313" s="219" t="s">
        <v>4407</v>
      </c>
      <c r="E313" s="249" t="s">
        <v>3641</v>
      </c>
      <c r="F313" s="255">
        <f>IF(ISBLANK('2D'!G13),"##BLANK",'2D'!G13)</f>
        <v>359.62399999999997</v>
      </c>
    </row>
    <row r="314" spans="2:6">
      <c r="B314" s="219" t="str">
        <f>'2D'!AH13</f>
        <v>BM4018WN</v>
      </c>
      <c r="C314" s="219" t="s">
        <v>4408</v>
      </c>
      <c r="E314" s="249" t="s">
        <v>3641</v>
      </c>
      <c r="F314" s="255">
        <f>IF(ISBLANK('2D'!H13),"##BLANK",'2D'!H13)</f>
        <v>3601.375</v>
      </c>
    </row>
    <row r="315" spans="2:6">
      <c r="B315" s="219" t="str">
        <f>'2D'!AI13</f>
        <v>BM4018WNK</v>
      </c>
      <c r="C315" s="219" t="s">
        <v>4409</v>
      </c>
      <c r="E315" s="249" t="s">
        <v>3641</v>
      </c>
      <c r="F315" s="255">
        <f>IF(ISBLANK('2D'!I13),"##BLANK",'2D'!I13)</f>
        <v>3176.31</v>
      </c>
    </row>
    <row r="316" spans="2:6">
      <c r="B316" s="219" t="str">
        <f>'2D'!AJ13</f>
        <v>BM4018SG</v>
      </c>
      <c r="C316" s="219" t="s">
        <v>4410</v>
      </c>
      <c r="E316" s="249" t="s">
        <v>3641</v>
      </c>
      <c r="F316" s="255">
        <f>IF(ISBLANK('2D'!J13),"##BLANK",'2D'!J13)</f>
        <v>207.61799999999999</v>
      </c>
    </row>
    <row r="317" spans="2:6">
      <c r="B317" s="219" t="str">
        <f>'2D'!AK13</f>
        <v>BM4018STTT</v>
      </c>
      <c r="C317" s="219" t="s">
        <v>4411</v>
      </c>
      <c r="E317" s="249" t="s">
        <v>3641</v>
      </c>
      <c r="F317" s="255">
        <f>IF(ISBLANK('2D'!K13),"##BLANK",'2D'!K13)</f>
        <v>0</v>
      </c>
    </row>
    <row r="318" spans="2:6">
      <c r="B318" s="219" t="str">
        <f>'2D'!AL13</f>
        <v>BM4018CTOT</v>
      </c>
      <c r="C318" s="219" t="s">
        <v>4412</v>
      </c>
      <c r="E318" s="249" t="s">
        <v>3641</v>
      </c>
      <c r="F318" s="255">
        <f>IF(ISBLANK('2D'!L13),"##BLANK",'2D'!L13)</f>
        <v>7376.8270000000002</v>
      </c>
    </row>
    <row r="319" spans="2:6">
      <c r="B319" s="219" t="str">
        <f>'2D'!AE16</f>
        <v>BM4041H</v>
      </c>
      <c r="C319" s="219" t="s">
        <v>4413</v>
      </c>
      <c r="E319" s="249" t="s">
        <v>3641</v>
      </c>
      <c r="F319" s="255">
        <f>IF(ISBLANK('2D'!E16),"##BLANK",'2D'!E16)</f>
        <v>-25.111000000000001</v>
      </c>
    </row>
    <row r="320" spans="2:6">
      <c r="B320" s="219" t="str">
        <f>'2D'!AF16</f>
        <v>BM4041NH</v>
      </c>
      <c r="C320" s="219" t="s">
        <v>4414</v>
      </c>
      <c r="E320" s="249" t="s">
        <v>3641</v>
      </c>
      <c r="F320" s="255">
        <f>IF(ISBLANK('2D'!F16),"##BLANK",'2D'!F16)</f>
        <v>0</v>
      </c>
    </row>
    <row r="321" spans="2:6">
      <c r="B321" s="219" t="str">
        <f>'2D'!AG16</f>
        <v>BM4041WR</v>
      </c>
      <c r="C321" s="219" t="s">
        <v>4367</v>
      </c>
      <c r="E321" s="249" t="s">
        <v>3641</v>
      </c>
      <c r="F321" s="255">
        <f>IF(ISBLANK('2D'!G16),"##BLANK",'2D'!G16)</f>
        <v>-75.466000000000008</v>
      </c>
    </row>
    <row r="322" spans="2:6">
      <c r="B322" s="219" t="str">
        <f>'2D'!AH16</f>
        <v>BM4041WN</v>
      </c>
      <c r="C322" s="219" t="s">
        <v>4368</v>
      </c>
      <c r="E322" s="249" t="s">
        <v>3641</v>
      </c>
      <c r="F322" s="255">
        <f>IF(ISBLANK('2D'!H16),"##BLANK",'2D'!H16)</f>
        <v>-1294.6089999999999</v>
      </c>
    </row>
    <row r="323" spans="2:6">
      <c r="B323" s="219" t="str">
        <f>'2D'!AI16</f>
        <v>BM4041WNK</v>
      </c>
      <c r="C323" s="219" t="s">
        <v>4369</v>
      </c>
      <c r="E323" s="249" t="s">
        <v>3641</v>
      </c>
      <c r="F323" s="255">
        <f>IF(ISBLANK('2D'!I16),"##BLANK",'2D'!I16)</f>
        <v>-886.57600000000002</v>
      </c>
    </row>
    <row r="324" spans="2:6">
      <c r="B324" s="219" t="str">
        <f>'2D'!AJ16</f>
        <v>BM4041SG</v>
      </c>
      <c r="C324" s="219" t="s">
        <v>4370</v>
      </c>
      <c r="E324" s="249" t="s">
        <v>3641</v>
      </c>
      <c r="F324" s="255">
        <f>IF(ISBLANK('2D'!J16),"##BLANK",'2D'!J16)</f>
        <v>-141.72300000000001</v>
      </c>
    </row>
    <row r="325" spans="2:6">
      <c r="B325" s="219" t="str">
        <f>'2D'!AK16</f>
        <v>BM4041STTT</v>
      </c>
      <c r="C325" s="219" t="s">
        <v>4371</v>
      </c>
      <c r="E325" s="249" t="s">
        <v>3641</v>
      </c>
      <c r="F325" s="255">
        <f>IF(ISBLANK('2D'!K16),"##BLANK",'2D'!K16)</f>
        <v>0</v>
      </c>
    </row>
    <row r="326" spans="2:6">
      <c r="B326" s="219" t="str">
        <f>'2D'!AL16</f>
        <v>BM041CTOT</v>
      </c>
      <c r="C326" s="219" t="s">
        <v>4415</v>
      </c>
      <c r="E326" s="249" t="s">
        <v>3641</v>
      </c>
      <c r="F326" s="255">
        <f>IF(ISBLANK('2D'!L16),"##BLANK",'2D'!L16)</f>
        <v>-2423.4849999999997</v>
      </c>
    </row>
    <row r="327" spans="2:6">
      <c r="B327" s="219" t="str">
        <f>'2D'!AE17</f>
        <v>BM4045H</v>
      </c>
      <c r="C327" s="219" t="s">
        <v>4373</v>
      </c>
      <c r="E327" s="249" t="s">
        <v>3641</v>
      </c>
      <c r="F327" s="255">
        <f>IF(ISBLANK('2D'!E17),"##BLANK",'2D'!E17)</f>
        <v>0.128</v>
      </c>
    </row>
    <row r="328" spans="2:6">
      <c r="B328" s="219" t="str">
        <f>'2D'!AF17</f>
        <v>BM4045NH</v>
      </c>
      <c r="C328" s="219" t="s">
        <v>4416</v>
      </c>
      <c r="E328" s="249" t="s">
        <v>3641</v>
      </c>
      <c r="F328" s="255">
        <f>IF(ISBLANK('2D'!F17),"##BLANK",'2D'!F17)</f>
        <v>0</v>
      </c>
    </row>
    <row r="329" spans="2:6">
      <c r="B329" s="219" t="str">
        <f>'2D'!AG17</f>
        <v>BM4045WR</v>
      </c>
      <c r="C329" s="219" t="s">
        <v>4375</v>
      </c>
      <c r="E329" s="249" t="s">
        <v>3641</v>
      </c>
      <c r="F329" s="255">
        <f>IF(ISBLANK('2D'!G17),"##BLANK",'2D'!G17)</f>
        <v>7.8E-2</v>
      </c>
    </row>
    <row r="330" spans="2:6">
      <c r="B330" s="219" t="str">
        <f>'2D'!AH17</f>
        <v>BM4045WN</v>
      </c>
      <c r="C330" s="219" t="s">
        <v>4376</v>
      </c>
      <c r="E330" s="249" t="s">
        <v>3641</v>
      </c>
      <c r="F330" s="255">
        <f>IF(ISBLANK('2D'!H17),"##BLANK",'2D'!H17)</f>
        <v>7.3109999999999999</v>
      </c>
    </row>
    <row r="331" spans="2:6">
      <c r="B331" s="219" t="str">
        <f>'2D'!AI17</f>
        <v>BM4045WNK</v>
      </c>
      <c r="C331" s="219" t="s">
        <v>4377</v>
      </c>
      <c r="E331" s="249" t="s">
        <v>3641</v>
      </c>
      <c r="F331" s="255">
        <f>IF(ISBLANK('2D'!I17),"##BLANK",'2D'!I17)</f>
        <v>0.66600000000000004</v>
      </c>
    </row>
    <row r="332" spans="2:6">
      <c r="B332" s="219" t="str">
        <f>'2D'!AJ17</f>
        <v>BM4045SG</v>
      </c>
      <c r="C332" s="219" t="s">
        <v>4378</v>
      </c>
      <c r="E332" s="249" t="s">
        <v>3641</v>
      </c>
      <c r="F332" s="255">
        <f>IF(ISBLANK('2D'!J17),"##BLANK",'2D'!J17)</f>
        <v>0.35399999999999998</v>
      </c>
    </row>
    <row r="333" spans="2:6">
      <c r="B333" s="219" t="str">
        <f>'2D'!AK17</f>
        <v>BM4045STTT</v>
      </c>
      <c r="C333" s="219" t="s">
        <v>4379</v>
      </c>
      <c r="E333" s="249" t="s">
        <v>3641</v>
      </c>
      <c r="F333" s="255">
        <f>IF(ISBLANK('2D'!K17),"##BLANK",'2D'!K17)</f>
        <v>0</v>
      </c>
    </row>
    <row r="334" spans="2:6">
      <c r="B334" s="219" t="str">
        <f>'2D'!AL17</f>
        <v>BM4045CTOT</v>
      </c>
      <c r="C334" s="219" t="s">
        <v>4417</v>
      </c>
      <c r="E334" s="249" t="s">
        <v>3641</v>
      </c>
      <c r="F334" s="255">
        <f>IF(ISBLANK('2D'!L17),"##BLANK",'2D'!L17)</f>
        <v>8.536999999999999</v>
      </c>
    </row>
    <row r="335" spans="2:6">
      <c r="B335" s="219" t="str">
        <f>'2D'!AE18</f>
        <v>BM4053H</v>
      </c>
      <c r="C335" s="219" t="s">
        <v>4418</v>
      </c>
      <c r="E335" s="249" t="s">
        <v>3641</v>
      </c>
      <c r="F335" s="255">
        <f>IF(ISBLANK('2D'!E18),"##BLANK",'2D'!E18)</f>
        <v>0.13100000000000001</v>
      </c>
    </row>
    <row r="336" spans="2:6">
      <c r="B336" s="219" t="str">
        <f>'2D'!AF18</f>
        <v>BM4053NH</v>
      </c>
      <c r="C336" s="219" t="s">
        <v>4419</v>
      </c>
      <c r="E336" s="249" t="s">
        <v>3641</v>
      </c>
      <c r="F336" s="255">
        <f>IF(ISBLANK('2D'!F18),"##BLANK",'2D'!F18)</f>
        <v>0</v>
      </c>
    </row>
    <row r="337" spans="2:6">
      <c r="B337" s="219" t="str">
        <f>'2D'!AG18</f>
        <v>BM4053WR</v>
      </c>
      <c r="C337" s="219" t="s">
        <v>4420</v>
      </c>
      <c r="E337" s="249" t="s">
        <v>3641</v>
      </c>
      <c r="F337" s="255">
        <f>IF(ISBLANK('2D'!G18),"##BLANK",'2D'!G18)</f>
        <v>-8.9999999999999993E-3</v>
      </c>
    </row>
    <row r="338" spans="2:6">
      <c r="B338" s="219" t="str">
        <f>'2D'!AH18</f>
        <v>BM4053WN</v>
      </c>
      <c r="C338" s="219" t="s">
        <v>4421</v>
      </c>
      <c r="E338" s="249" t="s">
        <v>3641</v>
      </c>
      <c r="F338" s="255">
        <f>IF(ISBLANK('2D'!H18),"##BLANK",'2D'!H18)</f>
        <v>-1.6E-2</v>
      </c>
    </row>
    <row r="339" spans="2:6">
      <c r="B339" s="219" t="str">
        <f>'2D'!AI18</f>
        <v>BM4053WWNK</v>
      </c>
      <c r="C339" s="219" t="s">
        <v>4422</v>
      </c>
      <c r="E339" s="249" t="s">
        <v>3641</v>
      </c>
      <c r="F339" s="255">
        <f>IF(ISBLANK('2D'!I18),"##BLANK",'2D'!I18)</f>
        <v>0.12</v>
      </c>
    </row>
    <row r="340" spans="2:6">
      <c r="B340" s="219" t="str">
        <f>'2D'!AJ18</f>
        <v>BM4053SG</v>
      </c>
      <c r="C340" s="219" t="s">
        <v>4423</v>
      </c>
      <c r="E340" s="249" t="s">
        <v>3641</v>
      </c>
      <c r="F340" s="255">
        <f>IF(ISBLANK('2D'!J18),"##BLANK",'2D'!J18)</f>
        <v>-0.22600000000000001</v>
      </c>
    </row>
    <row r="341" spans="2:6">
      <c r="B341" s="219" t="str">
        <f>'2D'!AK18</f>
        <v>BM4053STTT</v>
      </c>
      <c r="C341" s="219" t="s">
        <v>4424</v>
      </c>
      <c r="E341" s="249" t="s">
        <v>3641</v>
      </c>
      <c r="F341" s="255">
        <f>IF(ISBLANK('2D'!K18),"##BLANK",'2D'!K18)</f>
        <v>0</v>
      </c>
    </row>
    <row r="342" spans="2:6">
      <c r="B342" s="219" t="str">
        <f>'2D'!AL18</f>
        <v>BM4053TOT</v>
      </c>
      <c r="C342" s="219" t="s">
        <v>4425</v>
      </c>
      <c r="E342" s="249" t="s">
        <v>3641</v>
      </c>
      <c r="F342" s="255">
        <f>IF(ISBLANK('2D'!L18),"##BLANK",'2D'!L18)</f>
        <v>0</v>
      </c>
    </row>
    <row r="343" spans="2:6">
      <c r="B343" s="219" t="str">
        <f>'2D'!AE19</f>
        <v>BM4046H</v>
      </c>
      <c r="C343" s="219" t="s">
        <v>4426</v>
      </c>
      <c r="E343" s="249" t="s">
        <v>3641</v>
      </c>
      <c r="F343" s="255">
        <f>IF(ISBLANK('2D'!E19),"##BLANK",'2D'!E19)</f>
        <v>-2.0990000000000002</v>
      </c>
    </row>
    <row r="344" spans="2:6">
      <c r="B344" s="219" t="str">
        <f>'2D'!AF19</f>
        <v>BM4046NH</v>
      </c>
      <c r="C344" s="219" t="s">
        <v>4427</v>
      </c>
      <c r="E344" s="249" t="s">
        <v>3641</v>
      </c>
      <c r="F344" s="255">
        <f>IF(ISBLANK('2D'!F19),"##BLANK",'2D'!F19)</f>
        <v>0</v>
      </c>
    </row>
    <row r="345" spans="2:6">
      <c r="B345" s="219" t="str">
        <f>'2D'!AG19</f>
        <v>BM4046WR</v>
      </c>
      <c r="C345" s="219" t="s">
        <v>4428</v>
      </c>
      <c r="E345" s="249" t="s">
        <v>3641</v>
      </c>
      <c r="F345" s="255">
        <f>IF(ISBLANK('2D'!G19),"##BLANK",'2D'!G19)</f>
        <v>-5.8570000000000002</v>
      </c>
    </row>
    <row r="346" spans="2:6">
      <c r="B346" s="219" t="str">
        <f>'2D'!AH19</f>
        <v>BM4046WN</v>
      </c>
      <c r="C346" s="219" t="s">
        <v>4429</v>
      </c>
      <c r="E346" s="249" t="s">
        <v>3641</v>
      </c>
      <c r="F346" s="255">
        <f>IF(ISBLANK('2D'!H19),"##BLANK",'2D'!H19)</f>
        <v>-68.921000000000006</v>
      </c>
    </row>
    <row r="347" spans="2:6">
      <c r="B347" s="219" t="str">
        <f>'2D'!AI19</f>
        <v>BM4046WNK</v>
      </c>
      <c r="C347" s="219" t="s">
        <v>4430</v>
      </c>
      <c r="E347" s="249" t="s">
        <v>3641</v>
      </c>
      <c r="F347" s="255">
        <f>IF(ISBLANK('2D'!I19),"##BLANK",'2D'!I19)</f>
        <v>-52.238999999999997</v>
      </c>
    </row>
    <row r="348" spans="2:6">
      <c r="B348" s="219" t="str">
        <f>'2D'!AJ19</f>
        <v>BM4046SG</v>
      </c>
      <c r="C348" s="219" t="s">
        <v>4431</v>
      </c>
      <c r="E348" s="249" t="s">
        <v>3641</v>
      </c>
      <c r="F348" s="255">
        <f>IF(ISBLANK('2D'!J19),"##BLANK",'2D'!J19)</f>
        <v>-7.9189999999999996</v>
      </c>
    </row>
    <row r="349" spans="2:6">
      <c r="B349" s="219" t="str">
        <f>'2D'!AK19</f>
        <v>BM4046STTT</v>
      </c>
      <c r="C349" s="219" t="s">
        <v>4432</v>
      </c>
      <c r="E349" s="249" t="s">
        <v>3641</v>
      </c>
      <c r="F349" s="255">
        <f>IF(ISBLANK('2D'!K19),"##BLANK",'2D'!K19)</f>
        <v>0</v>
      </c>
    </row>
    <row r="350" spans="2:6">
      <c r="B350" s="219" t="str">
        <f>'2D'!AL19</f>
        <v>BM4046CTOT</v>
      </c>
      <c r="C350" s="219" t="s">
        <v>4433</v>
      </c>
      <c r="E350" s="249" t="s">
        <v>3641</v>
      </c>
      <c r="F350" s="255">
        <f>IF(ISBLANK('2D'!L19),"##BLANK",'2D'!L19)</f>
        <v>-137.03500000000003</v>
      </c>
    </row>
    <row r="351" spans="2:6">
      <c r="B351" s="219" t="str">
        <f>'2D'!AE20</f>
        <v>BM4047H</v>
      </c>
      <c r="C351" s="219" t="s">
        <v>4434</v>
      </c>
      <c r="E351" s="249" t="s">
        <v>3641</v>
      </c>
      <c r="F351" s="255">
        <f>IF(ISBLANK('2D'!E20),"##BLANK",'2D'!E20)</f>
        <v>-26.951000000000001</v>
      </c>
    </row>
    <row r="352" spans="2:6">
      <c r="B352" s="219" t="str">
        <f>'2D'!AF20</f>
        <v>BM4047NH</v>
      </c>
      <c r="C352" s="219" t="s">
        <v>4435</v>
      </c>
      <c r="E352" s="249" t="s">
        <v>3641</v>
      </c>
      <c r="F352" s="255">
        <f>IF(ISBLANK('2D'!F20),"##BLANK",'2D'!F20)</f>
        <v>0</v>
      </c>
    </row>
    <row r="353" spans="2:6">
      <c r="B353" s="219" t="str">
        <f>'2D'!AG20</f>
        <v>BM4047WR</v>
      </c>
      <c r="C353" s="219" t="s">
        <v>4407</v>
      </c>
      <c r="E353" s="249" t="s">
        <v>3641</v>
      </c>
      <c r="F353" s="255">
        <f>IF(ISBLANK('2D'!G20),"##BLANK",'2D'!G20)</f>
        <v>-81.254000000000005</v>
      </c>
    </row>
    <row r="354" spans="2:6">
      <c r="B354" s="219" t="str">
        <f>'2D'!AH20</f>
        <v>BM4047WN</v>
      </c>
      <c r="C354" s="219" t="s">
        <v>4408</v>
      </c>
      <c r="E354" s="249" t="s">
        <v>3641</v>
      </c>
      <c r="F354" s="255">
        <f>IF(ISBLANK('2D'!H20),"##BLANK",'2D'!H20)</f>
        <v>-1356.2350000000001</v>
      </c>
    </row>
    <row r="355" spans="2:6">
      <c r="B355" s="219" t="str">
        <f>'2D'!AI20</f>
        <v>BM4047WNK</v>
      </c>
      <c r="C355" s="219" t="s">
        <v>4409</v>
      </c>
      <c r="E355" s="249" t="s">
        <v>3641</v>
      </c>
      <c r="F355" s="255">
        <f>IF(ISBLANK('2D'!I20),"##BLANK",'2D'!I20)</f>
        <v>-938.029</v>
      </c>
    </row>
    <row r="356" spans="2:6">
      <c r="B356" s="219" t="str">
        <f>'2D'!AJ20</f>
        <v>BM4047SG</v>
      </c>
      <c r="C356" s="219" t="s">
        <v>4410</v>
      </c>
      <c r="E356" s="249" t="s">
        <v>3641</v>
      </c>
      <c r="F356" s="255">
        <f>IF(ISBLANK('2D'!J20),"##BLANK",'2D'!J20)</f>
        <v>-149.51400000000001</v>
      </c>
    </row>
    <row r="357" spans="2:6">
      <c r="B357" s="219" t="str">
        <f>'2D'!AK20</f>
        <v>BM4047STTT</v>
      </c>
      <c r="C357" s="219" t="s">
        <v>4411</v>
      </c>
      <c r="E357" s="249" t="s">
        <v>3641</v>
      </c>
      <c r="F357" s="255">
        <f>IF(ISBLANK('2D'!K20),"##BLANK",'2D'!K20)</f>
        <v>0</v>
      </c>
    </row>
    <row r="358" spans="2:6">
      <c r="B358" s="219" t="str">
        <f>'2D'!AL20</f>
        <v>BM4047CTOT</v>
      </c>
      <c r="C358" s="219" t="s">
        <v>4436</v>
      </c>
      <c r="E358" s="249" t="s">
        <v>3641</v>
      </c>
      <c r="F358" s="255">
        <f>IF(ISBLANK('2D'!L20),"##BLANK",'2D'!L20)</f>
        <v>-2551.9830000000002</v>
      </c>
    </row>
    <row r="359" spans="2:6">
      <c r="B359" s="219" t="str">
        <f>'2D'!AE22</f>
        <v>BM4048H</v>
      </c>
      <c r="C359" s="219" t="s">
        <v>4437</v>
      </c>
      <c r="E359" s="249" t="s">
        <v>3641</v>
      </c>
      <c r="F359" s="255">
        <f>IF(ISBLANK('2D'!E22),"##BLANK",'2D'!E22)</f>
        <v>4.9490000000000016</v>
      </c>
    </row>
    <row r="360" spans="2:6">
      <c r="B360" s="219" t="str">
        <f>'2D'!AF22</f>
        <v>BM4048NH</v>
      </c>
      <c r="C360" s="219" t="s">
        <v>4438</v>
      </c>
      <c r="E360" s="249" t="s">
        <v>3641</v>
      </c>
      <c r="F360" s="255">
        <f>IF(ISBLANK('2D'!F22),"##BLANK",'2D'!F22)</f>
        <v>0</v>
      </c>
    </row>
    <row r="361" spans="2:6">
      <c r="B361" s="219" t="str">
        <f>'2D'!AG22</f>
        <v>BM4048WR</v>
      </c>
      <c r="C361" s="219" t="s">
        <v>4439</v>
      </c>
      <c r="E361" s="249" t="s">
        <v>3641</v>
      </c>
      <c r="F361" s="255">
        <f>IF(ISBLANK('2D'!G22),"##BLANK",'2D'!G22)</f>
        <v>278.36999999999995</v>
      </c>
    </row>
    <row r="362" spans="2:6">
      <c r="B362" s="219" t="str">
        <f>'2D'!AH22</f>
        <v>BM4048WN</v>
      </c>
      <c r="C362" s="219" t="s">
        <v>4440</v>
      </c>
      <c r="E362" s="249" t="s">
        <v>3641</v>
      </c>
      <c r="F362" s="255">
        <f>IF(ISBLANK('2D'!H22),"##BLANK",'2D'!H22)</f>
        <v>2245.14</v>
      </c>
    </row>
    <row r="363" spans="2:6">
      <c r="B363" s="219" t="str">
        <f>'2D'!AI22</f>
        <v>BM4048WNK</v>
      </c>
      <c r="C363" s="219" t="s">
        <v>4441</v>
      </c>
      <c r="E363" s="249" t="s">
        <v>3641</v>
      </c>
      <c r="F363" s="255">
        <f>IF(ISBLANK('2D'!I22),"##BLANK",'2D'!I22)</f>
        <v>2238.2809999999999</v>
      </c>
    </row>
    <row r="364" spans="2:6">
      <c r="B364" s="219" t="str">
        <f>'2D'!AJ22</f>
        <v>BM4048SG</v>
      </c>
      <c r="C364" s="219" t="s">
        <v>4442</v>
      </c>
      <c r="E364" s="249" t="s">
        <v>3641</v>
      </c>
      <c r="F364" s="255">
        <f>IF(ISBLANK('2D'!J22),"##BLANK",'2D'!J22)</f>
        <v>58.103999999999985</v>
      </c>
    </row>
    <row r="365" spans="2:6">
      <c r="B365" s="219" t="str">
        <f>'2D'!AK22</f>
        <v>BM4048STTT</v>
      </c>
      <c r="C365" s="219" t="s">
        <v>4443</v>
      </c>
      <c r="E365" s="249" t="s">
        <v>3641</v>
      </c>
      <c r="F365" s="255">
        <f>IF(ISBLANK('2D'!K22),"##BLANK",'2D'!K22)</f>
        <v>0</v>
      </c>
    </row>
    <row r="366" spans="2:6">
      <c r="B366" s="219" t="str">
        <f>'2D'!AL22</f>
        <v>BM4048CTOT</v>
      </c>
      <c r="C366" s="219" t="s">
        <v>4444</v>
      </c>
      <c r="E366" s="249" t="s">
        <v>3641</v>
      </c>
      <c r="F366" s="255">
        <f>IF(ISBLANK('2D'!L22),"##BLANK",'2D'!L22)</f>
        <v>4824.8440000000001</v>
      </c>
    </row>
    <row r="367" spans="2:6">
      <c r="B367" s="219" t="str">
        <f>'2D'!AE24</f>
        <v>BM4049H</v>
      </c>
      <c r="C367" s="219" t="s">
        <v>4445</v>
      </c>
      <c r="E367" s="249" t="s">
        <v>3641</v>
      </c>
      <c r="F367" s="255">
        <f>IF(ISBLANK('2D'!E24),"##BLANK",'2D'!E24)</f>
        <v>5.7439999999999998</v>
      </c>
    </row>
    <row r="368" spans="2:6">
      <c r="B368" s="219" t="str">
        <f>'2D'!AF24</f>
        <v>BM4049NH</v>
      </c>
      <c r="C368" s="219" t="s">
        <v>4446</v>
      </c>
      <c r="E368" s="249" t="s">
        <v>3641</v>
      </c>
      <c r="F368" s="255">
        <f>IF(ISBLANK('2D'!F24),"##BLANK",'2D'!F24)</f>
        <v>0</v>
      </c>
    </row>
    <row r="369" spans="2:6">
      <c r="B369" s="219" t="str">
        <f>'2D'!AG24</f>
        <v>BM4049WR</v>
      </c>
      <c r="C369" s="219" t="s">
        <v>4447</v>
      </c>
      <c r="E369" s="249" t="s">
        <v>3641</v>
      </c>
      <c r="F369" s="255">
        <f>IF(ISBLANK('2D'!G24),"##BLANK",'2D'!G24)</f>
        <v>260.36199999999997</v>
      </c>
    </row>
    <row r="370" spans="2:6">
      <c r="B370" s="219" t="str">
        <f>'2D'!AH24</f>
        <v>BM4049WN</v>
      </c>
      <c r="C370" s="219" t="s">
        <v>4448</v>
      </c>
      <c r="E370" s="249" t="s">
        <v>3641</v>
      </c>
      <c r="F370" s="255">
        <f>IF(ISBLANK('2D'!H24),"##BLANK",'2D'!H24)</f>
        <v>2162.8540000000003</v>
      </c>
    </row>
    <row r="371" spans="2:6">
      <c r="B371" s="219" t="str">
        <f>'2D'!AI24</f>
        <v>BM4049WNK</v>
      </c>
      <c r="C371" s="219" t="s">
        <v>4449</v>
      </c>
      <c r="E371" s="249" t="s">
        <v>3641</v>
      </c>
      <c r="F371" s="255">
        <f>IF(ISBLANK('2D'!I24),"##BLANK",'2D'!I24)</f>
        <v>2167.3789999999999</v>
      </c>
    </row>
    <row r="372" spans="2:6">
      <c r="B372" s="219" t="str">
        <f>'2D'!AJ24</f>
        <v>BM4049SG</v>
      </c>
      <c r="C372" s="219" t="s">
        <v>4450</v>
      </c>
      <c r="E372" s="249" t="s">
        <v>3641</v>
      </c>
      <c r="F372" s="255">
        <f>IF(ISBLANK('2D'!J24),"##BLANK",'2D'!J24)</f>
        <v>62.635999999999996</v>
      </c>
    </row>
    <row r="373" spans="2:6">
      <c r="B373" s="219" t="str">
        <f>'2D'!AK24</f>
        <v>BM4049STTT</v>
      </c>
      <c r="C373" s="219" t="s">
        <v>4451</v>
      </c>
      <c r="E373" s="249" t="s">
        <v>3641</v>
      </c>
      <c r="F373" s="255">
        <f>IF(ISBLANK('2D'!K24),"##BLANK",'2D'!K24)</f>
        <v>0</v>
      </c>
    </row>
    <row r="374" spans="2:6">
      <c r="B374" s="219" t="str">
        <f>'2D'!AL24</f>
        <v>BM4049CTOT</v>
      </c>
      <c r="C374" s="219" t="s">
        <v>4452</v>
      </c>
      <c r="E374" s="249" t="s">
        <v>3641</v>
      </c>
      <c r="F374" s="255">
        <f>IF(ISBLANK('2D'!L24),"##BLANK",'2D'!L24)</f>
        <v>4658.9750000000004</v>
      </c>
    </row>
    <row r="375" spans="2:6">
      <c r="B375" s="219" t="str">
        <f>'2D'!AE27</f>
        <v>BM4051H</v>
      </c>
      <c r="C375" s="219" t="s">
        <v>4453</v>
      </c>
      <c r="E375" s="249" t="s">
        <v>3641</v>
      </c>
      <c r="F375" s="255">
        <f>IF(ISBLANK('2D'!E27),"##BLANK",'2D'!E27)</f>
        <v>-2.0990000000000002</v>
      </c>
    </row>
    <row r="376" spans="2:6">
      <c r="B376" s="219" t="str">
        <f>'2D'!AF27</f>
        <v>BM4051NH</v>
      </c>
      <c r="C376" s="219" t="s">
        <v>4454</v>
      </c>
      <c r="E376" s="249" t="s">
        <v>3641</v>
      </c>
      <c r="F376" s="255">
        <f>IF(ISBLANK('2D'!F27),"##BLANK",'2D'!F27)</f>
        <v>0</v>
      </c>
    </row>
    <row r="377" spans="2:6">
      <c r="B377" s="219" t="str">
        <f>'2D'!AG27</f>
        <v>BM4051WR</v>
      </c>
      <c r="C377" s="219" t="s">
        <v>4455</v>
      </c>
      <c r="E377" s="249" t="s">
        <v>3641</v>
      </c>
      <c r="F377" s="255">
        <f>IF(ISBLANK('2D'!G27),"##BLANK",'2D'!G27)</f>
        <v>-5.5360000000000005</v>
      </c>
    </row>
    <row r="378" spans="2:6">
      <c r="B378" s="219" t="str">
        <f>'2D'!AH27</f>
        <v>BM4051WN</v>
      </c>
      <c r="C378" s="219" t="s">
        <v>4456</v>
      </c>
      <c r="E378" s="249" t="s">
        <v>3641</v>
      </c>
      <c r="F378" s="255">
        <f>IF(ISBLANK('2D'!H27),"##BLANK",'2D'!H27)</f>
        <v>-68.921000000000006</v>
      </c>
    </row>
    <row r="379" spans="2:6">
      <c r="B379" s="219" t="str">
        <f>'2D'!AI27</f>
        <v>BM4051WNK</v>
      </c>
      <c r="C379" s="219" t="s">
        <v>4457</v>
      </c>
      <c r="E379" s="249" t="s">
        <v>3641</v>
      </c>
      <c r="F379" s="255">
        <f>IF(ISBLANK('2D'!I27),"##BLANK",'2D'!I27)</f>
        <v>-52.238999999999997</v>
      </c>
    </row>
    <row r="380" spans="2:6">
      <c r="B380" s="219" t="str">
        <f>'2D'!AJ27</f>
        <v>BM4051SG</v>
      </c>
      <c r="C380" s="219" t="s">
        <v>4458</v>
      </c>
      <c r="E380" s="249" t="s">
        <v>3641</v>
      </c>
      <c r="F380" s="255">
        <f>IF(ISBLANK('2D'!J27),"##BLANK",'2D'!J27)</f>
        <v>-7.9189999999999996</v>
      </c>
    </row>
    <row r="381" spans="2:6">
      <c r="B381" s="219" t="str">
        <f>'2D'!AK27</f>
        <v>BM4051STTT</v>
      </c>
      <c r="C381" s="219" t="s">
        <v>4459</v>
      </c>
      <c r="E381" s="249" t="s">
        <v>3641</v>
      </c>
      <c r="F381" s="255">
        <f>IF(ISBLANK('2D'!K27),"##BLANK",'2D'!K27)</f>
        <v>0</v>
      </c>
    </row>
    <row r="382" spans="2:6">
      <c r="B382" s="219" t="str">
        <f>'2D'!AL27</f>
        <v>BM4051CTOT</v>
      </c>
      <c r="C382" s="219" t="s">
        <v>4460</v>
      </c>
      <c r="E382" s="249" t="s">
        <v>3641</v>
      </c>
      <c r="F382" s="255">
        <f>IF(ISBLANK('2D'!L27),"##BLANK",'2D'!L27)</f>
        <v>-136.71400000000003</v>
      </c>
    </row>
    <row r="383" spans="2:6">
      <c r="B383" s="219" t="str">
        <f>'2D'!AE28</f>
        <v>BM334H</v>
      </c>
      <c r="C383" s="219" t="s">
        <v>4461</v>
      </c>
      <c r="E383" s="249" t="s">
        <v>3641</v>
      </c>
      <c r="F383" s="255">
        <f>IF(ISBLANK('2D'!E28),"##BLANK",'2D'!E28)</f>
        <v>0</v>
      </c>
    </row>
    <row r="384" spans="2:6">
      <c r="B384" s="219" t="str">
        <f>'2D'!AF28</f>
        <v>BM334NH</v>
      </c>
      <c r="C384" s="219" t="s">
        <v>4462</v>
      </c>
      <c r="E384" s="249" t="s">
        <v>3641</v>
      </c>
      <c r="F384" s="255">
        <f>IF(ISBLANK('2D'!F28),"##BLANK",'2D'!F28)</f>
        <v>0</v>
      </c>
    </row>
    <row r="385" spans="2:6">
      <c r="B385" s="219" t="str">
        <f>'2D'!AG28</f>
        <v>BM334WR</v>
      </c>
      <c r="C385" s="219" t="s">
        <v>4463</v>
      </c>
      <c r="E385" s="249" t="s">
        <v>3641</v>
      </c>
      <c r="F385" s="255">
        <f>IF(ISBLANK('2D'!G28),"##BLANK",'2D'!G28)</f>
        <v>-0.32100000000000001</v>
      </c>
    </row>
    <row r="386" spans="2:6">
      <c r="B386" s="219" t="str">
        <f>'2D'!AH28</f>
        <v>BM334WN</v>
      </c>
      <c r="C386" s="219" t="s">
        <v>4464</v>
      </c>
      <c r="E386" s="249" t="s">
        <v>3641</v>
      </c>
      <c r="F386" s="255">
        <f>IF(ISBLANK('2D'!H28),"##BLANK",'2D'!H28)</f>
        <v>0</v>
      </c>
    </row>
    <row r="387" spans="2:6">
      <c r="B387" s="219" t="str">
        <f>'2D'!AI28</f>
        <v>BM334WNK</v>
      </c>
      <c r="C387" s="219" t="s">
        <v>4465</v>
      </c>
      <c r="E387" s="249" t="s">
        <v>3641</v>
      </c>
      <c r="F387" s="255">
        <f>IF(ISBLANK('2D'!I28),"##BLANK",'2D'!I28)</f>
        <v>0</v>
      </c>
    </row>
    <row r="388" spans="2:6">
      <c r="B388" s="219" t="str">
        <f>'2D'!AJ28</f>
        <v>BM334SG</v>
      </c>
      <c r="C388" s="219" t="s">
        <v>4466</v>
      </c>
      <c r="E388" s="249" t="s">
        <v>3641</v>
      </c>
      <c r="F388" s="255">
        <f>IF(ISBLANK('2D'!J28),"##BLANK",'2D'!J28)</f>
        <v>0</v>
      </c>
    </row>
    <row r="389" spans="2:6">
      <c r="B389" s="219" t="str">
        <f>'2D'!AK28</f>
        <v>BM334STTT</v>
      </c>
      <c r="C389" s="219" t="s">
        <v>4467</v>
      </c>
      <c r="E389" s="249" t="s">
        <v>3641</v>
      </c>
      <c r="F389" s="255">
        <f>IF(ISBLANK('2D'!K28),"##BLANK",'2D'!K28)</f>
        <v>0</v>
      </c>
    </row>
    <row r="390" spans="2:6">
      <c r="B390" s="219" t="str">
        <f>'2D'!AL28</f>
        <v>BM334CTOT</v>
      </c>
      <c r="C390" s="219" t="s">
        <v>4468</v>
      </c>
      <c r="E390" s="249" t="s">
        <v>3641</v>
      </c>
      <c r="F390" s="255">
        <f>IF(ISBLANK('2D'!L28),"##BLANK",'2D'!L28)</f>
        <v>-0.32100000000000001</v>
      </c>
    </row>
    <row r="391" spans="2:6">
      <c r="B391" s="219" t="str">
        <f>'2D'!AE29</f>
        <v>BM4052H</v>
      </c>
      <c r="C391" s="219" t="s">
        <v>4469</v>
      </c>
      <c r="E391" s="249" t="s">
        <v>3641</v>
      </c>
      <c r="F391" s="255">
        <f>IF(ISBLANK('2D'!E29),"##BLANK",'2D'!E29)</f>
        <v>-2.0990000000000002</v>
      </c>
    </row>
    <row r="392" spans="2:6">
      <c r="B392" s="219" t="str">
        <f>'2D'!AF29</f>
        <v>BM4052NH</v>
      </c>
      <c r="C392" s="219" t="s">
        <v>4470</v>
      </c>
      <c r="E392" s="249" t="s">
        <v>3641</v>
      </c>
      <c r="F392" s="255">
        <f>IF(ISBLANK('2D'!F29),"##BLANK",'2D'!F29)</f>
        <v>0</v>
      </c>
    </row>
    <row r="393" spans="2:6">
      <c r="B393" s="219" t="str">
        <f>'2D'!AG29</f>
        <v>BM4052WR</v>
      </c>
      <c r="C393" s="219" t="s">
        <v>4471</v>
      </c>
      <c r="E393" s="249" t="s">
        <v>3641</v>
      </c>
      <c r="F393" s="255">
        <f>IF(ISBLANK('2D'!G29),"##BLANK",'2D'!G29)</f>
        <v>-5.8570000000000002</v>
      </c>
    </row>
    <row r="394" spans="2:6">
      <c r="B394" s="219" t="str">
        <f>'2D'!AH29</f>
        <v>BM4052WN</v>
      </c>
      <c r="C394" s="219" t="s">
        <v>4472</v>
      </c>
      <c r="E394" s="249" t="s">
        <v>3641</v>
      </c>
      <c r="F394" s="255">
        <f>IF(ISBLANK('2D'!H29),"##BLANK",'2D'!H29)</f>
        <v>-68.921000000000006</v>
      </c>
    </row>
    <row r="395" spans="2:6">
      <c r="B395" s="219" t="str">
        <f>'2D'!AI29</f>
        <v>BM4052WNK</v>
      </c>
      <c r="C395" s="219" t="s">
        <v>4473</v>
      </c>
      <c r="E395" s="249" t="s">
        <v>3641</v>
      </c>
      <c r="F395" s="255">
        <f>IF(ISBLANK('2D'!I29),"##BLANK",'2D'!I29)</f>
        <v>-52.238999999999997</v>
      </c>
    </row>
    <row r="396" spans="2:6">
      <c r="B396" s="219" t="str">
        <f>'2D'!AJ29</f>
        <v>BM4052SG</v>
      </c>
      <c r="C396" s="219" t="s">
        <v>4474</v>
      </c>
      <c r="E396" s="249" t="s">
        <v>3641</v>
      </c>
      <c r="F396" s="255">
        <f>IF(ISBLANK('2D'!J29),"##BLANK",'2D'!J29)</f>
        <v>-7.9189999999999996</v>
      </c>
    </row>
    <row r="397" spans="2:6">
      <c r="B397" s="219" t="str">
        <f>'2D'!AK29</f>
        <v>BM4052STTT</v>
      </c>
      <c r="C397" s="219" t="s">
        <v>4475</v>
      </c>
      <c r="E397" s="249" t="s">
        <v>3641</v>
      </c>
      <c r="F397" s="255">
        <f>IF(ISBLANK('2D'!K29),"##BLANK",'2D'!K29)</f>
        <v>0</v>
      </c>
    </row>
    <row r="398" spans="2:6">
      <c r="B398" s="219" t="str">
        <f>'2D'!AL29</f>
        <v>BM4052CTOT</v>
      </c>
      <c r="C398" s="219" t="s">
        <v>4476</v>
      </c>
      <c r="E398" s="249" t="s">
        <v>3641</v>
      </c>
      <c r="F398" s="255">
        <f>IF(ISBLANK('2D'!L29),"##BLANK",'2D'!L29)</f>
        <v>-137.03500000000003</v>
      </c>
    </row>
    <row r="399" spans="2:6">
      <c r="B399" s="219" t="str">
        <f>'2E'!W8</f>
        <v>B0041DFRIS</v>
      </c>
      <c r="C399" s="219" t="s">
        <v>4477</v>
      </c>
      <c r="E399" s="249" t="s">
        <v>3641</v>
      </c>
      <c r="F399" s="255">
        <f>IF(ISBLANK('2E'!E8),"##BLANK",'2E'!E8)</f>
        <v>0</v>
      </c>
    </row>
    <row r="400" spans="2:6">
      <c r="B400" s="219" t="str">
        <f>'2E'!X8</f>
        <v>B0041DCAIS</v>
      </c>
      <c r="C400" s="219" t="s">
        <v>4478</v>
      </c>
      <c r="E400" s="249" t="s">
        <v>3641</v>
      </c>
      <c r="F400" s="255">
        <f>IF(ISBLANK('2E'!F8),"##BLANK",'2E'!F8)</f>
        <v>0</v>
      </c>
    </row>
    <row r="401" spans="2:6">
      <c r="B401" s="219" t="str">
        <f>'2E'!Y8</f>
        <v>B0041DFNC</v>
      </c>
      <c r="C401" s="219" t="s">
        <v>4479</v>
      </c>
      <c r="E401" s="249" t="s">
        <v>3641</v>
      </c>
      <c r="F401" s="255">
        <f>IF(ISBLANK('2E'!G8),"##BLANK",'2E'!G8)</f>
        <v>0</v>
      </c>
    </row>
    <row r="402" spans="2:6">
      <c r="B402" s="219" t="str">
        <f>'2E'!Z8</f>
        <v>B0041DTOT</v>
      </c>
      <c r="C402" s="219" t="s">
        <v>4480</v>
      </c>
      <c r="E402" s="249" t="s">
        <v>3641</v>
      </c>
      <c r="F402" s="255">
        <f>IF(ISBLANK('2E'!H8),"##BLANK",'2E'!H8)</f>
        <v>0</v>
      </c>
    </row>
    <row r="403" spans="2:6">
      <c r="B403" s="219" t="str">
        <f>'2E'!W9</f>
        <v>B0042OCFRIS</v>
      </c>
      <c r="C403" s="219" t="s">
        <v>4481</v>
      </c>
      <c r="E403" s="249" t="s">
        <v>3641</v>
      </c>
      <c r="F403" s="255">
        <f>IF(ISBLANK('2E'!E9),"##BLANK",'2E'!E9)</f>
        <v>0</v>
      </c>
    </row>
    <row r="404" spans="2:6">
      <c r="B404" s="219" t="str">
        <f>'2E'!X9</f>
        <v>B0042OCCAIS</v>
      </c>
      <c r="C404" s="219" t="s">
        <v>4482</v>
      </c>
      <c r="E404" s="249" t="s">
        <v>3641</v>
      </c>
      <c r="F404" s="255">
        <f>IF(ISBLANK('2E'!F9),"##BLANK",'2E'!F9)</f>
        <v>0</v>
      </c>
    </row>
    <row r="405" spans="2:6">
      <c r="B405" s="219" t="str">
        <f>'2E'!Y9</f>
        <v>B0042OCFNC</v>
      </c>
      <c r="C405" s="219" t="s">
        <v>4483</v>
      </c>
      <c r="E405" s="249" t="s">
        <v>3641</v>
      </c>
      <c r="F405" s="255">
        <f>IF(ISBLANK('2E'!G9),"##BLANK",'2E'!G9)</f>
        <v>0</v>
      </c>
    </row>
    <row r="406" spans="2:6">
      <c r="B406" s="219" t="str">
        <f>'2E'!Z9</f>
        <v>B0042OCTOT</v>
      </c>
      <c r="C406" s="219" t="s">
        <v>4484</v>
      </c>
      <c r="E406" s="249" t="s">
        <v>3641</v>
      </c>
      <c r="F406" s="255">
        <f>IF(ISBLANK('2E'!H9),"##BLANK",'2E'!H9)</f>
        <v>0</v>
      </c>
    </row>
    <row r="407" spans="2:6">
      <c r="B407" s="219" t="str">
        <f>'2E'!W10</f>
        <v>B0043PCFRIS</v>
      </c>
      <c r="C407" s="219" t="s">
        <v>4485</v>
      </c>
      <c r="E407" s="249" t="s">
        <v>3641</v>
      </c>
      <c r="F407" s="255">
        <f>IF(ISBLANK('2E'!E10),"##BLANK",'2E'!E10)</f>
        <v>0</v>
      </c>
    </row>
    <row r="408" spans="2:6">
      <c r="B408" s="219" t="str">
        <f>'2E'!X10</f>
        <v>B0043PCCAIS</v>
      </c>
      <c r="C408" s="219" t="s">
        <v>4486</v>
      </c>
      <c r="E408" s="249" t="s">
        <v>3641</v>
      </c>
      <c r="F408" s="255">
        <f>IF(ISBLANK('2E'!F10),"##BLANK",'2E'!F10)</f>
        <v>0</v>
      </c>
    </row>
    <row r="409" spans="2:6">
      <c r="B409" s="219" t="str">
        <f>'2E'!Y10</f>
        <v>B0043PCFNC</v>
      </c>
      <c r="C409" s="219" t="s">
        <v>4487</v>
      </c>
      <c r="E409" s="249" t="s">
        <v>3641</v>
      </c>
      <c r="F409" s="255">
        <f>IF(ISBLANK('2E'!G10),"##BLANK",'2E'!G10)</f>
        <v>0</v>
      </c>
    </row>
    <row r="410" spans="2:6">
      <c r="B410" s="219" t="str">
        <f>'2E'!Z10</f>
        <v>B0043PCTOT</v>
      </c>
      <c r="C410" s="219" t="s">
        <v>4488</v>
      </c>
      <c r="E410" s="249" t="s">
        <v>3641</v>
      </c>
      <c r="F410" s="255">
        <f>IF(ISBLANK('2E'!H10),"##BLANK",'2E'!H10)</f>
        <v>0</v>
      </c>
    </row>
    <row r="411" spans="2:6">
      <c r="B411" s="219" t="str">
        <f>'2E'!W11</f>
        <v>B0044DNFRIS</v>
      </c>
      <c r="C411" s="219" t="s">
        <v>4489</v>
      </c>
      <c r="E411" s="249" t="s">
        <v>3641</v>
      </c>
      <c r="F411" s="255">
        <f>IF(ISBLANK('2E'!E11),"##BLANK",'2E'!E11)</f>
        <v>0</v>
      </c>
    </row>
    <row r="412" spans="2:6">
      <c r="B412" s="219" t="str">
        <f>'2E'!X11</f>
        <v>B0044DNCAIS</v>
      </c>
      <c r="C412" s="219" t="s">
        <v>4490</v>
      </c>
      <c r="E412" s="249" t="s">
        <v>3641</v>
      </c>
      <c r="F412" s="255">
        <f>IF(ISBLANK('2E'!F11),"##BLANK",'2E'!F11)</f>
        <v>0</v>
      </c>
    </row>
    <row r="413" spans="2:6">
      <c r="B413" s="219" t="str">
        <f>'2E'!Y11</f>
        <v>B0044DNFNC</v>
      </c>
      <c r="C413" s="219" t="s">
        <v>4491</v>
      </c>
      <c r="E413" s="249" t="s">
        <v>3641</v>
      </c>
      <c r="F413" s="255">
        <f>IF(ISBLANK('2E'!G11),"##BLANK",'2E'!G11)</f>
        <v>0</v>
      </c>
    </row>
    <row r="414" spans="2:6">
      <c r="B414" s="219" t="str">
        <f>'2E'!Z11</f>
        <v>B0044DNTOT</v>
      </c>
      <c r="C414" s="219" t="s">
        <v>4492</v>
      </c>
      <c r="E414" s="249" t="s">
        <v>3641</v>
      </c>
      <c r="F414" s="255">
        <f>IF(ISBLANK('2E'!H11),"##BLANK",'2E'!H11)</f>
        <v>0</v>
      </c>
    </row>
    <row r="415" spans="2:6">
      <c r="B415" s="219" t="str">
        <f>'2E'!W12</f>
        <v>B0045DOFRIS</v>
      </c>
      <c r="C415" s="219" t="s">
        <v>4493</v>
      </c>
      <c r="E415" s="249" t="s">
        <v>3641</v>
      </c>
      <c r="F415" s="255">
        <f>IF(ISBLANK('2E'!E12),"##BLANK",'2E'!E12)</f>
        <v>0</v>
      </c>
    </row>
    <row r="416" spans="2:6">
      <c r="B416" s="219" t="str">
        <f>'2E'!X12</f>
        <v>B0045DOCAIS</v>
      </c>
      <c r="C416" s="219" t="s">
        <v>4494</v>
      </c>
      <c r="E416" s="249" t="s">
        <v>3641</v>
      </c>
      <c r="F416" s="255">
        <f>IF(ISBLANK('2E'!F12),"##BLANK",'2E'!F12)</f>
        <v>0</v>
      </c>
    </row>
    <row r="417" spans="2:6">
      <c r="B417" s="219" t="str">
        <f>'2E'!Y12</f>
        <v>B0045DOFNC</v>
      </c>
      <c r="C417" s="219" t="s">
        <v>4495</v>
      </c>
      <c r="E417" s="249" t="s">
        <v>3641</v>
      </c>
      <c r="F417" s="255">
        <f>IF(ISBLANK('2E'!G12),"##BLANK",'2E'!G12)</f>
        <v>0</v>
      </c>
    </row>
    <row r="418" spans="2:6">
      <c r="B418" s="219" t="str">
        <f>'2E'!Z12</f>
        <v>B0045DOTOT</v>
      </c>
      <c r="C418" s="219" t="s">
        <v>4496</v>
      </c>
      <c r="E418" s="249" t="s">
        <v>3641</v>
      </c>
      <c r="F418" s="255">
        <f>IF(ISBLANK('2E'!H12),"##BLANK",'2E'!H12)</f>
        <v>0</v>
      </c>
    </row>
    <row r="419" spans="2:6">
      <c r="B419" s="219" t="str">
        <f>'2E'!W13</f>
        <v>B0046OCFRIS</v>
      </c>
      <c r="C419" s="219" t="s">
        <v>4497</v>
      </c>
      <c r="E419" s="249" t="s">
        <v>3641</v>
      </c>
      <c r="F419" s="255">
        <f>IF(ISBLANK('2E'!E13),"##BLANK",'2E'!E13)</f>
        <v>0</v>
      </c>
    </row>
    <row r="420" spans="2:6">
      <c r="B420" s="219" t="str">
        <f>'2E'!X13</f>
        <v>B0046OCCAIS</v>
      </c>
      <c r="C420" s="219" t="s">
        <v>4498</v>
      </c>
      <c r="E420" s="249" t="s">
        <v>3641</v>
      </c>
      <c r="F420" s="255">
        <f>IF(ISBLANK('2E'!F13),"##BLANK",'2E'!F13)</f>
        <v>0</v>
      </c>
    </row>
    <row r="421" spans="2:6">
      <c r="B421" s="219" t="str">
        <f>'2E'!Y13</f>
        <v>B0046OCFNC</v>
      </c>
      <c r="C421" s="219" t="s">
        <v>4499</v>
      </c>
      <c r="E421" s="249" t="s">
        <v>3641</v>
      </c>
      <c r="F421" s="255">
        <f>IF(ISBLANK('2E'!G13),"##BLANK",'2E'!G13)</f>
        <v>0</v>
      </c>
    </row>
    <row r="422" spans="2:6">
      <c r="B422" s="219" t="str">
        <f>'2E'!Z13</f>
        <v>B0046OCTOT</v>
      </c>
      <c r="C422" s="219" t="s">
        <v>4500</v>
      </c>
      <c r="E422" s="249" t="s">
        <v>3641</v>
      </c>
      <c r="F422" s="255">
        <f>IF(ISBLANK('2E'!H13),"##BLANK",'2E'!H13)</f>
        <v>0</v>
      </c>
    </row>
    <row r="423" spans="2:6">
      <c r="B423" s="219" t="str">
        <f>'2E'!W14</f>
        <v>B0047TTFRIS</v>
      </c>
      <c r="C423" s="219" t="s">
        <v>4501</v>
      </c>
      <c r="E423" s="249" t="s">
        <v>3641</v>
      </c>
      <c r="F423" s="255">
        <f>IF(ISBLANK('2E'!E14),"##BLANK",'2E'!E14)</f>
        <v>0</v>
      </c>
    </row>
    <row r="424" spans="2:6">
      <c r="B424" s="219" t="str">
        <f>'2E'!X14</f>
        <v>B0047TTCAIS</v>
      </c>
      <c r="C424" s="219" t="s">
        <v>4502</v>
      </c>
      <c r="E424" s="249" t="s">
        <v>3641</v>
      </c>
      <c r="F424" s="255">
        <f>IF(ISBLANK('2E'!F14),"##BLANK",'2E'!F14)</f>
        <v>0</v>
      </c>
    </row>
    <row r="425" spans="2:6">
      <c r="B425" s="219" t="str">
        <f>'2E'!Y14</f>
        <v>B0047TTFNC</v>
      </c>
      <c r="C425" s="219" t="s">
        <v>4503</v>
      </c>
      <c r="E425" s="249" t="s">
        <v>3641</v>
      </c>
      <c r="F425" s="255">
        <f>IF(ISBLANK('2E'!G14),"##BLANK",'2E'!G14)</f>
        <v>0</v>
      </c>
    </row>
    <row r="426" spans="2:6">
      <c r="B426" s="219" t="str">
        <f>'2E'!Z14</f>
        <v>B0047TTTOT</v>
      </c>
      <c r="C426" s="219" t="s">
        <v>4504</v>
      </c>
      <c r="E426" s="249" t="s">
        <v>3641</v>
      </c>
      <c r="F426" s="255">
        <f>IF(ISBLANK('2E'!H14),"##BLANK",'2E'!H14)</f>
        <v>0</v>
      </c>
    </row>
    <row r="427" spans="2:6">
      <c r="B427" s="219" t="str">
        <f>'2E'!W16</f>
        <v>B0048VAFRIS</v>
      </c>
      <c r="C427" s="219" t="s">
        <v>4505</v>
      </c>
      <c r="E427" s="249" t="s">
        <v>3641</v>
      </c>
      <c r="F427" s="255">
        <f>IF(ISBLANK('2E'!E16),"##BLANK",'2E'!E16)</f>
        <v>0</v>
      </c>
    </row>
    <row r="428" spans="2:6">
      <c r="B428" s="219" t="str">
        <f>'2E'!X16</f>
        <v>B0048VACAIS</v>
      </c>
      <c r="C428" s="219" t="s">
        <v>4506</v>
      </c>
      <c r="E428" s="249" t="s">
        <v>3641</v>
      </c>
      <c r="F428" s="255">
        <f>IF(ISBLANK('2E'!F16),"##BLANK",'2E'!F16)</f>
        <v>0</v>
      </c>
    </row>
    <row r="429" spans="2:6">
      <c r="B429" s="219" t="str">
        <f>'2E'!Z16</f>
        <v>B0048VATOT</v>
      </c>
      <c r="C429" s="219" t="s">
        <v>4507</v>
      </c>
      <c r="E429" s="249" t="s">
        <v>3641</v>
      </c>
      <c r="F429" s="255">
        <f>IF(ISBLANK('2E'!H16),"##BLANK",'2E'!H16)</f>
        <v>0</v>
      </c>
    </row>
    <row r="430" spans="2:6">
      <c r="B430" s="219" t="str">
        <f>'2E'!W19</f>
        <v>B0049CCFRIS</v>
      </c>
      <c r="C430" s="219" t="s">
        <v>4508</v>
      </c>
      <c r="E430" s="249" t="s">
        <v>3641</v>
      </c>
      <c r="F430" s="255">
        <f>IF(ISBLANK('2E'!E19),"##BLANK",'2E'!E19)</f>
        <v>0</v>
      </c>
    </row>
    <row r="431" spans="2:6">
      <c r="B431" s="219" t="str">
        <f>'2E'!X19</f>
        <v>B0049CCCAIS</v>
      </c>
      <c r="C431" s="219" t="s">
        <v>4509</v>
      </c>
      <c r="E431" s="249" t="s">
        <v>3641</v>
      </c>
      <c r="F431" s="255">
        <f>IF(ISBLANK('2E'!F19),"##BLANK",'2E'!F19)</f>
        <v>9.2469999999999999</v>
      </c>
    </row>
    <row r="432" spans="2:6">
      <c r="B432" s="219" t="str">
        <f>'2E'!Y19</f>
        <v>B0049CCFNC</v>
      </c>
      <c r="C432" s="219" t="s">
        <v>4510</v>
      </c>
      <c r="E432" s="249" t="s">
        <v>3641</v>
      </c>
      <c r="F432" s="255">
        <f>IF(ISBLANK('2E'!G19),"##BLANK",'2E'!G19)</f>
        <v>0</v>
      </c>
    </row>
    <row r="433" spans="2:6">
      <c r="B433" s="219" t="str">
        <f>'2E'!Z19</f>
        <v>B0049CCTOT</v>
      </c>
      <c r="C433" s="219" t="s">
        <v>4511</v>
      </c>
      <c r="E433" s="249" t="s">
        <v>3641</v>
      </c>
      <c r="F433" s="255">
        <f>IF(ISBLANK('2E'!H19),"##BLANK",'2E'!H19)</f>
        <v>9.2469999999999999</v>
      </c>
    </row>
    <row r="434" spans="2:6">
      <c r="B434" s="219" t="str">
        <f>'2E'!W20</f>
        <v>B0050ICFRIS</v>
      </c>
      <c r="C434" s="219" t="s">
        <v>4512</v>
      </c>
      <c r="E434" s="249" t="s">
        <v>3641</v>
      </c>
      <c r="F434" s="255">
        <f>IF(ISBLANK('2E'!E20),"##BLANK",'2E'!E20)</f>
        <v>0</v>
      </c>
    </row>
    <row r="435" spans="2:6">
      <c r="B435" s="219" t="str">
        <f>'2E'!X20</f>
        <v>B0050ICCAIS</v>
      </c>
      <c r="C435" s="219" t="s">
        <v>4513</v>
      </c>
      <c r="E435" s="249" t="s">
        <v>3641</v>
      </c>
      <c r="F435" s="255">
        <f>IF(ISBLANK('2E'!F20),"##BLANK",'2E'!F20)</f>
        <v>1.153</v>
      </c>
    </row>
    <row r="436" spans="2:6">
      <c r="B436" s="219" t="str">
        <f>'2E'!Y20</f>
        <v>B0050ICFNC</v>
      </c>
      <c r="C436" s="219" t="s">
        <v>4514</v>
      </c>
      <c r="E436" s="249" t="s">
        <v>3641</v>
      </c>
      <c r="F436" s="255">
        <f>IF(ISBLANK('2E'!G20),"##BLANK",'2E'!G20)</f>
        <v>0</v>
      </c>
    </row>
    <row r="437" spans="2:6">
      <c r="B437" s="219" t="str">
        <f>'2E'!Z20</f>
        <v>B0050ICTOT</v>
      </c>
      <c r="C437" s="219" t="s">
        <v>4515</v>
      </c>
      <c r="E437" s="249" t="s">
        <v>3641</v>
      </c>
      <c r="F437" s="255">
        <f>IF(ISBLANK('2E'!H20),"##BLANK",'2E'!H20)</f>
        <v>1.153</v>
      </c>
    </row>
    <row r="438" spans="2:6">
      <c r="B438" s="219" t="str">
        <f>'2E'!W21</f>
        <v>B0051RMFRIS</v>
      </c>
      <c r="C438" s="219" t="s">
        <v>4516</v>
      </c>
      <c r="E438" s="249" t="s">
        <v>3641</v>
      </c>
      <c r="F438" s="255">
        <f>IF(ISBLANK('2E'!E21),"##BLANK",'2E'!E21)</f>
        <v>0</v>
      </c>
    </row>
    <row r="439" spans="2:6">
      <c r="B439" s="219" t="str">
        <f>'2E'!X21</f>
        <v>B0051RMCAIS</v>
      </c>
      <c r="C439" s="219" t="s">
        <v>4517</v>
      </c>
      <c r="E439" s="249" t="s">
        <v>3641</v>
      </c>
      <c r="F439" s="255">
        <f>IF(ISBLANK('2E'!F21),"##BLANK",'2E'!F21)</f>
        <v>5.1059999999999999</v>
      </c>
    </row>
    <row r="440" spans="2:6">
      <c r="B440" s="219" t="str">
        <f>'2E'!Y21</f>
        <v>B0051RMFNC</v>
      </c>
      <c r="C440" s="219" t="s">
        <v>4518</v>
      </c>
      <c r="E440" s="249" t="s">
        <v>3641</v>
      </c>
      <c r="F440" s="255">
        <f>IF(ISBLANK('2E'!G21),"##BLANK",'2E'!G21)</f>
        <v>0</v>
      </c>
    </row>
    <row r="441" spans="2:6">
      <c r="B441" s="219" t="str">
        <f>'2E'!Z21</f>
        <v>B0051RMTOT</v>
      </c>
      <c r="C441" s="219" t="s">
        <v>4519</v>
      </c>
      <c r="E441" s="249" t="s">
        <v>3641</v>
      </c>
      <c r="F441" s="255">
        <f>IF(ISBLANK('2E'!H21),"##BLANK",'2E'!H21)</f>
        <v>5.1059999999999999</v>
      </c>
    </row>
    <row r="442" spans="2:6">
      <c r="B442" s="219" t="str">
        <f>'2E'!W22</f>
        <v>B0052DSFRIS</v>
      </c>
      <c r="C442" s="219" t="s">
        <v>4520</v>
      </c>
      <c r="E442" s="249" t="s">
        <v>3641</v>
      </c>
      <c r="F442" s="255">
        <f>IF(ISBLANK('2E'!E22),"##BLANK",'2E'!E22)</f>
        <v>0.98</v>
      </c>
    </row>
    <row r="443" spans="2:6">
      <c r="B443" s="219" t="str">
        <f>'2E'!X22</f>
        <v>B0052DSCAIS</v>
      </c>
      <c r="C443" s="219" t="s">
        <v>4521</v>
      </c>
      <c r="E443" s="249" t="s">
        <v>3641</v>
      </c>
      <c r="F443" s="255">
        <f>IF(ISBLANK('2E'!F22),"##BLANK",'2E'!F22)</f>
        <v>0</v>
      </c>
    </row>
    <row r="444" spans="2:6">
      <c r="B444" s="219" t="str">
        <f>'2E'!Y22</f>
        <v>B0052DSFNC</v>
      </c>
      <c r="C444" s="219" t="s">
        <v>4522</v>
      </c>
      <c r="E444" s="249" t="s">
        <v>3641</v>
      </c>
      <c r="F444" s="255">
        <f>IF(ISBLANK('2E'!G22),"##BLANK",'2E'!G22)</f>
        <v>0</v>
      </c>
    </row>
    <row r="445" spans="2:6">
      <c r="B445" s="219" t="str">
        <f>'2E'!Z22</f>
        <v>B0052DSTOT</v>
      </c>
      <c r="C445" s="219" t="s">
        <v>4523</v>
      </c>
      <c r="E445" s="249" t="s">
        <v>3641</v>
      </c>
      <c r="F445" s="255">
        <f>IF(ISBLANK('2E'!H22),"##BLANK",'2E'!H22)</f>
        <v>0.98</v>
      </c>
    </row>
    <row r="446" spans="2:6">
      <c r="B446" s="219" t="str">
        <f>'2E'!W23</f>
        <v>B0053OCFRIS</v>
      </c>
      <c r="C446" s="219" t="s">
        <v>4524</v>
      </c>
      <c r="E446" s="249" t="s">
        <v>3641</v>
      </c>
      <c r="F446" s="255">
        <f>IF(ISBLANK('2E'!E23),"##BLANK",'2E'!E23)</f>
        <v>2E-3</v>
      </c>
    </row>
    <row r="447" spans="2:6">
      <c r="B447" s="219" t="str">
        <f>'2E'!X23</f>
        <v>B0053OCCAIS</v>
      </c>
      <c r="C447" s="219" t="s">
        <v>4525</v>
      </c>
      <c r="E447" s="249" t="s">
        <v>3641</v>
      </c>
      <c r="F447" s="255">
        <f>IF(ISBLANK('2E'!F23),"##BLANK",'2E'!F23)</f>
        <v>0</v>
      </c>
    </row>
    <row r="448" spans="2:6">
      <c r="B448" s="219" t="str">
        <f>'2E'!Y23</f>
        <v>B0053OCFNC</v>
      </c>
      <c r="C448" s="219" t="s">
        <v>4526</v>
      </c>
      <c r="E448" s="249" t="s">
        <v>3641</v>
      </c>
      <c r="F448" s="255">
        <f>IF(ISBLANK('2E'!G23),"##BLANK",'2E'!G23)</f>
        <v>0</v>
      </c>
    </row>
    <row r="449" spans="2:6">
      <c r="B449" s="219" t="str">
        <f>'2E'!Z23</f>
        <v>B0053OCTOT</v>
      </c>
      <c r="C449" s="219" t="s">
        <v>4527</v>
      </c>
      <c r="E449" s="249" t="s">
        <v>3641</v>
      </c>
      <c r="F449" s="255">
        <f>IF(ISBLANK('2E'!H23),"##BLANK",'2E'!H23)</f>
        <v>2E-3</v>
      </c>
    </row>
    <row r="450" spans="2:6">
      <c r="B450" s="219" t="str">
        <f>'2E'!W24</f>
        <v>B0054PCFRIS</v>
      </c>
      <c r="C450" s="219" t="s">
        <v>4528</v>
      </c>
      <c r="E450" s="249" t="s">
        <v>3641</v>
      </c>
      <c r="F450" s="255">
        <f>IF(ISBLANK('2E'!E24),"##BLANK",'2E'!E24)</f>
        <v>0.98199999999999998</v>
      </c>
    </row>
    <row r="451" spans="2:6">
      <c r="B451" s="219" t="str">
        <f>'2E'!X24</f>
        <v>B0054PCCAIS</v>
      </c>
      <c r="C451" s="219" t="s">
        <v>4529</v>
      </c>
      <c r="E451" s="249" t="s">
        <v>3641</v>
      </c>
      <c r="F451" s="255">
        <f>IF(ISBLANK('2E'!F24),"##BLANK",'2E'!F24)</f>
        <v>15.506</v>
      </c>
    </row>
    <row r="452" spans="2:6">
      <c r="B452" s="219" t="str">
        <f>'2E'!Y24</f>
        <v>B0054PCFNC</v>
      </c>
      <c r="C452" s="219" t="s">
        <v>4530</v>
      </c>
      <c r="E452" s="249" t="s">
        <v>3641</v>
      </c>
      <c r="F452" s="255">
        <f>IF(ISBLANK('2E'!G24),"##BLANK",'2E'!G24)</f>
        <v>0</v>
      </c>
    </row>
    <row r="453" spans="2:6">
      <c r="B453" s="219" t="str">
        <f>'2E'!Z24</f>
        <v>B0054PCTOT</v>
      </c>
      <c r="C453" s="219" t="s">
        <v>4531</v>
      </c>
      <c r="E453" s="249" t="s">
        <v>3641</v>
      </c>
      <c r="F453" s="255">
        <f>IF(ISBLANK('2E'!H24),"##BLANK",'2E'!H24)</f>
        <v>16.488</v>
      </c>
    </row>
    <row r="454" spans="2:6">
      <c r="B454" s="219" t="str">
        <f>'2E'!W25</f>
        <v>B0055IOFRIS</v>
      </c>
      <c r="C454" s="219" t="s">
        <v>4532</v>
      </c>
      <c r="E454" s="249" t="s">
        <v>3641</v>
      </c>
      <c r="F454" s="255">
        <f>IF(ISBLANK('2E'!E25),"##BLANK",'2E'!E25)</f>
        <v>0</v>
      </c>
    </row>
    <row r="455" spans="2:6">
      <c r="B455" s="219" t="str">
        <f>'2E'!X25</f>
        <v>B0055IOCAIS</v>
      </c>
      <c r="C455" s="219" t="s">
        <v>4533</v>
      </c>
      <c r="E455" s="249" t="s">
        <v>3641</v>
      </c>
      <c r="F455" s="255">
        <f>IF(ISBLANK('2E'!F25),"##BLANK",'2E'!F25)</f>
        <v>4.2210000000000001</v>
      </c>
    </row>
    <row r="456" spans="2:6">
      <c r="B456" s="219" t="str">
        <f>'2E'!Y25</f>
        <v>B0055IOFNC</v>
      </c>
      <c r="C456" s="219" t="s">
        <v>4534</v>
      </c>
      <c r="E456" s="249" t="s">
        <v>3641</v>
      </c>
      <c r="F456" s="255">
        <f>IF(ISBLANK('2E'!G25),"##BLANK",'2E'!G25)</f>
        <v>0</v>
      </c>
    </row>
    <row r="457" spans="2:6">
      <c r="B457" s="219" t="str">
        <f>'2E'!Z25</f>
        <v>B0055IOTOT</v>
      </c>
      <c r="C457" s="219" t="s">
        <v>4535</v>
      </c>
      <c r="E457" s="249" t="s">
        <v>3641</v>
      </c>
      <c r="F457" s="255">
        <f>IF(ISBLANK('2E'!H25),"##BLANK",'2E'!H25)</f>
        <v>4.2210000000000001</v>
      </c>
    </row>
    <row r="458" spans="2:6">
      <c r="B458" s="219" t="str">
        <f>'2E'!W26</f>
        <v>B0056PCFRIS</v>
      </c>
      <c r="C458" s="219" t="s">
        <v>4536</v>
      </c>
      <c r="E458" s="249" t="s">
        <v>3641</v>
      </c>
      <c r="F458" s="255">
        <f>IF(ISBLANK('2E'!E26),"##BLANK",'2E'!E26)</f>
        <v>0.98199999999999998</v>
      </c>
    </row>
    <row r="459" spans="2:6">
      <c r="B459" s="219" t="str">
        <f>'2E'!X26</f>
        <v>B0056PCCAIS</v>
      </c>
      <c r="C459" s="219" t="s">
        <v>4537</v>
      </c>
      <c r="E459" s="249" t="s">
        <v>3641</v>
      </c>
      <c r="F459" s="255">
        <f>IF(ISBLANK('2E'!F26),"##BLANK",'2E'!F26)</f>
        <v>11.285</v>
      </c>
    </row>
    <row r="460" spans="2:6">
      <c r="B460" s="219" t="str">
        <f>'2E'!Y26</f>
        <v>B0056PCFNC</v>
      </c>
      <c r="C460" s="219" t="s">
        <v>4538</v>
      </c>
      <c r="E460" s="249" t="s">
        <v>3641</v>
      </c>
      <c r="F460" s="255">
        <f>IF(ISBLANK('2E'!G26),"##BLANK",'2E'!G26)</f>
        <v>0</v>
      </c>
    </row>
    <row r="461" spans="2:6">
      <c r="B461" s="219" t="str">
        <f>'2E'!Z26</f>
        <v>B0056PCTOT</v>
      </c>
      <c r="C461" s="219" t="s">
        <v>4539</v>
      </c>
      <c r="E461" s="249" t="s">
        <v>3641</v>
      </c>
      <c r="F461" s="255">
        <f>IF(ISBLANK('2E'!H26),"##BLANK",'2E'!H26)</f>
        <v>12.266999999999999</v>
      </c>
    </row>
    <row r="462" spans="2:6">
      <c r="B462" s="219" t="str">
        <f>'2E'!W27</f>
        <v>B0057DNFRIS</v>
      </c>
      <c r="C462" s="219" t="s">
        <v>4540</v>
      </c>
      <c r="E462" s="249" t="s">
        <v>3641</v>
      </c>
      <c r="F462" s="255">
        <f>IF(ISBLANK('2E'!E27),"##BLANK",'2E'!E27)</f>
        <v>0.67700000000000005</v>
      </c>
    </row>
    <row r="463" spans="2:6">
      <c r="B463" s="219" t="str">
        <f>'2E'!X27</f>
        <v>B0057DNCAIS</v>
      </c>
      <c r="C463" s="219" t="s">
        <v>4541</v>
      </c>
      <c r="E463" s="249" t="s">
        <v>3641</v>
      </c>
      <c r="F463" s="255">
        <f>IF(ISBLANK('2E'!F27),"##BLANK",'2E'!F27)</f>
        <v>0</v>
      </c>
    </row>
    <row r="464" spans="2:6">
      <c r="B464" s="219" t="str">
        <f>'2E'!Y27</f>
        <v>B0057DNFNC</v>
      </c>
      <c r="C464" s="219" t="s">
        <v>4542</v>
      </c>
      <c r="E464" s="249" t="s">
        <v>3641</v>
      </c>
      <c r="F464" s="255">
        <f>IF(ISBLANK('2E'!G27),"##BLANK",'2E'!G27)</f>
        <v>0</v>
      </c>
    </row>
    <row r="465" spans="2:6">
      <c r="B465" s="219" t="str">
        <f>'2E'!Z27</f>
        <v>B0057DNTOT</v>
      </c>
      <c r="C465" s="219" t="s">
        <v>4543</v>
      </c>
      <c r="E465" s="249" t="s">
        <v>3641</v>
      </c>
      <c r="F465" s="255">
        <f>IF(ISBLANK('2E'!H27),"##BLANK",'2E'!H27)</f>
        <v>0.67700000000000005</v>
      </c>
    </row>
    <row r="466" spans="2:6">
      <c r="B466" s="219" t="str">
        <f>'2E'!W28</f>
        <v>B0058DOFRIS</v>
      </c>
      <c r="C466" s="219" t="s">
        <v>4544</v>
      </c>
      <c r="E466" s="249" t="s">
        <v>3641</v>
      </c>
      <c r="F466" s="255">
        <f>IF(ISBLANK('2E'!E28),"##BLANK",'2E'!E28)</f>
        <v>0</v>
      </c>
    </row>
    <row r="467" spans="2:6">
      <c r="B467" s="219" t="str">
        <f>'2E'!X28</f>
        <v>B0058DOCAIS</v>
      </c>
      <c r="C467" s="219" t="s">
        <v>4545</v>
      </c>
      <c r="E467" s="249" t="s">
        <v>3641</v>
      </c>
      <c r="F467" s="255">
        <f>IF(ISBLANK('2E'!F28),"##BLANK",'2E'!F28)</f>
        <v>0</v>
      </c>
    </row>
    <row r="468" spans="2:6">
      <c r="B468" s="219" t="str">
        <f>'2E'!Y28</f>
        <v>B0058DOFNC</v>
      </c>
      <c r="C468" s="219" t="s">
        <v>4546</v>
      </c>
      <c r="E468" s="249" t="s">
        <v>3641</v>
      </c>
      <c r="F468" s="255">
        <f>IF(ISBLANK('2E'!G28),"##BLANK",'2E'!G28)</f>
        <v>0</v>
      </c>
    </row>
    <row r="469" spans="2:6">
      <c r="B469" s="219" t="str">
        <f>'2E'!Z28</f>
        <v>B0058DOTOT</v>
      </c>
      <c r="C469" s="219" t="s">
        <v>4547</v>
      </c>
      <c r="E469" s="249" t="s">
        <v>3641</v>
      </c>
      <c r="F469" s="255">
        <f>IF(ISBLANK('2E'!H28),"##BLANK",'2E'!H28)</f>
        <v>0</v>
      </c>
    </row>
    <row r="470" spans="2:6">
      <c r="B470" s="219" t="str">
        <f>'2E'!W29</f>
        <v>B0059OCFRIS</v>
      </c>
      <c r="C470" s="219" t="s">
        <v>4548</v>
      </c>
      <c r="E470" s="249" t="s">
        <v>3641</v>
      </c>
      <c r="F470" s="255">
        <f>IF(ISBLANK('2E'!E29),"##BLANK",'2E'!E29)</f>
        <v>0.14499999999999999</v>
      </c>
    </row>
    <row r="471" spans="2:6">
      <c r="B471" s="219" t="str">
        <f>'2E'!X29</f>
        <v>B0059OCCAIS</v>
      </c>
      <c r="C471" s="219" t="s">
        <v>4549</v>
      </c>
      <c r="E471" s="249" t="s">
        <v>3641</v>
      </c>
      <c r="F471" s="255">
        <f>IF(ISBLANK('2E'!F29),"##BLANK",'2E'!F29)</f>
        <v>0</v>
      </c>
    </row>
    <row r="472" spans="2:6">
      <c r="B472" s="219" t="str">
        <f>'2E'!Y29</f>
        <v>B0059OCFNC</v>
      </c>
      <c r="C472" s="219" t="s">
        <v>4550</v>
      </c>
      <c r="E472" s="249" t="s">
        <v>3641</v>
      </c>
      <c r="F472" s="255">
        <f>IF(ISBLANK('2E'!G29),"##BLANK",'2E'!G29)</f>
        <v>0</v>
      </c>
    </row>
    <row r="473" spans="2:6">
      <c r="B473" s="219" t="str">
        <f>'2E'!Z29</f>
        <v>B0059OCTOT</v>
      </c>
      <c r="C473" s="219" t="s">
        <v>4551</v>
      </c>
      <c r="E473" s="249" t="s">
        <v>3641</v>
      </c>
      <c r="F473" s="255">
        <f>IF(ISBLANK('2E'!H29),"##BLANK",'2E'!H29)</f>
        <v>0.14499999999999999</v>
      </c>
    </row>
    <row r="474" spans="2:6">
      <c r="B474" s="219" t="str">
        <f>'2E'!W30</f>
        <v>B0060TTFRIS</v>
      </c>
      <c r="C474" s="219" t="s">
        <v>4552</v>
      </c>
      <c r="E474" s="249" t="s">
        <v>3641</v>
      </c>
      <c r="F474" s="255">
        <f>IF(ISBLANK('2E'!E30),"##BLANK",'2E'!E30)</f>
        <v>1.804</v>
      </c>
    </row>
    <row r="475" spans="2:6">
      <c r="B475" s="219" t="str">
        <f>'2E'!X30</f>
        <v>B0060TTCAIS</v>
      </c>
      <c r="C475" s="219" t="s">
        <v>4553</v>
      </c>
      <c r="E475" s="249" t="s">
        <v>3641</v>
      </c>
      <c r="F475" s="255">
        <f>IF(ISBLANK('2E'!F30),"##BLANK",'2E'!F30)</f>
        <v>11.285</v>
      </c>
    </row>
    <row r="476" spans="2:6">
      <c r="B476" s="219" t="str">
        <f>'2E'!Y30</f>
        <v>B0060TTFNC</v>
      </c>
      <c r="C476" s="219" t="s">
        <v>4554</v>
      </c>
      <c r="E476" s="249" t="s">
        <v>3641</v>
      </c>
      <c r="F476" s="255">
        <f>IF(ISBLANK('2E'!G30),"##BLANK",'2E'!G30)</f>
        <v>0</v>
      </c>
    </row>
    <row r="477" spans="2:6">
      <c r="B477" s="219" t="str">
        <f>'2E'!Z30</f>
        <v>B0060TTTOT</v>
      </c>
      <c r="C477" s="219" t="s">
        <v>4555</v>
      </c>
      <c r="E477" s="249" t="s">
        <v>3641</v>
      </c>
      <c r="F477" s="255">
        <f>IF(ISBLANK('2E'!H30),"##BLANK",'2E'!H30)</f>
        <v>13.089</v>
      </c>
    </row>
    <row r="478" spans="2:6">
      <c r="B478" s="219" t="str">
        <f>'2E'!W32</f>
        <v>B0060VAFRIS</v>
      </c>
      <c r="C478" s="219" t="s">
        <v>4556</v>
      </c>
      <c r="E478" s="249" t="s">
        <v>3641</v>
      </c>
      <c r="F478" s="255">
        <f>IF(ISBLANK('2E'!E32),"##BLANK",'2E'!E32)</f>
        <v>0</v>
      </c>
    </row>
    <row r="479" spans="2:6">
      <c r="B479" s="219" t="str">
        <f>'2E'!X32</f>
        <v>B0060VACAIS</v>
      </c>
      <c r="C479" s="219" t="s">
        <v>4557</v>
      </c>
      <c r="E479" s="249" t="s">
        <v>3641</v>
      </c>
      <c r="F479" s="255">
        <f>IF(ISBLANK('2E'!F32),"##BLANK",'2E'!F32)</f>
        <v>2.6179999999999999</v>
      </c>
    </row>
    <row r="480" spans="2:6">
      <c r="B480" s="219" t="str">
        <f>'2E'!Z32</f>
        <v>B0060VATOT</v>
      </c>
      <c r="C480" s="219" t="s">
        <v>4558</v>
      </c>
      <c r="E480" s="249" t="s">
        <v>3641</v>
      </c>
      <c r="F480" s="255">
        <f>IF(ISBLANK('2E'!H32),"##BLANK",'2E'!H32)</f>
        <v>2.6179999999999999</v>
      </c>
    </row>
    <row r="481" spans="2:6">
      <c r="B481" s="219" t="str">
        <f>'2E'!W35</f>
        <v>B0061RSFRIS</v>
      </c>
      <c r="C481" s="219" t="s">
        <v>4559</v>
      </c>
      <c r="E481" s="249" t="s">
        <v>3641</v>
      </c>
      <c r="F481" s="255">
        <f>IF(ISBLANK('2E'!E35),"##BLANK",'2E'!E35)</f>
        <v>0</v>
      </c>
    </row>
    <row r="482" spans="2:6">
      <c r="B482" s="219" t="str">
        <f>'2E'!X35</f>
        <v>B0061RSCAIS</v>
      </c>
      <c r="C482" s="219" t="s">
        <v>4560</v>
      </c>
      <c r="E482" s="249" t="s">
        <v>3641</v>
      </c>
      <c r="F482" s="255">
        <f>IF(ISBLANK('2E'!F35),"##BLANK",'2E'!F35)</f>
        <v>0</v>
      </c>
    </row>
    <row r="483" spans="2:6">
      <c r="B483" s="219" t="str">
        <f>'2E'!Y35</f>
        <v>B0061RSFNC</v>
      </c>
      <c r="C483" s="219" t="s">
        <v>4561</v>
      </c>
      <c r="E483" s="249" t="s">
        <v>3641</v>
      </c>
      <c r="F483" s="255">
        <f>IF(ISBLANK('2E'!G35),"##BLANK",'2E'!G35)</f>
        <v>0</v>
      </c>
    </row>
    <row r="484" spans="2:6">
      <c r="B484" s="219" t="str">
        <f>'2E'!Z35</f>
        <v>B0061RSTOT</v>
      </c>
      <c r="C484" s="219" t="s">
        <v>4562</v>
      </c>
      <c r="E484" s="249" t="s">
        <v>3641</v>
      </c>
      <c r="F484" s="255">
        <f>IF(ISBLANK('2E'!H35),"##BLANK",'2E'!H35)</f>
        <v>0</v>
      </c>
    </row>
    <row r="485" spans="2:6">
      <c r="B485" s="219" t="str">
        <f>'2E'!W36</f>
        <v>BC11370REV</v>
      </c>
      <c r="C485" s="219" t="s">
        <v>4563</v>
      </c>
      <c r="E485" s="249" t="s">
        <v>3641</v>
      </c>
      <c r="F485" s="255">
        <f>IF(ISBLANK('2E'!E36),"##BLANK",'2E'!E36)</f>
        <v>0</v>
      </c>
    </row>
    <row r="486" spans="2:6">
      <c r="B486" s="219" t="str">
        <f>'2E'!X36</f>
        <v>BC11370CAP</v>
      </c>
      <c r="C486" s="219" t="s">
        <v>4564</v>
      </c>
      <c r="E486" s="249" t="s">
        <v>3641</v>
      </c>
      <c r="F486" s="255">
        <f>IF(ISBLANK('2E'!F36),"##BLANK",'2E'!F36)</f>
        <v>0.68100000000000005</v>
      </c>
    </row>
    <row r="487" spans="2:6">
      <c r="B487" s="219" t="str">
        <f>'2E'!Y36</f>
        <v>BC11370NET</v>
      </c>
      <c r="C487" s="219" t="s">
        <v>4565</v>
      </c>
      <c r="E487" s="249" t="s">
        <v>3641</v>
      </c>
      <c r="F487" s="255">
        <f>IF(ISBLANK('2E'!G36),"##BLANK",'2E'!G36)</f>
        <v>0</v>
      </c>
    </row>
    <row r="488" spans="2:6">
      <c r="B488" s="219" t="str">
        <f>'2E'!Z36</f>
        <v>BC11370</v>
      </c>
      <c r="C488" s="219" t="s">
        <v>4566</v>
      </c>
      <c r="E488" s="249" t="s">
        <v>3641</v>
      </c>
      <c r="F488" s="255">
        <f>IF(ISBLANK('2E'!H36),"##BLANK",'2E'!H36)</f>
        <v>0.68100000000000005</v>
      </c>
    </row>
    <row r="489" spans="2:6">
      <c r="B489" s="219" t="str">
        <f>'2E'!W37</f>
        <v>B0062DSFRIS</v>
      </c>
      <c r="C489" s="219" t="s">
        <v>4567</v>
      </c>
      <c r="E489" s="249" t="s">
        <v>3641</v>
      </c>
      <c r="F489" s="255">
        <f>IF(ISBLANK('2E'!E37),"##BLANK",'2E'!E37)</f>
        <v>0.152</v>
      </c>
    </row>
    <row r="490" spans="2:6">
      <c r="B490" s="219" t="str">
        <f>'2E'!X37</f>
        <v>B0062DSCAIS</v>
      </c>
      <c r="C490" s="219" t="s">
        <v>4568</v>
      </c>
      <c r="E490" s="249" t="s">
        <v>3641</v>
      </c>
      <c r="F490" s="255">
        <f>IF(ISBLANK('2E'!F37),"##BLANK",'2E'!F37)</f>
        <v>0</v>
      </c>
    </row>
    <row r="491" spans="2:6">
      <c r="B491" s="219" t="str">
        <f>'2E'!Y37</f>
        <v>B0062DSFNC</v>
      </c>
      <c r="C491" s="219" t="s">
        <v>4569</v>
      </c>
      <c r="E491" s="249" t="s">
        <v>3641</v>
      </c>
      <c r="F491" s="255">
        <f>IF(ISBLANK('2E'!G37),"##BLANK",'2E'!G37)</f>
        <v>0</v>
      </c>
    </row>
    <row r="492" spans="2:6">
      <c r="B492" s="219" t="str">
        <f>'2E'!Z37</f>
        <v>B0062DSTOT</v>
      </c>
      <c r="C492" s="219" t="s">
        <v>4570</v>
      </c>
      <c r="E492" s="249" t="s">
        <v>3641</v>
      </c>
      <c r="F492" s="255">
        <f>IF(ISBLANK('2E'!H37),"##BLANK",'2E'!H37)</f>
        <v>0.152</v>
      </c>
    </row>
    <row r="493" spans="2:6">
      <c r="B493" s="219" t="str">
        <f>'2E'!W38</f>
        <v>B0063OCFRIS</v>
      </c>
      <c r="C493" s="219" t="s">
        <v>4571</v>
      </c>
      <c r="E493" s="249" t="s">
        <v>3641</v>
      </c>
      <c r="F493" s="255">
        <f>IF(ISBLANK('2E'!E38),"##BLANK",'2E'!E38)</f>
        <v>0</v>
      </c>
    </row>
    <row r="494" spans="2:6">
      <c r="B494" s="219" t="str">
        <f>'2E'!X38</f>
        <v>B0063OCCAIS</v>
      </c>
      <c r="C494" s="219" t="s">
        <v>4572</v>
      </c>
      <c r="E494" s="249" t="s">
        <v>3641</v>
      </c>
      <c r="F494" s="255">
        <f>IF(ISBLANK('2E'!F38),"##BLANK",'2E'!F38)</f>
        <v>0.81699999999999995</v>
      </c>
    </row>
    <row r="495" spans="2:6">
      <c r="B495" s="219" t="str">
        <f>'2E'!Y38</f>
        <v>B0063OCFNC</v>
      </c>
      <c r="C495" s="219" t="s">
        <v>4573</v>
      </c>
      <c r="E495" s="249" t="s">
        <v>3641</v>
      </c>
      <c r="F495" s="255">
        <f>IF(ISBLANK('2E'!G38),"##BLANK",'2E'!G38)</f>
        <v>0</v>
      </c>
    </row>
    <row r="496" spans="2:6">
      <c r="B496" s="219" t="str">
        <f>'2E'!Z38</f>
        <v>B0063OCTOT</v>
      </c>
      <c r="C496" s="219" t="s">
        <v>4574</v>
      </c>
      <c r="E496" s="249" t="s">
        <v>3641</v>
      </c>
      <c r="F496" s="255">
        <f>IF(ISBLANK('2E'!H38),"##BLANK",'2E'!H38)</f>
        <v>0.81699999999999995</v>
      </c>
    </row>
    <row r="497" spans="2:6">
      <c r="B497" s="219" t="str">
        <f>'2E'!W39</f>
        <v>B0064PCFRIS</v>
      </c>
      <c r="C497" s="219" t="s">
        <v>4575</v>
      </c>
      <c r="E497" s="249" t="s">
        <v>3641</v>
      </c>
      <c r="F497" s="255">
        <f>IF(ISBLANK('2E'!E39),"##BLANK",'2E'!E39)</f>
        <v>0.152</v>
      </c>
    </row>
    <row r="498" spans="2:6">
      <c r="B498" s="219" t="str">
        <f>'2E'!X39</f>
        <v>B0064PCCAIS</v>
      </c>
      <c r="C498" s="219" t="s">
        <v>4576</v>
      </c>
      <c r="E498" s="249" t="s">
        <v>3641</v>
      </c>
      <c r="F498" s="255">
        <f>IF(ISBLANK('2E'!F39),"##BLANK",'2E'!F39)</f>
        <v>1.498</v>
      </c>
    </row>
    <row r="499" spans="2:6">
      <c r="B499" s="219" t="str">
        <f>'2E'!Y39</f>
        <v>B0064PCFNC</v>
      </c>
      <c r="C499" s="219" t="s">
        <v>4577</v>
      </c>
      <c r="E499" s="249" t="s">
        <v>3641</v>
      </c>
      <c r="F499" s="255">
        <f>IF(ISBLANK('2E'!G39),"##BLANK",'2E'!G39)</f>
        <v>0</v>
      </c>
    </row>
    <row r="500" spans="2:6">
      <c r="B500" s="219" t="str">
        <f>'2E'!Z39</f>
        <v>B0064PCTOT</v>
      </c>
      <c r="C500" s="219" t="s">
        <v>4578</v>
      </c>
      <c r="E500" s="249" t="s">
        <v>3641</v>
      </c>
      <c r="F500" s="255">
        <f>IF(ISBLANK('2E'!H39),"##BLANK",'2E'!H39)</f>
        <v>1.65</v>
      </c>
    </row>
    <row r="501" spans="2:6">
      <c r="B501" s="219" t="str">
        <f>'2E'!W40</f>
        <v>B0065IOFRIS</v>
      </c>
      <c r="C501" s="219" t="s">
        <v>4579</v>
      </c>
      <c r="E501" s="249" t="s">
        <v>3641</v>
      </c>
      <c r="F501" s="255">
        <f>IF(ISBLANK('2E'!E40),"##BLANK",'2E'!E40)</f>
        <v>0</v>
      </c>
    </row>
    <row r="502" spans="2:6">
      <c r="B502" s="219" t="str">
        <f>'2E'!X40</f>
        <v>B0065IOCAIS</v>
      </c>
      <c r="C502" s="219" t="s">
        <v>4580</v>
      </c>
      <c r="E502" s="249" t="s">
        <v>3641</v>
      </c>
      <c r="F502" s="255">
        <f>IF(ISBLANK('2E'!F40),"##BLANK",'2E'!F40)</f>
        <v>0</v>
      </c>
    </row>
    <row r="503" spans="2:6">
      <c r="B503" s="219" t="str">
        <f>'2E'!Y40</f>
        <v>B0065IOFNC</v>
      </c>
      <c r="C503" s="219" t="s">
        <v>4581</v>
      </c>
      <c r="E503" s="249" t="s">
        <v>3641</v>
      </c>
      <c r="F503" s="255">
        <f>IF(ISBLANK('2E'!G40),"##BLANK",'2E'!G40)</f>
        <v>0</v>
      </c>
    </row>
    <row r="504" spans="2:6">
      <c r="B504" s="219" t="str">
        <f>'2E'!Z40</f>
        <v>B0065IOTOT</v>
      </c>
      <c r="C504" s="219" t="s">
        <v>4582</v>
      </c>
      <c r="E504" s="249" t="s">
        <v>3641</v>
      </c>
      <c r="F504" s="255">
        <f>IF(ISBLANK('2E'!H40),"##BLANK",'2E'!H40)</f>
        <v>0</v>
      </c>
    </row>
    <row r="505" spans="2:6">
      <c r="B505" s="219" t="str">
        <f>'2E'!W41</f>
        <v>B0066PCFRIS</v>
      </c>
      <c r="C505" s="219" t="s">
        <v>4583</v>
      </c>
      <c r="E505" s="249" t="s">
        <v>3641</v>
      </c>
      <c r="F505" s="255">
        <f>IF(ISBLANK('2E'!E41),"##BLANK",'2E'!E41)</f>
        <v>0.152</v>
      </c>
    </row>
    <row r="506" spans="2:6">
      <c r="B506" s="219" t="str">
        <f>'2E'!X41</f>
        <v>B0066PCCAIS</v>
      </c>
      <c r="C506" s="219" t="s">
        <v>4584</v>
      </c>
      <c r="E506" s="249" t="s">
        <v>3641</v>
      </c>
      <c r="F506" s="255">
        <f>IF(ISBLANK('2E'!F41),"##BLANK",'2E'!F41)</f>
        <v>1.498</v>
      </c>
    </row>
    <row r="507" spans="2:6">
      <c r="B507" s="219" t="str">
        <f>'2E'!Y41</f>
        <v>B0066PCFNC</v>
      </c>
      <c r="C507" s="219" t="s">
        <v>4585</v>
      </c>
      <c r="E507" s="249" t="s">
        <v>3641</v>
      </c>
      <c r="F507" s="255">
        <f>IF(ISBLANK('2E'!G41),"##BLANK",'2E'!G41)</f>
        <v>0</v>
      </c>
    </row>
    <row r="508" spans="2:6">
      <c r="B508" s="219" t="str">
        <f>'2E'!Z41</f>
        <v>B0066PCTOT</v>
      </c>
      <c r="C508" s="219" t="s">
        <v>4586</v>
      </c>
      <c r="E508" s="249" t="s">
        <v>3641</v>
      </c>
      <c r="F508" s="255">
        <f>IF(ISBLANK('2E'!H41),"##BLANK",'2E'!H41)</f>
        <v>1.65</v>
      </c>
    </row>
    <row r="509" spans="2:6">
      <c r="B509" s="219" t="str">
        <f>'2E'!W42</f>
        <v>B0067DNFRIS</v>
      </c>
      <c r="C509" s="219" t="s">
        <v>4587</v>
      </c>
      <c r="E509" s="249" t="s">
        <v>3641</v>
      </c>
      <c r="F509" s="255">
        <f>IF(ISBLANK('2E'!E42),"##BLANK",'2E'!E42)</f>
        <v>0</v>
      </c>
    </row>
    <row r="510" spans="2:6">
      <c r="B510" s="219" t="str">
        <f>'2E'!X42</f>
        <v>B0067DNCAIS</v>
      </c>
      <c r="C510" s="219" t="s">
        <v>4588</v>
      </c>
      <c r="E510" s="249" t="s">
        <v>3641</v>
      </c>
      <c r="F510" s="255">
        <f>IF(ISBLANK('2E'!F42),"##BLANK",'2E'!F42)</f>
        <v>0</v>
      </c>
    </row>
    <row r="511" spans="2:6">
      <c r="B511" s="219" t="str">
        <f>'2E'!Y42</f>
        <v>B0067DNFNC</v>
      </c>
      <c r="C511" s="219" t="s">
        <v>4589</v>
      </c>
      <c r="E511" s="249" t="s">
        <v>3641</v>
      </c>
      <c r="F511" s="255">
        <f>IF(ISBLANK('2E'!G42),"##BLANK",'2E'!G42)</f>
        <v>0</v>
      </c>
    </row>
    <row r="512" spans="2:6">
      <c r="B512" s="219" t="str">
        <f>'2E'!Z42</f>
        <v>B0067DNTOT</v>
      </c>
      <c r="C512" s="219" t="s">
        <v>4590</v>
      </c>
      <c r="E512" s="249" t="s">
        <v>3641</v>
      </c>
      <c r="F512" s="255">
        <f>IF(ISBLANK('2E'!H42),"##BLANK",'2E'!H42)</f>
        <v>0</v>
      </c>
    </row>
    <row r="513" spans="2:6">
      <c r="B513" s="219" t="str">
        <f>'2E'!W43</f>
        <v>B0068DOFRIS</v>
      </c>
      <c r="C513" s="219" t="s">
        <v>4591</v>
      </c>
      <c r="E513" s="249" t="s">
        <v>3641</v>
      </c>
      <c r="F513" s="255">
        <f>IF(ISBLANK('2E'!E43),"##BLANK",'2E'!E43)</f>
        <v>0.33600000000000002</v>
      </c>
    </row>
    <row r="514" spans="2:6">
      <c r="B514" s="219" t="str">
        <f>'2E'!X43</f>
        <v>B0068DOCAIS</v>
      </c>
      <c r="C514" s="219" t="s">
        <v>4592</v>
      </c>
      <c r="E514" s="249" t="s">
        <v>3641</v>
      </c>
      <c r="F514" s="255">
        <f>IF(ISBLANK('2E'!F43),"##BLANK",'2E'!F43)</f>
        <v>0</v>
      </c>
    </row>
    <row r="515" spans="2:6">
      <c r="B515" s="219" t="str">
        <f>'2E'!Y43</f>
        <v>B0068DOFNC</v>
      </c>
      <c r="C515" s="219" t="s">
        <v>4593</v>
      </c>
      <c r="E515" s="249" t="s">
        <v>3641</v>
      </c>
      <c r="F515" s="255">
        <f>IF(ISBLANK('2E'!G43),"##BLANK",'2E'!G43)</f>
        <v>0</v>
      </c>
    </row>
    <row r="516" spans="2:6">
      <c r="B516" s="219" t="str">
        <f>'2E'!Z43</f>
        <v>B0068DOTOT</v>
      </c>
      <c r="C516" s="219" t="s">
        <v>4594</v>
      </c>
      <c r="E516" s="249" t="s">
        <v>3641</v>
      </c>
      <c r="F516" s="255">
        <f>IF(ISBLANK('2E'!H43),"##BLANK",'2E'!H43)</f>
        <v>0.33600000000000002</v>
      </c>
    </row>
    <row r="517" spans="2:6">
      <c r="B517" s="219" t="str">
        <f>'2E'!W44</f>
        <v>B0069OCFRIS</v>
      </c>
      <c r="C517" s="219" t="s">
        <v>4595</v>
      </c>
      <c r="E517" s="249" t="s">
        <v>3641</v>
      </c>
      <c r="F517" s="255">
        <f>IF(ISBLANK('2E'!E44),"##BLANK",'2E'!E44)</f>
        <v>0</v>
      </c>
    </row>
    <row r="518" spans="2:6">
      <c r="B518" s="219" t="str">
        <f>'2E'!X44</f>
        <v>B0069OCCAIS</v>
      </c>
      <c r="C518" s="219" t="s">
        <v>4596</v>
      </c>
      <c r="E518" s="249" t="s">
        <v>3641</v>
      </c>
      <c r="F518" s="255">
        <f>IF(ISBLANK('2E'!F44),"##BLANK",'2E'!F44)</f>
        <v>0</v>
      </c>
    </row>
    <row r="519" spans="2:6">
      <c r="B519" s="219" t="str">
        <f>'2E'!Y44</f>
        <v>B0069OCFNC</v>
      </c>
      <c r="C519" s="219" t="s">
        <v>4597</v>
      </c>
      <c r="E519" s="249" t="s">
        <v>3641</v>
      </c>
      <c r="F519" s="255">
        <f>IF(ISBLANK('2E'!G44),"##BLANK",'2E'!G44)</f>
        <v>0</v>
      </c>
    </row>
    <row r="520" spans="2:6">
      <c r="B520" s="219" t="str">
        <f>'2E'!Z44</f>
        <v>B0069OCTOT</v>
      </c>
      <c r="C520" s="219" t="s">
        <v>4598</v>
      </c>
      <c r="E520" s="249" t="s">
        <v>3641</v>
      </c>
      <c r="F520" s="255">
        <f>IF(ISBLANK('2E'!H44),"##BLANK",'2E'!H44)</f>
        <v>0</v>
      </c>
    </row>
    <row r="521" spans="2:6">
      <c r="B521" s="219" t="str">
        <f>'2E'!W45</f>
        <v>BA2090REV</v>
      </c>
      <c r="C521" s="219" t="s">
        <v>4599</v>
      </c>
      <c r="E521" s="249" t="s">
        <v>3641</v>
      </c>
      <c r="F521" s="255">
        <f>IF(ISBLANK('2E'!E45),"##BLANK",'2E'!E45)</f>
        <v>0.48799999999999999</v>
      </c>
    </row>
    <row r="522" spans="2:6">
      <c r="B522" s="219" t="str">
        <f>'2E'!X45</f>
        <v>BA2091CAP</v>
      </c>
      <c r="C522" s="219" t="s">
        <v>4600</v>
      </c>
      <c r="E522" s="249" t="s">
        <v>3641</v>
      </c>
      <c r="F522" s="255">
        <f>IF(ISBLANK('2E'!F45),"##BLANK",'2E'!F45)</f>
        <v>1.498</v>
      </c>
    </row>
    <row r="523" spans="2:6">
      <c r="B523" s="219" t="str">
        <f>'2E'!Y45</f>
        <v>BA2090NET</v>
      </c>
      <c r="C523" s="219" t="s">
        <v>4601</v>
      </c>
      <c r="E523" s="249" t="s">
        <v>3641</v>
      </c>
      <c r="F523" s="255">
        <f>IF(ISBLANK('2E'!G45),"##BLANK",'2E'!G45)</f>
        <v>0</v>
      </c>
    </row>
    <row r="524" spans="2:6">
      <c r="B524" s="219" t="str">
        <f>'2E'!Z45</f>
        <v>BA2091</v>
      </c>
      <c r="C524" s="219" t="s">
        <v>4602</v>
      </c>
      <c r="E524" s="249" t="s">
        <v>3641</v>
      </c>
      <c r="F524" s="255">
        <f>IF(ISBLANK('2E'!H45),"##BLANK",'2E'!H45)</f>
        <v>1.986</v>
      </c>
    </row>
    <row r="525" spans="2:6">
      <c r="B525" s="219" t="str">
        <f>'2E'!W47</f>
        <v>BC30460TTTREV</v>
      </c>
      <c r="C525" s="219" t="s">
        <v>4603</v>
      </c>
      <c r="E525" s="249" t="s">
        <v>3641</v>
      </c>
      <c r="F525" s="255">
        <f>IF(ISBLANK('2E'!E47),"##BLANK",'2E'!E47)</f>
        <v>0</v>
      </c>
    </row>
    <row r="526" spans="2:6">
      <c r="B526" s="219" t="str">
        <f>'2E'!X47</f>
        <v>BC30460TTTCAP</v>
      </c>
      <c r="C526" s="219" t="s">
        <v>4506</v>
      </c>
      <c r="E526" s="249" t="s">
        <v>3641</v>
      </c>
      <c r="F526" s="255">
        <f>IF(ISBLANK('2E'!F47),"##BLANK",'2E'!F47)</f>
        <v>24.195</v>
      </c>
    </row>
    <row r="527" spans="2:6">
      <c r="B527" s="219" t="str">
        <f>'2E'!Z47</f>
        <v>BC30460TTTTOT</v>
      </c>
      <c r="C527" s="219" t="s">
        <v>4604</v>
      </c>
      <c r="E527" s="249" t="s">
        <v>3641</v>
      </c>
      <c r="F527" s="255">
        <f>IF(ISBLANK('2E'!H47),"##BLANK",'2E'!H47)</f>
        <v>24.195</v>
      </c>
    </row>
    <row r="528" spans="2:6">
      <c r="B528" s="219" t="str">
        <f>'2E'!W52</f>
        <v>BA1090BFWD</v>
      </c>
      <c r="C528" s="219" t="s">
        <v>4605</v>
      </c>
      <c r="E528" s="249" t="s">
        <v>3641</v>
      </c>
      <c r="F528" s="255">
        <f>IF(ISBLANK('2E'!E52),"##BLANK",'2E'!E52)</f>
        <v>0.60099999999999998</v>
      </c>
    </row>
    <row r="529" spans="2:6">
      <c r="B529" s="219" t="str">
        <f>'2E'!X52</f>
        <v>BA2090BFWD</v>
      </c>
      <c r="C529" s="219" t="s">
        <v>4606</v>
      </c>
      <c r="E529" s="249" t="s">
        <v>3641</v>
      </c>
      <c r="F529" s="255">
        <f>IF(ISBLANK('2E'!F52),"##BLANK",'2E'!F52)</f>
        <v>260.99499999999995</v>
      </c>
    </row>
    <row r="530" spans="2:6">
      <c r="B530" s="219" t="str">
        <f>'2E'!Y52</f>
        <v>BA2090TTTBFWD</v>
      </c>
      <c r="C530" s="219" t="s">
        <v>4607</v>
      </c>
      <c r="E530" s="249" t="s">
        <v>3641</v>
      </c>
      <c r="F530" s="255">
        <f>IF(ISBLANK('2E'!G52),"##BLANK",'2E'!G52)</f>
        <v>190.94000000000005</v>
      </c>
    </row>
    <row r="531" spans="2:6">
      <c r="B531" s="219" t="str">
        <f>'2E'!Z52</f>
        <v>BA3001BFWD</v>
      </c>
      <c r="C531" s="219" t="s">
        <v>4608</v>
      </c>
      <c r="E531" s="249" t="s">
        <v>3641</v>
      </c>
      <c r="F531" s="255">
        <f>IF(ISBLANK('2E'!H52),"##BLANK",'2E'!H52)</f>
        <v>452.536</v>
      </c>
    </row>
    <row r="532" spans="2:6">
      <c r="B532" s="219" t="str">
        <f>'2E'!Z53</f>
        <v>BA3091CAP</v>
      </c>
      <c r="C532" s="219" t="s">
        <v>4609</v>
      </c>
      <c r="E532" s="249" t="s">
        <v>3641</v>
      </c>
      <c r="F532" s="255">
        <f>IF(ISBLANK('2E'!H53),"##BLANK",'2E'!H53)</f>
        <v>12.782999999999999</v>
      </c>
    </row>
    <row r="533" spans="2:6">
      <c r="B533" s="219" t="str">
        <f>'2E'!W54</f>
        <v>BA1090AMORT</v>
      </c>
      <c r="C533" s="219" t="s">
        <v>4610</v>
      </c>
      <c r="E533" s="249" t="s">
        <v>3641</v>
      </c>
      <c r="F533" s="255">
        <f>IF(ISBLANK('2E'!E54),"##BLANK",'2E'!E54)</f>
        <v>-5.0000000000000001E-3</v>
      </c>
    </row>
    <row r="534" spans="2:6">
      <c r="B534" s="219" t="str">
        <f>'2E'!X54</f>
        <v>BA2090AMORT</v>
      </c>
      <c r="C534" s="219" t="s">
        <v>4611</v>
      </c>
      <c r="E534" s="249" t="s">
        <v>3641</v>
      </c>
      <c r="F534" s="255">
        <f>IF(ISBLANK('2E'!F54),"##BLANK",'2E'!F54)</f>
        <v>-3.746</v>
      </c>
    </row>
    <row r="535" spans="2:6">
      <c r="B535" s="219" t="str">
        <f>'2E'!Y54</f>
        <v>BA2090TTTAMORT</v>
      </c>
      <c r="C535" s="219" t="s">
        <v>4612</v>
      </c>
      <c r="E535" s="249" t="s">
        <v>3641</v>
      </c>
      <c r="F535" s="255">
        <f>IF(ISBLANK('2E'!G54),"##BLANK",'2E'!G54)</f>
        <v>-2.286</v>
      </c>
    </row>
    <row r="536" spans="2:6">
      <c r="B536" s="219" t="str">
        <f>'2E'!Z54</f>
        <v>BA3001AMORT</v>
      </c>
      <c r="C536" s="219" t="s">
        <v>4613</v>
      </c>
      <c r="E536" s="249" t="s">
        <v>3641</v>
      </c>
      <c r="F536" s="255">
        <f>IF(ISBLANK('2E'!H54),"##BLANK",'2E'!H54)</f>
        <v>-6.0369999999999999</v>
      </c>
    </row>
    <row r="537" spans="2:6">
      <c r="B537" s="219" t="str">
        <f>'2E'!W55</f>
        <v>BA1091CFWD</v>
      </c>
      <c r="C537" s="219" t="s">
        <v>4614</v>
      </c>
      <c r="E537" s="249" t="s">
        <v>3641</v>
      </c>
      <c r="F537" s="255">
        <f>IF(ISBLANK('2E'!E55),"##BLANK",'2E'!E55)</f>
        <v>0.59599999999999997</v>
      </c>
    </row>
    <row r="538" spans="2:6">
      <c r="B538" s="219" t="str">
        <f>'2E'!X55</f>
        <v>BA2091CFWD</v>
      </c>
      <c r="C538" s="219" t="s">
        <v>4615</v>
      </c>
      <c r="E538" s="249" t="s">
        <v>3641</v>
      </c>
      <c r="F538" s="255">
        <f>IF(ISBLANK('2E'!F55),"##BLANK",'2E'!F55)</f>
        <v>268.53399999999999</v>
      </c>
    </row>
    <row r="539" spans="2:6">
      <c r="B539" s="219" t="str">
        <f>'2E'!Y55</f>
        <v>BA2091TTTCFWD</v>
      </c>
      <c r="C539" s="219" t="s">
        <v>4616</v>
      </c>
      <c r="E539" s="249" t="s">
        <v>3641</v>
      </c>
      <c r="F539" s="255">
        <f>IF(ISBLANK('2E'!G55),"##BLANK",'2E'!G55)</f>
        <v>190.15200000000004</v>
      </c>
    </row>
    <row r="540" spans="2:6">
      <c r="B540" s="219" t="str">
        <f>'2E'!Z55</f>
        <v>BA3091CFWD</v>
      </c>
      <c r="C540" s="219" t="s">
        <v>4617</v>
      </c>
      <c r="E540" s="249" t="s">
        <v>3641</v>
      </c>
      <c r="F540" s="255">
        <f>IF(ISBLANK('2E'!H55),"##BLANK",'2E'!H55)</f>
        <v>459.28200000000004</v>
      </c>
    </row>
    <row r="541" spans="2:6">
      <c r="B541" s="219" t="str">
        <f>'2F'!S12</f>
        <v>B0072TRR</v>
      </c>
      <c r="C541" s="219" t="s">
        <v>4618</v>
      </c>
      <c r="E541" s="249" t="s">
        <v>3641</v>
      </c>
      <c r="F541" s="255">
        <f>IF(ISBLANK('2F'!C12),"##BLANK",'2F'!C12)</f>
        <v>605.94100000000003</v>
      </c>
    </row>
    <row r="542" spans="2:6">
      <c r="B542" s="219" t="str">
        <f>'2F'!S15</f>
        <v>B0073RR</v>
      </c>
      <c r="C542" s="219" t="s">
        <v>4619</v>
      </c>
      <c r="E542" s="249" t="s">
        <v>3641</v>
      </c>
      <c r="F542" s="255">
        <f>IF(ISBLANK('2F'!C15),"##BLANK",'2F'!C15)</f>
        <v>61.295999999999999</v>
      </c>
    </row>
    <row r="543" spans="2:6">
      <c r="B543" s="219" t="str">
        <f>'2F'!S16</f>
        <v>B0074RS</v>
      </c>
      <c r="C543" s="219" t="s">
        <v>4620</v>
      </c>
      <c r="E543" s="249" t="s">
        <v>3641</v>
      </c>
      <c r="F543" s="255">
        <f>IF(ISBLANK('2F'!C16),"##BLANK",'2F'!C16)</f>
        <v>0</v>
      </c>
    </row>
    <row r="544" spans="2:6">
      <c r="B544" s="219" t="str">
        <f>'2F'!S17</f>
        <v>B0075AR</v>
      </c>
      <c r="C544" s="219" t="s">
        <v>4621</v>
      </c>
      <c r="E544" s="249" t="s">
        <v>3641</v>
      </c>
      <c r="F544" s="255">
        <f>IF(ISBLANK('2F'!C17),"##BLANK",'2F'!C17)</f>
        <v>61.295999999999999</v>
      </c>
    </row>
    <row r="545" spans="2:6">
      <c r="B545" s="219" t="str">
        <f>'2F'!T20</f>
        <v>B0076AC</v>
      </c>
      <c r="C545" s="219" t="s">
        <v>4622</v>
      </c>
      <c r="E545" s="249" t="s">
        <v>3641</v>
      </c>
      <c r="F545" s="255">
        <f>IF(ISBLANK('2F'!D20),"##BLANK",'2F'!D20)</f>
        <v>1971.7070000000001</v>
      </c>
    </row>
    <row r="546" spans="2:6">
      <c r="B546" s="219" t="str">
        <f>'2F'!T21</f>
        <v>B0077RC</v>
      </c>
      <c r="C546" s="219" t="s">
        <v>4623</v>
      </c>
      <c r="E546" s="249" t="s">
        <v>3641</v>
      </c>
      <c r="F546" s="255">
        <f>IF(ISBLANK('2F'!D21),"##BLANK",'2F'!D21)</f>
        <v>1961.3530000000001</v>
      </c>
    </row>
    <row r="547" spans="2:6">
      <c r="B547" s="219" t="str">
        <f>'2F'!S24</f>
        <v>B0078AR</v>
      </c>
      <c r="C547" s="219" t="s">
        <v>4624</v>
      </c>
      <c r="E547" s="249" t="s">
        <v>3641</v>
      </c>
      <c r="F547" s="255">
        <f>IF(ISBLANK('2F'!C24),"##BLANK",'2F'!C24)</f>
        <v>62.366</v>
      </c>
    </row>
    <row r="548" spans="2:6">
      <c r="B548" s="219" t="str">
        <f>'2F'!S25</f>
        <v>B0079NA</v>
      </c>
      <c r="C548" s="219" t="s">
        <v>4625</v>
      </c>
      <c r="E548" s="249" t="s">
        <v>3641</v>
      </c>
      <c r="F548" s="255">
        <f>IF(ISBLANK('2F'!C25),"##BLANK",'2F'!C25)</f>
        <v>1.0700000000000003</v>
      </c>
    </row>
    <row r="549" spans="2:6">
      <c r="B549" s="219" t="str">
        <f>'2F'!U28</f>
        <v>B0080ARR</v>
      </c>
      <c r="C549" s="219" t="s">
        <v>4626</v>
      </c>
      <c r="E549" s="249" t="s">
        <v>3641</v>
      </c>
      <c r="F549" s="255">
        <f>IF(ISBLANK('2F'!E28),"##BLANK",'2F'!E28)</f>
        <v>31.087783326833041</v>
      </c>
    </row>
    <row r="550" spans="2:6">
      <c r="B550" s="219" t="str">
        <f>'2G'!AH10</f>
        <v>CR1003WWCR</v>
      </c>
      <c r="C550" s="219" t="s">
        <v>4627</v>
      </c>
      <c r="E550" s="249" t="s">
        <v>3641</v>
      </c>
      <c r="F550" s="255" t="str">
        <f>IF(ISBLANK('2G'!C10),"##BLANK",'2G'!C10)</f>
        <v>##BLANK</v>
      </c>
    </row>
    <row r="551" spans="2:6">
      <c r="B551" s="219" t="str">
        <f>'2G'!AI10</f>
        <v>CR1003WRR</v>
      </c>
      <c r="C551" s="219" t="s">
        <v>4628</v>
      </c>
      <c r="E551" s="249" t="s">
        <v>3641</v>
      </c>
      <c r="F551" s="255" t="str">
        <f>IF(ISBLANK('2G'!D10),"##BLANK",'2G'!D10)</f>
        <v>##BLANK</v>
      </c>
    </row>
    <row r="552" spans="2:6">
      <c r="B552" s="219" t="str">
        <f>'2G'!AJ10</f>
        <v>CR1003WTR</v>
      </c>
      <c r="C552" s="219" t="s">
        <v>4629</v>
      </c>
      <c r="E552" s="249" t="s">
        <v>3641</v>
      </c>
      <c r="F552" s="255">
        <f>IF(ISBLANK('2G'!E10),"##BLANK",'2G'!E10)</f>
        <v>0</v>
      </c>
    </row>
    <row r="553" spans="2:6">
      <c r="B553" s="219" t="str">
        <f>'2G'!AK10</f>
        <v>CR1043WCO</v>
      </c>
      <c r="C553" s="219" t="s">
        <v>4630</v>
      </c>
      <c r="E553" s="249" t="s">
        <v>3641</v>
      </c>
      <c r="F553" s="255" t="str">
        <f>IF(ISBLANK('2G'!F10),"##BLANK",'2G'!F10)</f>
        <v>##BLANK</v>
      </c>
    </row>
    <row r="554" spans="2:6">
      <c r="B554" s="219" t="str">
        <f>'2G'!AL10</f>
        <v>CR1043WRPC</v>
      </c>
      <c r="C554" s="219" t="s">
        <v>4631</v>
      </c>
      <c r="E554" s="249" t="s">
        <v>3641</v>
      </c>
      <c r="F554" s="255">
        <f>IF(ISBLANK('2G'!G10),"##BLANK",'2G'!G10)</f>
        <v>0</v>
      </c>
    </row>
    <row r="555" spans="2:6">
      <c r="B555" s="219" t="str">
        <f>'2G'!AM10</f>
        <v>B0081TAANH</v>
      </c>
      <c r="C555" s="219" t="s">
        <v>4632</v>
      </c>
      <c r="E555" s="249" t="s">
        <v>3641</v>
      </c>
      <c r="F555" s="255" t="str">
        <f>IF(ISBLANK('2G'!H10),"##BLANK",'2G'!H10)</f>
        <v>##BLANK</v>
      </c>
    </row>
    <row r="556" spans="2:6">
      <c r="B556" s="219" t="str">
        <f>'2G'!AN10</f>
        <v>B0081TAODI</v>
      </c>
      <c r="C556" s="219" t="s">
        <v>4633</v>
      </c>
      <c r="E556" s="249" t="s">
        <v>3641</v>
      </c>
      <c r="F556" s="255" t="str">
        <f>IF(ISBLANK('2G'!I10),"##BLANK",'2G'!I10)</f>
        <v>##BLANK</v>
      </c>
    </row>
    <row r="557" spans="2:6">
      <c r="B557" s="219" t="str">
        <f>'2G'!AO10</f>
        <v>B0081TAAANH</v>
      </c>
      <c r="C557" s="219" t="s">
        <v>4634</v>
      </c>
      <c r="E557" s="249" t="s">
        <v>3641</v>
      </c>
      <c r="F557" s="255">
        <f>IF(ISBLANK('2G'!J10),"##BLANK",'2G'!J10)</f>
        <v>0</v>
      </c>
    </row>
    <row r="558" spans="2:6">
      <c r="B558" s="219" t="str">
        <f>'2G'!AP10</f>
        <v>B0081TAAM</v>
      </c>
      <c r="C558" s="219" t="s">
        <v>4635</v>
      </c>
      <c r="E558" s="249" t="s">
        <v>3641</v>
      </c>
      <c r="F558" s="255" t="str">
        <f>IF(ISBLANK('2G'!K10),"##BLANK",'2G'!K10)</f>
        <v>##BLANK</v>
      </c>
    </row>
    <row r="559" spans="2:6">
      <c r="B559" s="219" t="str">
        <f>'2G'!AQ10</f>
        <v>B0081TAAHRC</v>
      </c>
      <c r="C559" s="219" t="s">
        <v>4636</v>
      </c>
      <c r="E559" s="249" t="s">
        <v>3641</v>
      </c>
      <c r="F559" s="255" t="str">
        <f>IF(ISBLANK('2G'!L10),"##BLANK",'2G'!L10)</f>
        <v>##BLANK</v>
      </c>
    </row>
    <row r="560" spans="2:6">
      <c r="B560" s="219" t="str">
        <f>'2G'!AH11</f>
        <v>CR1004WWCR</v>
      </c>
      <c r="C560" s="219" t="s">
        <v>4627</v>
      </c>
      <c r="E560" s="249" t="s">
        <v>3641</v>
      </c>
      <c r="F560" s="255" t="str">
        <f>IF(ISBLANK('2G'!C11),"##BLANK",'2G'!C11)</f>
        <v>##BLANK</v>
      </c>
    </row>
    <row r="561" spans="2:6">
      <c r="B561" s="219" t="str">
        <f>'2G'!AI11</f>
        <v>CR1004WRR</v>
      </c>
      <c r="C561" s="219" t="s">
        <v>4628</v>
      </c>
      <c r="E561" s="249" t="s">
        <v>3641</v>
      </c>
      <c r="F561" s="255" t="str">
        <f>IF(ISBLANK('2G'!D11),"##BLANK",'2G'!D11)</f>
        <v>##BLANK</v>
      </c>
    </row>
    <row r="562" spans="2:6">
      <c r="B562" s="219" t="str">
        <f>'2G'!AJ11</f>
        <v>CR1004WTR</v>
      </c>
      <c r="C562" s="219" t="s">
        <v>4629</v>
      </c>
      <c r="E562" s="249" t="s">
        <v>3641</v>
      </c>
      <c r="F562" s="255">
        <f>IF(ISBLANK('2G'!E11),"##BLANK",'2G'!E11)</f>
        <v>0</v>
      </c>
    </row>
    <row r="563" spans="2:6">
      <c r="B563" s="219" t="str">
        <f>'2G'!AK11</f>
        <v>CR1044WCO</v>
      </c>
      <c r="C563" s="219" t="s">
        <v>4630</v>
      </c>
      <c r="E563" s="249" t="s">
        <v>3641</v>
      </c>
      <c r="F563" s="255" t="str">
        <f>IF(ISBLANK('2G'!F11),"##BLANK",'2G'!F11)</f>
        <v>##BLANK</v>
      </c>
    </row>
    <row r="564" spans="2:6">
      <c r="B564" s="219" t="str">
        <f>'2G'!AL11</f>
        <v>CR1044WRPC</v>
      </c>
      <c r="C564" s="219" t="s">
        <v>4631</v>
      </c>
      <c r="E564" s="249" t="s">
        <v>3641</v>
      </c>
      <c r="F564" s="255">
        <f>IF(ISBLANK('2G'!G11),"##BLANK",'2G'!G11)</f>
        <v>0</v>
      </c>
    </row>
    <row r="565" spans="2:6">
      <c r="B565" s="219" t="str">
        <f>'2G'!AM11</f>
        <v>B0082TAANH</v>
      </c>
      <c r="C565" s="219" t="s">
        <v>4637</v>
      </c>
      <c r="E565" s="249" t="s">
        <v>3641</v>
      </c>
      <c r="F565" s="255" t="str">
        <f>IF(ISBLANK('2G'!H11),"##BLANK",'2G'!H11)</f>
        <v>##BLANK</v>
      </c>
    </row>
    <row r="566" spans="2:6">
      <c r="B566" s="219" t="str">
        <f>'2G'!AN11</f>
        <v>B0082TAODI</v>
      </c>
      <c r="C566" s="219" t="s">
        <v>4638</v>
      </c>
      <c r="E566" s="249" t="s">
        <v>3641</v>
      </c>
      <c r="F566" s="255" t="str">
        <f>IF(ISBLANK('2G'!I11),"##BLANK",'2G'!I11)</f>
        <v>##BLANK</v>
      </c>
    </row>
    <row r="567" spans="2:6">
      <c r="B567" s="219" t="str">
        <f>'2G'!AO11</f>
        <v>B0082TAAANH</v>
      </c>
      <c r="C567" s="219" t="s">
        <v>4639</v>
      </c>
      <c r="E567" s="249" t="s">
        <v>3641</v>
      </c>
      <c r="F567" s="255">
        <f>IF(ISBLANK('2G'!J11),"##BLANK",'2G'!J11)</f>
        <v>0</v>
      </c>
    </row>
    <row r="568" spans="2:6">
      <c r="B568" s="219" t="str">
        <f>'2G'!AP11</f>
        <v>B0082TAAM</v>
      </c>
      <c r="C568" s="219" t="s">
        <v>4640</v>
      </c>
      <c r="E568" s="249" t="s">
        <v>3641</v>
      </c>
      <c r="F568" s="255" t="str">
        <f>IF(ISBLANK('2G'!K11),"##BLANK",'2G'!K11)</f>
        <v>##BLANK</v>
      </c>
    </row>
    <row r="569" spans="2:6">
      <c r="B569" s="219" t="str">
        <f>'2G'!AQ11</f>
        <v>B0082TAAHRC</v>
      </c>
      <c r="C569" s="219" t="s">
        <v>4641</v>
      </c>
      <c r="E569" s="249" t="s">
        <v>3641</v>
      </c>
      <c r="F569" s="255" t="str">
        <f>IF(ISBLANK('2G'!L11),"##BLANK",'2G'!L11)</f>
        <v>##BLANK</v>
      </c>
    </row>
    <row r="570" spans="2:6">
      <c r="B570" s="219" t="str">
        <f>'2G'!AH12</f>
        <v>B0083TWCR</v>
      </c>
      <c r="C570" s="219" t="s">
        <v>4642</v>
      </c>
      <c r="E570" s="249" t="s">
        <v>3641</v>
      </c>
      <c r="F570" s="255">
        <f>IF(ISBLANK('2G'!C12),"##BLANK",'2G'!C12)</f>
        <v>0</v>
      </c>
    </row>
    <row r="571" spans="2:6">
      <c r="B571" s="219" t="str">
        <f>'2G'!AI12</f>
        <v>B0083TWRR</v>
      </c>
      <c r="C571" s="219" t="s">
        <v>4643</v>
      </c>
      <c r="E571" s="249" t="s">
        <v>3641</v>
      </c>
      <c r="F571" s="255">
        <f>IF(ISBLANK('2G'!D12),"##BLANK",'2G'!D12)</f>
        <v>0</v>
      </c>
    </row>
    <row r="572" spans="2:6">
      <c r="B572" s="219" t="str">
        <f>'2G'!AJ12</f>
        <v>B0083TWTR</v>
      </c>
      <c r="C572" s="219" t="s">
        <v>4644</v>
      </c>
      <c r="E572" s="249" t="s">
        <v>3641</v>
      </c>
      <c r="F572" s="255">
        <f>IF(ISBLANK('2G'!E12),"##BLANK",'2G'!E12)</f>
        <v>0</v>
      </c>
    </row>
    <row r="573" spans="2:6">
      <c r="B573" s="219" t="str">
        <f>'2G'!AK12</f>
        <v>B0083TWNC</v>
      </c>
      <c r="C573" s="219" t="s">
        <v>4645</v>
      </c>
      <c r="E573" s="249" t="s">
        <v>3641</v>
      </c>
      <c r="F573" s="255">
        <f>IF(ISBLANK('2G'!F12),"##BLANK",'2G'!F12)</f>
        <v>0</v>
      </c>
    </row>
    <row r="574" spans="2:6">
      <c r="B574" s="219" t="str">
        <f>'2G'!AL12</f>
        <v>B0083TWAHRR</v>
      </c>
      <c r="C574" s="219" t="s">
        <v>4646</v>
      </c>
      <c r="E574" s="249" t="s">
        <v>3641</v>
      </c>
      <c r="F574" s="255">
        <f>IF(ISBLANK('2G'!G12),"##BLANK",'2G'!G12)</f>
        <v>0</v>
      </c>
    </row>
    <row r="575" spans="2:6">
      <c r="B575" s="219" t="str">
        <f>'2G'!AM12</f>
        <v>B0083TWAANH</v>
      </c>
      <c r="C575" s="219" t="s">
        <v>4647</v>
      </c>
      <c r="E575" s="249" t="s">
        <v>3641</v>
      </c>
      <c r="F575" s="255">
        <f>IF(ISBLANK('2G'!H12),"##BLANK",'2G'!H12)</f>
        <v>0</v>
      </c>
    </row>
    <row r="576" spans="2:6">
      <c r="B576" s="219" t="str">
        <f>'2G'!AN12</f>
        <v>B0083TWODI</v>
      </c>
      <c r="C576" s="219" t="s">
        <v>4648</v>
      </c>
      <c r="E576" s="249" t="s">
        <v>3641</v>
      </c>
      <c r="F576" s="255">
        <f>IF(ISBLANK('2G'!I12),"##BLANK",'2G'!I12)</f>
        <v>0</v>
      </c>
    </row>
    <row r="577" spans="2:6">
      <c r="B577" s="219" t="str">
        <f>'2G'!AO12</f>
        <v>B0083TWAAANH</v>
      </c>
      <c r="C577" s="219" t="s">
        <v>4649</v>
      </c>
      <c r="E577" s="249" t="s">
        <v>3641</v>
      </c>
      <c r="F577" s="255">
        <f>IF(ISBLANK('2G'!J12),"##BLANK",'2G'!J12)</f>
        <v>0</v>
      </c>
    </row>
    <row r="578" spans="2:6">
      <c r="B578" s="219" t="str">
        <f>'2G'!AP12</f>
        <v>B0083TWAM</v>
      </c>
      <c r="C578" s="219" t="s">
        <v>4650</v>
      </c>
      <c r="E578" s="249" t="s">
        <v>3641</v>
      </c>
      <c r="F578" s="255">
        <f>IF(ISBLANK('2G'!K12),"##BLANK",'2G'!K12)</f>
        <v>0</v>
      </c>
    </row>
    <row r="579" spans="2:6">
      <c r="B579" s="219" t="str">
        <f>'2G'!AQ12</f>
        <v>B0083TWAHRC</v>
      </c>
      <c r="C579" s="219" t="s">
        <v>4651</v>
      </c>
      <c r="E579" s="249" t="s">
        <v>3641</v>
      </c>
      <c r="F579" s="255">
        <f>IF(ISBLANK('2G'!L12),"##BLANK",'2G'!L12)</f>
        <v>0</v>
      </c>
    </row>
    <row r="580" spans="2:6">
      <c r="B580" s="219" t="str">
        <f>'2G'!AH15</f>
        <v>CR1005WWCR</v>
      </c>
      <c r="C580" s="219" t="s">
        <v>4627</v>
      </c>
      <c r="E580" s="249" t="s">
        <v>3641</v>
      </c>
      <c r="F580" s="255" t="str">
        <f>IF(ISBLANK('2G'!C15),"##BLANK",'2G'!C15)</f>
        <v>##BLANK</v>
      </c>
    </row>
    <row r="581" spans="2:6">
      <c r="B581" s="219" t="str">
        <f>'2G'!AI15</f>
        <v>CR1005WRR</v>
      </c>
      <c r="C581" s="219" t="s">
        <v>4628</v>
      </c>
      <c r="E581" s="249" t="s">
        <v>3641</v>
      </c>
      <c r="F581" s="255" t="str">
        <f>IF(ISBLANK('2G'!D15),"##BLANK",'2G'!D15)</f>
        <v>##BLANK</v>
      </c>
    </row>
    <row r="582" spans="2:6">
      <c r="B582" s="219" t="str">
        <f>'2G'!AJ15</f>
        <v>CR1005WTR</v>
      </c>
      <c r="C582" s="219" t="s">
        <v>4629</v>
      </c>
      <c r="E582" s="249" t="s">
        <v>3641</v>
      </c>
      <c r="F582" s="255">
        <f>IF(ISBLANK('2G'!E15),"##BLANK",'2G'!E15)</f>
        <v>0</v>
      </c>
    </row>
    <row r="583" spans="2:6">
      <c r="B583" s="219" t="str">
        <f>'2G'!AK15</f>
        <v>CR1045WCO</v>
      </c>
      <c r="C583" s="219" t="s">
        <v>4630</v>
      </c>
      <c r="E583" s="249" t="s">
        <v>3641</v>
      </c>
      <c r="F583" s="255" t="str">
        <f>IF(ISBLANK('2G'!F15),"##BLANK",'2G'!F15)</f>
        <v>##BLANK</v>
      </c>
    </row>
    <row r="584" spans="2:6">
      <c r="B584" s="219" t="str">
        <f>'2G'!AL15</f>
        <v>CR1045WRPC</v>
      </c>
      <c r="C584" s="219" t="s">
        <v>4631</v>
      </c>
      <c r="E584" s="249" t="s">
        <v>3641</v>
      </c>
      <c r="F584" s="255">
        <f>IF(ISBLANK('2G'!G15),"##BLANK",'2G'!G15)</f>
        <v>0</v>
      </c>
    </row>
    <row r="585" spans="2:6">
      <c r="B585" s="219" t="str">
        <f>'2G'!AM15</f>
        <v>B0084TAANH</v>
      </c>
      <c r="C585" s="219" t="s">
        <v>4652</v>
      </c>
      <c r="E585" s="249" t="s">
        <v>3641</v>
      </c>
      <c r="F585" s="255" t="str">
        <f>IF(ISBLANK('2G'!H15),"##BLANK",'2G'!H15)</f>
        <v>##BLANK</v>
      </c>
    </row>
    <row r="586" spans="2:6">
      <c r="B586" s="219" t="str">
        <f>'2G'!AN15</f>
        <v>B0084TAODI</v>
      </c>
      <c r="C586" s="219" t="s">
        <v>4653</v>
      </c>
      <c r="E586" s="249" t="s">
        <v>3641</v>
      </c>
      <c r="F586" s="255" t="str">
        <f>IF(ISBLANK('2G'!I15),"##BLANK",'2G'!I15)</f>
        <v>##BLANK</v>
      </c>
    </row>
    <row r="587" spans="2:6">
      <c r="B587" s="219" t="str">
        <f>'2G'!AO15</f>
        <v>B0084TAAANH</v>
      </c>
      <c r="C587" s="219" t="s">
        <v>4654</v>
      </c>
      <c r="E587" s="249" t="s">
        <v>3641</v>
      </c>
      <c r="F587" s="255" t="str">
        <f>IF(ISBLANK('2G'!J15),"##BLANK",'2G'!J15)</f>
        <v>##BLANK</v>
      </c>
    </row>
    <row r="588" spans="2:6">
      <c r="B588" s="219" t="str">
        <f>'2G'!AP15</f>
        <v>B0084TAM</v>
      </c>
      <c r="C588" s="219" t="s">
        <v>4655</v>
      </c>
      <c r="E588" s="249" t="s">
        <v>3641</v>
      </c>
      <c r="F588" s="255" t="str">
        <f>IF(ISBLANK('2G'!K15),"##BLANK",'2G'!K15)</f>
        <v>##BLANK</v>
      </c>
    </row>
    <row r="589" spans="2:6">
      <c r="B589" s="219" t="str">
        <f>'2G'!AQ15</f>
        <v>B0084TAHRC</v>
      </c>
      <c r="C589" s="219" t="s">
        <v>4656</v>
      </c>
      <c r="E589" s="249" t="s">
        <v>3641</v>
      </c>
      <c r="F589" s="255">
        <f>IF(ISBLANK('2G'!L15),"##BLANK",'2G'!L15)</f>
        <v>0</v>
      </c>
    </row>
    <row r="590" spans="2:6">
      <c r="B590" s="219" t="str">
        <f>'2G'!AH17</f>
        <v>B0085TWCR</v>
      </c>
      <c r="C590" s="219" t="s">
        <v>4657</v>
      </c>
      <c r="E590" s="249" t="s">
        <v>3641</v>
      </c>
      <c r="F590" s="255">
        <f>IF(ISBLANK('2G'!C17),"##BLANK",'2G'!C17)</f>
        <v>0</v>
      </c>
    </row>
    <row r="591" spans="2:6">
      <c r="B591" s="219" t="str">
        <f>'2G'!AI17</f>
        <v>B0085TWRR</v>
      </c>
      <c r="C591" s="219" t="s">
        <v>4658</v>
      </c>
      <c r="E591" s="249" t="s">
        <v>3641</v>
      </c>
      <c r="F591" s="255">
        <f>IF(ISBLANK('2G'!D17),"##BLANK",'2G'!D17)</f>
        <v>0</v>
      </c>
    </row>
    <row r="592" spans="2:6">
      <c r="B592" s="219" t="str">
        <f>'2G'!AJ17</f>
        <v>B0085TWTR</v>
      </c>
      <c r="C592" s="219" t="s">
        <v>4659</v>
      </c>
      <c r="E592" s="249" t="s">
        <v>3641</v>
      </c>
      <c r="F592" s="255">
        <f>IF(ISBLANK('2G'!E17),"##BLANK",'2G'!E17)</f>
        <v>0</v>
      </c>
    </row>
    <row r="593" spans="2:6">
      <c r="B593" s="219" t="str">
        <f>'2G'!AK17</f>
        <v>B0085TWNC</v>
      </c>
      <c r="C593" s="219" t="s">
        <v>4660</v>
      </c>
      <c r="E593" s="249" t="s">
        <v>3641</v>
      </c>
      <c r="F593" s="255">
        <f>IF(ISBLANK('2G'!F17),"##BLANK",'2G'!F17)</f>
        <v>0</v>
      </c>
    </row>
    <row r="594" spans="2:6">
      <c r="B594" s="219" t="str">
        <f>'2G'!AL17</f>
        <v>B0085TWAHRR</v>
      </c>
      <c r="C594" s="219" t="s">
        <v>4661</v>
      </c>
      <c r="E594" s="249" t="s">
        <v>3641</v>
      </c>
      <c r="F594" s="255">
        <f>IF(ISBLANK('2G'!G17),"##BLANK",'2G'!G17)</f>
        <v>0</v>
      </c>
    </row>
    <row r="595" spans="2:6">
      <c r="B595" s="219" t="str">
        <f>'2G'!AM17</f>
        <v>B0085TAANH</v>
      </c>
      <c r="C595" s="219" t="s">
        <v>4662</v>
      </c>
      <c r="E595" s="249" t="s">
        <v>3641</v>
      </c>
      <c r="F595" s="255">
        <f>IF(ISBLANK('2G'!H17),"##BLANK",'2G'!H17)</f>
        <v>0</v>
      </c>
    </row>
    <row r="596" spans="2:6">
      <c r="B596" s="219" t="str">
        <f>'2G'!AN17</f>
        <v>B0085TAODI</v>
      </c>
      <c r="C596" s="219" t="s">
        <v>4663</v>
      </c>
      <c r="E596" s="249" t="s">
        <v>3641</v>
      </c>
      <c r="F596" s="255">
        <f>IF(ISBLANK('2G'!I17),"##BLANK",'2G'!I17)</f>
        <v>0</v>
      </c>
    </row>
    <row r="597" spans="2:6">
      <c r="B597" s="219" t="str">
        <f>'2G'!AO17</f>
        <v>B0085TAAANH</v>
      </c>
      <c r="C597" s="219" t="s">
        <v>4664</v>
      </c>
      <c r="E597" s="249" t="s">
        <v>3641</v>
      </c>
      <c r="F597" s="255">
        <f>IF(ISBLANK('2G'!J17),"##BLANK",'2G'!J17)</f>
        <v>0</v>
      </c>
    </row>
    <row r="598" spans="2:6">
      <c r="B598" s="219" t="str">
        <f>'2G'!AP17</f>
        <v>B0085TAAM</v>
      </c>
      <c r="C598" s="219" t="s">
        <v>4665</v>
      </c>
      <c r="E598" s="249" t="s">
        <v>3641</v>
      </c>
      <c r="F598" s="255">
        <f>IF(ISBLANK('2G'!K17),"##BLANK",'2G'!K17)</f>
        <v>0</v>
      </c>
    </row>
    <row r="599" spans="2:6">
      <c r="B599" s="219" t="str">
        <f>'2G'!AQ17</f>
        <v>B0085TAAHRC</v>
      </c>
      <c r="C599" s="219" t="s">
        <v>4666</v>
      </c>
      <c r="E599" s="249" t="s">
        <v>3641</v>
      </c>
      <c r="F599" s="255">
        <f>IF(ISBLANK('2G'!L17),"##BLANK",'2G'!L17)</f>
        <v>0</v>
      </c>
    </row>
    <row r="600" spans="2:6">
      <c r="B600" s="219" t="str">
        <f>'2G'!AH20</f>
        <v>B0376TN_WCR</v>
      </c>
      <c r="C600" s="219" t="s">
        <v>4667</v>
      </c>
      <c r="E600" s="249" t="s">
        <v>3641</v>
      </c>
      <c r="F600" s="255" t="str">
        <f>IF(ISBLANK('2G'!C20),"##BLANK",'2G'!C20)</f>
        <v>##BLANK</v>
      </c>
    </row>
    <row r="601" spans="2:6">
      <c r="B601" s="219" t="str">
        <f>'2G'!AI20</f>
        <v>B0376TN_RR</v>
      </c>
      <c r="C601" s="219" t="s">
        <v>4668</v>
      </c>
      <c r="E601" s="249" t="s">
        <v>3641</v>
      </c>
      <c r="F601" s="255" t="str">
        <f>IF(ISBLANK('2G'!D20),"##BLANK",'2G'!D20)</f>
        <v>##BLANK</v>
      </c>
    </row>
    <row r="602" spans="2:6">
      <c r="B602" s="219" t="str">
        <f>'2G'!AJ20</f>
        <v>B0376TN_TR</v>
      </c>
      <c r="C602" s="219" t="s">
        <v>4669</v>
      </c>
      <c r="E602" s="249" t="s">
        <v>3641</v>
      </c>
      <c r="F602" s="255">
        <f>IF(ISBLANK('2G'!E20),"##BLANK",'2G'!E20)</f>
        <v>0</v>
      </c>
    </row>
    <row r="603" spans="2:6">
      <c r="B603" s="219" t="str">
        <f>'2G'!AK20</f>
        <v>B0376TN_NC</v>
      </c>
      <c r="C603" s="219" t="s">
        <v>4670</v>
      </c>
      <c r="E603" s="249" t="s">
        <v>3641</v>
      </c>
      <c r="F603" s="255" t="str">
        <f>IF(ISBLANK('2G'!F20),"##BLANK",'2G'!F20)</f>
        <v>##BLANK</v>
      </c>
    </row>
    <row r="604" spans="2:6">
      <c r="B604" s="219" t="str">
        <f>'2G'!AL20</f>
        <v>B0376TN_AHRR</v>
      </c>
      <c r="C604" s="219" t="s">
        <v>4671</v>
      </c>
      <c r="E604" s="249" t="s">
        <v>3641</v>
      </c>
      <c r="F604" s="255">
        <f>IF(ISBLANK('2G'!G20),"##BLANK",'2G'!G20)</f>
        <v>0</v>
      </c>
    </row>
    <row r="605" spans="2:6">
      <c r="B605" s="219" t="str">
        <f>'2G'!AH22</f>
        <v>B0377TT_WCR</v>
      </c>
      <c r="C605" s="219" t="s">
        <v>4672</v>
      </c>
      <c r="E605" s="249" t="s">
        <v>3641</v>
      </c>
      <c r="F605" s="255">
        <f>IF(ISBLANK('2G'!C22),"##BLANK",'2G'!C22)</f>
        <v>0</v>
      </c>
    </row>
    <row r="606" spans="2:6">
      <c r="B606" s="219" t="str">
        <f>'2G'!AI22</f>
        <v>B0377TT_RR</v>
      </c>
      <c r="C606" s="219" t="s">
        <v>4673</v>
      </c>
      <c r="E606" s="249" t="s">
        <v>3641</v>
      </c>
      <c r="F606" s="255">
        <f>IF(ISBLANK('2G'!D22),"##BLANK",'2G'!D22)</f>
        <v>0</v>
      </c>
    </row>
    <row r="607" spans="2:6">
      <c r="B607" s="219" t="str">
        <f>'2G'!AJ22</f>
        <v>B0377TT_TR</v>
      </c>
      <c r="C607" s="219" t="s">
        <v>4674</v>
      </c>
      <c r="E607" s="249" t="s">
        <v>3641</v>
      </c>
      <c r="F607" s="255">
        <f>IF(ISBLANK('2G'!E22),"##BLANK",'2G'!E22)</f>
        <v>0</v>
      </c>
    </row>
    <row r="608" spans="2:6">
      <c r="B608" s="219" t="str">
        <f>'2G'!AK22</f>
        <v>B0377TT_NC</v>
      </c>
      <c r="C608" s="219" t="s">
        <v>4675</v>
      </c>
      <c r="E608" s="249" t="s">
        <v>3641</v>
      </c>
      <c r="F608" s="255">
        <f>IF(ISBLANK('2G'!F22),"##BLANK",'2G'!F22)</f>
        <v>0</v>
      </c>
    </row>
    <row r="609" spans="2:6">
      <c r="B609" s="219" t="str">
        <f>'2G'!AL22</f>
        <v>B0377TT_AHRR</v>
      </c>
      <c r="C609" s="219" t="s">
        <v>4676</v>
      </c>
      <c r="E609" s="249" t="s">
        <v>3641</v>
      </c>
      <c r="F609" s="255">
        <f>IF(ISBLANK('2G'!G22),"##BLANK",'2G'!G22)</f>
        <v>0</v>
      </c>
    </row>
    <row r="610" spans="2:6">
      <c r="B610" s="219" t="str">
        <f>'2G'!AH29</f>
        <v>B0378T_NC</v>
      </c>
      <c r="C610" s="219" t="s">
        <v>4677</v>
      </c>
      <c r="E610" s="249" t="s">
        <v>3641</v>
      </c>
      <c r="F610" s="255" t="str">
        <f>IF(ISBLANK('2G'!C29),"##BLANK",'2G'!C29)</f>
        <v>##BLANK</v>
      </c>
    </row>
    <row r="611" spans="2:6">
      <c r="B611" s="219" t="str">
        <f>'2G'!AI29</f>
        <v>B0378T_AHRR</v>
      </c>
      <c r="C611" s="219" t="s">
        <v>4678</v>
      </c>
      <c r="E611" s="249" t="s">
        <v>3641</v>
      </c>
      <c r="F611" s="255">
        <f>IF(ISBLANK('2G'!D29),"##BLANK",'2G'!D29)</f>
        <v>0</v>
      </c>
    </row>
    <row r="612" spans="2:6">
      <c r="B612" s="219" t="str">
        <f>'2H'!AH10</f>
        <v>CR1002SWCR</v>
      </c>
      <c r="C612" s="219" t="s">
        <v>4627</v>
      </c>
      <c r="E612" s="249" t="s">
        <v>3641</v>
      </c>
      <c r="F612" s="255" t="str">
        <f>IF(ISBLANK('2H'!C10),"##BLANK",'2H'!C10)</f>
        <v>##BLANK</v>
      </c>
    </row>
    <row r="613" spans="2:6">
      <c r="B613" s="219" t="str">
        <f>'2H'!AI10</f>
        <v>CR1002SRR</v>
      </c>
      <c r="C613" s="219" t="s">
        <v>4628</v>
      </c>
      <c r="E613" s="249" t="s">
        <v>3641</v>
      </c>
      <c r="F613" s="255" t="str">
        <f>IF(ISBLANK('2H'!D10),"##BLANK",'2H'!D10)</f>
        <v>##BLANK</v>
      </c>
    </row>
    <row r="614" spans="2:6">
      <c r="B614" s="219" t="str">
        <f>'2H'!AJ10</f>
        <v>CR1002STR</v>
      </c>
      <c r="C614" s="219" t="s">
        <v>4629</v>
      </c>
      <c r="E614" s="249" t="s">
        <v>3641</v>
      </c>
      <c r="F614" s="256">
        <f>IF(ISBLANK('2H'!E10),"##BLANK",'2H'!E10)</f>
        <v>0</v>
      </c>
    </row>
    <row r="615" spans="2:6">
      <c r="B615" s="219" t="str">
        <f>'2H'!AK10</f>
        <v>CR1042SCO</v>
      </c>
      <c r="C615" s="219" t="s">
        <v>4630</v>
      </c>
      <c r="E615" s="249" t="s">
        <v>3641</v>
      </c>
      <c r="F615" s="256" t="str">
        <f>IF(ISBLANK('2H'!F10),"##BLANK",'2H'!F10)</f>
        <v>##BLANK</v>
      </c>
    </row>
    <row r="616" spans="2:6">
      <c r="B616" s="219" t="str">
        <f>'2H'!AL10</f>
        <v>CR1042SRPC</v>
      </c>
      <c r="C616" s="219" t="s">
        <v>4631</v>
      </c>
      <c r="E616" s="249" t="s">
        <v>3641</v>
      </c>
      <c r="F616" s="256">
        <f>IF(ISBLANK('2H'!G10),"##BLANK",'2H'!G10)</f>
        <v>0</v>
      </c>
    </row>
    <row r="617" spans="2:6">
      <c r="B617" s="219" t="str">
        <f>'2H'!AM10</f>
        <v>B0086TAANH</v>
      </c>
      <c r="C617" s="219" t="s">
        <v>4632</v>
      </c>
      <c r="E617" s="249" t="s">
        <v>3641</v>
      </c>
      <c r="F617" s="256" t="str">
        <f>IF(ISBLANK('2H'!H10),"##BLANK",'2H'!H10)</f>
        <v>##BLANK</v>
      </c>
    </row>
    <row r="618" spans="2:6">
      <c r="B618" s="219" t="str">
        <f>'2H'!AN10</f>
        <v>B0086TAODI</v>
      </c>
      <c r="C618" s="219" t="s">
        <v>4633</v>
      </c>
      <c r="E618" s="249" t="s">
        <v>3641</v>
      </c>
      <c r="F618" s="256" t="str">
        <f>IF(ISBLANK('2H'!I10),"##BLANK",'2H'!I10)</f>
        <v>##BLANK</v>
      </c>
    </row>
    <row r="619" spans="2:6">
      <c r="B619" s="219" t="str">
        <f>'2H'!AO10</f>
        <v>B0086TAAANH</v>
      </c>
      <c r="C619" s="219" t="s">
        <v>4634</v>
      </c>
      <c r="E619" s="249" t="s">
        <v>3641</v>
      </c>
      <c r="F619" s="256">
        <f>IF(ISBLANK('2H'!J10),"##BLANK",'2H'!J10)</f>
        <v>0</v>
      </c>
    </row>
    <row r="620" spans="2:6">
      <c r="B620" s="219" t="str">
        <f>'2H'!AP10</f>
        <v>B0086TAAM</v>
      </c>
      <c r="C620" s="219" t="s">
        <v>4635</v>
      </c>
      <c r="E620" s="249" t="s">
        <v>3641</v>
      </c>
      <c r="F620" s="256" t="str">
        <f>IF(ISBLANK('2H'!K10),"##BLANK",'2H'!K10)</f>
        <v>##BLANK</v>
      </c>
    </row>
    <row r="621" spans="2:6">
      <c r="B621" s="219" t="str">
        <f>'2H'!AQ10</f>
        <v>B0086TAAHRC</v>
      </c>
      <c r="C621" s="219" t="s">
        <v>4636</v>
      </c>
      <c r="E621" s="249" t="s">
        <v>3641</v>
      </c>
      <c r="F621" s="256" t="str">
        <f>IF(ISBLANK('2H'!L10),"##BLANK",'2H'!L10)</f>
        <v>##BLANK</v>
      </c>
    </row>
    <row r="622" spans="2:6">
      <c r="B622" s="219" t="str">
        <f>'2H'!AH11</f>
        <v>CR1003SWCR</v>
      </c>
      <c r="C622" s="219" t="s">
        <v>4627</v>
      </c>
      <c r="E622" s="249" t="s">
        <v>3641</v>
      </c>
      <c r="F622" s="256" t="str">
        <f>IF(ISBLANK('2H'!C11),"##BLANK",'2H'!C11)</f>
        <v>##BLANK</v>
      </c>
    </row>
    <row r="623" spans="2:6">
      <c r="B623" s="219" t="str">
        <f>'2H'!AI11</f>
        <v>CR1003SRR</v>
      </c>
      <c r="C623" s="219" t="s">
        <v>4628</v>
      </c>
      <c r="E623" s="249" t="s">
        <v>3641</v>
      </c>
      <c r="F623" s="256" t="str">
        <f>IF(ISBLANK('2H'!D11),"##BLANK",'2H'!D11)</f>
        <v>##BLANK</v>
      </c>
    </row>
    <row r="624" spans="2:6">
      <c r="B624" s="219" t="str">
        <f>'2H'!AJ11</f>
        <v>CR1003STR</v>
      </c>
      <c r="C624" s="219" t="s">
        <v>4629</v>
      </c>
      <c r="E624" s="249" t="s">
        <v>3641</v>
      </c>
      <c r="F624" s="256">
        <f>IF(ISBLANK('2H'!E11),"##BLANK",'2H'!E11)</f>
        <v>0</v>
      </c>
    </row>
    <row r="625" spans="2:6">
      <c r="B625" s="219" t="str">
        <f>'2H'!AK11</f>
        <v>CR1043SCO</v>
      </c>
      <c r="C625" s="219" t="s">
        <v>4630</v>
      </c>
      <c r="E625" s="249" t="s">
        <v>3641</v>
      </c>
      <c r="F625" s="256" t="str">
        <f>IF(ISBLANK('2H'!F11),"##BLANK",'2H'!F11)</f>
        <v>##BLANK</v>
      </c>
    </row>
    <row r="626" spans="2:6">
      <c r="B626" s="219" t="str">
        <f>'2H'!AL11</f>
        <v>CR1043SRPC</v>
      </c>
      <c r="C626" s="219" t="s">
        <v>4631</v>
      </c>
      <c r="E626" s="249" t="s">
        <v>3641</v>
      </c>
      <c r="F626" s="256">
        <f>IF(ISBLANK('2H'!G11),"##BLANK",'2H'!G11)</f>
        <v>0</v>
      </c>
    </row>
    <row r="627" spans="2:6">
      <c r="B627" s="219" t="str">
        <f>'2H'!AM11</f>
        <v>B0087TAANH</v>
      </c>
      <c r="C627" s="219" t="s">
        <v>4637</v>
      </c>
      <c r="E627" s="249" t="s">
        <v>3641</v>
      </c>
      <c r="F627" s="256" t="str">
        <f>IF(ISBLANK('2H'!H11),"##BLANK",'2H'!H11)</f>
        <v>##BLANK</v>
      </c>
    </row>
    <row r="628" spans="2:6">
      <c r="B628" s="219" t="str">
        <f>'2H'!AN11</f>
        <v>B0087TAODI</v>
      </c>
      <c r="C628" s="219" t="s">
        <v>4638</v>
      </c>
      <c r="E628" s="249" t="s">
        <v>3641</v>
      </c>
      <c r="F628" s="256" t="str">
        <f>IF(ISBLANK('2H'!I11),"##BLANK",'2H'!I11)</f>
        <v>##BLANK</v>
      </c>
    </row>
    <row r="629" spans="2:6">
      <c r="B629" s="219" t="str">
        <f>'2H'!AO11</f>
        <v>B0087TAAANH</v>
      </c>
      <c r="C629" s="219" t="s">
        <v>4639</v>
      </c>
      <c r="E629" s="249" t="s">
        <v>3641</v>
      </c>
      <c r="F629" s="256">
        <f>IF(ISBLANK('2H'!J11),"##BLANK",'2H'!J11)</f>
        <v>0</v>
      </c>
    </row>
    <row r="630" spans="2:6">
      <c r="B630" s="219" t="str">
        <f>'2H'!AP11</f>
        <v>B0087TAAM</v>
      </c>
      <c r="C630" s="219" t="s">
        <v>4640</v>
      </c>
      <c r="E630" s="249" t="s">
        <v>3641</v>
      </c>
      <c r="F630" s="256" t="str">
        <f>IF(ISBLANK('2H'!K11),"##BLANK",'2H'!K11)</f>
        <v>##BLANK</v>
      </c>
    </row>
    <row r="631" spans="2:6">
      <c r="B631" s="219" t="str">
        <f>'2H'!AQ11</f>
        <v>B0087TAAHRC</v>
      </c>
      <c r="C631" s="219" t="s">
        <v>4641</v>
      </c>
      <c r="E631" s="249" t="s">
        <v>3641</v>
      </c>
      <c r="F631" s="256" t="str">
        <f>IF(ISBLANK('2H'!L11),"##BLANK",'2H'!L11)</f>
        <v>##BLANK</v>
      </c>
    </row>
    <row r="632" spans="2:6">
      <c r="B632" s="219" t="str">
        <f>'2H'!AH12</f>
        <v>CR1004SWCR</v>
      </c>
      <c r="C632" s="219" t="s">
        <v>4627</v>
      </c>
      <c r="E632" s="249" t="s">
        <v>3641</v>
      </c>
      <c r="F632" s="256" t="str">
        <f>IF(ISBLANK('2H'!C12),"##BLANK",'2H'!C12)</f>
        <v>##BLANK</v>
      </c>
    </row>
    <row r="633" spans="2:6">
      <c r="B633" s="219" t="str">
        <f>'2H'!AI12</f>
        <v>CR1004SRR</v>
      </c>
      <c r="C633" s="219" t="s">
        <v>4628</v>
      </c>
      <c r="E633" s="249" t="s">
        <v>3641</v>
      </c>
      <c r="F633" s="256" t="str">
        <f>IF(ISBLANK('2H'!D12),"##BLANK",'2H'!D12)</f>
        <v>##BLANK</v>
      </c>
    </row>
    <row r="634" spans="2:6">
      <c r="B634" s="219" t="str">
        <f>'2H'!AJ12</f>
        <v>CR1004STR</v>
      </c>
      <c r="C634" s="219" t="s">
        <v>4629</v>
      </c>
      <c r="E634" s="249" t="s">
        <v>3641</v>
      </c>
      <c r="F634" s="256">
        <f>IF(ISBLANK('2H'!E12),"##BLANK",'2H'!E12)</f>
        <v>0</v>
      </c>
    </row>
    <row r="635" spans="2:6">
      <c r="B635" s="219" t="str">
        <f>'2H'!AK12</f>
        <v>CR1044SCO</v>
      </c>
      <c r="C635" s="219" t="s">
        <v>4630</v>
      </c>
      <c r="E635" s="249" t="s">
        <v>3641</v>
      </c>
      <c r="F635" s="256" t="str">
        <f>IF(ISBLANK('2H'!F12),"##BLANK",'2H'!F12)</f>
        <v>##BLANK</v>
      </c>
    </row>
    <row r="636" spans="2:6">
      <c r="B636" s="219" t="str">
        <f>'2H'!AL12</f>
        <v>CR1044SRPC</v>
      </c>
      <c r="C636" s="219" t="s">
        <v>4631</v>
      </c>
      <c r="E636" s="249" t="s">
        <v>3641</v>
      </c>
      <c r="F636" s="256">
        <f>IF(ISBLANK('2H'!G12),"##BLANK",'2H'!G12)</f>
        <v>0</v>
      </c>
    </row>
    <row r="637" spans="2:6">
      <c r="B637" s="219" t="str">
        <f>'2H'!AM12</f>
        <v>B0088TWAANH</v>
      </c>
      <c r="C637" s="219" t="s">
        <v>4679</v>
      </c>
      <c r="E637" s="249" t="s">
        <v>3641</v>
      </c>
      <c r="F637" s="256" t="str">
        <f>IF(ISBLANK('2H'!H12),"##BLANK",'2H'!H12)</f>
        <v>##BLANK</v>
      </c>
    </row>
    <row r="638" spans="2:6">
      <c r="B638" s="219" t="str">
        <f>'2H'!AN12</f>
        <v>B0088TWODI</v>
      </c>
      <c r="C638" s="219" t="s">
        <v>4680</v>
      </c>
      <c r="E638" s="249" t="s">
        <v>3641</v>
      </c>
      <c r="F638" s="256" t="str">
        <f>IF(ISBLANK('2H'!I12),"##BLANK",'2H'!I12)</f>
        <v>##BLANK</v>
      </c>
    </row>
    <row r="639" spans="2:6">
      <c r="B639" s="219" t="str">
        <f>'2H'!AO12</f>
        <v>B0088TWAANHO</v>
      </c>
      <c r="C639" s="219" t="s">
        <v>4681</v>
      </c>
      <c r="E639" s="249" t="s">
        <v>3641</v>
      </c>
      <c r="F639" s="256">
        <f>IF(ISBLANK('2H'!J12),"##BLANK",'2H'!J12)</f>
        <v>0</v>
      </c>
    </row>
    <row r="640" spans="2:6">
      <c r="B640" s="219" t="str">
        <f>'2H'!AP12</f>
        <v>B0088TWAM</v>
      </c>
      <c r="C640" s="219" t="s">
        <v>4682</v>
      </c>
      <c r="E640" s="249" t="s">
        <v>3641</v>
      </c>
      <c r="F640" s="256" t="str">
        <f>IF(ISBLANK('2H'!K12),"##BLANK",'2H'!K12)</f>
        <v>##BLANK</v>
      </c>
    </row>
    <row r="641" spans="2:6">
      <c r="B641" s="219" t="str">
        <f>'2H'!AQ12</f>
        <v>B0088TWAHRC</v>
      </c>
      <c r="C641" s="219" t="s">
        <v>4683</v>
      </c>
      <c r="E641" s="249" t="s">
        <v>3641</v>
      </c>
      <c r="F641" s="256" t="str">
        <f>IF(ISBLANK('2H'!L12),"##BLANK",'2H'!L12)</f>
        <v>##BLANK</v>
      </c>
    </row>
    <row r="642" spans="2:6">
      <c r="B642" s="219" t="str">
        <f>'2H'!AH13</f>
        <v>B0089TWCR</v>
      </c>
      <c r="C642" s="219" t="s">
        <v>4684</v>
      </c>
      <c r="E642" s="249" t="s">
        <v>3641</v>
      </c>
      <c r="F642" s="256">
        <f>IF(ISBLANK('2H'!C13),"##BLANK",'2H'!C13)</f>
        <v>0</v>
      </c>
    </row>
    <row r="643" spans="2:6">
      <c r="B643" s="219" t="str">
        <f>'2H'!AI13</f>
        <v>B0089TWRR</v>
      </c>
      <c r="C643" s="219" t="s">
        <v>4685</v>
      </c>
      <c r="E643" s="249" t="s">
        <v>3641</v>
      </c>
      <c r="F643" s="256">
        <f>IF(ISBLANK('2H'!D13),"##BLANK",'2H'!D13)</f>
        <v>0</v>
      </c>
    </row>
    <row r="644" spans="2:6">
      <c r="B644" s="219" t="str">
        <f>'2H'!AJ13</f>
        <v>B0089TWTR</v>
      </c>
      <c r="C644" s="219" t="s">
        <v>4686</v>
      </c>
      <c r="E644" s="249" t="s">
        <v>3641</v>
      </c>
      <c r="F644" s="256">
        <f>IF(ISBLANK('2H'!E13),"##BLANK",'2H'!E13)</f>
        <v>0</v>
      </c>
    </row>
    <row r="645" spans="2:6">
      <c r="B645" s="219" t="str">
        <f>'2H'!AK13</f>
        <v>B0089TWNC</v>
      </c>
      <c r="C645" s="219" t="s">
        <v>4687</v>
      </c>
      <c r="E645" s="249" t="s">
        <v>3641</v>
      </c>
      <c r="F645" s="256">
        <f>IF(ISBLANK('2H'!F13),"##BLANK",'2H'!F13)</f>
        <v>0</v>
      </c>
    </row>
    <row r="646" spans="2:6">
      <c r="B646" s="219" t="str">
        <f>'2H'!AL13</f>
        <v>B0089TWAHRR</v>
      </c>
      <c r="C646" s="219" t="s">
        <v>4688</v>
      </c>
      <c r="E646" s="249" t="s">
        <v>3641</v>
      </c>
      <c r="F646" s="256">
        <f>IF(ISBLANK('2H'!G13),"##BLANK",'2H'!G13)</f>
        <v>0</v>
      </c>
    </row>
    <row r="647" spans="2:6">
      <c r="B647" s="219" t="str">
        <f>'2H'!AM13</f>
        <v>B0089TWAANH</v>
      </c>
      <c r="C647" s="219" t="s">
        <v>4689</v>
      </c>
      <c r="E647" s="249" t="s">
        <v>3641</v>
      </c>
      <c r="F647" s="256">
        <f>IF(ISBLANK('2H'!H13),"##BLANK",'2H'!H13)</f>
        <v>0</v>
      </c>
    </row>
    <row r="648" spans="2:6">
      <c r="B648" s="219" t="str">
        <f>'2H'!AN13</f>
        <v>B0089TWODI</v>
      </c>
      <c r="C648" s="219" t="s">
        <v>4690</v>
      </c>
      <c r="E648" s="249" t="s">
        <v>3641</v>
      </c>
      <c r="F648" s="256">
        <f>IF(ISBLANK('2H'!I13),"##BLANK",'2H'!I13)</f>
        <v>0</v>
      </c>
    </row>
    <row r="649" spans="2:6">
      <c r="B649" s="219" t="str">
        <f>'2H'!AO13</f>
        <v>B0089TWAANHO</v>
      </c>
      <c r="C649" s="219" t="s">
        <v>4691</v>
      </c>
      <c r="E649" s="249" t="s">
        <v>3641</v>
      </c>
      <c r="F649" s="256">
        <f>IF(ISBLANK('2H'!J13),"##BLANK",'2H'!J13)</f>
        <v>0</v>
      </c>
    </row>
    <row r="650" spans="2:6">
      <c r="B650" s="219" t="str">
        <f>'2H'!AP13</f>
        <v>B0089TWAM</v>
      </c>
      <c r="C650" s="219" t="s">
        <v>4692</v>
      </c>
      <c r="E650" s="249" t="s">
        <v>3641</v>
      </c>
      <c r="F650" s="256">
        <f>IF(ISBLANK('2H'!K13),"##BLANK",'2H'!K13)</f>
        <v>0</v>
      </c>
    </row>
    <row r="651" spans="2:6">
      <c r="B651" s="219" t="str">
        <f>'2H'!AQ13</f>
        <v>B0089TWAHRC</v>
      </c>
      <c r="C651" s="219" t="s">
        <v>4693</v>
      </c>
      <c r="E651" s="249" t="s">
        <v>3641</v>
      </c>
      <c r="F651" s="256">
        <f>IF(ISBLANK('2H'!L13),"##BLANK",'2H'!L13)</f>
        <v>0</v>
      </c>
    </row>
    <row r="652" spans="2:6">
      <c r="B652" s="219" t="str">
        <f>'2H'!AH16</f>
        <v>CR1001SWCR</v>
      </c>
      <c r="C652" s="219" t="s">
        <v>4694</v>
      </c>
      <c r="E652" s="249" t="s">
        <v>3641</v>
      </c>
      <c r="F652" s="256" t="str">
        <f>IF(ISBLANK('2H'!C16),"##BLANK",'2H'!C16)</f>
        <v>##BLANK</v>
      </c>
    </row>
    <row r="653" spans="2:6">
      <c r="B653" s="219" t="str">
        <f>'2H'!AI16</f>
        <v>CR1001SRR</v>
      </c>
      <c r="C653" s="219" t="s">
        <v>4695</v>
      </c>
      <c r="E653" s="249" t="s">
        <v>3641</v>
      </c>
      <c r="F653" s="256" t="str">
        <f>IF(ISBLANK('2H'!D16),"##BLANK",'2H'!D16)</f>
        <v>##BLANK</v>
      </c>
    </row>
    <row r="654" spans="2:6">
      <c r="B654" s="219" t="str">
        <f>'2H'!AJ16</f>
        <v>CR1001STR</v>
      </c>
      <c r="C654" s="219" t="s">
        <v>4696</v>
      </c>
      <c r="E654" s="249" t="s">
        <v>3641</v>
      </c>
      <c r="F654" s="256">
        <f>IF(ISBLANK('2H'!E16),"##BLANK",'2H'!E16)</f>
        <v>0</v>
      </c>
    </row>
    <row r="655" spans="2:6">
      <c r="B655" s="219" t="str">
        <f>'2H'!AK16</f>
        <v>CR1041SCO</v>
      </c>
      <c r="C655" s="219" t="s">
        <v>4697</v>
      </c>
      <c r="E655" s="249" t="s">
        <v>3641</v>
      </c>
      <c r="F655" s="256" t="str">
        <f>IF(ISBLANK('2H'!F16),"##BLANK",'2H'!F16)</f>
        <v>##BLANK</v>
      </c>
    </row>
    <row r="656" spans="2:6">
      <c r="B656" s="219" t="str">
        <f>'2H'!AL16</f>
        <v>CR1041SRPC</v>
      </c>
      <c r="C656" s="219" t="s">
        <v>4698</v>
      </c>
      <c r="E656" s="249" t="s">
        <v>3641</v>
      </c>
      <c r="F656" s="256">
        <f>IF(ISBLANK('2H'!G16),"##BLANK",'2H'!G16)</f>
        <v>0</v>
      </c>
    </row>
    <row r="657" spans="2:6">
      <c r="B657" s="219" t="str">
        <f>'2H'!AH18</f>
        <v>CR1030SWCR</v>
      </c>
      <c r="C657" s="219" t="s">
        <v>4699</v>
      </c>
      <c r="E657" s="249" t="s">
        <v>3641</v>
      </c>
      <c r="F657" s="256">
        <f>IF(ISBLANK('2H'!C18),"##BLANK",'2H'!C18)</f>
        <v>0</v>
      </c>
    </row>
    <row r="658" spans="2:6">
      <c r="B658" s="219" t="str">
        <f>'2H'!AI18</f>
        <v>CR1030SRR</v>
      </c>
      <c r="C658" s="219" t="s">
        <v>4700</v>
      </c>
      <c r="E658" s="249" t="s">
        <v>3641</v>
      </c>
      <c r="F658" s="256">
        <f>IF(ISBLANK('2H'!D18),"##BLANK",'2H'!D18)</f>
        <v>0</v>
      </c>
    </row>
    <row r="659" spans="2:6">
      <c r="B659" s="219" t="str">
        <f>'2H'!AJ18</f>
        <v>CR1030STR</v>
      </c>
      <c r="C659" s="219" t="s">
        <v>4701</v>
      </c>
      <c r="E659" s="249" t="s">
        <v>3641</v>
      </c>
      <c r="F659" s="256">
        <f>IF(ISBLANK('2H'!E18),"##BLANK",'2H'!E18)</f>
        <v>0</v>
      </c>
    </row>
    <row r="660" spans="2:6">
      <c r="B660" s="219" t="str">
        <f>'2H'!AK18</f>
        <v>CR1066SCO</v>
      </c>
      <c r="C660" s="219" t="s">
        <v>4702</v>
      </c>
      <c r="E660" s="249" t="s">
        <v>3641</v>
      </c>
      <c r="F660" s="256">
        <f>IF(ISBLANK('2H'!F18),"##BLANK",'2H'!F18)</f>
        <v>0</v>
      </c>
    </row>
    <row r="661" spans="2:6">
      <c r="B661" s="219" t="str">
        <f>'2H'!AL18</f>
        <v>CR1066SRPC</v>
      </c>
      <c r="C661" s="219" t="s">
        <v>4703</v>
      </c>
      <c r="E661" s="249" t="s">
        <v>3641</v>
      </c>
      <c r="F661" s="256">
        <f>IF(ISBLANK('2H'!G18),"##BLANK",'2H'!G18)</f>
        <v>0</v>
      </c>
    </row>
    <row r="662" spans="2:6">
      <c r="B662" s="219" t="str">
        <f>'2H'!AM18</f>
        <v>B0090TAANH</v>
      </c>
      <c r="C662" s="219" t="s">
        <v>4704</v>
      </c>
      <c r="E662" s="249" t="s">
        <v>3641</v>
      </c>
      <c r="F662" s="256" t="str">
        <f>IF(ISBLANK('2H'!H18),"##BLANK",'2H'!H18)</f>
        <v>##BLANK</v>
      </c>
    </row>
    <row r="663" spans="2:6">
      <c r="B663" s="219" t="str">
        <f>'2H'!AN18</f>
        <v>B0090TAODI</v>
      </c>
      <c r="C663" s="219" t="s">
        <v>4705</v>
      </c>
      <c r="E663" s="249" t="s">
        <v>3641</v>
      </c>
      <c r="F663" s="256" t="str">
        <f>IF(ISBLANK('2H'!I18),"##BLANK",'2H'!I18)</f>
        <v>##BLANK</v>
      </c>
    </row>
    <row r="664" spans="2:6">
      <c r="B664" s="219" t="str">
        <f>'2H'!AO18</f>
        <v>B0090TAAANH</v>
      </c>
      <c r="C664" s="219" t="s">
        <v>4706</v>
      </c>
      <c r="E664" s="249" t="s">
        <v>3641</v>
      </c>
      <c r="F664" s="256" t="str">
        <f>IF(ISBLANK('2H'!J18),"##BLANK",'2H'!J18)</f>
        <v>##BLANK</v>
      </c>
    </row>
    <row r="665" spans="2:6">
      <c r="B665" s="219" t="str">
        <f>'2H'!AP18</f>
        <v>B0090TAAM</v>
      </c>
      <c r="C665" s="219" t="s">
        <v>4707</v>
      </c>
      <c r="E665" s="249" t="s">
        <v>3641</v>
      </c>
      <c r="F665" s="256" t="str">
        <f>IF(ISBLANK('2H'!K18),"##BLANK",'2H'!K18)</f>
        <v>##BLANK</v>
      </c>
    </row>
    <row r="666" spans="2:6">
      <c r="B666" s="219" t="str">
        <f>'2H'!AQ18</f>
        <v>B0090TAAHRC</v>
      </c>
      <c r="C666" s="219" t="s">
        <v>4708</v>
      </c>
      <c r="E666" s="249" t="s">
        <v>3641</v>
      </c>
      <c r="F666" s="256" t="str">
        <f>IF(ISBLANK('2H'!L18),"##BLANK",'2H'!L18)</f>
        <v>##BLANK</v>
      </c>
    </row>
    <row r="667" spans="2:6">
      <c r="B667" s="219" t="str">
        <f>'2H'!AK25</f>
        <v>CR1030SCU</v>
      </c>
      <c r="C667" s="219" t="s">
        <v>4702</v>
      </c>
      <c r="E667" s="249" t="s">
        <v>3641</v>
      </c>
      <c r="F667" s="256" t="str">
        <f>IF(ISBLANK('2H'!F25),"##BLANK",'2H'!F25)</f>
        <v>##BLANK</v>
      </c>
    </row>
    <row r="668" spans="2:6">
      <c r="B668" s="219" t="str">
        <f>'2H'!AL25</f>
        <v>CR1030SRPC</v>
      </c>
      <c r="C668" s="219" t="s">
        <v>4709</v>
      </c>
      <c r="E668" s="249" t="s">
        <v>3641</v>
      </c>
      <c r="F668" s="256">
        <f>IF(ISBLANK('2H'!G25),"##BLANK",'2H'!G25)</f>
        <v>0</v>
      </c>
    </row>
    <row r="669" spans="2:6">
      <c r="B669" s="219" t="str">
        <f>'2I'!AA8</f>
        <v>CR581</v>
      </c>
      <c r="C669" s="219" t="s">
        <v>4710</v>
      </c>
      <c r="E669" s="249" t="s">
        <v>3641</v>
      </c>
      <c r="F669" s="256">
        <f>IF(ISBLANK('2I'!E8),"##BLANK",'2I'!E8)</f>
        <v>180.49600000000001</v>
      </c>
    </row>
    <row r="670" spans="2:6">
      <c r="B670" s="219" t="str">
        <f>'2I'!AB8</f>
        <v>CR583</v>
      </c>
      <c r="C670" s="219" t="s">
        <v>4711</v>
      </c>
      <c r="E670" s="249" t="s">
        <v>3641</v>
      </c>
      <c r="F670" s="256">
        <f>IF(ISBLANK('2I'!F8),"##BLANK",'2I'!F8)</f>
        <v>1.4550000000000001</v>
      </c>
    </row>
    <row r="671" spans="2:6">
      <c r="B671" s="219" t="str">
        <f>'2I'!AC8</f>
        <v>CR585</v>
      </c>
      <c r="C671" s="219" t="s">
        <v>4712</v>
      </c>
      <c r="E671" s="249" t="s">
        <v>3641</v>
      </c>
      <c r="F671" s="256">
        <f>IF(ISBLANK('2I'!G8),"##BLANK",'2I'!G8)</f>
        <v>181.95100000000002</v>
      </c>
    </row>
    <row r="672" spans="2:6">
      <c r="B672" s="219" t="str">
        <f>'2I'!AD8</f>
        <v>B0091UWR</v>
      </c>
      <c r="C672" s="219" t="s">
        <v>4713</v>
      </c>
      <c r="E672" s="249" t="s">
        <v>3641</v>
      </c>
      <c r="F672" s="256">
        <f>IF(ISBLANK('2I'!H8),"##BLANK",'2I'!H8)</f>
        <v>45.942</v>
      </c>
    </row>
    <row r="673" spans="2:6">
      <c r="B673" s="219" t="str">
        <f>'2I'!AE8</f>
        <v>B0091UWNP</v>
      </c>
      <c r="C673" s="219" t="s">
        <v>4714</v>
      </c>
      <c r="E673" s="249" t="s">
        <v>3641</v>
      </c>
      <c r="F673" s="256">
        <f>IF(ISBLANK('2I'!I8),"##BLANK",'2I'!I8)</f>
        <v>136.00900000000001</v>
      </c>
    </row>
    <row r="674" spans="2:6">
      <c r="B674" s="219" t="str">
        <f>'2I'!AF8</f>
        <v>B0091UTOT</v>
      </c>
      <c r="C674" s="219" t="s">
        <v>4715</v>
      </c>
      <c r="E674" s="249" t="s">
        <v>3641</v>
      </c>
      <c r="F674" s="256">
        <f>IF(ISBLANK('2I'!J8),"##BLANK",'2I'!J8)</f>
        <v>181.95100000000002</v>
      </c>
    </row>
    <row r="675" spans="2:6">
      <c r="B675" s="219" t="str">
        <f>'2I'!AA9</f>
        <v>CR582</v>
      </c>
      <c r="C675" s="219" t="s">
        <v>4716</v>
      </c>
      <c r="E675" s="249" t="s">
        <v>3641</v>
      </c>
      <c r="F675" s="256">
        <f>IF(ISBLANK('2I'!E9),"##BLANK",'2I'!E9)</f>
        <v>156.19200000000001</v>
      </c>
    </row>
    <row r="676" spans="2:6">
      <c r="B676" s="219" t="str">
        <f>'2I'!AB9</f>
        <v>CR584</v>
      </c>
      <c r="C676" s="219" t="s">
        <v>4717</v>
      </c>
      <c r="E676" s="249" t="s">
        <v>3641</v>
      </c>
      <c r="F676" s="256">
        <f>IF(ISBLANK('2I'!F9),"##BLANK",'2I'!F9)</f>
        <v>85.564999999999998</v>
      </c>
    </row>
    <row r="677" spans="2:6">
      <c r="B677" s="219" t="str">
        <f>'2I'!AC9</f>
        <v>CR586</v>
      </c>
      <c r="C677" s="219" t="s">
        <v>4718</v>
      </c>
      <c r="E677" s="249" t="s">
        <v>3641</v>
      </c>
      <c r="F677" s="256">
        <f>IF(ISBLANK('2I'!G9),"##BLANK",'2I'!G9)</f>
        <v>241.75700000000001</v>
      </c>
    </row>
    <row r="678" spans="2:6">
      <c r="B678" s="219" t="str">
        <f>'2I'!AD9</f>
        <v>B0092MWR</v>
      </c>
      <c r="C678" s="219" t="s">
        <v>4719</v>
      </c>
      <c r="E678" s="249" t="s">
        <v>3641</v>
      </c>
      <c r="F678" s="256">
        <f>IF(ISBLANK('2I'!H9),"##BLANK",'2I'!H9)</f>
        <v>54.741</v>
      </c>
    </row>
    <row r="679" spans="2:6">
      <c r="B679" s="219" t="str">
        <f>'2I'!AE9</f>
        <v>B0092MWNP</v>
      </c>
      <c r="C679" s="219" t="s">
        <v>4720</v>
      </c>
      <c r="E679" s="249" t="s">
        <v>3641</v>
      </c>
      <c r="F679" s="256">
        <f>IF(ISBLANK('2I'!I9),"##BLANK",'2I'!I9)</f>
        <v>187.01599999999999</v>
      </c>
    </row>
    <row r="680" spans="2:6">
      <c r="B680" s="219" t="str">
        <f>'2I'!AF9</f>
        <v>B0092MTOT</v>
      </c>
      <c r="C680" s="219" t="s">
        <v>4721</v>
      </c>
      <c r="E680" s="249" t="s">
        <v>3641</v>
      </c>
      <c r="F680" s="256">
        <f>IF(ISBLANK('2I'!J9),"##BLANK",'2I'!J9)</f>
        <v>241.75700000000001</v>
      </c>
    </row>
    <row r="681" spans="2:6">
      <c r="B681" s="219" t="str">
        <f>'2I'!AA10</f>
        <v>W9008HH</v>
      </c>
      <c r="C681" s="219" t="s">
        <v>4722</v>
      </c>
      <c r="E681" s="249" t="s">
        <v>3641</v>
      </c>
      <c r="F681" s="256">
        <f>IF(ISBLANK('2I'!E10),"##BLANK",'2I'!E10)</f>
        <v>0.84199999999999997</v>
      </c>
    </row>
    <row r="682" spans="2:6">
      <c r="B682" s="219" t="str">
        <f>'2I'!AB10</f>
        <v>W9008NHH</v>
      </c>
      <c r="C682" s="219" t="s">
        <v>4723</v>
      </c>
      <c r="E682" s="249" t="s">
        <v>3641</v>
      </c>
      <c r="F682" s="256">
        <f>IF(ISBLANK('2I'!F10),"##BLANK",'2I'!F10)</f>
        <v>4.4029999999999996</v>
      </c>
    </row>
    <row r="683" spans="2:6">
      <c r="B683" s="219" t="str">
        <f>'2I'!AC10</f>
        <v>W9008WW</v>
      </c>
      <c r="C683" s="219" t="s">
        <v>4724</v>
      </c>
      <c r="E683" s="249" t="s">
        <v>3641</v>
      </c>
      <c r="F683" s="256">
        <f>IF(ISBLANK('2I'!G10),"##BLANK",'2I'!G10)</f>
        <v>5.2449999999999992</v>
      </c>
    </row>
    <row r="684" spans="2:6">
      <c r="B684" s="219" t="str">
        <f>'2I'!AD10</f>
        <v>B0093TWR</v>
      </c>
      <c r="C684" s="219" t="s">
        <v>4725</v>
      </c>
      <c r="E684" s="249" t="s">
        <v>3641</v>
      </c>
      <c r="F684" s="256">
        <f>IF(ISBLANK('2I'!H10),"##BLANK",'2I'!H10)</f>
        <v>0.497</v>
      </c>
    </row>
    <row r="685" spans="2:6">
      <c r="B685" s="219" t="str">
        <f>'2I'!AE10</f>
        <v>B0093TWNP</v>
      </c>
      <c r="C685" s="219" t="s">
        <v>4726</v>
      </c>
      <c r="E685" s="249" t="s">
        <v>3641</v>
      </c>
      <c r="F685" s="256">
        <f>IF(ISBLANK('2I'!I10),"##BLANK",'2I'!I10)</f>
        <v>4.7480000000000002</v>
      </c>
    </row>
    <row r="686" spans="2:6">
      <c r="B686" s="219" t="str">
        <f>'2I'!AF10</f>
        <v>B0093TTOT</v>
      </c>
      <c r="C686" s="219" t="s">
        <v>4727</v>
      </c>
      <c r="E686" s="249" t="s">
        <v>3641</v>
      </c>
      <c r="F686" s="256">
        <f>IF(ISBLANK('2I'!J10),"##BLANK",'2I'!J10)</f>
        <v>5.2450000000000001</v>
      </c>
    </row>
    <row r="687" spans="2:6">
      <c r="B687" s="219" t="str">
        <f>'2I'!AA11</f>
        <v>BR586</v>
      </c>
      <c r="C687" s="219" t="s">
        <v>4728</v>
      </c>
      <c r="E687" s="249" t="s">
        <v>3641</v>
      </c>
      <c r="F687" s="256">
        <f>IF(ISBLANK('2I'!E11),"##BLANK",'2I'!E11)</f>
        <v>337.53</v>
      </c>
    </row>
    <row r="688" spans="2:6">
      <c r="B688" s="219" t="str">
        <f>'2I'!AB11</f>
        <v>BR588</v>
      </c>
      <c r="C688" s="219" t="s">
        <v>4729</v>
      </c>
      <c r="E688" s="249" t="s">
        <v>3641</v>
      </c>
      <c r="F688" s="256">
        <f>IF(ISBLANK('2I'!F11),"##BLANK",'2I'!F11)</f>
        <v>91.423000000000002</v>
      </c>
    </row>
    <row r="689" spans="2:6">
      <c r="B689" s="219" t="str">
        <f>'2I'!AC11</f>
        <v>BR589</v>
      </c>
      <c r="C689" s="219" t="s">
        <v>4730</v>
      </c>
      <c r="E689" s="249" t="s">
        <v>3641</v>
      </c>
      <c r="F689" s="256">
        <f>IF(ISBLANK('2I'!G11),"##BLANK",'2I'!G11)</f>
        <v>428.95300000000003</v>
      </c>
    </row>
    <row r="690" spans="2:6">
      <c r="B690" s="219" t="str">
        <f>'2I'!AD11</f>
        <v>B0094TOTWR</v>
      </c>
      <c r="C690" s="219" t="s">
        <v>4731</v>
      </c>
      <c r="E690" s="249" t="s">
        <v>3641</v>
      </c>
      <c r="F690" s="256">
        <f>IF(ISBLANK('2I'!H11),"##BLANK",'2I'!H11)</f>
        <v>101.17999999999999</v>
      </c>
    </row>
    <row r="691" spans="2:6">
      <c r="B691" s="219" t="str">
        <f>'2I'!AE11</f>
        <v>B0094TOTWNP</v>
      </c>
      <c r="C691" s="219" t="s">
        <v>4732</v>
      </c>
      <c r="E691" s="249" t="s">
        <v>3641</v>
      </c>
      <c r="F691" s="256">
        <f>IF(ISBLANK('2I'!I11),"##BLANK",'2I'!I11)</f>
        <v>327.77299999999997</v>
      </c>
    </row>
    <row r="692" spans="2:6">
      <c r="B692" s="219" t="str">
        <f>'2I'!AF11</f>
        <v>B0094TOTTOT</v>
      </c>
      <c r="C692" s="219" t="s">
        <v>4733</v>
      </c>
      <c r="E692" s="249" t="s">
        <v>3641</v>
      </c>
      <c r="F692" s="256">
        <f>IF(ISBLANK('2I'!J11),"##BLANK",'2I'!J11)</f>
        <v>428.95300000000003</v>
      </c>
    </row>
    <row r="693" spans="2:6">
      <c r="B693" s="219" t="str">
        <f>'2I'!AA16</f>
        <v>B0095UFH</v>
      </c>
      <c r="C693" s="219" t="s">
        <v>4734</v>
      </c>
      <c r="E693" s="249" t="s">
        <v>3641</v>
      </c>
      <c r="F693" s="256">
        <f>IF(ISBLANK('2I'!E16),"##BLANK",'2I'!E16)</f>
        <v>131.72499999999999</v>
      </c>
    </row>
    <row r="694" spans="2:6">
      <c r="B694" s="219" t="str">
        <f>'2I'!AB16</f>
        <v>B0095UFNH</v>
      </c>
      <c r="C694" s="219" t="s">
        <v>4735</v>
      </c>
      <c r="E694" s="249" t="s">
        <v>3641</v>
      </c>
      <c r="F694" s="256">
        <f>IF(ISBLANK('2I'!F16),"##BLANK",'2I'!F16)</f>
        <v>0.72399999999999998</v>
      </c>
    </row>
    <row r="695" spans="2:6">
      <c r="B695" s="219" t="str">
        <f>'2I'!AC16</f>
        <v>B0095UFTOT</v>
      </c>
      <c r="C695" s="219" t="s">
        <v>4736</v>
      </c>
      <c r="E695" s="249" t="s">
        <v>3641</v>
      </c>
      <c r="F695" s="256">
        <f>IF(ISBLANK('2I'!G16),"##BLANK",'2I'!G16)</f>
        <v>132.44899999999998</v>
      </c>
    </row>
    <row r="696" spans="2:6">
      <c r="B696" s="219" t="str">
        <f>'2I'!AD16</f>
        <v>B0095UFWR</v>
      </c>
      <c r="C696" s="219" t="s">
        <v>4737</v>
      </c>
      <c r="E696" s="249" t="s">
        <v>3641</v>
      </c>
      <c r="F696" s="256">
        <f>IF(ISBLANK('2I'!H16),"##BLANK",'2I'!H16)</f>
        <v>120.806</v>
      </c>
    </row>
    <row r="697" spans="2:6">
      <c r="B697" s="219" t="str">
        <f>'2I'!AE16</f>
        <v>B0095UFWNP</v>
      </c>
      <c r="C697" s="219" t="s">
        <v>4738</v>
      </c>
      <c r="E697" s="249" t="s">
        <v>3641</v>
      </c>
      <c r="F697" s="256">
        <f>IF(ISBLANK('2I'!I16),"##BLANK",'2I'!I16)</f>
        <v>11.643000000000001</v>
      </c>
    </row>
    <row r="698" spans="2:6">
      <c r="B698" s="219" t="str">
        <f>'2I'!AF16</f>
        <v>B0095UFTOTT</v>
      </c>
      <c r="C698" s="219" t="s">
        <v>4736</v>
      </c>
      <c r="E698" s="249" t="s">
        <v>3641</v>
      </c>
      <c r="F698" s="256">
        <f>IF(ISBLANK('2I'!J16),"##BLANK",'2I'!J16)</f>
        <v>132.44900000000001</v>
      </c>
    </row>
    <row r="699" spans="2:6">
      <c r="B699" s="219" t="str">
        <f>'2I'!AA17</f>
        <v>B0096USH</v>
      </c>
      <c r="C699" s="219" t="s">
        <v>4739</v>
      </c>
      <c r="E699" s="249" t="s">
        <v>3641</v>
      </c>
      <c r="F699" s="256">
        <f>IF(ISBLANK('2I'!E17),"##BLANK",'2I'!E17)</f>
        <v>0.34</v>
      </c>
    </row>
    <row r="700" spans="2:6">
      <c r="B700" s="219" t="str">
        <f>'2I'!AB17</f>
        <v>B0096USNH</v>
      </c>
      <c r="C700" s="219" t="s">
        <v>4740</v>
      </c>
      <c r="E700" s="249" t="s">
        <v>3641</v>
      </c>
      <c r="F700" s="256">
        <f>IF(ISBLANK('2I'!F17),"##BLANK",'2I'!F17)</f>
        <v>1.728</v>
      </c>
    </row>
    <row r="701" spans="2:6">
      <c r="B701" s="219" t="str">
        <f>'2I'!AC17</f>
        <v>B0096USTOT</v>
      </c>
      <c r="C701" s="219" t="s">
        <v>4741</v>
      </c>
      <c r="E701" s="249" t="s">
        <v>3641</v>
      </c>
      <c r="F701" s="256">
        <f>IF(ISBLANK('2I'!G17),"##BLANK",'2I'!G17)</f>
        <v>2.0680000000000001</v>
      </c>
    </row>
    <row r="702" spans="2:6">
      <c r="B702" s="219" t="str">
        <f>'2I'!AD17</f>
        <v>B0096USWR</v>
      </c>
      <c r="C702" s="219" t="s">
        <v>4742</v>
      </c>
      <c r="E702" s="249" t="s">
        <v>3641</v>
      </c>
      <c r="F702" s="256">
        <f>IF(ISBLANK('2I'!H17),"##BLANK",'2I'!H17)</f>
        <v>1.875</v>
      </c>
    </row>
    <row r="703" spans="2:6">
      <c r="B703" s="219" t="str">
        <f>'2I'!AE17</f>
        <v>B0096USWNP</v>
      </c>
      <c r="C703" s="219" t="s">
        <v>4743</v>
      </c>
      <c r="E703" s="249" t="s">
        <v>3641</v>
      </c>
      <c r="F703" s="256">
        <f>IF(ISBLANK('2I'!I17),"##BLANK",'2I'!I17)</f>
        <v>0.193</v>
      </c>
    </row>
    <row r="704" spans="2:6">
      <c r="B704" s="219" t="str">
        <f>'2I'!AF17</f>
        <v>B0096USTOTT</v>
      </c>
      <c r="C704" s="219" t="s">
        <v>4741</v>
      </c>
      <c r="E704" s="249" t="s">
        <v>3641</v>
      </c>
      <c r="F704" s="256">
        <f>IF(ISBLANK('2I'!J17),"##BLANK",'2I'!J17)</f>
        <v>2.0680000000000001</v>
      </c>
    </row>
    <row r="705" spans="2:6">
      <c r="B705" s="219" t="str">
        <f>'2I'!AA18</f>
        <v>B0097UHH</v>
      </c>
      <c r="C705" s="219" t="s">
        <v>4744</v>
      </c>
      <c r="E705" s="249" t="s">
        <v>3641</v>
      </c>
      <c r="F705" s="256">
        <f>IF(ISBLANK('2I'!E18),"##BLANK",'2I'!E18)</f>
        <v>0.17199999999999999</v>
      </c>
    </row>
    <row r="706" spans="2:6">
      <c r="B706" s="219" t="str">
        <f>'2I'!AB18</f>
        <v>B0097UHNH</v>
      </c>
      <c r="C706" s="219" t="s">
        <v>4745</v>
      </c>
      <c r="E706" s="249" t="s">
        <v>3641</v>
      </c>
      <c r="F706" s="256">
        <f>IF(ISBLANK('2I'!F18),"##BLANK",'2I'!F18)</f>
        <v>0.82299999999999995</v>
      </c>
    </row>
    <row r="707" spans="2:6">
      <c r="B707" s="219" t="str">
        <f>'2I'!AC18</f>
        <v>B0097UHTOT</v>
      </c>
      <c r="C707" s="219" t="s">
        <v>4746</v>
      </c>
      <c r="E707" s="249" t="s">
        <v>3641</v>
      </c>
      <c r="F707" s="256">
        <f>IF(ISBLANK('2I'!G18),"##BLANK",'2I'!G18)</f>
        <v>0.99499999999999988</v>
      </c>
    </row>
    <row r="708" spans="2:6">
      <c r="B708" s="219" t="str">
        <f>'2I'!AD18</f>
        <v>B0097UHWR</v>
      </c>
      <c r="C708" s="219" t="s">
        <v>4747</v>
      </c>
      <c r="E708" s="249" t="s">
        <v>3641</v>
      </c>
      <c r="F708" s="256">
        <f>IF(ISBLANK('2I'!H18),"##BLANK",'2I'!H18)</f>
        <v>0.85</v>
      </c>
    </row>
    <row r="709" spans="2:6">
      <c r="B709" s="219" t="str">
        <f>'2I'!AE18</f>
        <v>B0097UHWNP</v>
      </c>
      <c r="C709" s="219" t="s">
        <v>4748</v>
      </c>
      <c r="E709" s="249" t="s">
        <v>3641</v>
      </c>
      <c r="F709" s="256">
        <f>IF(ISBLANK('2I'!I18),"##BLANK",'2I'!I18)</f>
        <v>0.14499999999999999</v>
      </c>
    </row>
    <row r="710" spans="2:6">
      <c r="B710" s="219" t="str">
        <f>'2I'!AF18</f>
        <v>B0097UHTOTT</v>
      </c>
      <c r="C710" s="219" t="s">
        <v>4746</v>
      </c>
      <c r="E710" s="249" t="s">
        <v>3641</v>
      </c>
      <c r="F710" s="256">
        <f>IF(ISBLANK('2I'!J18),"##BLANK",'2I'!J18)</f>
        <v>0.995</v>
      </c>
    </row>
    <row r="711" spans="2:6">
      <c r="B711" s="219" t="str">
        <f>'2I'!AA19</f>
        <v>B0098MFH</v>
      </c>
      <c r="C711" s="219" t="s">
        <v>4749</v>
      </c>
      <c r="E711" s="249" t="s">
        <v>3641</v>
      </c>
      <c r="F711" s="256">
        <f>IF(ISBLANK('2I'!E19),"##BLANK",'2I'!E19)</f>
        <v>38.137</v>
      </c>
    </row>
    <row r="712" spans="2:6">
      <c r="B712" s="219" t="str">
        <f>'2I'!AB19</f>
        <v>B0098MFNH</v>
      </c>
      <c r="C712" s="219" t="s">
        <v>4750</v>
      </c>
      <c r="E712" s="249" t="s">
        <v>3641</v>
      </c>
      <c r="F712" s="256">
        <f>IF(ISBLANK('2I'!F19),"##BLANK",'2I'!F19)</f>
        <v>39.198999999999998</v>
      </c>
    </row>
    <row r="713" spans="2:6">
      <c r="B713" s="219" t="str">
        <f>'2I'!AC19</f>
        <v>B0098MFTOT</v>
      </c>
      <c r="C713" s="219" t="s">
        <v>4751</v>
      </c>
      <c r="E713" s="249" t="s">
        <v>3641</v>
      </c>
      <c r="F713" s="256">
        <f>IF(ISBLANK('2I'!G19),"##BLANK",'2I'!G19)</f>
        <v>77.335999999999999</v>
      </c>
    </row>
    <row r="714" spans="2:6">
      <c r="B714" s="219" t="str">
        <f>'2I'!AD19</f>
        <v>B0098MFWR</v>
      </c>
      <c r="C714" s="219" t="s">
        <v>4752</v>
      </c>
      <c r="E714" s="249" t="s">
        <v>3641</v>
      </c>
      <c r="F714" s="256">
        <f>IF(ISBLANK('2I'!H19),"##BLANK",'2I'!H19)</f>
        <v>70.902000000000001</v>
      </c>
    </row>
    <row r="715" spans="2:6">
      <c r="B715" s="219" t="str">
        <f>'2I'!AE19</f>
        <v>B0098MFWNP</v>
      </c>
      <c r="C715" s="219" t="s">
        <v>4753</v>
      </c>
      <c r="E715" s="249" t="s">
        <v>3641</v>
      </c>
      <c r="F715" s="255">
        <f>IF(ISBLANK('2I'!I19),"##BLANK",'2I'!I19)</f>
        <v>6.4340000000000002</v>
      </c>
    </row>
    <row r="716" spans="2:6">
      <c r="B716" s="219" t="str">
        <f>'2I'!AF19</f>
        <v>B0098MFTOTT</v>
      </c>
      <c r="C716" s="219" t="s">
        <v>4751</v>
      </c>
      <c r="E716" s="249" t="s">
        <v>3641</v>
      </c>
      <c r="F716" s="255">
        <f>IF(ISBLANK('2I'!J19),"##BLANK",'2I'!J19)</f>
        <v>77.335999999999999</v>
      </c>
    </row>
    <row r="717" spans="2:6">
      <c r="B717" s="219" t="str">
        <f>'2I'!AA20</f>
        <v>B0098MSH</v>
      </c>
      <c r="C717" s="219" t="s">
        <v>4754</v>
      </c>
      <c r="E717" s="249" t="s">
        <v>3641</v>
      </c>
      <c r="F717" s="255">
        <f>IF(ISBLANK('2I'!E20),"##BLANK",'2I'!E20)</f>
        <v>23.347000000000001</v>
      </c>
    </row>
    <row r="718" spans="2:6">
      <c r="B718" s="219" t="str">
        <f>'2I'!AB20</f>
        <v>B0098MSNH</v>
      </c>
      <c r="C718" s="219" t="s">
        <v>4755</v>
      </c>
      <c r="E718" s="249" t="s">
        <v>3641</v>
      </c>
      <c r="F718" s="255">
        <f>IF(ISBLANK('2I'!F20),"##BLANK",'2I'!F20)</f>
        <v>23.228000000000002</v>
      </c>
    </row>
    <row r="719" spans="2:6">
      <c r="B719" s="219" t="str">
        <f>'2I'!AC20</f>
        <v>B0098MSTOT</v>
      </c>
      <c r="C719" s="219" t="s">
        <v>4756</v>
      </c>
      <c r="E719" s="249" t="s">
        <v>3641</v>
      </c>
      <c r="F719" s="255">
        <f>IF(ISBLANK('2I'!G20),"##BLANK",'2I'!G20)</f>
        <v>46.575000000000003</v>
      </c>
    </row>
    <row r="720" spans="2:6">
      <c r="B720" s="219" t="str">
        <f>'2I'!AD20</f>
        <v>B0098MSWR</v>
      </c>
      <c r="C720" s="219" t="s">
        <v>4757</v>
      </c>
      <c r="E720" s="249" t="s">
        <v>3641</v>
      </c>
      <c r="F720" s="255">
        <f>IF(ISBLANK('2I'!H20),"##BLANK",'2I'!H20)</f>
        <v>42.494999999999997</v>
      </c>
    </row>
    <row r="721" spans="2:6">
      <c r="B721" s="219" t="str">
        <f>'2I'!AE20</f>
        <v>B0098MSWNP</v>
      </c>
      <c r="C721" s="219" t="s">
        <v>4758</v>
      </c>
      <c r="E721" s="249" t="s">
        <v>3641</v>
      </c>
      <c r="F721" s="255">
        <f>IF(ISBLANK('2I'!I20),"##BLANK",'2I'!I20)</f>
        <v>4.08</v>
      </c>
    </row>
    <row r="722" spans="2:6">
      <c r="B722" s="219" t="str">
        <f>'2I'!AF20</f>
        <v>B0098MSTOTT</v>
      </c>
      <c r="C722" s="219" t="s">
        <v>4756</v>
      </c>
      <c r="E722" s="249" t="s">
        <v>3641</v>
      </c>
      <c r="F722" s="255">
        <f>IF(ISBLANK('2I'!J20),"##BLANK",'2I'!J20)</f>
        <v>46.574999999999996</v>
      </c>
    </row>
    <row r="723" spans="2:6">
      <c r="B723" s="219" t="str">
        <f>'2I'!AA21</f>
        <v>B0099MHH</v>
      </c>
      <c r="C723" s="219" t="s">
        <v>4759</v>
      </c>
      <c r="E723" s="249" t="s">
        <v>3641</v>
      </c>
      <c r="F723" s="255">
        <f>IF(ISBLANK('2I'!E21),"##BLANK",'2I'!E21)</f>
        <v>12.313000000000001</v>
      </c>
    </row>
    <row r="724" spans="2:6">
      <c r="B724" s="219" t="str">
        <f>'2I'!AB21</f>
        <v>B0099MHNH</v>
      </c>
      <c r="C724" s="219" t="s">
        <v>4760</v>
      </c>
      <c r="E724" s="249" t="s">
        <v>3641</v>
      </c>
      <c r="F724" s="255">
        <f>IF(ISBLANK('2I'!F21),"##BLANK",'2I'!F21)</f>
        <v>10.808</v>
      </c>
    </row>
    <row r="725" spans="2:6">
      <c r="B725" s="219" t="str">
        <f>'2I'!AC21</f>
        <v>B0099MHTOT</v>
      </c>
      <c r="C725" s="219" t="s">
        <v>4761</v>
      </c>
      <c r="E725" s="249" t="s">
        <v>3641</v>
      </c>
      <c r="F725" s="255">
        <f>IF(ISBLANK('2I'!G21),"##BLANK",'2I'!G21)</f>
        <v>23.121000000000002</v>
      </c>
    </row>
    <row r="726" spans="2:6">
      <c r="B726" s="219" t="str">
        <f>'2I'!AD21</f>
        <v>B0099MHWR</v>
      </c>
      <c r="C726" s="219" t="s">
        <v>4762</v>
      </c>
      <c r="E726" s="249" t="s">
        <v>3641</v>
      </c>
      <c r="F726" s="255">
        <f>IF(ISBLANK('2I'!H21),"##BLANK",'2I'!H21)</f>
        <v>21.216000000000001</v>
      </c>
    </row>
    <row r="727" spans="2:6">
      <c r="B727" s="219" t="str">
        <f>'2I'!AE21</f>
        <v>B0099MHWNP</v>
      </c>
      <c r="C727" s="219" t="s">
        <v>4763</v>
      </c>
      <c r="E727" s="249" t="s">
        <v>3641</v>
      </c>
      <c r="F727" s="255">
        <f>IF(ISBLANK('2I'!I21),"##BLANK",'2I'!I21)</f>
        <v>1.905</v>
      </c>
    </row>
    <row r="728" spans="2:6">
      <c r="B728" s="219" t="str">
        <f>'2I'!AF21</f>
        <v>B0099MHTOTT</v>
      </c>
      <c r="C728" s="219" t="s">
        <v>4761</v>
      </c>
      <c r="E728" s="249" t="s">
        <v>3641</v>
      </c>
      <c r="F728" s="255">
        <f>IF(ISBLANK('2I'!J21),"##BLANK",'2I'!J21)</f>
        <v>23.121000000000002</v>
      </c>
    </row>
    <row r="729" spans="2:6">
      <c r="B729" s="219" t="str">
        <f>'2I'!AA22</f>
        <v>B0100TPH</v>
      </c>
      <c r="C729" s="219" t="s">
        <v>4764</v>
      </c>
      <c r="E729" s="249" t="s">
        <v>3641</v>
      </c>
      <c r="F729" s="255">
        <f>IF(ISBLANK('2I'!E22),"##BLANK",'2I'!E22)</f>
        <v>1.081</v>
      </c>
    </row>
    <row r="730" spans="2:6">
      <c r="B730" s="219" t="str">
        <f>'2I'!AB22</f>
        <v>B0100TPNH</v>
      </c>
      <c r="C730" s="219" t="s">
        <v>4765</v>
      </c>
      <c r="E730" s="249" t="s">
        <v>3641</v>
      </c>
      <c r="F730" s="255">
        <f>IF(ISBLANK('2I'!F22),"##BLANK",'2I'!F22)</f>
        <v>0</v>
      </c>
    </row>
    <row r="731" spans="2:6">
      <c r="B731" s="219" t="str">
        <f>'2I'!AC22</f>
        <v>B0100TPTOT</v>
      </c>
      <c r="C731" s="219" t="s">
        <v>4766</v>
      </c>
      <c r="E731" s="249" t="s">
        <v>3641</v>
      </c>
      <c r="F731" s="255">
        <f>IF(ISBLANK('2I'!G22),"##BLANK",'2I'!G22)</f>
        <v>1.081</v>
      </c>
    </row>
    <row r="732" spans="2:6">
      <c r="B732" s="219" t="str">
        <f>'2I'!AD22</f>
        <v>B0100TPWR</v>
      </c>
      <c r="C732" s="219" t="s">
        <v>4767</v>
      </c>
      <c r="E732" s="249" t="s">
        <v>3641</v>
      </c>
      <c r="F732" s="255">
        <f>IF(ISBLANK('2I'!H22),"##BLANK",'2I'!H22)</f>
        <v>1.081</v>
      </c>
    </row>
    <row r="733" spans="2:6">
      <c r="B733" s="219" t="str">
        <f>'2I'!AE22</f>
        <v>B0100TPWNP</v>
      </c>
      <c r="C733" s="219" t="s">
        <v>4768</v>
      </c>
      <c r="E733" s="249" t="s">
        <v>3641</v>
      </c>
      <c r="F733" s="255">
        <f>IF(ISBLANK('2I'!I22),"##BLANK",'2I'!I22)</f>
        <v>0</v>
      </c>
    </row>
    <row r="734" spans="2:6">
      <c r="B734" s="219" t="str">
        <f>'2I'!AF22</f>
        <v>B0100TPTOTT</v>
      </c>
      <c r="C734" s="219" t="s">
        <v>4766</v>
      </c>
      <c r="E734" s="249" t="s">
        <v>3641</v>
      </c>
      <c r="F734" s="255">
        <f>IF(ISBLANK('2I'!J22),"##BLANK",'2I'!J22)</f>
        <v>1.081</v>
      </c>
    </row>
    <row r="735" spans="2:6">
      <c r="B735" s="219" t="str">
        <f>'2I'!AA23</f>
        <v>B0101TWH</v>
      </c>
      <c r="C735" s="219" t="s">
        <v>4769</v>
      </c>
      <c r="E735" s="249" t="s">
        <v>3641</v>
      </c>
      <c r="F735" s="255">
        <f>IF(ISBLANK('2I'!E23),"##BLANK",'2I'!E23)</f>
        <v>207.11499999999998</v>
      </c>
    </row>
    <row r="736" spans="2:6">
      <c r="B736" s="219" t="str">
        <f>'2I'!AB23</f>
        <v>B0101TWNH</v>
      </c>
      <c r="C736" s="219" t="s">
        <v>4770</v>
      </c>
      <c r="E736" s="249" t="s">
        <v>3641</v>
      </c>
      <c r="F736" s="255">
        <f>IF(ISBLANK('2I'!F23),"##BLANK",'2I'!F23)</f>
        <v>76.509999999999991</v>
      </c>
    </row>
    <row r="737" spans="2:6">
      <c r="B737" s="219" t="str">
        <f>'2I'!AC23</f>
        <v>B0101TWTOT</v>
      </c>
      <c r="C737" s="219" t="s">
        <v>4771</v>
      </c>
      <c r="E737" s="249" t="s">
        <v>3641</v>
      </c>
      <c r="F737" s="255">
        <f>IF(ISBLANK('2I'!G23),"##BLANK",'2I'!G23)</f>
        <v>283.625</v>
      </c>
    </row>
    <row r="738" spans="2:6">
      <c r="B738" s="219" t="str">
        <f>'2I'!AD23</f>
        <v>B0101TWWR</v>
      </c>
      <c r="C738" s="219" t="s">
        <v>4772</v>
      </c>
      <c r="E738" s="249" t="s">
        <v>3641</v>
      </c>
      <c r="F738" s="255">
        <f>IF(ISBLANK('2I'!H23),"##BLANK",'2I'!H23)</f>
        <v>259.22500000000002</v>
      </c>
    </row>
    <row r="739" spans="2:6">
      <c r="B739" s="219" t="str">
        <f>'2I'!AE23</f>
        <v>B0101TWWNP</v>
      </c>
      <c r="C739" s="219" t="s">
        <v>4773</v>
      </c>
      <c r="E739" s="249" t="s">
        <v>3641</v>
      </c>
      <c r="F739" s="255">
        <f>IF(ISBLANK('2I'!I23),"##BLANK",'2I'!I23)</f>
        <v>24.4</v>
      </c>
    </row>
    <row r="740" spans="2:6">
      <c r="B740" s="219" t="str">
        <f>'2I'!AF23</f>
        <v>B0101TWTOTT</v>
      </c>
      <c r="C740" s="219" t="s">
        <v>4771</v>
      </c>
      <c r="E740" s="249" t="s">
        <v>3641</v>
      </c>
      <c r="F740" s="255">
        <f>IF(ISBLANK('2I'!J23),"##BLANK",'2I'!J23)</f>
        <v>283.625</v>
      </c>
    </row>
    <row r="741" spans="2:6">
      <c r="B741" s="219" t="str">
        <f>'2I'!AA26</f>
        <v>B0102AUH</v>
      </c>
      <c r="C741" s="219" t="s">
        <v>4774</v>
      </c>
      <c r="E741" s="249" t="s">
        <v>3641</v>
      </c>
      <c r="F741" s="255">
        <f>IF(ISBLANK('2I'!E26),"##BLANK",'2I'!E26)</f>
        <v>0</v>
      </c>
    </row>
    <row r="742" spans="2:6">
      <c r="B742" s="219" t="str">
        <f>'2I'!AB26</f>
        <v>B0102AUNH</v>
      </c>
      <c r="C742" s="219" t="s">
        <v>4775</v>
      </c>
      <c r="E742" s="249" t="s">
        <v>3641</v>
      </c>
      <c r="F742" s="255">
        <f>IF(ISBLANK('2I'!F26),"##BLANK",'2I'!F26)</f>
        <v>0</v>
      </c>
    </row>
    <row r="743" spans="2:6">
      <c r="B743" s="219" t="str">
        <f>'2I'!AC26</f>
        <v>B0102AUTOT</v>
      </c>
      <c r="C743" s="219" t="s">
        <v>4776</v>
      </c>
      <c r="E743" s="249" t="s">
        <v>3641</v>
      </c>
      <c r="F743" s="255">
        <f>IF(ISBLANK('2I'!G26),"##BLANK",'2I'!G26)</f>
        <v>0</v>
      </c>
    </row>
    <row r="744" spans="2:6">
      <c r="B744" s="219" t="str">
        <f>'2I'!AA27</f>
        <v>B0103AOH</v>
      </c>
      <c r="C744" s="219" t="s">
        <v>4777</v>
      </c>
      <c r="E744" s="249" t="s">
        <v>3641</v>
      </c>
      <c r="F744" s="255">
        <f>IF(ISBLANK('2I'!E27),"##BLANK",'2I'!E27)</f>
        <v>0</v>
      </c>
    </row>
    <row r="745" spans="2:6">
      <c r="B745" s="219" t="str">
        <f>'2I'!AB27</f>
        <v>B0103AONH</v>
      </c>
      <c r="C745" s="219" t="s">
        <v>4778</v>
      </c>
      <c r="E745" s="249" t="s">
        <v>3641</v>
      </c>
      <c r="F745" s="255">
        <f>IF(ISBLANK('2I'!F27),"##BLANK",'2I'!F27)</f>
        <v>0</v>
      </c>
    </row>
    <row r="746" spans="2:6">
      <c r="B746" s="219" t="str">
        <f>'2I'!AC27</f>
        <v>B0103AOTOT</v>
      </c>
      <c r="C746" s="219" t="s">
        <v>4779</v>
      </c>
      <c r="E746" s="249" t="s">
        <v>3641</v>
      </c>
      <c r="F746" s="255">
        <f>IF(ISBLANK('2I'!G27),"##BLANK",'2I'!G27)</f>
        <v>0</v>
      </c>
    </row>
    <row r="747" spans="2:6">
      <c r="B747" s="219" t="str">
        <f>'2I'!AA28</f>
        <v>B0104ATH</v>
      </c>
      <c r="C747" s="219" t="s">
        <v>4780</v>
      </c>
      <c r="E747" s="249" t="s">
        <v>3641</v>
      </c>
      <c r="F747" s="255">
        <f>IF(ISBLANK('2I'!E28),"##BLANK",'2I'!E28)</f>
        <v>0</v>
      </c>
    </row>
    <row r="748" spans="2:6">
      <c r="B748" s="219" t="str">
        <f>'2I'!AB28</f>
        <v>B0104ATNH</v>
      </c>
      <c r="C748" s="219" t="s">
        <v>4781</v>
      </c>
      <c r="E748" s="249" t="s">
        <v>3641</v>
      </c>
      <c r="F748" s="256">
        <f>IF(ISBLANK('2I'!F28),"##BLANK",'2I'!F28)</f>
        <v>0</v>
      </c>
    </row>
    <row r="749" spans="2:6">
      <c r="B749" s="219" t="str">
        <f>'2I'!AC28</f>
        <v>B0104ATTOT</v>
      </c>
      <c r="C749" s="219" t="s">
        <v>4782</v>
      </c>
      <c r="E749" s="249" t="s">
        <v>3641</v>
      </c>
      <c r="F749" s="256">
        <f>IF(ISBLANK('2I'!G28),"##BLANK",'2I'!G28)</f>
        <v>0</v>
      </c>
    </row>
    <row r="750" spans="2:6">
      <c r="B750" s="219" t="str">
        <f>'2I'!AA30</f>
        <v>B0105WTUH</v>
      </c>
      <c r="C750" s="219" t="s">
        <v>4783</v>
      </c>
      <c r="E750" s="249" t="s">
        <v>3641</v>
      </c>
      <c r="F750" s="256">
        <f>IF(ISBLANK('2I'!E30),"##BLANK",'2I'!E30)</f>
        <v>544.64499999999998</v>
      </c>
    </row>
    <row r="751" spans="2:6">
      <c r="B751" s="219" t="str">
        <f>'2I'!AB30</f>
        <v>B0105WTNH</v>
      </c>
      <c r="C751" s="219" t="s">
        <v>4784</v>
      </c>
      <c r="E751" s="249" t="s">
        <v>3641</v>
      </c>
      <c r="F751" s="256">
        <f>IF(ISBLANK('2I'!F30),"##BLANK",'2I'!F30)</f>
        <v>167.93299999999999</v>
      </c>
    </row>
    <row r="752" spans="2:6">
      <c r="B752" s="219" t="str">
        <f>'2I'!AC30</f>
        <v>B0105WTTOT</v>
      </c>
      <c r="C752" s="219" t="s">
        <v>4785</v>
      </c>
      <c r="E752" s="249" t="s">
        <v>3641</v>
      </c>
      <c r="F752" s="256">
        <f>IF(ISBLANK('2I'!G30),"##BLANK",'2I'!G30)</f>
        <v>712.57799999999997</v>
      </c>
    </row>
    <row r="753" spans="2:6">
      <c r="B753" s="219" t="str">
        <f>'2I'!AA33</f>
        <v>A19002RRH</v>
      </c>
      <c r="C753" s="219" t="s">
        <v>4786</v>
      </c>
      <c r="E753" s="249" t="s">
        <v>3641</v>
      </c>
      <c r="F753" s="256">
        <f>IF(ISBLANK('2I'!E33),"##BLANK",'2I'!E33)</f>
        <v>27.11</v>
      </c>
    </row>
    <row r="754" spans="2:6">
      <c r="B754" s="219" t="str">
        <f>'2I'!AB33</f>
        <v>A19002RRNH</v>
      </c>
      <c r="C754" s="219" t="s">
        <v>4787</v>
      </c>
      <c r="E754" s="249" t="s">
        <v>3641</v>
      </c>
      <c r="F754" s="256">
        <f>IF(ISBLANK('2I'!F33),"##BLANK",'2I'!F33)</f>
        <v>0</v>
      </c>
    </row>
    <row r="755" spans="2:6">
      <c r="B755" s="219" t="str">
        <f>'2I'!AC33</f>
        <v>A19002RRA</v>
      </c>
      <c r="C755" s="219" t="s">
        <v>4788</v>
      </c>
      <c r="E755" s="249" t="s">
        <v>3641</v>
      </c>
      <c r="F755" s="256">
        <f>IF(ISBLANK('2I'!G33),"##BLANK",'2I'!G33)</f>
        <v>27.11</v>
      </c>
    </row>
    <row r="756" spans="2:6">
      <c r="B756" s="219" t="str">
        <f>'2I'!AA34</f>
        <v>A19003RRH</v>
      </c>
      <c r="C756" s="219" t="s">
        <v>4789</v>
      </c>
      <c r="E756" s="249" t="s">
        <v>3641</v>
      </c>
      <c r="F756" s="256">
        <f>IF(ISBLANK('2I'!E34),"##BLANK",'2I'!E34)</f>
        <v>34.186</v>
      </c>
    </row>
    <row r="757" spans="2:6">
      <c r="B757" s="219" t="str">
        <f>'2I'!AB34</f>
        <v>A19003RRNH</v>
      </c>
      <c r="C757" s="219" t="s">
        <v>4790</v>
      </c>
      <c r="E757" s="249" t="s">
        <v>3641</v>
      </c>
      <c r="F757" s="256">
        <f>IF(ISBLANK('2I'!F34),"##BLANK",'2I'!F34)</f>
        <v>0</v>
      </c>
    </row>
    <row r="758" spans="2:6">
      <c r="B758" s="219" t="str">
        <f>'2I'!AC34</f>
        <v>A19003RRA</v>
      </c>
      <c r="C758" s="219" t="s">
        <v>4791</v>
      </c>
      <c r="E758" s="249" t="s">
        <v>3641</v>
      </c>
      <c r="F758" s="256">
        <f>IF(ISBLANK('2I'!G34),"##BLANK",'2I'!G34)</f>
        <v>34.186</v>
      </c>
    </row>
    <row r="759" spans="2:6">
      <c r="B759" s="219" t="str">
        <f>'2I'!AA35</f>
        <v>A19039RRH</v>
      </c>
      <c r="C759" s="219" t="s">
        <v>4792</v>
      </c>
      <c r="E759" s="249" t="s">
        <v>3641</v>
      </c>
      <c r="F759" s="256">
        <f>IF(ISBLANK('2I'!E35),"##BLANK",'2I'!E35)</f>
        <v>0</v>
      </c>
    </row>
    <row r="760" spans="2:6">
      <c r="B760" s="219" t="str">
        <f>'2I'!AB35</f>
        <v>A19039RRNH</v>
      </c>
      <c r="C760" s="219" t="s">
        <v>4793</v>
      </c>
      <c r="E760" s="249" t="s">
        <v>3641</v>
      </c>
      <c r="F760" s="256">
        <f>IF(ISBLANK('2I'!F35),"##BLANK",'2I'!F35)</f>
        <v>0</v>
      </c>
    </row>
    <row r="761" spans="2:6">
      <c r="B761" s="219" t="str">
        <f>'2I'!AC35</f>
        <v>A19039RRA</v>
      </c>
      <c r="C761" s="219" t="s">
        <v>4794</v>
      </c>
      <c r="E761" s="249" t="s">
        <v>3641</v>
      </c>
      <c r="F761" s="256">
        <f>IF(ISBLANK('2I'!G35),"##BLANK",'2I'!G35)</f>
        <v>0</v>
      </c>
    </row>
    <row r="762" spans="2:6">
      <c r="B762" s="219" t="str">
        <f>'2I'!AA36</f>
        <v>A19004RRH</v>
      </c>
      <c r="C762" s="219" t="s">
        <v>4795</v>
      </c>
      <c r="E762" s="249" t="s">
        <v>3641</v>
      </c>
      <c r="F762" s="256">
        <f>IF(ISBLANK('2I'!E36),"##BLANK",'2I'!E36)</f>
        <v>61.295999999999999</v>
      </c>
    </row>
    <row r="763" spans="2:6">
      <c r="B763" s="219" t="str">
        <f>'2I'!AB36</f>
        <v>A19004RRNH</v>
      </c>
      <c r="C763" s="219" t="s">
        <v>4796</v>
      </c>
      <c r="E763" s="249" t="s">
        <v>3641</v>
      </c>
      <c r="F763" s="256">
        <f>IF(ISBLANK('2I'!F36),"##BLANK",'2I'!F36)</f>
        <v>0</v>
      </c>
    </row>
    <row r="764" spans="2:6">
      <c r="B764" s="219" t="str">
        <f>'2I'!AC36</f>
        <v>A19004RRA</v>
      </c>
      <c r="C764" s="219" t="s">
        <v>4797</v>
      </c>
      <c r="E764" s="249" t="s">
        <v>3641</v>
      </c>
      <c r="F764" s="256">
        <f>IF(ISBLANK('2I'!G36),"##BLANK",'2I'!G36)</f>
        <v>61.295999999999999</v>
      </c>
    </row>
    <row r="765" spans="2:6">
      <c r="B765" s="219" t="str">
        <f>'2I'!AC39</f>
        <v>BM340NPCW</v>
      </c>
      <c r="C765" s="219" t="s">
        <v>4798</v>
      </c>
      <c r="E765" s="249" t="s">
        <v>3641</v>
      </c>
      <c r="F765" s="256">
        <f>IF(ISBLANK('2I'!G39),"##BLANK",'2I'!G39)</f>
        <v>3.5169999999999999</v>
      </c>
    </row>
    <row r="766" spans="2:6">
      <c r="B766" s="219" t="str">
        <f>'2I'!AC40</f>
        <v>BM340NPCWW</v>
      </c>
      <c r="C766" s="219" t="s">
        <v>4799</v>
      </c>
      <c r="E766" s="249" t="s">
        <v>3641</v>
      </c>
      <c r="F766" s="256">
        <f>IF(ISBLANK('2I'!G40),"##BLANK",'2I'!G40)</f>
        <v>0</v>
      </c>
    </row>
    <row r="767" spans="2:6">
      <c r="B767" s="219" t="str">
        <f>'2I'!AC41</f>
        <v>A19039NPC</v>
      </c>
      <c r="C767" s="219" t="s">
        <v>4800</v>
      </c>
      <c r="E767" s="249" t="s">
        <v>3641</v>
      </c>
      <c r="F767" s="256">
        <f>IF(ISBLANK('2I'!G41),"##BLANK",'2I'!G41)</f>
        <v>5.0170000000000003</v>
      </c>
    </row>
    <row r="768" spans="2:6">
      <c r="B768" s="219" t="str">
        <f>'2I'!AC44</f>
        <v>BR973NPC</v>
      </c>
      <c r="C768" s="219" t="s">
        <v>4801</v>
      </c>
      <c r="E768" s="249" t="s">
        <v>3641</v>
      </c>
      <c r="F768" s="256">
        <f>IF(ISBLANK('2I'!G44),"##BLANK",'2I'!G44)</f>
        <v>0.29099999999999998</v>
      </c>
    </row>
    <row r="769" spans="2:6">
      <c r="B769" s="219" t="str">
        <f>'2I'!AC46</f>
        <v>BO1183</v>
      </c>
      <c r="C769" s="219" t="s">
        <v>4802</v>
      </c>
      <c r="E769" s="249" t="s">
        <v>3641</v>
      </c>
      <c r="F769" s="256">
        <f>IF(ISBLANK('2I'!G46),"##BLANK",'2I'!G46)</f>
        <v>782.69900000000018</v>
      </c>
    </row>
    <row r="770" spans="2:6">
      <c r="B770" s="219" t="str">
        <f>'2J'!T8</f>
        <v>BC30449DT</v>
      </c>
      <c r="C770" s="219" t="s">
        <v>4803</v>
      </c>
      <c r="E770" s="249" t="s">
        <v>3641</v>
      </c>
      <c r="F770" s="256">
        <f>IF(ISBLANK('2J'!E8),"##BLANK",'2J'!E8)</f>
        <v>3.8170000000000002</v>
      </c>
    </row>
    <row r="771" spans="2:6">
      <c r="B771" s="219" t="str">
        <f>'2J'!U8</f>
        <v>BC30449DTM</v>
      </c>
      <c r="C771" s="219" t="s">
        <v>4804</v>
      </c>
      <c r="E771" s="249" t="s">
        <v>3641</v>
      </c>
      <c r="F771" s="256">
        <f>IF(ISBLANK('2J'!F8),"##BLANK",'2J'!F8)</f>
        <v>0</v>
      </c>
    </row>
    <row r="772" spans="2:6">
      <c r="B772" s="219" t="str">
        <f>'2J'!T9</f>
        <v>BC30449PS</v>
      </c>
      <c r="C772" s="219" t="s">
        <v>4805</v>
      </c>
      <c r="E772" s="249" t="s">
        <v>3641</v>
      </c>
      <c r="F772" s="256">
        <f>IF(ISBLANK('2J'!E9),"##BLANK",'2J'!E9)</f>
        <v>1.1890000000000001</v>
      </c>
    </row>
    <row r="773" spans="2:6">
      <c r="B773" s="219" t="str">
        <f>'2J'!U9</f>
        <v>BC30449PSM</v>
      </c>
      <c r="C773" s="219" t="s">
        <v>4806</v>
      </c>
      <c r="E773" s="249" t="s">
        <v>3641</v>
      </c>
      <c r="F773" s="256">
        <f>IF(ISBLANK('2J'!F9),"##BLANK",'2J'!F9)</f>
        <v>0</v>
      </c>
    </row>
    <row r="774" spans="2:6">
      <c r="B774" s="219" t="str">
        <f>'2J'!T10</f>
        <v>BC30449O</v>
      </c>
      <c r="C774" s="219" t="s">
        <v>4807</v>
      </c>
      <c r="E774" s="249" t="s">
        <v>3641</v>
      </c>
      <c r="F774" s="256">
        <f>IF(ISBLANK('2J'!E10),"##BLANK",'2J'!E10)</f>
        <v>0</v>
      </c>
    </row>
    <row r="775" spans="2:6">
      <c r="B775" s="219" t="str">
        <f>'2J'!U10</f>
        <v>BC30449OM</v>
      </c>
      <c r="C775" s="219" t="s">
        <v>4808</v>
      </c>
      <c r="E775" s="249" t="s">
        <v>3641</v>
      </c>
      <c r="F775" s="256">
        <f>IF(ISBLANK('2J'!F10),"##BLANK",'2J'!F10)</f>
        <v>0</v>
      </c>
    </row>
    <row r="776" spans="2:6">
      <c r="B776" s="219" t="str">
        <f>'2J'!T11</f>
        <v>BC30449TWDT</v>
      </c>
      <c r="C776" s="219" t="s">
        <v>4809</v>
      </c>
      <c r="E776" s="249" t="s">
        <v>3641</v>
      </c>
      <c r="F776" s="256">
        <f>IF(ISBLANK('2J'!E11),"##BLANK",'2J'!E11)</f>
        <v>5.0060000000000002</v>
      </c>
    </row>
    <row r="777" spans="2:6">
      <c r="B777" s="219" t="str">
        <f>'2J'!U11</f>
        <v>BC30449TM</v>
      </c>
      <c r="C777" s="219" t="s">
        <v>4810</v>
      </c>
      <c r="E777" s="249" t="s">
        <v>3641</v>
      </c>
      <c r="F777" s="256">
        <f>IF(ISBLANK('2J'!F11),"##BLANK",'2J'!F11)</f>
        <v>0</v>
      </c>
    </row>
    <row r="778" spans="2:6">
      <c r="B778" s="219" t="str">
        <f>'2J'!T14</f>
        <v>BC30849FC</v>
      </c>
      <c r="C778" s="219" t="s">
        <v>4811</v>
      </c>
      <c r="E778" s="249" t="s">
        <v>3641</v>
      </c>
      <c r="F778" s="256">
        <f>IF(ISBLANK('2J'!E14),"##BLANK",'2J'!E14)</f>
        <v>4.7E-2</v>
      </c>
    </row>
    <row r="779" spans="2:6">
      <c r="B779" s="219" t="str">
        <f>'2J'!U14</f>
        <v>BC30849FCM</v>
      </c>
      <c r="C779" s="219" t="s">
        <v>4812</v>
      </c>
      <c r="E779" s="249" t="s">
        <v>3641</v>
      </c>
      <c r="F779" s="256">
        <f>IF(ISBLANK('2J'!F14),"##BLANK",'2J'!F14)</f>
        <v>0</v>
      </c>
    </row>
    <row r="780" spans="2:6">
      <c r="B780" s="219" t="str">
        <f>'2J'!T15</f>
        <v>BC30849SW</v>
      </c>
      <c r="C780" s="219" t="s">
        <v>4813</v>
      </c>
      <c r="E780" s="249" t="s">
        <v>3641</v>
      </c>
      <c r="F780" s="256">
        <f>IF(ISBLANK('2J'!E15),"##BLANK",'2J'!E15)</f>
        <v>0</v>
      </c>
    </row>
    <row r="781" spans="2:6">
      <c r="B781" s="219" t="str">
        <f>'2J'!U15</f>
        <v>BC30849SWM</v>
      </c>
      <c r="C781" s="219" t="s">
        <v>4814</v>
      </c>
      <c r="E781" s="249" t="s">
        <v>3641</v>
      </c>
      <c r="F781" s="256">
        <f>IF(ISBLANK('2J'!F15),"##BLANK",'2J'!F15)</f>
        <v>0</v>
      </c>
    </row>
    <row r="782" spans="2:6">
      <c r="B782" s="219" t="str">
        <f>'2J'!T16</f>
        <v>BC30849PS</v>
      </c>
      <c r="C782" s="219" t="s">
        <v>4815</v>
      </c>
      <c r="E782" s="249" t="s">
        <v>3641</v>
      </c>
      <c r="F782" s="256">
        <f>IF(ISBLANK('2J'!E16),"##BLANK",'2J'!E16)</f>
        <v>0</v>
      </c>
    </row>
    <row r="783" spans="2:6">
      <c r="B783" s="219" t="str">
        <f>'2J'!U16</f>
        <v>BC30849PSM</v>
      </c>
      <c r="C783" s="219" t="s">
        <v>4816</v>
      </c>
      <c r="E783" s="249" t="s">
        <v>3641</v>
      </c>
      <c r="F783" s="256">
        <f>IF(ISBLANK('2J'!F16),"##BLANK",'2J'!F16)</f>
        <v>0</v>
      </c>
    </row>
    <row r="784" spans="2:6">
      <c r="B784" s="219" t="str">
        <f>'2J'!T17</f>
        <v>BC30849O</v>
      </c>
      <c r="C784" s="219" t="s">
        <v>4817</v>
      </c>
      <c r="E784" s="249" t="s">
        <v>3641</v>
      </c>
      <c r="F784" s="256">
        <f>IF(ISBLANK('2J'!E17),"##BLANK",'2J'!E17)</f>
        <v>0</v>
      </c>
    </row>
    <row r="785" spans="2:6">
      <c r="B785" s="219" t="str">
        <f>'2J'!U17</f>
        <v>BC30849OM</v>
      </c>
      <c r="C785" s="219" t="s">
        <v>4818</v>
      </c>
      <c r="E785" s="249" t="s">
        <v>3641</v>
      </c>
      <c r="F785" s="256">
        <f>IF(ISBLANK('2J'!F17),"##BLANK",'2J'!F17)</f>
        <v>0</v>
      </c>
    </row>
    <row r="786" spans="2:6">
      <c r="B786" s="219" t="str">
        <f>'2J'!T18</f>
        <v>BC30849SCT</v>
      </c>
      <c r="C786" s="219" t="s">
        <v>4819</v>
      </c>
      <c r="E786" s="249" t="s">
        <v>3641</v>
      </c>
      <c r="F786" s="256">
        <f>IF(ISBLANK('2J'!E18),"##BLANK",'2J'!E18)</f>
        <v>4.7E-2</v>
      </c>
    </row>
    <row r="787" spans="2:6">
      <c r="B787" s="219" t="str">
        <f>'2J'!U18</f>
        <v>BC30849SCTM</v>
      </c>
      <c r="C787" s="219" t="s">
        <v>4820</v>
      </c>
      <c r="E787" s="249" t="s">
        <v>3641</v>
      </c>
      <c r="F787" s="256">
        <f>IF(ISBLANK('2J'!F18),"##BLANK",'2J'!F18)</f>
        <v>0</v>
      </c>
    </row>
    <row r="788" spans="2:6">
      <c r="B788" s="219" t="str">
        <f>'2K'!W8</f>
        <v>BC11470</v>
      </c>
      <c r="C788" s="219" t="s">
        <v>4821</v>
      </c>
      <c r="E788" s="249" t="s">
        <v>3641</v>
      </c>
      <c r="F788" s="256">
        <f>IF(ISBLANK('2K'!G8),"##BLANK",'2K'!G8)</f>
        <v>1.8340000000000001</v>
      </c>
    </row>
    <row r="789" spans="2:6">
      <c r="B789" s="219" t="str">
        <f>'2K'!U9</f>
        <v>BC11270DIS</v>
      </c>
      <c r="C789" s="219" t="s">
        <v>4822</v>
      </c>
      <c r="E789" s="249" t="s">
        <v>3641</v>
      </c>
      <c r="F789" s="256">
        <f>IF(ISBLANK('2K'!E9),"##BLANK",'2K'!E9)</f>
        <v>8.4000000000000005E-2</v>
      </c>
    </row>
    <row r="790" spans="2:6">
      <c r="B790" s="219" t="str">
        <f>'2K'!V9</f>
        <v>BC11370DIS</v>
      </c>
      <c r="C790" s="219" t="s">
        <v>4823</v>
      </c>
      <c r="E790" s="249" t="s">
        <v>3641</v>
      </c>
      <c r="F790" s="256">
        <f>IF(ISBLANK('2K'!F9),"##BLANK",'2K'!F9)</f>
        <v>0.14899999999999999</v>
      </c>
    </row>
    <row r="791" spans="2:6">
      <c r="B791" s="219" t="str">
        <f>'2K'!W9</f>
        <v>BC11470DIS</v>
      </c>
      <c r="C791" s="219" t="s">
        <v>4824</v>
      </c>
      <c r="E791" s="249" t="s">
        <v>3641</v>
      </c>
      <c r="F791" s="256">
        <f>IF(ISBLANK('2K'!G9),"##BLANK",'2K'!G9)</f>
        <v>0.23299999999999998</v>
      </c>
    </row>
    <row r="792" spans="2:6">
      <c r="B792" s="219" t="str">
        <f>'2K'!U10</f>
        <v>BC11270GROSS</v>
      </c>
      <c r="C792" s="219" t="s">
        <v>4825</v>
      </c>
      <c r="E792" s="249" t="s">
        <v>3641</v>
      </c>
      <c r="F792" s="256">
        <f>IF(ISBLANK('2K'!E10),"##BLANK",'2K'!E10)</f>
        <v>1.2370000000000001</v>
      </c>
    </row>
    <row r="793" spans="2:6">
      <c r="B793" s="219" t="str">
        <f>'2K'!V10</f>
        <v>BC11370GROSS</v>
      </c>
      <c r="C793" s="219" t="s">
        <v>4826</v>
      </c>
      <c r="E793" s="249" t="s">
        <v>3641</v>
      </c>
      <c r="F793" s="256">
        <f>IF(ISBLANK('2K'!F10),"##BLANK",'2K'!F10)</f>
        <v>0.83000000000000007</v>
      </c>
    </row>
    <row r="794" spans="2:6">
      <c r="B794" s="219" t="str">
        <f>'2K'!W10</f>
        <v>BC11470GROSS</v>
      </c>
      <c r="C794" s="219" t="s">
        <v>4827</v>
      </c>
      <c r="E794" s="249" t="s">
        <v>3641</v>
      </c>
      <c r="F794" s="256">
        <f>IF(ISBLANK('2K'!G10),"##BLANK",'2K'!G10)</f>
        <v>2.0670000000000002</v>
      </c>
    </row>
    <row r="795" spans="2:6">
      <c r="B795" s="219" t="str">
        <f>'2K'!U13</f>
        <v>B0375VB_W</v>
      </c>
      <c r="C795" s="219" t="s">
        <v>4828</v>
      </c>
      <c r="E795" s="249" t="s">
        <v>3641</v>
      </c>
      <c r="F795" s="256">
        <f>IF(ISBLANK('2K'!E13),"##BLANK",'2K'!E13)</f>
        <v>3.5110000000000001</v>
      </c>
    </row>
    <row r="796" spans="2:6">
      <c r="B796" s="219" t="str">
        <f>'2K'!V13</f>
        <v>B0375VB_WS</v>
      </c>
      <c r="C796" s="219" t="s">
        <v>4829</v>
      </c>
      <c r="E796" s="249" t="s">
        <v>3641</v>
      </c>
      <c r="F796" s="256">
        <f>IF(ISBLANK('2K'!F13),"##BLANK",'2K'!F13)</f>
        <v>0.28199999999999997</v>
      </c>
    </row>
    <row r="797" spans="2:6">
      <c r="B797" s="219" t="str">
        <f>'2K'!W13</f>
        <v>BC11470VARBFWD</v>
      </c>
      <c r="C797" s="219" t="s">
        <v>4830</v>
      </c>
      <c r="E797" s="249" t="s">
        <v>3641</v>
      </c>
      <c r="F797" s="256">
        <f>IF(ISBLANK('2K'!G13),"##BLANK",'2K'!G13)</f>
        <v>3.7930000000000001</v>
      </c>
    </row>
    <row r="798" spans="2:6">
      <c r="B798" s="219" t="str">
        <f>'2K'!U15</f>
        <v>BC11270NRC</v>
      </c>
      <c r="C798" s="219" t="s">
        <v>4831</v>
      </c>
      <c r="E798" s="249" t="s">
        <v>3641</v>
      </c>
      <c r="F798" s="256">
        <f>IF(ISBLANK('2K'!E15),"##BLANK",'2K'!E15)</f>
        <v>-5.0060000000000002</v>
      </c>
    </row>
    <row r="799" spans="2:6">
      <c r="B799" s="219" t="str">
        <f>'2K'!V15</f>
        <v>BC11370NRC</v>
      </c>
      <c r="C799" s="219" t="s">
        <v>4832</v>
      </c>
      <c r="E799" s="249" t="s">
        <v>3641</v>
      </c>
      <c r="F799" s="256">
        <f>IF(ISBLANK('2K'!F15),"##BLANK",'2K'!F15)</f>
        <v>-4.7E-2</v>
      </c>
    </row>
    <row r="800" spans="2:6">
      <c r="B800" s="219" t="str">
        <f>'2K'!W15</f>
        <v>BC11470NRC</v>
      </c>
      <c r="C800" s="219" t="s">
        <v>4833</v>
      </c>
      <c r="E800" s="249" t="s">
        <v>3641</v>
      </c>
      <c r="F800" s="256">
        <f>IF(ISBLANK('2K'!G15),"##BLANK",'2K'!G15)</f>
        <v>-5.0529999999999999</v>
      </c>
    </row>
    <row r="801" spans="2:6">
      <c r="B801" s="219" t="str">
        <f>'2K'!U16</f>
        <v>BC11270VARCFWD</v>
      </c>
      <c r="C801" s="219" t="s">
        <v>4834</v>
      </c>
      <c r="E801" s="249" t="s">
        <v>3641</v>
      </c>
      <c r="F801" s="256">
        <f>IF(ISBLANK('2K'!E16),"##BLANK",'2K'!E16)</f>
        <v>-0.34200000000000053</v>
      </c>
    </row>
    <row r="802" spans="2:6">
      <c r="B802" s="219" t="str">
        <f>'2K'!V16</f>
        <v>BC11370VARCFWD</v>
      </c>
      <c r="C802" s="219" t="s">
        <v>4835</v>
      </c>
      <c r="E802" s="249" t="s">
        <v>3641</v>
      </c>
      <c r="F802" s="256">
        <f>IF(ISBLANK('2K'!F16),"##BLANK",'2K'!F16)</f>
        <v>0.91600000000000004</v>
      </c>
    </row>
    <row r="803" spans="2:6">
      <c r="B803" s="219" t="str">
        <f>'2K'!W16</f>
        <v>BC11470VARCFWD</v>
      </c>
      <c r="C803" s="219" t="s">
        <v>4836</v>
      </c>
      <c r="E803" s="249" t="s">
        <v>3641</v>
      </c>
      <c r="F803" s="256">
        <f>IF(ISBLANK('2K'!G16),"##BLANK",'2K'!G16)</f>
        <v>0.57399999999999951</v>
      </c>
    </row>
    <row r="804" spans="2:6">
      <c r="B804" s="219" t="str">
        <f>'2L'!Y7</f>
        <v>B0374LD_WR</v>
      </c>
      <c r="C804" s="219" t="s">
        <v>4837</v>
      </c>
      <c r="E804" s="249" t="s">
        <v>3641</v>
      </c>
      <c r="F804" s="256">
        <f>IF(ISBLANK('2L'!E7),"##BLANK",'2L'!E7)</f>
        <v>0.64800000000000002</v>
      </c>
    </row>
    <row r="805" spans="2:6">
      <c r="B805" s="219" t="str">
        <f>'2L'!Z7</f>
        <v>B0374LD_WN</v>
      </c>
      <c r="C805" s="219" t="s">
        <v>4838</v>
      </c>
      <c r="E805" s="249" t="s">
        <v>3641</v>
      </c>
      <c r="F805" s="256">
        <f>IF(ISBLANK('2L'!F7),"##BLANK",'2L'!F7)</f>
        <v>5.0830000000000002</v>
      </c>
    </row>
    <row r="806" spans="2:6">
      <c r="B806" s="219" t="str">
        <f>'2L'!AA7</f>
        <v>BT39301PS</v>
      </c>
      <c r="C806" s="219" t="s">
        <v>4839</v>
      </c>
      <c r="E806" s="249" t="s">
        <v>3641</v>
      </c>
      <c r="F806" s="256">
        <f>IF(ISBLANK('2L'!G7),"##BLANK",'2L'!G7)</f>
        <v>0.01</v>
      </c>
    </row>
    <row r="807" spans="2:6">
      <c r="B807" s="219" t="str">
        <f>'2L'!AB7</f>
        <v>B0374LD_AC</v>
      </c>
      <c r="C807" s="219" t="s">
        <v>4840</v>
      </c>
      <c r="E807" s="249" t="s">
        <v>3641</v>
      </c>
      <c r="F807" s="256">
        <f>IF(ISBLANK('2L'!H7),"##BLANK",'2L'!H7)</f>
        <v>0</v>
      </c>
    </row>
    <row r="808" spans="2:6">
      <c r="B808" s="219" t="str">
        <f>'2L'!AC7</f>
        <v>BT39301P</v>
      </c>
      <c r="C808" s="219" t="s">
        <v>4841</v>
      </c>
      <c r="E808" s="249" t="s">
        <v>3641</v>
      </c>
      <c r="F808" s="256">
        <f>IF(ISBLANK('2L'!I7),"##BLANK",'2L'!I7)</f>
        <v>5.7409999999999997</v>
      </c>
    </row>
    <row r="809" spans="2:6">
      <c r="B809" s="219" t="str">
        <f>'2M'!AF8</f>
        <v>B0106WRTOT</v>
      </c>
      <c r="C809" s="219" t="s">
        <v>4842</v>
      </c>
      <c r="E809" s="249" t="s">
        <v>3641</v>
      </c>
      <c r="F809" s="256">
        <f>IF(ISBLANK('2M'!J8),"##BLANK",'2M'!J8)</f>
        <v>712.57799999999997</v>
      </c>
    </row>
    <row r="810" spans="2:6">
      <c r="B810" s="219" t="str">
        <f>'2M'!AD9</f>
        <v>B0107GCBIO</v>
      </c>
      <c r="C810" s="219" t="s">
        <v>4843</v>
      </c>
      <c r="E810" s="249" t="s">
        <v>3641</v>
      </c>
      <c r="F810" s="256">
        <f>IF(ISBLANK('2M'!H9),"##BLANK",'2M'!H9)</f>
        <v>0</v>
      </c>
    </row>
    <row r="811" spans="2:6">
      <c r="B811" s="219" t="str">
        <f>'2M'!AE9</f>
        <v>B0107GCAPC</v>
      </c>
      <c r="C811" s="219" t="s">
        <v>4844</v>
      </c>
      <c r="E811" s="249" t="s">
        <v>3641</v>
      </c>
      <c r="F811" s="256">
        <f>IF(ISBLANK('2M'!I9),"##BLANK",'2M'!I9)</f>
        <v>0</v>
      </c>
    </row>
    <row r="812" spans="2:6">
      <c r="B812" s="219" t="str">
        <f>'2M'!AF9</f>
        <v>B0107GCTOT</v>
      </c>
      <c r="C812" s="219" t="s">
        <v>4845</v>
      </c>
      <c r="E812" s="249" t="s">
        <v>3641</v>
      </c>
      <c r="F812" s="256">
        <f>IF(ISBLANK('2M'!J9),"##BLANK",'2M'!J9)</f>
        <v>13.917</v>
      </c>
    </row>
    <row r="813" spans="2:6">
      <c r="B813" s="219" t="str">
        <f>'2M'!AA10</f>
        <v>B0108TRWR</v>
      </c>
      <c r="C813" s="219" t="s">
        <v>4846</v>
      </c>
      <c r="E813" s="249" t="s">
        <v>3641</v>
      </c>
      <c r="F813" s="255">
        <f>IF(ISBLANK('2M'!E10),"##BLANK",'2M'!E10)</f>
        <v>101.17999999999999</v>
      </c>
    </row>
    <row r="814" spans="2:6">
      <c r="B814" s="219" t="str">
        <f>'2M'!AB10</f>
        <v>B0108TRWNP</v>
      </c>
      <c r="C814" s="219" t="s">
        <v>4847</v>
      </c>
      <c r="E814" s="249" t="s">
        <v>3641</v>
      </c>
      <c r="F814" s="255">
        <f>IF(ISBLANK('2M'!F10),"##BLANK",'2M'!F10)</f>
        <v>340.03999999999996</v>
      </c>
    </row>
    <row r="815" spans="2:6">
      <c r="B815" s="219" t="str">
        <f>'2M'!AC10</f>
        <v>B0108TRWWP</v>
      </c>
      <c r="C815" s="219" t="s">
        <v>4848</v>
      </c>
      <c r="E815" s="249" t="s">
        <v>3641</v>
      </c>
      <c r="F815" s="255">
        <f>IF(ISBLANK('2M'!G10),"##BLANK",'2M'!G10)</f>
        <v>260.875</v>
      </c>
    </row>
    <row r="816" spans="2:6">
      <c r="B816" s="219" t="str">
        <f>'2M'!AF10</f>
        <v>B0108TRTOT</v>
      </c>
      <c r="C816" s="219" t="s">
        <v>4849</v>
      </c>
      <c r="E816" s="249" t="s">
        <v>3641</v>
      </c>
      <c r="F816" s="255">
        <f>IF(ISBLANK('2M'!J10),"##BLANK",'2M'!J10)</f>
        <v>726.495</v>
      </c>
    </row>
    <row r="817" spans="2:6">
      <c r="B817" s="219" t="str">
        <f>'2M'!AA13</f>
        <v>B0109AWWR</v>
      </c>
      <c r="C817" s="219" t="s">
        <v>4850</v>
      </c>
      <c r="E817" s="249" t="s">
        <v>3641</v>
      </c>
      <c r="F817" s="255">
        <f>IF(ISBLANK('2M'!E13),"##BLANK",'2M'!E13)</f>
        <v>101.176</v>
      </c>
    </row>
    <row r="818" spans="2:6">
      <c r="B818" s="219" t="str">
        <f>'2M'!AB13</f>
        <v>B0109AWWNP</v>
      </c>
      <c r="C818" s="219" t="s">
        <v>4851</v>
      </c>
      <c r="E818" s="249" t="s">
        <v>3641</v>
      </c>
      <c r="F818" s="255">
        <f>IF(ISBLANK('2M'!F13),"##BLANK",'2M'!F13)</f>
        <v>321.81099999999998</v>
      </c>
    </row>
    <row r="819" spans="2:6">
      <c r="B819" s="219" t="str">
        <f>'2M'!AC13</f>
        <v>B0109AWWWP</v>
      </c>
      <c r="C819" s="219" t="s">
        <v>4852</v>
      </c>
      <c r="E819" s="249" t="s">
        <v>3641</v>
      </c>
      <c r="F819" s="255">
        <f>IF(ISBLANK('2M'!G13),"##BLANK",'2M'!G13)</f>
        <v>258.69</v>
      </c>
    </row>
    <row r="820" spans="2:6">
      <c r="B820" s="219" t="str">
        <f>'2M'!AD13</f>
        <v>B0109AWBIO</v>
      </c>
      <c r="C820" s="219" t="s">
        <v>4853</v>
      </c>
      <c r="E820" s="249" t="s">
        <v>3641</v>
      </c>
      <c r="F820" s="255">
        <f>IF(ISBLANK('2M'!H13),"##BLANK",'2M'!H13)</f>
        <v>24.725000000000001</v>
      </c>
    </row>
    <row r="821" spans="2:6">
      <c r="B821" s="219" t="str">
        <f>'2M'!AE13</f>
        <v>B0109AWAPC</v>
      </c>
      <c r="C821" s="219" t="s">
        <v>4854</v>
      </c>
      <c r="E821" s="249" t="s">
        <v>3641</v>
      </c>
      <c r="F821" s="255">
        <f>IF(ISBLANK('2M'!I13),"##BLANK",'2M'!I13)</f>
        <v>0</v>
      </c>
    </row>
    <row r="822" spans="2:6">
      <c r="B822" s="219" t="str">
        <f>'2M'!AF13</f>
        <v>B0109AWTOT</v>
      </c>
      <c r="C822" s="219" t="s">
        <v>4855</v>
      </c>
      <c r="E822" s="249" t="s">
        <v>3641</v>
      </c>
      <c r="F822" s="255">
        <f>IF(ISBLANK('2M'!J13),"##BLANK",'2M'!J13)</f>
        <v>706.40199999999993</v>
      </c>
    </row>
    <row r="823" spans="2:6">
      <c r="B823" s="219" t="str">
        <f>'2M'!AA14</f>
        <v>B0110AGWR</v>
      </c>
      <c r="C823" s="219" t="s">
        <v>4856</v>
      </c>
      <c r="E823" s="249" t="s">
        <v>3641</v>
      </c>
      <c r="F823" s="255">
        <f>IF(ISBLANK('2M'!E14),"##BLANK",'2M'!E14)</f>
        <v>0</v>
      </c>
    </row>
    <row r="824" spans="2:6">
      <c r="B824" s="219" t="str">
        <f>'2M'!AB14</f>
        <v>B0110AGWNP</v>
      </c>
      <c r="C824" s="219" t="s">
        <v>4857</v>
      </c>
      <c r="E824" s="249" t="s">
        <v>3641</v>
      </c>
      <c r="F824" s="255">
        <f>IF(ISBLANK('2M'!F14),"##BLANK",'2M'!F14)</f>
        <v>21.097999999999999</v>
      </c>
    </row>
    <row r="825" spans="2:6">
      <c r="B825" s="219" t="str">
        <f>'2M'!AC14</f>
        <v>B0110AGWWP</v>
      </c>
      <c r="C825" s="219" t="s">
        <v>4858</v>
      </c>
      <c r="E825" s="249" t="s">
        <v>3641</v>
      </c>
      <c r="F825" s="255">
        <f>IF(ISBLANK('2M'!G14),"##BLANK",'2M'!G14)</f>
        <v>3.9929999999999999</v>
      </c>
    </row>
    <row r="826" spans="2:6">
      <c r="B826" s="219" t="str">
        <f>'2M'!AD14</f>
        <v>B0110AGBIO</v>
      </c>
      <c r="C826" s="219" t="s">
        <v>4859</v>
      </c>
      <c r="E826" s="249" t="s">
        <v>3641</v>
      </c>
      <c r="F826" s="255">
        <f>IF(ISBLANK('2M'!H14),"##BLANK",'2M'!H14)</f>
        <v>0</v>
      </c>
    </row>
    <row r="827" spans="2:6">
      <c r="B827" s="219" t="str">
        <f>'2M'!AE14</f>
        <v>B0110AGAPC</v>
      </c>
      <c r="C827" s="219" t="s">
        <v>4860</v>
      </c>
      <c r="E827" s="249" t="s">
        <v>3641</v>
      </c>
      <c r="F827" s="255">
        <f>IF(ISBLANK('2M'!I14),"##BLANK",'2M'!I14)</f>
        <v>0</v>
      </c>
    </row>
    <row r="828" spans="2:6">
      <c r="B828" s="219" t="str">
        <f>'2M'!AF14</f>
        <v>B0110AGTOT</v>
      </c>
      <c r="C828" s="219" t="s">
        <v>4861</v>
      </c>
      <c r="E828" s="249" t="s">
        <v>3641</v>
      </c>
      <c r="F828" s="255">
        <f>IF(ISBLANK('2M'!J14),"##BLANK",'2M'!J14)</f>
        <v>25.090999999999998</v>
      </c>
    </row>
    <row r="829" spans="2:6">
      <c r="B829" s="219" t="str">
        <f>'2M'!AA15</f>
        <v>B0111RAWR</v>
      </c>
      <c r="C829" s="219" t="s">
        <v>4862</v>
      </c>
      <c r="E829" s="249" t="s">
        <v>3641</v>
      </c>
      <c r="F829" s="255">
        <f>IF(ISBLANK('2M'!E15),"##BLANK",'2M'!E15)</f>
        <v>0</v>
      </c>
    </row>
    <row r="830" spans="2:6">
      <c r="B830" s="219" t="str">
        <f>'2M'!AB15</f>
        <v>B0111RAWNP</v>
      </c>
      <c r="C830" s="219" t="s">
        <v>4863</v>
      </c>
      <c r="E830" s="249" t="s">
        <v>3641</v>
      </c>
      <c r="F830" s="255">
        <f>IF(ISBLANK('2M'!F15),"##BLANK",'2M'!F15)</f>
        <v>0</v>
      </c>
    </row>
    <row r="831" spans="2:6">
      <c r="B831" s="219" t="str">
        <f>'2M'!AC15</f>
        <v>B0111RAWWP</v>
      </c>
      <c r="C831" s="219" t="s">
        <v>4864</v>
      </c>
      <c r="E831" s="249" t="s">
        <v>3641</v>
      </c>
      <c r="F831" s="255">
        <f>IF(ISBLANK('2M'!G15),"##BLANK",'2M'!G15)</f>
        <v>0</v>
      </c>
    </row>
    <row r="832" spans="2:6">
      <c r="B832" s="219" t="str">
        <f>'2M'!AD15</f>
        <v>B0111RABIO</v>
      </c>
      <c r="C832" s="219" t="s">
        <v>4865</v>
      </c>
      <c r="E832" s="249" t="s">
        <v>3641</v>
      </c>
      <c r="F832" s="255">
        <f>IF(ISBLANK('2M'!H15),"##BLANK",'2M'!H15)</f>
        <v>0</v>
      </c>
    </row>
    <row r="833" spans="2:6">
      <c r="B833" s="219" t="str">
        <f>'2M'!AE15</f>
        <v>B0111RAAPC</v>
      </c>
      <c r="C833" s="219" t="s">
        <v>4866</v>
      </c>
      <c r="E833" s="249" t="s">
        <v>3641</v>
      </c>
      <c r="F833" s="255">
        <f>IF(ISBLANK('2M'!I15),"##BLANK",'2M'!I15)</f>
        <v>0</v>
      </c>
    </row>
    <row r="834" spans="2:6">
      <c r="B834" s="219" t="str">
        <f>'2M'!AF15</f>
        <v>B0111RATOT</v>
      </c>
      <c r="C834" s="219" t="s">
        <v>4867</v>
      </c>
      <c r="E834" s="249" t="s">
        <v>3641</v>
      </c>
      <c r="F834" s="255">
        <f>IF(ISBLANK('2M'!J15),"##BLANK",'2M'!J15)</f>
        <v>0</v>
      </c>
    </row>
    <row r="835" spans="2:6">
      <c r="B835" s="219" t="str">
        <f>'2M'!AA16</f>
        <v>B0112OAWR</v>
      </c>
      <c r="C835" s="219" t="s">
        <v>4868</v>
      </c>
      <c r="E835" s="249" t="s">
        <v>3641</v>
      </c>
      <c r="F835" s="255">
        <f>IF(ISBLANK('2M'!E16),"##BLANK",'2M'!E16)</f>
        <v>0</v>
      </c>
    </row>
    <row r="836" spans="2:6">
      <c r="B836" s="219" t="str">
        <f>'2M'!AB16</f>
        <v>B0112OAWNP</v>
      </c>
      <c r="C836" s="219" t="s">
        <v>4869</v>
      </c>
      <c r="E836" s="249" t="s">
        <v>3641</v>
      </c>
      <c r="F836" s="255">
        <f>IF(ISBLANK('2M'!F16),"##BLANK",'2M'!F16)</f>
        <v>0</v>
      </c>
    </row>
    <row r="837" spans="2:6">
      <c r="B837" s="219" t="str">
        <f>'2M'!AC16</f>
        <v>B0112OAWWP</v>
      </c>
      <c r="C837" s="219" t="s">
        <v>4870</v>
      </c>
      <c r="E837" s="249" t="s">
        <v>3641</v>
      </c>
      <c r="F837" s="255">
        <f>IF(ISBLANK('2M'!G16),"##BLANK",'2M'!G16)</f>
        <v>0</v>
      </c>
    </row>
    <row r="838" spans="2:6">
      <c r="B838" s="219" t="str">
        <f>'2M'!AD16</f>
        <v>B0112OABIO</v>
      </c>
      <c r="C838" s="219" t="s">
        <v>4871</v>
      </c>
      <c r="E838" s="249" t="s">
        <v>3641</v>
      </c>
      <c r="F838" s="255">
        <f>IF(ISBLANK('2M'!H16),"##BLANK",'2M'!H16)</f>
        <v>0</v>
      </c>
    </row>
    <row r="839" spans="2:6">
      <c r="B839" s="219" t="str">
        <f>'2M'!AE16</f>
        <v>B0112OAAPC</v>
      </c>
      <c r="C839" s="219" t="s">
        <v>4872</v>
      </c>
      <c r="E839" s="249" t="s">
        <v>3641</v>
      </c>
      <c r="F839" s="255">
        <f>IF(ISBLANK('2M'!I16),"##BLANK",'2M'!I16)</f>
        <v>0</v>
      </c>
    </row>
    <row r="840" spans="2:6">
      <c r="B840" s="219" t="str">
        <f>'2M'!AF16</f>
        <v>B0112OATOT</v>
      </c>
      <c r="C840" s="219" t="s">
        <v>4873</v>
      </c>
      <c r="E840" s="249" t="s">
        <v>3641</v>
      </c>
      <c r="F840" s="255">
        <f>IF(ISBLANK('2M'!J16),"##BLANK",'2M'!J16)</f>
        <v>0</v>
      </c>
    </row>
    <row r="841" spans="2:6">
      <c r="B841" s="219" t="str">
        <f>'2M'!AA17</f>
        <v>B0113RCWR</v>
      </c>
      <c r="C841" s="219" t="s">
        <v>4874</v>
      </c>
      <c r="E841" s="249" t="s">
        <v>3641</v>
      </c>
      <c r="F841" s="255">
        <f>IF(ISBLANK('2M'!E17),"##BLANK",'2M'!E17)</f>
        <v>101.176</v>
      </c>
    </row>
    <row r="842" spans="2:6">
      <c r="B842" s="219" t="str">
        <f>'2M'!AB17</f>
        <v>B0113RCWNP</v>
      </c>
      <c r="C842" s="219" t="s">
        <v>4875</v>
      </c>
      <c r="E842" s="249" t="s">
        <v>3641</v>
      </c>
      <c r="F842" s="255">
        <f>IF(ISBLANK('2M'!F17),"##BLANK",'2M'!F17)</f>
        <v>342.90899999999999</v>
      </c>
    </row>
    <row r="843" spans="2:6">
      <c r="B843" s="219" t="str">
        <f>'2M'!AC17</f>
        <v>B0113RCWWP</v>
      </c>
      <c r="C843" s="219" t="s">
        <v>4876</v>
      </c>
      <c r="E843" s="249" t="s">
        <v>3641</v>
      </c>
      <c r="F843" s="255">
        <f>IF(ISBLANK('2M'!G17),"##BLANK",'2M'!G17)</f>
        <v>262.68299999999999</v>
      </c>
    </row>
    <row r="844" spans="2:6">
      <c r="B844" s="219" t="str">
        <f>'2M'!AD17</f>
        <v>B0113RCBIO</v>
      </c>
      <c r="C844" s="219" t="s">
        <v>4877</v>
      </c>
      <c r="E844" s="249" t="s">
        <v>3641</v>
      </c>
      <c r="F844" s="255">
        <f>IF(ISBLANK('2M'!H17),"##BLANK",'2M'!H17)</f>
        <v>24.725000000000001</v>
      </c>
    </row>
    <row r="845" spans="2:6">
      <c r="B845" s="219" t="str">
        <f>'2M'!AE17</f>
        <v>B0113RCAPC</v>
      </c>
      <c r="C845" s="219" t="s">
        <v>4878</v>
      </c>
      <c r="E845" s="249" t="s">
        <v>3641</v>
      </c>
      <c r="F845" s="255">
        <f>IF(ISBLANK('2M'!I17),"##BLANK",'2M'!I17)</f>
        <v>0</v>
      </c>
    </row>
    <row r="846" spans="2:6">
      <c r="B846" s="219" t="str">
        <f>'2M'!AF17</f>
        <v>B0113RCTOT</v>
      </c>
      <c r="C846" s="219" t="s">
        <v>4879</v>
      </c>
      <c r="E846" s="249" t="s">
        <v>3641</v>
      </c>
      <c r="F846" s="255">
        <f>IF(ISBLANK('2M'!J17),"##BLANK",'2M'!J17)</f>
        <v>731.49300000000005</v>
      </c>
    </row>
    <row r="847" spans="2:6">
      <c r="B847" s="219" t="str">
        <f>'2M'!AF20</f>
        <v>B0114RCTOT</v>
      </c>
      <c r="C847" s="219" t="s">
        <v>4880</v>
      </c>
      <c r="E847" s="249" t="s">
        <v>3641</v>
      </c>
      <c r="F847" s="255">
        <f>IF(ISBLANK('2M'!J20),"##BLANK",'2M'!J20)</f>
        <v>731.49300000000005</v>
      </c>
    </row>
    <row r="848" spans="2:6">
      <c r="B848" s="219" t="str">
        <f>'2M'!AF21</f>
        <v>B0115RRTOT</v>
      </c>
      <c r="C848" s="219" t="s">
        <v>4881</v>
      </c>
      <c r="E848" s="249" t="s">
        <v>3641</v>
      </c>
      <c r="F848" s="255">
        <f>IF(ISBLANK('2M'!J21),"##BLANK",'2M'!J21)</f>
        <v>726.495</v>
      </c>
    </row>
    <row r="849" spans="2:6">
      <c r="B849" s="219" t="str">
        <f>'2M'!AA22</f>
        <v>B0116RIWR</v>
      </c>
      <c r="C849" s="219" t="s">
        <v>4882</v>
      </c>
      <c r="E849" s="249" t="s">
        <v>3641</v>
      </c>
      <c r="F849" s="255">
        <f>IF(ISBLANK('2M'!E22),"##BLANK",'2M'!E22)</f>
        <v>-3.9999999999906777E-3</v>
      </c>
    </row>
    <row r="850" spans="2:6">
      <c r="B850" s="219" t="str">
        <f>'2M'!AB22</f>
        <v>B0116RIWNP</v>
      </c>
      <c r="C850" s="219" t="s">
        <v>4883</v>
      </c>
      <c r="E850" s="249" t="s">
        <v>3641</v>
      </c>
      <c r="F850" s="255">
        <f>IF(ISBLANK('2M'!F22),"##BLANK",'2M'!F22)</f>
        <v>2.8690000000000282</v>
      </c>
    </row>
    <row r="851" spans="2:6">
      <c r="B851" s="219" t="str">
        <f>'2M'!AC22</f>
        <v>B0116RIWWP</v>
      </c>
      <c r="C851" s="219" t="s">
        <v>4884</v>
      </c>
      <c r="E851" s="249" t="s">
        <v>3641</v>
      </c>
      <c r="F851" s="255">
        <f>IF(ISBLANK('2M'!G22),"##BLANK",'2M'!G22)</f>
        <v>1.8079999999999927</v>
      </c>
    </row>
    <row r="852" spans="2:6">
      <c r="B852" s="219" t="str">
        <f>'2M'!AD22</f>
        <v>B0116RIBIO</v>
      </c>
      <c r="C852" s="219" t="s">
        <v>4885</v>
      </c>
      <c r="E852" s="249" t="s">
        <v>3641</v>
      </c>
      <c r="F852" s="255">
        <f>IF(ISBLANK('2M'!H22),"##BLANK",'2M'!H22)</f>
        <v>0.32500000000000284</v>
      </c>
    </row>
    <row r="853" spans="2:6">
      <c r="B853" s="219" t="str">
        <f>'2M'!AE22</f>
        <v>B0116RIAPC</v>
      </c>
      <c r="C853" s="219" t="s">
        <v>4886</v>
      </c>
      <c r="E853" s="249" t="s">
        <v>3641</v>
      </c>
      <c r="F853" s="255">
        <f>IF(ISBLANK('2M'!I22),"##BLANK",'2M'!I22)</f>
        <v>0</v>
      </c>
    </row>
    <row r="854" spans="2:6">
      <c r="B854" s="219" t="str">
        <f>'2M'!AF22</f>
        <v>B0116RITOT</v>
      </c>
      <c r="C854" s="219" t="s">
        <v>4887</v>
      </c>
      <c r="E854" s="249" t="s">
        <v>3641</v>
      </c>
      <c r="F854" s="255">
        <f>IF(ISBLANK('2M'!J22),"##BLANK",'2M'!J22)</f>
        <v>4.9980000000000331</v>
      </c>
    </row>
    <row r="855" spans="2:6">
      <c r="B855" s="219" t="str">
        <f>'2N'!W10</f>
        <v>B0117STC</v>
      </c>
      <c r="C855" s="219" t="s">
        <v>4888</v>
      </c>
      <c r="E855" s="249" t="s">
        <v>3641</v>
      </c>
      <c r="F855" s="255">
        <f>IF(ISBLANK('2N'!E10),"##BLANK",'2N'!E10)</f>
        <v>14.882999999999999</v>
      </c>
    </row>
    <row r="856" spans="2:6">
      <c r="B856" s="219" t="str">
        <f>'2N'!W11</f>
        <v>B0118STC</v>
      </c>
      <c r="C856" s="219" t="s">
        <v>4889</v>
      </c>
      <c r="E856" s="249" t="s">
        <v>3641</v>
      </c>
      <c r="F856" s="255">
        <f>IF(ISBLANK('2N'!E11),"##BLANK",'2N'!E11)</f>
        <v>1.0229999999999999</v>
      </c>
    </row>
    <row r="857" spans="2:6">
      <c r="B857" s="219" t="str">
        <f>'2N'!W12</f>
        <v>B0119STC</v>
      </c>
      <c r="C857" s="219" t="s">
        <v>4890</v>
      </c>
      <c r="E857" s="249" t="s">
        <v>3641</v>
      </c>
      <c r="F857" s="255">
        <f>IF(ISBLANK('2N'!E12),"##BLANK",'2N'!E12)</f>
        <v>42.226999999999997</v>
      </c>
    </row>
    <row r="858" spans="2:6">
      <c r="B858" s="219" t="str">
        <f>'2N'!W15</f>
        <v>B0117NSTC</v>
      </c>
      <c r="C858" s="219" t="s">
        <v>4891</v>
      </c>
      <c r="E858" s="249" t="s">
        <v>3641</v>
      </c>
      <c r="F858" s="255">
        <f>IF(ISBLANK('2N'!E15),"##BLANK",'2N'!E15)</f>
        <v>763.01400000000001</v>
      </c>
    </row>
    <row r="859" spans="2:6">
      <c r="B859" s="219" t="str">
        <f>'2N'!W16</f>
        <v>B0118NSTC</v>
      </c>
      <c r="C859" s="219" t="s">
        <v>4892</v>
      </c>
      <c r="E859" s="249" t="s">
        <v>3641</v>
      </c>
      <c r="F859" s="255">
        <f>IF(ISBLANK('2N'!E16),"##BLANK",'2N'!E16)</f>
        <v>67.501000000000005</v>
      </c>
    </row>
    <row r="860" spans="2:6">
      <c r="B860" s="219" t="str">
        <f>'2N'!W17</f>
        <v>B0119NSTC</v>
      </c>
      <c r="C860" s="219" t="s">
        <v>4893</v>
      </c>
      <c r="E860" s="249" t="s">
        <v>3641</v>
      </c>
      <c r="F860" s="255">
        <f>IF(ISBLANK('2N'!E17),"##BLANK",'2N'!E17)</f>
        <v>1083.059</v>
      </c>
    </row>
    <row r="861" spans="2:6">
      <c r="B861" s="219" t="str">
        <f>'2N'!X20</f>
        <v>B0123STDC</v>
      </c>
      <c r="C861" s="219" t="s">
        <v>4894</v>
      </c>
      <c r="E861" s="249" t="s">
        <v>3641</v>
      </c>
      <c r="F861" s="255">
        <f>IF(ISBLANK('2N'!F20),"##BLANK",'2N'!F20)</f>
        <v>76.799032453134444</v>
      </c>
    </row>
    <row r="862" spans="2:6">
      <c r="B862" s="219" t="str">
        <f>'2N'!X21</f>
        <v>B0124STDC</v>
      </c>
      <c r="C862" s="219" t="s">
        <v>4895</v>
      </c>
      <c r="E862" s="249" t="s">
        <v>3641</v>
      </c>
      <c r="F862" s="255">
        <f>IF(ISBLANK('2N'!F21),"##BLANK",'2N'!F21)</f>
        <v>125.12218963831867</v>
      </c>
    </row>
    <row r="863" spans="2:6">
      <c r="B863" s="219" t="str">
        <f>'2N'!X22</f>
        <v>B0125STDC</v>
      </c>
      <c r="C863" s="219" t="s">
        <v>4896</v>
      </c>
      <c r="E863" s="249" t="s">
        <v>3641</v>
      </c>
      <c r="F863" s="255">
        <f>IF(ISBLANK('2N'!F22),"##BLANK",'2N'!F22)</f>
        <v>96.123333412271776</v>
      </c>
    </row>
    <row r="864" spans="2:6">
      <c r="B864" s="219" t="str">
        <f>'2N'!V25</f>
        <v>B0125STCC</v>
      </c>
      <c r="C864" s="219" t="s">
        <v>4897</v>
      </c>
      <c r="E864" s="249" t="s">
        <v>3641</v>
      </c>
      <c r="F864" s="255">
        <f>IF(ISBLANK('2N'!D25),"##BLANK",'2N'!D25)</f>
        <v>1.143</v>
      </c>
    </row>
    <row r="865" spans="2:6">
      <c r="B865" s="219" t="str">
        <f>'2N'!V26</f>
        <v>B0126STCC</v>
      </c>
      <c r="C865" s="219" t="s">
        <v>4898</v>
      </c>
      <c r="E865" s="249" t="s">
        <v>3641</v>
      </c>
      <c r="F865" s="255">
        <f>IF(ISBLANK('2N'!D26),"##BLANK",'2N'!D26)</f>
        <v>0.128</v>
      </c>
    </row>
    <row r="866" spans="2:6">
      <c r="B866" s="219" t="str">
        <f>'2N'!V27</f>
        <v>B0127STCC</v>
      </c>
      <c r="C866" s="219" t="s">
        <v>4899</v>
      </c>
      <c r="E866" s="249" t="s">
        <v>3641</v>
      </c>
      <c r="F866" s="255">
        <f>IF(ISBLANK('2N'!D27),"##BLANK",'2N'!D27)</f>
        <v>4.0590000000000002</v>
      </c>
    </row>
    <row r="867" spans="2:6">
      <c r="B867" s="219" t="str">
        <f>'2N'!X28</f>
        <v>B0128STCC</v>
      </c>
      <c r="C867" s="219" t="s">
        <v>4900</v>
      </c>
      <c r="E867" s="249" t="s">
        <v>3641</v>
      </c>
      <c r="F867" s="255">
        <f>IF(ISBLANK('2N'!F28),"##BLANK",'2N'!F28)</f>
        <v>1.469346198789814</v>
      </c>
    </row>
    <row r="868" spans="2:6">
      <c r="B868" s="219" t="str">
        <f>'2N'!X29</f>
        <v>B0129STCC</v>
      </c>
      <c r="C868" s="219" t="s">
        <v>4901</v>
      </c>
      <c r="E868" s="249" t="s">
        <v>3641</v>
      </c>
      <c r="F868" s="255">
        <f>IF(ISBLANK('2N'!F29),"##BLANK",'2N'!F29)</f>
        <v>1.867958671414395</v>
      </c>
    </row>
    <row r="869" spans="2:6">
      <c r="B869" s="219" t="str">
        <f>'2N'!X30</f>
        <v>B0130STCC</v>
      </c>
      <c r="C869" s="219" t="s">
        <v>4902</v>
      </c>
      <c r="E869" s="249" t="s">
        <v>3641</v>
      </c>
      <c r="F869" s="255">
        <f>IF(ISBLANK('2N'!F30),"##BLANK",'2N'!F30)</f>
        <v>3.6070829993441667</v>
      </c>
    </row>
    <row r="870" spans="2:6">
      <c r="B870" s="219" t="str">
        <f>'2N'!V33</f>
        <v>B0131STCC</v>
      </c>
      <c r="C870" s="219" t="s">
        <v>4903</v>
      </c>
      <c r="E870" s="249" t="s">
        <v>3641</v>
      </c>
      <c r="F870" s="255">
        <f>IF(ISBLANK('2N'!D33),"##BLANK",'2N'!D33)</f>
        <v>0</v>
      </c>
    </row>
    <row r="871" spans="2:6">
      <c r="B871" s="219" t="str">
        <f>'2N'!V34</f>
        <v>B0132STCC</v>
      </c>
      <c r="C871" s="219" t="s">
        <v>4904</v>
      </c>
      <c r="E871" s="249" t="s">
        <v>3641</v>
      </c>
      <c r="F871" s="255">
        <f>IF(ISBLANK('2N'!D34),"##BLANK",'2N'!D34)</f>
        <v>0</v>
      </c>
    </row>
    <row r="872" spans="2:6">
      <c r="B872" s="219" t="str">
        <f>'2N'!V35</f>
        <v>B0133STCC</v>
      </c>
      <c r="C872" s="219" t="s">
        <v>4905</v>
      </c>
      <c r="E872" s="249" t="s">
        <v>3641</v>
      </c>
      <c r="F872" s="255">
        <f>IF(ISBLANK('2N'!D35),"##BLANK",'2N'!D35)</f>
        <v>0</v>
      </c>
    </row>
    <row r="873" spans="2:6">
      <c r="B873" s="219" t="str">
        <f>'2N'!X36</f>
        <v>B0134STCC</v>
      </c>
      <c r="C873" s="219" t="s">
        <v>4906</v>
      </c>
      <c r="E873" s="249" t="s">
        <v>3641</v>
      </c>
      <c r="F873" s="255">
        <f>IF(ISBLANK('2N'!F36),"##BLANK",'2N'!F36)</f>
        <v>0</v>
      </c>
    </row>
    <row r="874" spans="2:6">
      <c r="B874" s="219" t="str">
        <f>'2N'!X37</f>
        <v>B0135STCC</v>
      </c>
      <c r="C874" s="219" t="s">
        <v>4907</v>
      </c>
      <c r="E874" s="249" t="s">
        <v>3641</v>
      </c>
      <c r="F874" s="255">
        <f>IF(ISBLANK('2N'!F37),"##BLANK",'2N'!F37)</f>
        <v>0</v>
      </c>
    </row>
    <row r="875" spans="2:6">
      <c r="B875" s="219" t="str">
        <f>'2N'!X38</f>
        <v>B0136STCC</v>
      </c>
      <c r="C875" s="219" t="s">
        <v>4908</v>
      </c>
      <c r="E875" s="249" t="s">
        <v>3641</v>
      </c>
      <c r="F875" s="255">
        <f>IF(ISBLANK('2N'!F38),"##BLANK",'2N'!F38)</f>
        <v>0</v>
      </c>
    </row>
    <row r="876" spans="2:6">
      <c r="B876" s="219" t="str">
        <f>'2N'!X41</f>
        <v>B0137STSC</v>
      </c>
      <c r="C876" s="219" t="s">
        <v>4909</v>
      </c>
      <c r="E876" s="249" t="s">
        <v>3641</v>
      </c>
      <c r="F876" s="255">
        <f>IF(ISBLANK('2N'!F41),"##BLANK",'2N'!F41)</f>
        <v>2.0499999999999998</v>
      </c>
    </row>
    <row r="877" spans="2:6">
      <c r="B877" s="219" t="str">
        <f>'2N'!X42</f>
        <v>B0138STSC</v>
      </c>
      <c r="C877" s="219" t="s">
        <v>4910</v>
      </c>
      <c r="E877" s="249" t="s">
        <v>3641</v>
      </c>
      <c r="F877" s="255">
        <f>IF(ISBLANK('2N'!F42),"##BLANK",'2N'!F42)</f>
        <v>3.44</v>
      </c>
    </row>
    <row r="878" spans="2:6">
      <c r="B878" s="219" t="str">
        <f>'2O'!AE8</f>
        <v>BMA4012WR</v>
      </c>
      <c r="C878" s="219" t="s">
        <v>4911</v>
      </c>
      <c r="E878" s="249" t="s">
        <v>3641</v>
      </c>
      <c r="F878" s="255">
        <f>IF(ISBLANK('2O'!E8),"##BLANK",'2O'!E8)</f>
        <v>36.798999999999999</v>
      </c>
    </row>
    <row r="879" spans="2:6">
      <c r="B879" s="219" t="str">
        <f>'2O'!AF8</f>
        <v>BMA4012WN</v>
      </c>
      <c r="C879" s="219" t="s">
        <v>4912</v>
      </c>
      <c r="E879" s="249" t="s">
        <v>3641</v>
      </c>
      <c r="F879" s="255">
        <f>IF(ISBLANK('2O'!F8),"##BLANK",'2O'!F8)</f>
        <v>0</v>
      </c>
    </row>
    <row r="880" spans="2:6">
      <c r="B880" s="219" t="str">
        <f>'2O'!AG8</f>
        <v>BMA4012WNK</v>
      </c>
      <c r="C880" s="219" t="s">
        <v>4913</v>
      </c>
      <c r="E880" s="249" t="s">
        <v>3641</v>
      </c>
      <c r="F880" s="255">
        <f>IF(ISBLANK('2O'!G8),"##BLANK",'2O'!G8)</f>
        <v>2.7E-2</v>
      </c>
    </row>
    <row r="881" spans="2:6">
      <c r="B881" s="219" t="str">
        <f>'2O'!AH8</f>
        <v>BMA4012SG</v>
      </c>
      <c r="C881" s="219" t="s">
        <v>4914</v>
      </c>
      <c r="E881" s="249" t="s">
        <v>3641</v>
      </c>
      <c r="F881" s="255">
        <f>IF(ISBLANK('2O'!H8),"##BLANK",'2O'!H8)</f>
        <v>91.47</v>
      </c>
    </row>
    <row r="882" spans="2:6">
      <c r="B882" s="219" t="str">
        <f>'2O'!AI8</f>
        <v>BMA4012STTT</v>
      </c>
      <c r="C882" s="219" t="s">
        <v>4915</v>
      </c>
      <c r="E882" s="249" t="s">
        <v>3641</v>
      </c>
      <c r="F882" s="255">
        <f>IF(ISBLANK('2O'!I8),"##BLANK",'2O'!I8)</f>
        <v>0.92</v>
      </c>
    </row>
    <row r="883" spans="2:6">
      <c r="B883" s="219" t="str">
        <f>'2O'!AJ8</f>
        <v>BMA4012H</v>
      </c>
      <c r="C883" s="219" t="s">
        <v>4916</v>
      </c>
      <c r="E883" s="249" t="s">
        <v>3641</v>
      </c>
      <c r="F883" s="255">
        <f>IF(ISBLANK('2O'!J8),"##BLANK",'2O'!J8)</f>
        <v>0.252</v>
      </c>
    </row>
    <row r="884" spans="2:6">
      <c r="B884" s="219" t="str">
        <f>'2O'!AK8</f>
        <v>BMA4012NH</v>
      </c>
      <c r="C884" s="219" t="s">
        <v>4917</v>
      </c>
      <c r="E884" s="249" t="s">
        <v>3641</v>
      </c>
      <c r="F884" s="255">
        <f>IF(ISBLANK('2O'!K8),"##BLANK",'2O'!K8)</f>
        <v>0</v>
      </c>
    </row>
    <row r="885" spans="2:6">
      <c r="B885" s="219" t="str">
        <f>'2O'!AL8</f>
        <v>BMA4012CTOT</v>
      </c>
      <c r="C885" s="219" t="s">
        <v>4918</v>
      </c>
      <c r="E885" s="249" t="s">
        <v>3641</v>
      </c>
      <c r="F885" s="255">
        <f>IF(ISBLANK('2O'!L8),"##BLANK",'2O'!L8)</f>
        <v>129.46799999999999</v>
      </c>
    </row>
    <row r="886" spans="2:6">
      <c r="B886" s="219" t="str">
        <f>'2O'!AE9</f>
        <v>BMA4016WR</v>
      </c>
      <c r="C886" s="219" t="s">
        <v>4919</v>
      </c>
      <c r="E886" s="249" t="s">
        <v>3641</v>
      </c>
      <c r="F886" s="255">
        <f>IF(ISBLANK('2O'!E9),"##BLANK",'2O'!E9)</f>
        <v>0</v>
      </c>
    </row>
    <row r="887" spans="2:6">
      <c r="B887" s="219" t="str">
        <f>'2O'!AF9</f>
        <v>BMA4016WN</v>
      </c>
      <c r="C887" s="219" t="s">
        <v>4920</v>
      </c>
      <c r="E887" s="249" t="s">
        <v>3641</v>
      </c>
      <c r="F887" s="255">
        <f>IF(ISBLANK('2O'!F9),"##BLANK",'2O'!F9)</f>
        <v>0</v>
      </c>
    </row>
    <row r="888" spans="2:6">
      <c r="B888" s="219" t="str">
        <f>'2O'!AG9</f>
        <v>BMA4016WNK</v>
      </c>
      <c r="C888" s="219" t="s">
        <v>4921</v>
      </c>
      <c r="E888" s="249" t="s">
        <v>3641</v>
      </c>
      <c r="F888" s="255">
        <f>IF(ISBLANK('2O'!G9),"##BLANK",'2O'!G9)</f>
        <v>0</v>
      </c>
    </row>
    <row r="889" spans="2:6">
      <c r="B889" s="219" t="str">
        <f>'2O'!AH9</f>
        <v>BMA4016SG</v>
      </c>
      <c r="C889" s="219" t="s">
        <v>4922</v>
      </c>
      <c r="E889" s="249" t="s">
        <v>3641</v>
      </c>
      <c r="F889" s="255">
        <f>IF(ISBLANK('2O'!H9),"##BLANK",'2O'!H9)</f>
        <v>0</v>
      </c>
    </row>
    <row r="890" spans="2:6">
      <c r="B890" s="219" t="str">
        <f>'2O'!AI9</f>
        <v>BMA4016STTT</v>
      </c>
      <c r="C890" s="219" t="s">
        <v>4923</v>
      </c>
      <c r="E890" s="249" t="s">
        <v>3641</v>
      </c>
      <c r="F890" s="255">
        <f>IF(ISBLANK('2O'!I9),"##BLANK",'2O'!I9)</f>
        <v>0</v>
      </c>
    </row>
    <row r="891" spans="2:6">
      <c r="B891" s="219" t="str">
        <f>'2O'!AJ9</f>
        <v>BMA4016H</v>
      </c>
      <c r="C891" s="219" t="s">
        <v>4924</v>
      </c>
      <c r="E891" s="249" t="s">
        <v>3641</v>
      </c>
      <c r="F891" s="255">
        <f>IF(ISBLANK('2O'!J9),"##BLANK",'2O'!J9)</f>
        <v>0</v>
      </c>
    </row>
    <row r="892" spans="2:6">
      <c r="B892" s="219" t="str">
        <f>'2O'!AK9</f>
        <v>BMA4016NH</v>
      </c>
      <c r="C892" s="219" t="s">
        <v>4925</v>
      </c>
      <c r="E892" s="249" t="s">
        <v>3641</v>
      </c>
      <c r="F892" s="255">
        <f>IF(ISBLANK('2O'!K9),"##BLANK",'2O'!K9)</f>
        <v>0</v>
      </c>
    </row>
    <row r="893" spans="2:6">
      <c r="B893" s="219" t="str">
        <f>'2O'!AL9</f>
        <v>BMA4016CTOT</v>
      </c>
      <c r="C893" s="219" t="s">
        <v>4926</v>
      </c>
      <c r="E893" s="249" t="s">
        <v>3641</v>
      </c>
      <c r="F893" s="255">
        <f>IF(ISBLANK('2O'!L9),"##BLANK",'2O'!L9)</f>
        <v>0</v>
      </c>
    </row>
    <row r="894" spans="2:6">
      <c r="B894" s="219" t="str">
        <f>'2O'!AE10</f>
        <v>BMA4017WR</v>
      </c>
      <c r="C894" s="219" t="s">
        <v>4927</v>
      </c>
      <c r="E894" s="249" t="s">
        <v>3641</v>
      </c>
      <c r="F894" s="255">
        <f>IF(ISBLANK('2O'!E10),"##BLANK",'2O'!E10)</f>
        <v>2.0760000000000001</v>
      </c>
    </row>
    <row r="895" spans="2:6">
      <c r="B895" s="219" t="str">
        <f>'2O'!AF10</f>
        <v>BMA4017WN</v>
      </c>
      <c r="C895" s="219" t="s">
        <v>4928</v>
      </c>
      <c r="E895" s="249" t="s">
        <v>3641</v>
      </c>
      <c r="F895" s="255">
        <f>IF(ISBLANK('2O'!F10),"##BLANK",'2O'!F10)</f>
        <v>0</v>
      </c>
    </row>
    <row r="896" spans="2:6">
      <c r="B896" s="219" t="str">
        <f>'2O'!AG10</f>
        <v>BMA4017WNK</v>
      </c>
      <c r="C896" s="219" t="s">
        <v>4929</v>
      </c>
      <c r="E896" s="249" t="s">
        <v>3641</v>
      </c>
      <c r="F896" s="255">
        <f>IF(ISBLANK('2O'!G10),"##BLANK",'2O'!G10)</f>
        <v>0</v>
      </c>
    </row>
    <row r="897" spans="2:6">
      <c r="B897" s="219" t="str">
        <f>'2O'!AH10</f>
        <v>BMA4017SG</v>
      </c>
      <c r="C897" s="219" t="s">
        <v>4930</v>
      </c>
      <c r="E897" s="249" t="s">
        <v>3641</v>
      </c>
      <c r="F897" s="255">
        <f>IF(ISBLANK('2O'!H10),"##BLANK",'2O'!H10)</f>
        <v>7.2939999999999996</v>
      </c>
    </row>
    <row r="898" spans="2:6">
      <c r="B898" s="219" t="str">
        <f>'2O'!AI10</f>
        <v>BMA4017STTT</v>
      </c>
      <c r="C898" s="219" t="s">
        <v>4931</v>
      </c>
      <c r="E898" s="249" t="s">
        <v>3641</v>
      </c>
      <c r="F898" s="255">
        <f>IF(ISBLANK('2O'!I10),"##BLANK",'2O'!I10)</f>
        <v>0</v>
      </c>
    </row>
    <row r="899" spans="2:6">
      <c r="B899" s="219" t="str">
        <f>'2O'!AJ10</f>
        <v>BMA4017H</v>
      </c>
      <c r="C899" s="219" t="s">
        <v>4932</v>
      </c>
      <c r="E899" s="249" t="s">
        <v>3641</v>
      </c>
      <c r="F899" s="255">
        <f>IF(ISBLANK('2O'!J10),"##BLANK",'2O'!J10)</f>
        <v>0</v>
      </c>
    </row>
    <row r="900" spans="2:6">
      <c r="B900" s="219" t="str">
        <f>'2O'!AK10</f>
        <v>BMA4017NH</v>
      </c>
      <c r="C900" s="219" t="s">
        <v>4933</v>
      </c>
      <c r="E900" s="249" t="s">
        <v>3641</v>
      </c>
      <c r="F900" s="255">
        <f>IF(ISBLANK('2O'!K10),"##BLANK",'2O'!K10)</f>
        <v>0</v>
      </c>
    </row>
    <row r="901" spans="2:6">
      <c r="B901" s="219" t="str">
        <f>'2O'!AL10</f>
        <v>BMA4017CTOT</v>
      </c>
      <c r="C901" s="219" t="s">
        <v>4934</v>
      </c>
      <c r="E901" s="249" t="s">
        <v>3641</v>
      </c>
      <c r="F901" s="255">
        <f>IF(ISBLANK('2O'!L10),"##BLANK",'2O'!L10)</f>
        <v>9.3699999999999992</v>
      </c>
    </row>
    <row r="902" spans="2:6">
      <c r="B902" s="219" t="str">
        <f>'2O'!AE11</f>
        <v>BMA4021WR</v>
      </c>
      <c r="C902" s="219" t="s">
        <v>4935</v>
      </c>
      <c r="E902" s="249" t="s">
        <v>3641</v>
      </c>
      <c r="F902" s="255">
        <f>IF(ISBLANK('2O'!E11),"##BLANK",'2O'!E11)</f>
        <v>5.3999999999999999E-2</v>
      </c>
    </row>
    <row r="903" spans="2:6">
      <c r="B903" s="219" t="str">
        <f>'2O'!AF11</f>
        <v>BMA4021WN</v>
      </c>
      <c r="C903" s="219" t="s">
        <v>4936</v>
      </c>
      <c r="E903" s="249" t="s">
        <v>3641</v>
      </c>
      <c r="F903" s="255">
        <f>IF(ISBLANK('2O'!F11),"##BLANK",'2O'!F11)</f>
        <v>0</v>
      </c>
    </row>
    <row r="904" spans="2:6">
      <c r="B904" s="219" t="str">
        <f>'2O'!AG11</f>
        <v>BMA4021WNK</v>
      </c>
      <c r="C904" s="219" t="s">
        <v>4937</v>
      </c>
      <c r="E904" s="249" t="s">
        <v>3641</v>
      </c>
      <c r="F904" s="255">
        <f>IF(ISBLANK('2O'!G11),"##BLANK",'2O'!G11)</f>
        <v>5.0000000000000001E-3</v>
      </c>
    </row>
    <row r="905" spans="2:6">
      <c r="B905" s="219" t="str">
        <f>'2O'!AH11</f>
        <v>BMA4021SG</v>
      </c>
      <c r="C905" s="219" t="s">
        <v>4938</v>
      </c>
      <c r="E905" s="249" t="s">
        <v>3641</v>
      </c>
      <c r="F905" s="255">
        <f>IF(ISBLANK('2O'!H11),"##BLANK",'2O'!H11)</f>
        <v>-0.11899999999999999</v>
      </c>
    </row>
    <row r="906" spans="2:6">
      <c r="B906" s="219" t="str">
        <f>'2O'!AI11</f>
        <v>BMA4021STTT</v>
      </c>
      <c r="C906" s="219" t="s">
        <v>4939</v>
      </c>
      <c r="E906" s="249" t="s">
        <v>3641</v>
      </c>
      <c r="F906" s="255">
        <f>IF(ISBLANK('2O'!I11),"##BLANK",'2O'!I11)</f>
        <v>5.6000000000000001E-2</v>
      </c>
    </row>
    <row r="907" spans="2:6">
      <c r="B907" s="219" t="str">
        <f>'2O'!AJ11</f>
        <v>BMA4021H</v>
      </c>
      <c r="C907" s="219" t="s">
        <v>4940</v>
      </c>
      <c r="E907" s="249" t="s">
        <v>3641</v>
      </c>
      <c r="F907" s="255">
        <f>IF(ISBLANK('2O'!J11),"##BLANK",'2O'!J11)</f>
        <v>4.0000000000000001E-3</v>
      </c>
    </row>
    <row r="908" spans="2:6">
      <c r="B908" s="219" t="str">
        <f>'2O'!AK11</f>
        <v>BMA4021NH</v>
      </c>
      <c r="C908" s="219" t="s">
        <v>4941</v>
      </c>
      <c r="E908" s="249" t="s">
        <v>3641</v>
      </c>
      <c r="F908" s="255">
        <f>IF(ISBLANK('2O'!K11),"##BLANK",'2O'!K11)</f>
        <v>0</v>
      </c>
    </row>
    <row r="909" spans="2:6">
      <c r="B909" s="219" t="str">
        <f>'2O'!AL11</f>
        <v>BMA4021CTOT</v>
      </c>
      <c r="C909" s="219" t="s">
        <v>4942</v>
      </c>
      <c r="E909" s="249" t="s">
        <v>3641</v>
      </c>
      <c r="F909" s="255">
        <f>IF(ISBLANK('2O'!L11),"##BLANK",'2O'!L11)</f>
        <v>3.4694469519536142E-18</v>
      </c>
    </row>
    <row r="910" spans="2:6">
      <c r="B910" s="219" t="str">
        <f>'2O'!AE12</f>
        <v>BMA4019WR</v>
      </c>
      <c r="C910" s="219" t="s">
        <v>4943</v>
      </c>
      <c r="E910" s="249" t="s">
        <v>3641</v>
      </c>
      <c r="F910" s="255">
        <f>IF(ISBLANK('2O'!E12),"##BLANK",'2O'!E12)</f>
        <v>0</v>
      </c>
    </row>
    <row r="911" spans="2:6">
      <c r="B911" s="219" t="str">
        <f>'2O'!AF12</f>
        <v>BMA4019WN</v>
      </c>
      <c r="C911" s="219" t="s">
        <v>4944</v>
      </c>
      <c r="E911" s="249" t="s">
        <v>3641</v>
      </c>
      <c r="F911" s="255">
        <f>IF(ISBLANK('2O'!F12),"##BLANK",'2O'!F12)</f>
        <v>0</v>
      </c>
    </row>
    <row r="912" spans="2:6">
      <c r="B912" s="219" t="str">
        <f>'2O'!AG12</f>
        <v>BMA4019WNK</v>
      </c>
      <c r="C912" s="219" t="s">
        <v>4945</v>
      </c>
      <c r="E912" s="249" t="s">
        <v>3641</v>
      </c>
      <c r="F912" s="255">
        <f>IF(ISBLANK('2O'!G12),"##BLANK",'2O'!G12)</f>
        <v>0</v>
      </c>
    </row>
    <row r="913" spans="2:6">
      <c r="B913" s="219" t="str">
        <f>'2O'!AH12</f>
        <v>BMA4019SG</v>
      </c>
      <c r="C913" s="219" t="s">
        <v>4946</v>
      </c>
      <c r="E913" s="249" t="s">
        <v>3641</v>
      </c>
      <c r="F913" s="255">
        <f>IF(ISBLANK('2O'!H12),"##BLANK",'2O'!H12)</f>
        <v>0</v>
      </c>
    </row>
    <row r="914" spans="2:6">
      <c r="B914" s="219" t="str">
        <f>'2O'!AI12</f>
        <v>BMA4019STTT</v>
      </c>
      <c r="C914" s="219" t="s">
        <v>4947</v>
      </c>
      <c r="E914" s="249" t="s">
        <v>3641</v>
      </c>
      <c r="F914" s="255">
        <f>IF(ISBLANK('2O'!I12),"##BLANK",'2O'!I12)</f>
        <v>0</v>
      </c>
    </row>
    <row r="915" spans="2:6">
      <c r="B915" s="219" t="str">
        <f>'2O'!AJ12</f>
        <v>BMA4019H</v>
      </c>
      <c r="C915" s="219" t="s">
        <v>4948</v>
      </c>
      <c r="E915" s="249" t="s">
        <v>3641</v>
      </c>
      <c r="F915" s="255">
        <f>IF(ISBLANK('2O'!J12),"##BLANK",'2O'!J12)</f>
        <v>0</v>
      </c>
    </row>
    <row r="916" spans="2:6">
      <c r="B916" s="219" t="str">
        <f>'2O'!AK12</f>
        <v>BMA4019NH</v>
      </c>
      <c r="C916" s="219" t="s">
        <v>4949</v>
      </c>
      <c r="E916" s="249" t="s">
        <v>3641</v>
      </c>
      <c r="F916" s="255">
        <f>IF(ISBLANK('2O'!K12),"##BLANK",'2O'!K12)</f>
        <v>0</v>
      </c>
    </row>
    <row r="917" spans="2:6">
      <c r="B917" s="219" t="str">
        <f>'2O'!AL12</f>
        <v>BMA4019CTOT</v>
      </c>
      <c r="C917" s="219" t="s">
        <v>4950</v>
      </c>
      <c r="E917" s="249" t="s">
        <v>3641</v>
      </c>
      <c r="F917" s="255">
        <f>IF(ISBLANK('2O'!L12),"##BLANK",'2O'!L12)</f>
        <v>0</v>
      </c>
    </row>
    <row r="918" spans="2:6">
      <c r="B918" s="219" t="str">
        <f>'2O'!AE13</f>
        <v>BMA4018WR</v>
      </c>
      <c r="C918" s="219" t="s">
        <v>4951</v>
      </c>
      <c r="E918" s="249" t="s">
        <v>3641</v>
      </c>
      <c r="F918" s="255">
        <f>IF(ISBLANK('2O'!E13),"##BLANK",'2O'!E13)</f>
        <v>38.929000000000002</v>
      </c>
    </row>
    <row r="919" spans="2:6">
      <c r="B919" s="219" t="str">
        <f>'2O'!AF13</f>
        <v>BMA4018WN</v>
      </c>
      <c r="C919" s="219" t="s">
        <v>4952</v>
      </c>
      <c r="E919" s="249" t="s">
        <v>3641</v>
      </c>
      <c r="F919" s="255">
        <f>IF(ISBLANK('2O'!F13),"##BLANK",'2O'!F13)</f>
        <v>0</v>
      </c>
    </row>
    <row r="920" spans="2:6">
      <c r="B920" s="219" t="str">
        <f>'2O'!AG13</f>
        <v>BMA4018WNK</v>
      </c>
      <c r="C920" s="219" t="s">
        <v>4953</v>
      </c>
      <c r="E920" s="249" t="s">
        <v>3641</v>
      </c>
      <c r="F920" s="255">
        <f>IF(ISBLANK('2O'!G13),"##BLANK",'2O'!G13)</f>
        <v>3.2000000000000001E-2</v>
      </c>
    </row>
    <row r="921" spans="2:6">
      <c r="B921" s="219" t="str">
        <f>'2O'!AH13</f>
        <v>BMA4018SG</v>
      </c>
      <c r="C921" s="219" t="s">
        <v>4954</v>
      </c>
      <c r="E921" s="249" t="s">
        <v>3641</v>
      </c>
      <c r="F921" s="255">
        <f>IF(ISBLANK('2O'!H13),"##BLANK",'2O'!H13)</f>
        <v>98.644999999999996</v>
      </c>
    </row>
    <row r="922" spans="2:6">
      <c r="B922" s="219" t="str">
        <f>'2O'!AI13</f>
        <v>BMA4018STTT</v>
      </c>
      <c r="C922" s="219" t="s">
        <v>4955</v>
      </c>
      <c r="E922" s="249" t="s">
        <v>3641</v>
      </c>
      <c r="F922" s="255">
        <f>IF(ISBLANK('2O'!I13),"##BLANK",'2O'!I13)</f>
        <v>0.97600000000000009</v>
      </c>
    </row>
    <row r="923" spans="2:6">
      <c r="B923" s="219" t="str">
        <f>'2O'!AJ13</f>
        <v>BMA4018H</v>
      </c>
      <c r="C923" s="219" t="s">
        <v>4956</v>
      </c>
      <c r="E923" s="249" t="s">
        <v>3641</v>
      </c>
      <c r="F923" s="255">
        <f>IF(ISBLANK('2O'!J13),"##BLANK",'2O'!J13)</f>
        <v>0.25600000000000001</v>
      </c>
    </row>
    <row r="924" spans="2:6">
      <c r="B924" s="219" t="str">
        <f>'2O'!AK13</f>
        <v>BMA4018NH</v>
      </c>
      <c r="C924" s="219" t="s">
        <v>4957</v>
      </c>
      <c r="E924" s="249" t="s">
        <v>3641</v>
      </c>
      <c r="F924" s="255">
        <f>IF(ISBLANK('2O'!K13),"##BLANK",'2O'!K13)</f>
        <v>0</v>
      </c>
    </row>
    <row r="925" spans="2:6">
      <c r="B925" s="219" t="str">
        <f>'2O'!AL13</f>
        <v>BMA4018CTOT</v>
      </c>
      <c r="C925" s="219" t="s">
        <v>4958</v>
      </c>
      <c r="E925" s="249" t="s">
        <v>3641</v>
      </c>
      <c r="F925" s="255">
        <f>IF(ISBLANK('2O'!L13),"##BLANK",'2O'!L13)</f>
        <v>138.83799999999999</v>
      </c>
    </row>
    <row r="926" spans="2:6">
      <c r="B926" s="219" t="str">
        <f>'2O'!AE16</f>
        <v>BMA4041WR</v>
      </c>
      <c r="C926" s="219" t="s">
        <v>4959</v>
      </c>
      <c r="E926" s="249" t="s">
        <v>3641</v>
      </c>
      <c r="F926" s="255">
        <f>IF(ISBLANK('2O'!E16),"##BLANK",'2O'!E16)</f>
        <v>-10.039</v>
      </c>
    </row>
    <row r="927" spans="2:6">
      <c r="B927" s="219" t="str">
        <f>'2O'!AF16</f>
        <v>BMA4041WN</v>
      </c>
      <c r="C927" s="219" t="s">
        <v>4960</v>
      </c>
      <c r="E927" s="249" t="s">
        <v>3641</v>
      </c>
      <c r="F927" s="255">
        <f>IF(ISBLANK('2O'!F16),"##BLANK",'2O'!F16)</f>
        <v>0</v>
      </c>
    </row>
    <row r="928" spans="2:6">
      <c r="B928" s="219" t="str">
        <f>'2O'!AG16</f>
        <v>BMA4041WNK</v>
      </c>
      <c r="C928" s="219" t="s">
        <v>4961</v>
      </c>
      <c r="E928" s="249" t="s">
        <v>3641</v>
      </c>
      <c r="F928" s="255">
        <f>IF(ISBLANK('2O'!G16),"##BLANK",'2O'!G16)</f>
        <v>-7.0000000000000001E-3</v>
      </c>
    </row>
    <row r="929" spans="2:6">
      <c r="B929" s="219" t="str">
        <f>'2O'!AH16</f>
        <v>BMA4041SG</v>
      </c>
      <c r="C929" s="219" t="s">
        <v>4962</v>
      </c>
      <c r="E929" s="249" t="s">
        <v>3641</v>
      </c>
      <c r="F929" s="255">
        <f>IF(ISBLANK('2O'!H16),"##BLANK",'2O'!H16)</f>
        <v>-66.896000000000001</v>
      </c>
    </row>
    <row r="930" spans="2:6">
      <c r="B930" s="219" t="str">
        <f>'2O'!AI16</f>
        <v>BMA4041STTT</v>
      </c>
      <c r="C930" s="219" t="s">
        <v>4963</v>
      </c>
      <c r="E930" s="249" t="s">
        <v>3641</v>
      </c>
      <c r="F930" s="255">
        <f>IF(ISBLANK('2O'!I16),"##BLANK",'2O'!I16)</f>
        <v>-0.79800000000000004</v>
      </c>
    </row>
    <row r="931" spans="2:6">
      <c r="B931" s="219" t="str">
        <f>'2O'!AJ16</f>
        <v>BMA4041H</v>
      </c>
      <c r="C931" s="219" t="s">
        <v>4964</v>
      </c>
      <c r="E931" s="249" t="s">
        <v>3641</v>
      </c>
      <c r="F931" s="255">
        <f>IF(ISBLANK('2O'!J16),"##BLANK",'2O'!J16)</f>
        <v>-8.8999999999999996E-2</v>
      </c>
    </row>
    <row r="932" spans="2:6">
      <c r="B932" s="219" t="str">
        <f>'2O'!AK16</f>
        <v>BMA4041NH</v>
      </c>
      <c r="C932" s="219" t="s">
        <v>4965</v>
      </c>
      <c r="E932" s="249" t="s">
        <v>3641</v>
      </c>
      <c r="F932" s="255">
        <f>IF(ISBLANK('2O'!K16),"##BLANK",'2O'!K16)</f>
        <v>0</v>
      </c>
    </row>
    <row r="933" spans="2:6">
      <c r="B933" s="219" t="str">
        <f>'2O'!AL16</f>
        <v>BMA041CTOT</v>
      </c>
      <c r="C933" s="219" t="s">
        <v>4966</v>
      </c>
      <c r="E933" s="249" t="s">
        <v>3641</v>
      </c>
      <c r="F933" s="255">
        <f>IF(ISBLANK('2O'!L16),"##BLANK",'2O'!L16)</f>
        <v>-77.829000000000008</v>
      </c>
    </row>
    <row r="934" spans="2:6">
      <c r="B934" s="219" t="str">
        <f>'2O'!AE17</f>
        <v>BMA4045WR</v>
      </c>
      <c r="C934" s="219" t="s">
        <v>4967</v>
      </c>
      <c r="E934" s="249" t="s">
        <v>3641</v>
      </c>
      <c r="F934" s="255">
        <f>IF(ISBLANK('2O'!E17),"##BLANK",'2O'!E17)</f>
        <v>0</v>
      </c>
    </row>
    <row r="935" spans="2:6">
      <c r="B935" s="219" t="str">
        <f>'2O'!AF17</f>
        <v>BMA4045WN</v>
      </c>
      <c r="C935" s="219" t="s">
        <v>4968</v>
      </c>
      <c r="E935" s="249" t="s">
        <v>3641</v>
      </c>
      <c r="F935" s="255">
        <f>IF(ISBLANK('2O'!F17),"##BLANK",'2O'!F17)</f>
        <v>0</v>
      </c>
    </row>
    <row r="936" spans="2:6">
      <c r="B936" s="219" t="str">
        <f>'2O'!AG17</f>
        <v>BMA4045WNK</v>
      </c>
      <c r="C936" s="219" t="s">
        <v>4969</v>
      </c>
      <c r="E936" s="249" t="s">
        <v>3641</v>
      </c>
      <c r="F936" s="255">
        <f>IF(ISBLANK('2O'!G17),"##BLANK",'2O'!G17)</f>
        <v>0</v>
      </c>
    </row>
    <row r="937" spans="2:6">
      <c r="B937" s="219" t="str">
        <f>'2O'!AH17</f>
        <v>BMA4045SG</v>
      </c>
      <c r="C937" s="219" t="s">
        <v>4970</v>
      </c>
      <c r="E937" s="249" t="s">
        <v>3641</v>
      </c>
      <c r="F937" s="255">
        <f>IF(ISBLANK('2O'!H17),"##BLANK",'2O'!H17)</f>
        <v>0</v>
      </c>
    </row>
    <row r="938" spans="2:6">
      <c r="B938" s="219" t="str">
        <f>'2O'!AI17</f>
        <v>BMA4045STTT</v>
      </c>
      <c r="C938" s="219" t="s">
        <v>4971</v>
      </c>
      <c r="E938" s="249" t="s">
        <v>3641</v>
      </c>
      <c r="F938" s="255">
        <f>IF(ISBLANK('2O'!I17),"##BLANK",'2O'!I17)</f>
        <v>0</v>
      </c>
    </row>
    <row r="939" spans="2:6">
      <c r="B939" s="219" t="str">
        <f>'2O'!AJ17</f>
        <v>BMA4045H</v>
      </c>
      <c r="C939" s="219" t="s">
        <v>4972</v>
      </c>
      <c r="E939" s="249" t="s">
        <v>3641</v>
      </c>
      <c r="F939" s="255">
        <f>IF(ISBLANK('2O'!J17),"##BLANK",'2O'!J17)</f>
        <v>0</v>
      </c>
    </row>
    <row r="940" spans="2:6">
      <c r="B940" s="219" t="str">
        <f>'2O'!AK17</f>
        <v>BMA4045NH</v>
      </c>
      <c r="C940" s="219" t="s">
        <v>4973</v>
      </c>
      <c r="E940" s="249" t="s">
        <v>3641</v>
      </c>
      <c r="F940" s="255">
        <f>IF(ISBLANK('2O'!K17),"##BLANK",'2O'!K17)</f>
        <v>0</v>
      </c>
    </row>
    <row r="941" spans="2:6">
      <c r="B941" s="219" t="str">
        <f>'2O'!AL17</f>
        <v>BMA4045CTOT</v>
      </c>
      <c r="C941" s="219" t="s">
        <v>4974</v>
      </c>
      <c r="E941" s="249" t="s">
        <v>3641</v>
      </c>
      <c r="F941" s="255">
        <f>IF(ISBLANK('2O'!L17),"##BLANK",'2O'!L17)</f>
        <v>0</v>
      </c>
    </row>
    <row r="942" spans="2:6">
      <c r="B942" s="219" t="str">
        <f>'2O'!AE18</f>
        <v>BMA4053WR</v>
      </c>
      <c r="C942" s="219" t="s">
        <v>4975</v>
      </c>
      <c r="E942" s="249" t="s">
        <v>3641</v>
      </c>
      <c r="F942" s="255">
        <f>IF(ISBLANK('2O'!E18),"##BLANK",'2O'!E18)</f>
        <v>2E-3</v>
      </c>
    </row>
    <row r="943" spans="2:6">
      <c r="B943" s="219" t="str">
        <f>'2O'!AF18</f>
        <v>BMA4053WN</v>
      </c>
      <c r="C943" s="219" t="s">
        <v>4976</v>
      </c>
      <c r="E943" s="249" t="s">
        <v>3641</v>
      </c>
      <c r="F943" s="255">
        <f>IF(ISBLANK('2O'!F18),"##BLANK",'2O'!F18)</f>
        <v>0</v>
      </c>
    </row>
    <row r="944" spans="2:6">
      <c r="B944" s="219" t="str">
        <f>'2O'!AG18</f>
        <v>BMA4053WWNK</v>
      </c>
      <c r="C944" s="219" t="s">
        <v>4977</v>
      </c>
      <c r="E944" s="249" t="s">
        <v>3641</v>
      </c>
      <c r="F944" s="255">
        <f>IF(ISBLANK('2O'!G18),"##BLANK",'2O'!G18)</f>
        <v>0</v>
      </c>
    </row>
    <row r="945" spans="2:6">
      <c r="B945" s="219" t="str">
        <f>'2O'!AH18</f>
        <v>BMA4053SG</v>
      </c>
      <c r="C945" s="219" t="s">
        <v>4978</v>
      </c>
      <c r="E945" s="249" t="s">
        <v>3641</v>
      </c>
      <c r="F945" s="255">
        <f>IF(ISBLANK('2O'!H18),"##BLANK",'2O'!H18)</f>
        <v>-2E-3</v>
      </c>
    </row>
    <row r="946" spans="2:6">
      <c r="B946" s="219" t="str">
        <f>'2O'!AI18</f>
        <v>BMA4053STTT</v>
      </c>
      <c r="C946" s="219" t="s">
        <v>4979</v>
      </c>
      <c r="E946" s="249" t="s">
        <v>3641</v>
      </c>
      <c r="F946" s="255">
        <f>IF(ISBLANK('2O'!I18),"##BLANK",'2O'!I18)</f>
        <v>3.0000000000000001E-3</v>
      </c>
    </row>
    <row r="947" spans="2:6">
      <c r="B947" s="219" t="str">
        <f>'2O'!AJ18</f>
        <v>BMA4053H</v>
      </c>
      <c r="C947" s="219" t="s">
        <v>4980</v>
      </c>
      <c r="E947" s="249" t="s">
        <v>3641</v>
      </c>
      <c r="F947" s="255">
        <f>IF(ISBLANK('2O'!J18),"##BLANK",'2O'!J18)</f>
        <v>-3.0000000000000001E-3</v>
      </c>
    </row>
    <row r="948" spans="2:6" ht="15" customHeight="1">
      <c r="B948" s="219" t="str">
        <f>'2O'!AK18</f>
        <v>BMA4053NH</v>
      </c>
      <c r="C948" s="219" t="s">
        <v>4981</v>
      </c>
      <c r="E948" s="249" t="s">
        <v>3641</v>
      </c>
      <c r="F948" s="255">
        <f>IF(ISBLANK('2O'!K18),"##BLANK",'2O'!K18)</f>
        <v>0</v>
      </c>
    </row>
    <row r="949" spans="2:6">
      <c r="B949" s="219" t="str">
        <f>'2O'!AL18</f>
        <v>BMA4053TOT</v>
      </c>
      <c r="C949" s="219" t="s">
        <v>4982</v>
      </c>
      <c r="E949" s="249" t="s">
        <v>3641</v>
      </c>
      <c r="F949" s="255">
        <f>IF(ISBLANK('2O'!L18),"##BLANK",'2O'!L18)</f>
        <v>0</v>
      </c>
    </row>
    <row r="950" spans="2:6">
      <c r="B950" s="219" t="str">
        <f>'2O'!AE19</f>
        <v>BMA4046WR</v>
      </c>
      <c r="C950" s="219" t="s">
        <v>4983</v>
      </c>
      <c r="E950" s="249" t="s">
        <v>3641</v>
      </c>
      <c r="F950" s="255">
        <f>IF(ISBLANK('2O'!E19),"##BLANK",'2O'!E19)</f>
        <v>-2.0859999999999999</v>
      </c>
    </row>
    <row r="951" spans="2:6">
      <c r="B951" s="219" t="str">
        <f>'2O'!AF19</f>
        <v>BMA4046WN</v>
      </c>
      <c r="C951" s="219" t="s">
        <v>4984</v>
      </c>
      <c r="E951" s="249" t="s">
        <v>3641</v>
      </c>
      <c r="F951" s="255">
        <f>IF(ISBLANK('2O'!F19),"##BLANK",'2O'!F19)</f>
        <v>0</v>
      </c>
    </row>
    <row r="952" spans="2:6">
      <c r="B952" s="219" t="str">
        <f>'2O'!AG19</f>
        <v>BMA4046WNK</v>
      </c>
      <c r="C952" s="219" t="s">
        <v>4985</v>
      </c>
      <c r="E952" s="249" t="s">
        <v>3641</v>
      </c>
      <c r="F952" s="255">
        <f>IF(ISBLANK('2O'!G19),"##BLANK",'2O'!G19)</f>
        <v>-3.0000000000000001E-3</v>
      </c>
    </row>
    <row r="953" spans="2:6">
      <c r="B953" s="219" t="str">
        <f>'2O'!AH19</f>
        <v>BMA4046SG</v>
      </c>
      <c r="C953" s="219" t="s">
        <v>4986</v>
      </c>
      <c r="E953" s="249" t="s">
        <v>3641</v>
      </c>
      <c r="F953" s="255">
        <f>IF(ISBLANK('2O'!H19),"##BLANK",'2O'!H19)</f>
        <v>-6.6109999999999998</v>
      </c>
    </row>
    <row r="954" spans="2:6">
      <c r="B954" s="219" t="str">
        <f>'2O'!AI19</f>
        <v>BMA4046STTT</v>
      </c>
      <c r="C954" s="219" t="s">
        <v>4987</v>
      </c>
      <c r="E954" s="249" t="s">
        <v>3641</v>
      </c>
      <c r="F954" s="255">
        <f>IF(ISBLANK('2O'!I19),"##BLANK",'2O'!I19)</f>
        <v>-5.5E-2</v>
      </c>
    </row>
    <row r="955" spans="2:6">
      <c r="B955" s="219" t="str">
        <f>'2O'!AJ19</f>
        <v>BMA4046H</v>
      </c>
      <c r="C955" s="219" t="s">
        <v>4988</v>
      </c>
      <c r="E955" s="249" t="s">
        <v>3641</v>
      </c>
      <c r="F955" s="255">
        <f>IF(ISBLANK('2O'!J19),"##BLANK",'2O'!J19)</f>
        <v>-4.1000000000000002E-2</v>
      </c>
    </row>
    <row r="956" spans="2:6">
      <c r="B956" s="219" t="str">
        <f>'2O'!AK19</f>
        <v>BMA4046NH</v>
      </c>
      <c r="C956" s="219" t="s">
        <v>4989</v>
      </c>
      <c r="E956" s="249" t="s">
        <v>3641</v>
      </c>
      <c r="F956" s="255">
        <f>IF(ISBLANK('2O'!K19),"##BLANK",'2O'!K19)</f>
        <v>0</v>
      </c>
    </row>
    <row r="957" spans="2:6">
      <c r="B957" s="219" t="str">
        <f>'2O'!AL19</f>
        <v>BMA4046CTOT</v>
      </c>
      <c r="C957" s="219" t="s">
        <v>4990</v>
      </c>
      <c r="E957" s="249" t="s">
        <v>3641</v>
      </c>
      <c r="F957" s="255">
        <f>IF(ISBLANK('2O'!L19),"##BLANK",'2O'!L19)</f>
        <v>-8.7959999999999994</v>
      </c>
    </row>
    <row r="958" spans="2:6">
      <c r="B958" s="219" t="str">
        <f>'2O'!AE20</f>
        <v>BMA4047WR</v>
      </c>
      <c r="C958" s="219" t="s">
        <v>4991</v>
      </c>
      <c r="E958" s="249" t="s">
        <v>3641</v>
      </c>
      <c r="F958" s="255">
        <f>IF(ISBLANK('2O'!E20),"##BLANK",'2O'!E20)</f>
        <v>-12.122999999999999</v>
      </c>
    </row>
    <row r="959" spans="2:6">
      <c r="B959" s="219" t="str">
        <f>'2O'!AF20</f>
        <v>BMA4047WN</v>
      </c>
      <c r="C959" s="219" t="s">
        <v>4992</v>
      </c>
      <c r="E959" s="249" t="s">
        <v>3641</v>
      </c>
      <c r="F959" s="255">
        <f>IF(ISBLANK('2O'!F20),"##BLANK",'2O'!F20)</f>
        <v>0</v>
      </c>
    </row>
    <row r="960" spans="2:6">
      <c r="B960" s="219" t="str">
        <f>'2O'!AG20</f>
        <v>BMA4047WNK</v>
      </c>
      <c r="C960" s="219" t="s">
        <v>4993</v>
      </c>
      <c r="E960" s="249" t="s">
        <v>3641</v>
      </c>
      <c r="F960" s="255">
        <f>IF(ISBLANK('2O'!G20),"##BLANK",'2O'!G20)</f>
        <v>-0.01</v>
      </c>
    </row>
    <row r="961" spans="2:6">
      <c r="B961" s="219" t="str">
        <f>'2O'!AH20</f>
        <v>BMA4047SG</v>
      </c>
      <c r="C961" s="219" t="s">
        <v>4994</v>
      </c>
      <c r="E961" s="249" t="s">
        <v>3641</v>
      </c>
      <c r="F961" s="255">
        <f>IF(ISBLANK('2O'!H20),"##BLANK",'2O'!H20)</f>
        <v>-73.509</v>
      </c>
    </row>
    <row r="962" spans="2:6">
      <c r="B962" s="219" t="str">
        <f>'2O'!AI20</f>
        <v>BMA4047STTT</v>
      </c>
      <c r="C962" s="219" t="s">
        <v>4995</v>
      </c>
      <c r="E962" s="249" t="s">
        <v>3641</v>
      </c>
      <c r="F962" s="255">
        <f>IF(ISBLANK('2O'!I20),"##BLANK",'2O'!I20)</f>
        <v>-0.85000000000000009</v>
      </c>
    </row>
    <row r="963" spans="2:6">
      <c r="B963" s="219" t="str">
        <f>'2O'!AJ20</f>
        <v>BMA4047H</v>
      </c>
      <c r="C963" s="219" t="s">
        <v>4996</v>
      </c>
      <c r="E963" s="249" t="s">
        <v>3641</v>
      </c>
      <c r="F963" s="255">
        <f>IF(ISBLANK('2O'!J20),"##BLANK",'2O'!J20)</f>
        <v>-0.13300000000000001</v>
      </c>
    </row>
    <row r="964" spans="2:6">
      <c r="B964" s="219" t="str">
        <f>'2O'!AK20</f>
        <v>BMA4047NH</v>
      </c>
      <c r="C964" s="219" t="s">
        <v>4997</v>
      </c>
      <c r="E964" s="249" t="s">
        <v>3641</v>
      </c>
      <c r="F964" s="255">
        <f>IF(ISBLANK('2O'!K20),"##BLANK",'2O'!K20)</f>
        <v>0</v>
      </c>
    </row>
    <row r="965" spans="2:6">
      <c r="B965" s="219" t="str">
        <f>'2O'!AL20</f>
        <v>BMA4047CTOT</v>
      </c>
      <c r="C965" s="219" t="s">
        <v>4998</v>
      </c>
      <c r="E965" s="249" t="s">
        <v>3641</v>
      </c>
      <c r="F965" s="255">
        <f>IF(ISBLANK('2O'!L20),"##BLANK",'2O'!L20)</f>
        <v>-86.624999999999986</v>
      </c>
    </row>
    <row r="966" spans="2:6">
      <c r="B966" s="219" t="str">
        <f>'2O'!AE22</f>
        <v>BMA4048WR</v>
      </c>
      <c r="C966" s="219" t="s">
        <v>4999</v>
      </c>
      <c r="E966" s="249" t="s">
        <v>3641</v>
      </c>
      <c r="F966" s="255">
        <f>IF(ISBLANK('2O'!E22),"##BLANK",'2O'!E22)</f>
        <v>26.806000000000004</v>
      </c>
    </row>
    <row r="967" spans="2:6">
      <c r="B967" s="219" t="str">
        <f>'2O'!AF22</f>
        <v>BMA4048WN</v>
      </c>
      <c r="C967" s="219" t="s">
        <v>5000</v>
      </c>
      <c r="E967" s="249" t="s">
        <v>3641</v>
      </c>
      <c r="F967" s="255">
        <f>IF(ISBLANK('2O'!F22),"##BLANK",'2O'!F22)</f>
        <v>0</v>
      </c>
    </row>
    <row r="968" spans="2:6">
      <c r="B968" s="219" t="str">
        <f>'2O'!AG22</f>
        <v>BMA4048WNK</v>
      </c>
      <c r="C968" s="219" t="s">
        <v>5001</v>
      </c>
      <c r="E968" s="249" t="s">
        <v>3641</v>
      </c>
      <c r="F968" s="255">
        <f>IF(ISBLANK('2O'!G22),"##BLANK",'2O'!G22)</f>
        <v>2.1999999999999999E-2</v>
      </c>
    </row>
    <row r="969" spans="2:6">
      <c r="B969" s="219" t="str">
        <f>'2O'!AH22</f>
        <v>BMA4048SG</v>
      </c>
      <c r="C969" s="219" t="s">
        <v>5002</v>
      </c>
      <c r="E969" s="249" t="s">
        <v>3641</v>
      </c>
      <c r="F969" s="255">
        <f>IF(ISBLANK('2O'!H22),"##BLANK",'2O'!H22)</f>
        <v>25.135999999999996</v>
      </c>
    </row>
    <row r="970" spans="2:6">
      <c r="B970" s="219" t="str">
        <f>'2O'!AI22</f>
        <v>BMA4048STTT</v>
      </c>
      <c r="C970" s="219" t="s">
        <v>5003</v>
      </c>
      <c r="E970" s="249" t="s">
        <v>3641</v>
      </c>
      <c r="F970" s="255">
        <f>IF(ISBLANK('2O'!I22),"##BLANK",'2O'!I22)</f>
        <v>0.126</v>
      </c>
    </row>
    <row r="971" spans="2:6">
      <c r="B971" s="219" t="str">
        <f>'2O'!AJ22</f>
        <v>BMA4048H</v>
      </c>
      <c r="C971" s="219" t="s">
        <v>5004</v>
      </c>
      <c r="E971" s="249" t="s">
        <v>3641</v>
      </c>
      <c r="F971" s="255">
        <f>IF(ISBLANK('2O'!J22),"##BLANK",'2O'!J22)</f>
        <v>0.123</v>
      </c>
    </row>
    <row r="972" spans="2:6">
      <c r="B972" s="219" t="str">
        <f>'2O'!AK22</f>
        <v>BMA4048NH</v>
      </c>
      <c r="C972" s="219" t="s">
        <v>5005</v>
      </c>
      <c r="E972" s="249" t="s">
        <v>3641</v>
      </c>
      <c r="F972" s="255">
        <f>IF(ISBLANK('2O'!K22),"##BLANK",'2O'!K22)</f>
        <v>0</v>
      </c>
    </row>
    <row r="973" spans="2:6">
      <c r="B973" s="219" t="str">
        <f>'2O'!AL22</f>
        <v>BMA4048CTOT</v>
      </c>
      <c r="C973" s="219" t="s">
        <v>5006</v>
      </c>
      <c r="E973" s="249" t="s">
        <v>3641</v>
      </c>
      <c r="F973" s="255">
        <f>IF(ISBLANK('2O'!L22),"##BLANK",'2O'!L22)</f>
        <v>52.212999999999994</v>
      </c>
    </row>
    <row r="974" spans="2:6">
      <c r="B974" s="219" t="str">
        <f>'2O'!AE24</f>
        <v>BMA4049WR</v>
      </c>
      <c r="C974" s="219" t="s">
        <v>5007</v>
      </c>
      <c r="E974" s="249" t="s">
        <v>3641</v>
      </c>
      <c r="F974" s="255">
        <f>IF(ISBLANK('2O'!E24),"##BLANK",'2O'!E24)</f>
        <v>26.759999999999998</v>
      </c>
    </row>
    <row r="975" spans="2:6">
      <c r="B975" s="219" t="str">
        <f>'2O'!AF24</f>
        <v>BMA4049WN</v>
      </c>
      <c r="C975" s="219" t="s">
        <v>5008</v>
      </c>
      <c r="E975" s="249" t="s">
        <v>3641</v>
      </c>
      <c r="F975" s="255">
        <f>IF(ISBLANK('2O'!F24),"##BLANK",'2O'!F24)</f>
        <v>0</v>
      </c>
    </row>
    <row r="976" spans="2:6">
      <c r="B976" s="219" t="str">
        <f>'2O'!AG24</f>
        <v>BMA4049WNK</v>
      </c>
      <c r="C976" s="219" t="s">
        <v>5009</v>
      </c>
      <c r="E976" s="249" t="s">
        <v>3641</v>
      </c>
      <c r="F976" s="255">
        <f>IF(ISBLANK('2O'!G24),"##BLANK",'2O'!G24)</f>
        <v>0.02</v>
      </c>
    </row>
    <row r="977" spans="2:6">
      <c r="B977" s="219" t="str">
        <f>'2O'!AH24</f>
        <v>BMA4049SG</v>
      </c>
      <c r="C977" s="219" t="s">
        <v>5010</v>
      </c>
      <c r="E977" s="249" t="s">
        <v>3641</v>
      </c>
      <c r="F977" s="255">
        <f>IF(ISBLANK('2O'!H24),"##BLANK",'2O'!H24)</f>
        <v>24.573999999999998</v>
      </c>
    </row>
    <row r="978" spans="2:6">
      <c r="B978" s="219" t="str">
        <f>'2O'!AI24</f>
        <v>BMA4049STTT</v>
      </c>
      <c r="C978" s="219" t="s">
        <v>5011</v>
      </c>
      <c r="E978" s="249" t="s">
        <v>3641</v>
      </c>
      <c r="F978" s="255">
        <f>IF(ISBLANK('2O'!I24),"##BLANK",'2O'!I24)</f>
        <v>0.122</v>
      </c>
    </row>
    <row r="979" spans="2:6">
      <c r="B979" s="257" t="str">
        <f>'2O'!AJ24</f>
        <v>BMA4049H</v>
      </c>
      <c r="C979" s="219" t="s">
        <v>5012</v>
      </c>
      <c r="E979" s="249" t="s">
        <v>3641</v>
      </c>
      <c r="F979" s="255">
        <f>IF(ISBLANK('2O'!J24),"##BLANK",'2O'!J24)</f>
        <v>0.16300000000000001</v>
      </c>
    </row>
    <row r="980" spans="2:6">
      <c r="B980" s="219" t="str">
        <f>'2O'!AK24</f>
        <v>BMA4049NH</v>
      </c>
      <c r="C980" s="219" t="s">
        <v>5013</v>
      </c>
      <c r="E980" s="249" t="s">
        <v>3641</v>
      </c>
      <c r="F980" s="255">
        <f>IF(ISBLANK('2O'!K24),"##BLANK",'2O'!K24)</f>
        <v>0</v>
      </c>
    </row>
    <row r="981" spans="2:6">
      <c r="B981" s="219" t="str">
        <f>'2O'!AL24</f>
        <v>BMA4049CTOT</v>
      </c>
      <c r="C981" s="219" t="s">
        <v>5014</v>
      </c>
      <c r="E981" s="249" t="s">
        <v>3641</v>
      </c>
      <c r="F981" s="255">
        <f>IF(ISBLANK('2O'!L24),"##BLANK",'2O'!L24)</f>
        <v>51.638999999999996</v>
      </c>
    </row>
    <row r="982" spans="2:6">
      <c r="B982" s="219" t="str">
        <f>'2O'!AE27</f>
        <v>BMA4051WR</v>
      </c>
      <c r="C982" s="219" t="s">
        <v>5015</v>
      </c>
      <c r="E982" s="249" t="s">
        <v>3641</v>
      </c>
      <c r="F982" s="255">
        <f>IF(ISBLANK('2O'!E27),"##BLANK",'2O'!E27)</f>
        <v>-2.0859999999999999</v>
      </c>
    </row>
    <row r="983" spans="2:6">
      <c r="B983" s="219" t="str">
        <f>'2O'!AF27</f>
        <v>BMA4051WN</v>
      </c>
      <c r="C983" s="219" t="s">
        <v>5016</v>
      </c>
      <c r="E983" s="249" t="s">
        <v>3641</v>
      </c>
      <c r="F983" s="255">
        <f>IF(ISBLANK('2O'!F27),"##BLANK",'2O'!F27)</f>
        <v>0</v>
      </c>
    </row>
    <row r="984" spans="2:6">
      <c r="B984" s="219" t="str">
        <f>'2O'!AG27</f>
        <v>BMA4051WNK</v>
      </c>
      <c r="C984" s="219" t="s">
        <v>5017</v>
      </c>
      <c r="E984" s="249" t="s">
        <v>3641</v>
      </c>
      <c r="F984" s="255">
        <f>IF(ISBLANK('2O'!G27),"##BLANK",'2O'!G27)</f>
        <v>-3.0000000000000001E-3</v>
      </c>
    </row>
    <row r="985" spans="2:6">
      <c r="B985" s="219" t="str">
        <f>'2O'!AH27</f>
        <v>BMA4051SG</v>
      </c>
      <c r="C985" s="219" t="s">
        <v>5018</v>
      </c>
      <c r="E985" s="249" t="s">
        <v>3641</v>
      </c>
      <c r="F985" s="255">
        <f>IF(ISBLANK('2O'!H27),"##BLANK",'2O'!H27)</f>
        <v>-6.6109999999999998</v>
      </c>
    </row>
    <row r="986" spans="2:6">
      <c r="B986" s="219" t="str">
        <f>'2O'!AI27</f>
        <v>BMA4051STTT</v>
      </c>
      <c r="C986" s="219" t="s">
        <v>5019</v>
      </c>
      <c r="E986" s="249" t="s">
        <v>3641</v>
      </c>
      <c r="F986" s="255">
        <f>IF(ISBLANK('2O'!I27),"##BLANK",'2O'!I27)</f>
        <v>-5.5E-2</v>
      </c>
    </row>
    <row r="987" spans="2:6">
      <c r="B987" s="219" t="str">
        <f>'2O'!AJ27</f>
        <v>BMA4051H</v>
      </c>
      <c r="C987" s="219" t="s">
        <v>5020</v>
      </c>
      <c r="E987" s="249" t="s">
        <v>3641</v>
      </c>
      <c r="F987" s="255">
        <f>IF(ISBLANK('2O'!J27),"##BLANK",'2O'!J27)</f>
        <v>-4.1000000000000002E-2</v>
      </c>
    </row>
    <row r="988" spans="2:6">
      <c r="B988" s="219" t="str">
        <f>'2O'!AK27</f>
        <v>BMA4051NH</v>
      </c>
      <c r="C988" s="219" t="s">
        <v>5021</v>
      </c>
      <c r="E988" s="249" t="s">
        <v>3641</v>
      </c>
      <c r="F988" s="255">
        <f>IF(ISBLANK('2O'!K27),"##BLANK",'2O'!K27)</f>
        <v>0</v>
      </c>
    </row>
    <row r="989" spans="2:6">
      <c r="B989" s="219" t="str">
        <f>'2O'!AL27</f>
        <v>BMA4051CTOT</v>
      </c>
      <c r="C989" s="219" t="s">
        <v>5022</v>
      </c>
      <c r="E989" s="249" t="s">
        <v>3641</v>
      </c>
      <c r="F989" s="255">
        <f>IF(ISBLANK('2O'!L27),"##BLANK",'2O'!L27)</f>
        <v>-8.7959999999999994</v>
      </c>
    </row>
    <row r="990" spans="2:6">
      <c r="B990" s="219" t="str">
        <f>'2O'!AE28</f>
        <v>BMA334WR</v>
      </c>
      <c r="C990" s="219" t="s">
        <v>5023</v>
      </c>
      <c r="E990" s="249" t="s">
        <v>3641</v>
      </c>
      <c r="F990" s="255">
        <f>IF(ISBLANK('2O'!E28),"##BLANK",'2O'!E28)</f>
        <v>0</v>
      </c>
    </row>
    <row r="991" spans="2:6">
      <c r="B991" s="219" t="str">
        <f>'2O'!AF28</f>
        <v>BMA334WN</v>
      </c>
      <c r="C991" s="219" t="s">
        <v>5024</v>
      </c>
      <c r="E991" s="249" t="s">
        <v>3641</v>
      </c>
      <c r="F991" s="255">
        <f>IF(ISBLANK('2O'!F28),"##BLANK",'2O'!F28)</f>
        <v>0</v>
      </c>
    </row>
    <row r="992" spans="2:6">
      <c r="B992" s="219" t="str">
        <f>'2O'!AG28</f>
        <v>BMA334WNK</v>
      </c>
      <c r="C992" s="219" t="s">
        <v>5025</v>
      </c>
      <c r="E992" s="249" t="s">
        <v>3641</v>
      </c>
      <c r="F992" s="255">
        <f>IF(ISBLANK('2O'!G28),"##BLANK",'2O'!G28)</f>
        <v>0</v>
      </c>
    </row>
    <row r="993" spans="2:6">
      <c r="B993" s="219" t="str">
        <f>'2O'!AH28</f>
        <v>BMA334SG</v>
      </c>
      <c r="C993" s="219" t="s">
        <v>5026</v>
      </c>
      <c r="E993" s="249" t="s">
        <v>3641</v>
      </c>
      <c r="F993" s="255">
        <f>IF(ISBLANK('2O'!H28),"##BLANK",'2O'!H28)</f>
        <v>0</v>
      </c>
    </row>
    <row r="994" spans="2:6">
      <c r="B994" s="219" t="str">
        <f>'2O'!AI28</f>
        <v>BMA334STTT</v>
      </c>
      <c r="C994" s="219" t="s">
        <v>5027</v>
      </c>
      <c r="E994" s="249" t="s">
        <v>3641</v>
      </c>
      <c r="F994" s="255">
        <f>IF(ISBLANK('2O'!I28),"##BLANK",'2O'!I28)</f>
        <v>0</v>
      </c>
    </row>
    <row r="995" spans="2:6">
      <c r="B995" s="219" t="str">
        <f>'2O'!AJ28</f>
        <v>BMA334H</v>
      </c>
      <c r="C995" s="219" t="s">
        <v>5028</v>
      </c>
      <c r="E995" s="249" t="s">
        <v>3641</v>
      </c>
      <c r="F995" s="255">
        <f>IF(ISBLANK('2O'!J28),"##BLANK",'2O'!J28)</f>
        <v>0</v>
      </c>
    </row>
    <row r="996" spans="2:6">
      <c r="B996" s="219" t="str">
        <f>'2O'!AK28</f>
        <v>BMA334NH</v>
      </c>
      <c r="C996" s="219" t="s">
        <v>5029</v>
      </c>
      <c r="E996" s="249" t="s">
        <v>3641</v>
      </c>
      <c r="F996" s="255">
        <f>IF(ISBLANK('2O'!K28),"##BLANK",'2O'!K28)</f>
        <v>0</v>
      </c>
    </row>
    <row r="997" spans="2:6">
      <c r="B997" s="219" t="str">
        <f>'2O'!AL28</f>
        <v>BMA334CTOT</v>
      </c>
      <c r="C997" s="219" t="s">
        <v>5030</v>
      </c>
      <c r="E997" s="249" t="s">
        <v>3641</v>
      </c>
      <c r="F997" s="255">
        <f>IF(ISBLANK('2O'!L28),"##BLANK",'2O'!L28)</f>
        <v>0</v>
      </c>
    </row>
    <row r="998" spans="2:6">
      <c r="B998" s="219" t="str">
        <f>'2O'!AE29</f>
        <v>BMA4052WR</v>
      </c>
      <c r="C998" s="219" t="s">
        <v>5031</v>
      </c>
      <c r="E998" s="249" t="s">
        <v>3641</v>
      </c>
      <c r="F998" s="255">
        <f>IF(ISBLANK('2O'!E29),"##BLANK",'2O'!E29)</f>
        <v>-2.0859999999999999</v>
      </c>
    </row>
    <row r="999" spans="2:6">
      <c r="B999" s="219" t="str">
        <f>'2O'!AF29</f>
        <v>BMA4052WN</v>
      </c>
      <c r="C999" s="219" t="s">
        <v>5032</v>
      </c>
      <c r="E999" s="249" t="s">
        <v>3641</v>
      </c>
      <c r="F999" s="255">
        <f>IF(ISBLANK('2O'!F29),"##BLANK",'2O'!F29)</f>
        <v>0</v>
      </c>
    </row>
    <row r="1000" spans="2:6">
      <c r="B1000" s="219" t="str">
        <f>'2O'!AG29</f>
        <v>BMA4052WNK</v>
      </c>
      <c r="C1000" s="219" t="s">
        <v>5033</v>
      </c>
      <c r="E1000" s="249" t="s">
        <v>3641</v>
      </c>
      <c r="F1000" s="255">
        <f>IF(ISBLANK('2O'!G29),"##BLANK",'2O'!G29)</f>
        <v>-3.0000000000000001E-3</v>
      </c>
    </row>
    <row r="1001" spans="2:6">
      <c r="B1001" s="219" t="str">
        <f>'2O'!AH29</f>
        <v>BMA4052SG</v>
      </c>
      <c r="C1001" s="219" t="s">
        <v>5034</v>
      </c>
      <c r="E1001" s="249" t="s">
        <v>3641</v>
      </c>
      <c r="F1001" s="255">
        <f>IF(ISBLANK('2O'!H29),"##BLANK",'2O'!H29)</f>
        <v>-6.6109999999999998</v>
      </c>
    </row>
    <row r="1002" spans="2:6">
      <c r="B1002" s="219" t="str">
        <f>'2O'!AI29</f>
        <v>BMA4052STTT</v>
      </c>
      <c r="C1002" s="219" t="s">
        <v>5035</v>
      </c>
      <c r="E1002" s="249" t="s">
        <v>3641</v>
      </c>
      <c r="F1002" s="255">
        <f>IF(ISBLANK('2O'!I29),"##BLANK",'2O'!I29)</f>
        <v>-5.5E-2</v>
      </c>
    </row>
    <row r="1003" spans="2:6">
      <c r="B1003" s="219" t="str">
        <f>'2O'!AJ29</f>
        <v>BMA4052H</v>
      </c>
      <c r="C1003" s="219" t="s">
        <v>5036</v>
      </c>
      <c r="E1003" s="249" t="s">
        <v>3641</v>
      </c>
      <c r="F1003" s="255">
        <f>IF(ISBLANK('2O'!J29),"##BLANK",'2O'!J29)</f>
        <v>-4.1000000000000002E-2</v>
      </c>
    </row>
    <row r="1004" spans="2:6">
      <c r="B1004" s="219" t="str">
        <f>'2O'!AK29</f>
        <v>BMA4052NH</v>
      </c>
      <c r="C1004" s="219" t="s">
        <v>5037</v>
      </c>
      <c r="E1004" s="249" t="s">
        <v>3641</v>
      </c>
      <c r="F1004" s="255">
        <f>IF(ISBLANK('2O'!K29),"##BLANK",'2O'!K29)</f>
        <v>0</v>
      </c>
    </row>
    <row r="1005" spans="2:6">
      <c r="B1005" s="219" t="str">
        <f>'2O'!AL29</f>
        <v>BMA4052CTOT</v>
      </c>
      <c r="C1005" s="219" t="s">
        <v>5038</v>
      </c>
      <c r="E1005" s="249" t="s">
        <v>3641</v>
      </c>
      <c r="F1005" s="255">
        <f>IF(ISBLANK('2O'!L29),"##BLANK",'2O'!L29)</f>
        <v>-8.7959999999999994</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tabColor rgb="FF00B050"/>
    <pageSetUpPr fitToPage="1"/>
  </sheetPr>
  <dimension ref="A1:W107"/>
  <sheetViews>
    <sheetView showGridLines="0" topLeftCell="A25" zoomScale="70" zoomScaleNormal="70" zoomScaleSheetLayoutView="100" workbookViewId="0">
      <selection activeCell="G30" sqref="B30:G30"/>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15940</v>
      </c>
      <c r="C1" s="1229"/>
      <c r="D1" s="1229"/>
      <c r="E1" s="1229"/>
      <c r="F1" s="106"/>
      <c r="G1" s="1265"/>
      <c r="H1" s="219"/>
      <c r="I1" s="219"/>
      <c r="J1" s="219"/>
      <c r="K1" s="238"/>
      <c r="L1" s="219"/>
      <c r="M1" s="238"/>
      <c r="N1" s="219"/>
      <c r="O1" s="238"/>
      <c r="P1" s="219"/>
      <c r="Q1" s="1229" t="s">
        <v>7220</v>
      </c>
      <c r="R1" s="1229"/>
    </row>
    <row r="2" spans="1:18" ht="30.75" customHeight="1">
      <c r="A2" s="219"/>
      <c r="B2" s="1229" t="str">
        <f>SelectCompany!B4</f>
        <v>Northumbrian Water</v>
      </c>
      <c r="C2" s="529"/>
      <c r="D2" s="529"/>
      <c r="E2" s="529"/>
      <c r="F2" s="106"/>
      <c r="G2" s="1265"/>
      <c r="H2" s="219"/>
      <c r="I2" s="219"/>
      <c r="J2" s="219"/>
      <c r="K2" s="238"/>
      <c r="L2" s="219"/>
      <c r="M2" s="238"/>
      <c r="N2" s="219"/>
      <c r="O2" s="238"/>
      <c r="P2" s="219"/>
      <c r="Q2" s="1229"/>
      <c r="R2" s="529"/>
    </row>
    <row r="3" spans="1:18" ht="37.5" customHeight="1">
      <c r="A3" s="219"/>
      <c r="B3" s="2807" t="s">
        <v>15941</v>
      </c>
      <c r="C3" s="2807"/>
      <c r="D3" s="2807"/>
      <c r="E3" s="2807"/>
      <c r="F3" s="2807"/>
      <c r="G3" s="2807"/>
      <c r="H3" s="2807"/>
      <c r="I3" s="2807"/>
      <c r="J3" s="219"/>
      <c r="K3" s="238"/>
      <c r="L3" s="1240" t="s">
        <v>7222</v>
      </c>
      <c r="M3" s="238"/>
      <c r="N3" s="219"/>
      <c r="O3" s="238"/>
      <c r="P3" s="219"/>
      <c r="Q3" s="2807" t="s">
        <v>15942</v>
      </c>
      <c r="R3" s="2807"/>
    </row>
    <row r="4" spans="1:18" ht="11.25" customHeight="1" thickBot="1">
      <c r="A4" s="219"/>
      <c r="B4" s="690"/>
      <c r="C4" s="690"/>
      <c r="D4" s="690"/>
      <c r="E4" s="690"/>
      <c r="F4" s="827"/>
      <c r="G4" s="261"/>
      <c r="H4" s="219"/>
      <c r="I4" s="219"/>
      <c r="J4" s="219"/>
      <c r="K4" s="238"/>
      <c r="L4" s="219"/>
      <c r="M4" s="238"/>
      <c r="N4" s="240" t="s">
        <v>7223</v>
      </c>
      <c r="O4" s="238"/>
      <c r="P4" s="219"/>
      <c r="Q4" s="690"/>
      <c r="R4" s="690"/>
    </row>
    <row r="5" spans="1:18" ht="72.75" customHeight="1" thickTop="1" thickBot="1">
      <c r="A5" s="242"/>
      <c r="B5" s="445" t="s">
        <v>7224</v>
      </c>
      <c r="C5" s="446" t="s">
        <v>7225</v>
      </c>
      <c r="D5" s="446" t="s">
        <v>670</v>
      </c>
      <c r="E5" s="447" t="s">
        <v>15581</v>
      </c>
      <c r="F5" s="731"/>
      <c r="G5" s="449" t="s">
        <v>7229</v>
      </c>
      <c r="H5" s="242"/>
      <c r="I5" s="449" t="s">
        <v>7230</v>
      </c>
      <c r="J5" s="242"/>
      <c r="K5" s="238"/>
      <c r="L5" s="219"/>
      <c r="M5" s="238"/>
      <c r="N5" s="269" t="s">
        <v>7231</v>
      </c>
      <c r="O5" s="238"/>
      <c r="P5" s="219"/>
      <c r="Q5" s="445" t="s">
        <v>7224</v>
      </c>
      <c r="R5" s="447" t="s">
        <v>15581</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15943</v>
      </c>
      <c r="C7" s="482"/>
      <c r="D7" s="482"/>
      <c r="E7" s="482"/>
      <c r="F7" s="1242"/>
      <c r="G7" s="565"/>
      <c r="H7" s="242"/>
      <c r="I7" s="242"/>
      <c r="J7" s="242"/>
      <c r="K7" s="238"/>
      <c r="L7" s="219"/>
      <c r="M7" s="238"/>
      <c r="N7" s="219"/>
      <c r="O7" s="238"/>
      <c r="P7" s="219"/>
      <c r="Q7" s="393" t="s">
        <v>15943</v>
      </c>
      <c r="R7" s="482"/>
    </row>
    <row r="8" spans="1:18" ht="15.75" customHeight="1" thickTop="1">
      <c r="A8" s="242"/>
      <c r="B8" s="451" t="s">
        <v>15944</v>
      </c>
      <c r="C8" s="277" t="s">
        <v>15645</v>
      </c>
      <c r="D8" s="277">
        <v>0</v>
      </c>
      <c r="E8" s="1711">
        <v>42188</v>
      </c>
      <c r="F8" s="106"/>
      <c r="G8" s="791" t="s">
        <v>15945</v>
      </c>
      <c r="H8" s="242"/>
      <c r="I8" s="1231"/>
      <c r="J8" s="242"/>
      <c r="K8" s="238"/>
      <c r="L8" s="1232">
        <f t="shared" ref="L8:L37" si="0">IF( SUM( N8:N8 ) = 0, 0, $N$5 )</f>
        <v>0</v>
      </c>
      <c r="M8" s="238"/>
      <c r="N8" s="270">
        <f t="shared" ref="N8:N37" si="1" xml:space="preserve"> IF( ISNUMBER(E8 ), 0, 1 )</f>
        <v>0</v>
      </c>
      <c r="O8" s="238"/>
      <c r="P8" s="219"/>
      <c r="Q8" s="451" t="s">
        <v>15944</v>
      </c>
      <c r="R8" s="1711" t="s">
        <v>15946</v>
      </c>
    </row>
    <row r="9" spans="1:18" ht="15.75" customHeight="1">
      <c r="A9" s="242"/>
      <c r="B9" s="460" t="s">
        <v>15947</v>
      </c>
      <c r="C9" s="286" t="s">
        <v>9772</v>
      </c>
      <c r="D9" s="286">
        <v>1</v>
      </c>
      <c r="E9" s="1269">
        <v>2109.1</v>
      </c>
      <c r="F9" s="106"/>
      <c r="G9" s="795" t="s">
        <v>15948</v>
      </c>
      <c r="H9" s="242"/>
      <c r="I9" s="1233"/>
      <c r="J9" s="242"/>
      <c r="K9" s="238"/>
      <c r="L9" s="1232">
        <f t="shared" si="0"/>
        <v>0</v>
      </c>
      <c r="M9" s="238"/>
      <c r="N9" s="270">
        <f t="shared" si="1"/>
        <v>0</v>
      </c>
      <c r="O9" s="238"/>
      <c r="P9" s="219"/>
      <c r="Q9" s="460" t="s">
        <v>15947</v>
      </c>
      <c r="R9" s="1269" t="s">
        <v>15949</v>
      </c>
    </row>
    <row r="10" spans="1:18" ht="15.75" customHeight="1">
      <c r="A10" s="242"/>
      <c r="B10" s="460" t="s">
        <v>15950</v>
      </c>
      <c r="C10" s="286" t="s">
        <v>9772</v>
      </c>
      <c r="D10" s="286">
        <v>1</v>
      </c>
      <c r="E10" s="1269">
        <v>25.8</v>
      </c>
      <c r="F10" s="106"/>
      <c r="G10" s="795" t="s">
        <v>15951</v>
      </c>
      <c r="H10" s="242"/>
      <c r="I10" s="1233"/>
      <c r="J10" s="242"/>
      <c r="K10" s="238"/>
      <c r="L10" s="1232">
        <f t="shared" si="0"/>
        <v>0</v>
      </c>
      <c r="M10" s="238"/>
      <c r="N10" s="270">
        <f t="shared" si="1"/>
        <v>0</v>
      </c>
      <c r="O10" s="238"/>
      <c r="P10" s="219"/>
      <c r="Q10" s="460" t="s">
        <v>15950</v>
      </c>
      <c r="R10" s="1269" t="s">
        <v>15952</v>
      </c>
    </row>
    <row r="11" spans="1:18" ht="15.75" customHeight="1">
      <c r="A11" s="242"/>
      <c r="B11" s="460" t="s">
        <v>15953</v>
      </c>
      <c r="C11" s="286" t="s">
        <v>3132</v>
      </c>
      <c r="D11" s="286">
        <v>2</v>
      </c>
      <c r="E11" s="1234">
        <v>35.47</v>
      </c>
      <c r="F11" s="106"/>
      <c r="G11" s="803" t="s">
        <v>15954</v>
      </c>
      <c r="H11" s="242"/>
      <c r="I11" s="1233"/>
      <c r="J11" s="242"/>
      <c r="K11" s="238"/>
      <c r="L11" s="1232">
        <f t="shared" si="0"/>
        <v>0</v>
      </c>
      <c r="M11" s="238"/>
      <c r="N11" s="270">
        <f t="shared" si="1"/>
        <v>0</v>
      </c>
      <c r="O11" s="238"/>
      <c r="P11" s="219"/>
      <c r="Q11" s="460" t="s">
        <v>15953</v>
      </c>
      <c r="R11" s="1234" t="s">
        <v>15955</v>
      </c>
    </row>
    <row r="12" spans="1:18" ht="15.75" customHeight="1">
      <c r="A12" s="242"/>
      <c r="B12" s="460" t="s">
        <v>15956</v>
      </c>
      <c r="C12" s="286" t="s">
        <v>3132</v>
      </c>
      <c r="D12" s="286">
        <v>2</v>
      </c>
      <c r="E12" s="1234">
        <v>1013.5</v>
      </c>
      <c r="F12" s="106"/>
      <c r="G12" s="803" t="s">
        <v>15957</v>
      </c>
      <c r="H12" s="242"/>
      <c r="I12" s="1233"/>
      <c r="J12" s="242"/>
      <c r="K12" s="238"/>
      <c r="L12" s="1232">
        <f t="shared" si="0"/>
        <v>0</v>
      </c>
      <c r="M12" s="238"/>
      <c r="N12" s="270">
        <f t="shared" si="1"/>
        <v>0</v>
      </c>
      <c r="O12" s="238"/>
      <c r="P12" s="219"/>
      <c r="Q12" s="460" t="s">
        <v>15956</v>
      </c>
      <c r="R12" s="1234" t="s">
        <v>15958</v>
      </c>
    </row>
    <row r="13" spans="1:18" ht="15.75" customHeight="1">
      <c r="A13" s="242"/>
      <c r="B13" s="460" t="s">
        <v>15959</v>
      </c>
      <c r="C13" s="286" t="s">
        <v>3132</v>
      </c>
      <c r="D13" s="286">
        <v>2</v>
      </c>
      <c r="E13" s="1234">
        <v>300.18</v>
      </c>
      <c r="F13" s="106"/>
      <c r="G13" s="803" t="s">
        <v>15960</v>
      </c>
      <c r="H13" s="242"/>
      <c r="I13" s="1233"/>
      <c r="J13" s="242"/>
      <c r="K13" s="238"/>
      <c r="L13" s="1232">
        <f t="shared" si="0"/>
        <v>0</v>
      </c>
      <c r="M13" s="238"/>
      <c r="N13" s="270">
        <f t="shared" si="1"/>
        <v>0</v>
      </c>
      <c r="O13" s="238"/>
      <c r="P13" s="219"/>
      <c r="Q13" s="460" t="s">
        <v>15959</v>
      </c>
      <c r="R13" s="1234" t="s">
        <v>15961</v>
      </c>
    </row>
    <row r="14" spans="1:18" ht="15.75" customHeight="1">
      <c r="A14" s="242"/>
      <c r="B14" s="460" t="s">
        <v>15962</v>
      </c>
      <c r="C14" s="286" t="s">
        <v>3132</v>
      </c>
      <c r="D14" s="286">
        <v>2</v>
      </c>
      <c r="E14" s="1234">
        <v>199.89</v>
      </c>
      <c r="F14" s="106"/>
      <c r="G14" s="803" t="s">
        <v>15963</v>
      </c>
      <c r="H14" s="242"/>
      <c r="I14" s="1233"/>
      <c r="J14" s="242"/>
      <c r="K14" s="238"/>
      <c r="L14" s="1232">
        <f t="shared" si="0"/>
        <v>0</v>
      </c>
      <c r="M14" s="238"/>
      <c r="N14" s="270">
        <f t="shared" si="1"/>
        <v>0</v>
      </c>
      <c r="O14" s="238"/>
      <c r="P14" s="219"/>
      <c r="Q14" s="460" t="s">
        <v>15962</v>
      </c>
      <c r="R14" s="1234" t="s">
        <v>15964</v>
      </c>
    </row>
    <row r="15" spans="1:18" ht="15.75" customHeight="1">
      <c r="A15" s="242"/>
      <c r="B15" s="460" t="s">
        <v>15965</v>
      </c>
      <c r="C15" s="286" t="s">
        <v>15966</v>
      </c>
      <c r="D15" s="286">
        <v>3</v>
      </c>
      <c r="E15" s="1266">
        <v>0.251</v>
      </c>
      <c r="F15" s="106"/>
      <c r="G15" s="803" t="s">
        <v>15967</v>
      </c>
      <c r="H15" s="242"/>
      <c r="I15" s="1233"/>
      <c r="J15" s="242"/>
      <c r="K15" s="238"/>
      <c r="L15" s="1232">
        <f t="shared" si="0"/>
        <v>0</v>
      </c>
      <c r="M15" s="238"/>
      <c r="N15" s="270">
        <f t="shared" si="1"/>
        <v>0</v>
      </c>
      <c r="O15" s="238"/>
      <c r="P15" s="219"/>
      <c r="Q15" s="460" t="s">
        <v>15965</v>
      </c>
      <c r="R15" s="1266" t="s">
        <v>15968</v>
      </c>
    </row>
    <row r="16" spans="1:18" ht="15.75" customHeight="1">
      <c r="A16" s="242"/>
      <c r="B16" s="460" t="s">
        <v>15969</v>
      </c>
      <c r="C16" s="286" t="s">
        <v>15966</v>
      </c>
      <c r="D16" s="286">
        <v>3</v>
      </c>
      <c r="E16" s="1266">
        <v>0.28199999999999997</v>
      </c>
      <c r="F16" s="106"/>
      <c r="G16" s="803" t="s">
        <v>15970</v>
      </c>
      <c r="H16" s="242"/>
      <c r="I16" s="1233"/>
      <c r="J16" s="242"/>
      <c r="K16" s="238"/>
      <c r="L16" s="1232">
        <f t="shared" si="0"/>
        <v>0</v>
      </c>
      <c r="M16" s="238"/>
      <c r="N16" s="270">
        <f t="shared" si="1"/>
        <v>0</v>
      </c>
      <c r="O16" s="238"/>
      <c r="P16" s="219"/>
      <c r="Q16" s="460" t="s">
        <v>15969</v>
      </c>
      <c r="R16" s="1266" t="s">
        <v>15971</v>
      </c>
    </row>
    <row r="17" spans="1:18" ht="15.75" customHeight="1">
      <c r="A17" s="242"/>
      <c r="B17" s="460" t="s">
        <v>15972</v>
      </c>
      <c r="C17" s="286" t="s">
        <v>15966</v>
      </c>
      <c r="D17" s="286">
        <v>3</v>
      </c>
      <c r="E17" s="1266">
        <v>0.40200000000000002</v>
      </c>
      <c r="F17" s="106"/>
      <c r="G17" s="803" t="s">
        <v>15973</v>
      </c>
      <c r="H17" s="242"/>
      <c r="I17" s="1233"/>
      <c r="J17" s="242"/>
      <c r="K17" s="238"/>
      <c r="L17" s="1232">
        <f t="shared" si="0"/>
        <v>0</v>
      </c>
      <c r="M17" s="238"/>
      <c r="N17" s="270">
        <f t="shared" si="1"/>
        <v>0</v>
      </c>
      <c r="O17" s="238"/>
      <c r="P17" s="219"/>
      <c r="Q17" s="460" t="s">
        <v>15972</v>
      </c>
      <c r="R17" s="1266" t="s">
        <v>15974</v>
      </c>
    </row>
    <row r="18" spans="1:18" ht="32.25" customHeight="1">
      <c r="A18" s="242"/>
      <c r="B18" s="460" t="s">
        <v>15975</v>
      </c>
      <c r="C18" s="286" t="s">
        <v>15966</v>
      </c>
      <c r="D18" s="286">
        <v>3</v>
      </c>
      <c r="E18" s="1266">
        <v>6.5000000000000002E-2</v>
      </c>
      <c r="F18" s="106"/>
      <c r="G18" s="803" t="s">
        <v>15976</v>
      </c>
      <c r="H18" s="242"/>
      <c r="I18" s="1233"/>
      <c r="J18" s="242"/>
      <c r="K18" s="238"/>
      <c r="L18" s="1232">
        <f t="shared" si="0"/>
        <v>0</v>
      </c>
      <c r="M18" s="238"/>
      <c r="N18" s="270">
        <f t="shared" si="1"/>
        <v>0</v>
      </c>
      <c r="O18" s="238"/>
      <c r="P18" s="219"/>
      <c r="Q18" s="460" t="s">
        <v>15975</v>
      </c>
      <c r="R18" s="1266" t="s">
        <v>15977</v>
      </c>
    </row>
    <row r="19" spans="1:18" ht="32.25" customHeight="1">
      <c r="A19" s="242"/>
      <c r="B19" s="460" t="s">
        <v>15978</v>
      </c>
      <c r="C19" s="286" t="s">
        <v>15966</v>
      </c>
      <c r="D19" s="286">
        <v>3</v>
      </c>
      <c r="E19" s="1266">
        <v>0</v>
      </c>
      <c r="F19" s="106"/>
      <c r="G19" s="803" t="s">
        <v>15979</v>
      </c>
      <c r="H19" s="242"/>
      <c r="I19" s="1233"/>
      <c r="J19" s="242"/>
      <c r="K19" s="238"/>
      <c r="L19" s="1232">
        <f t="shared" si="0"/>
        <v>0</v>
      </c>
      <c r="M19" s="238"/>
      <c r="N19" s="270">
        <f t="shared" si="1"/>
        <v>0</v>
      </c>
      <c r="O19" s="238"/>
      <c r="P19" s="219"/>
      <c r="Q19" s="460" t="s">
        <v>15978</v>
      </c>
      <c r="R19" s="1266" t="s">
        <v>15980</v>
      </c>
    </row>
    <row r="20" spans="1:18" ht="32.25" customHeight="1">
      <c r="A20" s="242"/>
      <c r="B20" s="460" t="s">
        <v>15981</v>
      </c>
      <c r="C20" s="286" t="s">
        <v>15966</v>
      </c>
      <c r="D20" s="286">
        <v>3</v>
      </c>
      <c r="E20" s="1266">
        <v>0</v>
      </c>
      <c r="F20" s="106"/>
      <c r="G20" s="803" t="s">
        <v>15982</v>
      </c>
      <c r="H20" s="242"/>
      <c r="I20" s="1233"/>
      <c r="J20" s="242"/>
      <c r="K20" s="238"/>
      <c r="L20" s="1232">
        <f t="shared" si="0"/>
        <v>0</v>
      </c>
      <c r="M20" s="238"/>
      <c r="N20" s="270">
        <f t="shared" si="1"/>
        <v>0</v>
      </c>
      <c r="O20" s="238"/>
      <c r="P20" s="219"/>
      <c r="Q20" s="460" t="s">
        <v>15981</v>
      </c>
      <c r="R20" s="1266" t="s">
        <v>15983</v>
      </c>
    </row>
    <row r="21" spans="1:18" ht="15.75" customHeight="1">
      <c r="A21" s="242"/>
      <c r="B21" s="460" t="s">
        <v>15984</v>
      </c>
      <c r="C21" s="286" t="s">
        <v>15966</v>
      </c>
      <c r="D21" s="286">
        <v>3</v>
      </c>
      <c r="E21" s="1266">
        <v>0</v>
      </c>
      <c r="F21" s="106"/>
      <c r="G21" s="803" t="s">
        <v>15985</v>
      </c>
      <c r="H21" s="242"/>
      <c r="I21" s="1233"/>
      <c r="J21" s="242"/>
      <c r="K21" s="238"/>
      <c r="L21" s="1232">
        <f t="shared" si="0"/>
        <v>0</v>
      </c>
      <c r="M21" s="238"/>
      <c r="N21" s="270">
        <f t="shared" si="1"/>
        <v>0</v>
      </c>
      <c r="O21" s="238"/>
      <c r="P21" s="219"/>
      <c r="Q21" s="460" t="s">
        <v>15984</v>
      </c>
      <c r="R21" s="1266" t="s">
        <v>15986</v>
      </c>
    </row>
    <row r="22" spans="1:18" ht="15.75" customHeight="1">
      <c r="A22" s="242"/>
      <c r="B22" s="460" t="s">
        <v>15987</v>
      </c>
      <c r="C22" s="286" t="s">
        <v>15966</v>
      </c>
      <c r="D22" s="286">
        <v>3</v>
      </c>
      <c r="E22" s="1266">
        <v>0</v>
      </c>
      <c r="F22" s="106"/>
      <c r="G22" s="803" t="s">
        <v>15988</v>
      </c>
      <c r="H22" s="242"/>
      <c r="I22" s="1233"/>
      <c r="J22" s="242"/>
      <c r="K22" s="238"/>
      <c r="L22" s="1232">
        <f t="shared" si="0"/>
        <v>0</v>
      </c>
      <c r="M22" s="238"/>
      <c r="N22" s="270">
        <f t="shared" si="1"/>
        <v>0</v>
      </c>
      <c r="O22" s="238"/>
      <c r="P22" s="219"/>
      <c r="Q22" s="460" t="s">
        <v>15987</v>
      </c>
      <c r="R22" s="1266" t="s">
        <v>15989</v>
      </c>
    </row>
    <row r="23" spans="1:18" s="5" customFormat="1" ht="32.25" customHeight="1">
      <c r="A23" s="242"/>
      <c r="B23" s="460" t="s">
        <v>15990</v>
      </c>
      <c r="C23" s="286" t="s">
        <v>1523</v>
      </c>
      <c r="D23" s="286">
        <v>0</v>
      </c>
      <c r="E23" s="1330">
        <v>307</v>
      </c>
      <c r="F23" s="106"/>
      <c r="G23" s="803" t="s">
        <v>15991</v>
      </c>
      <c r="H23" s="242"/>
      <c r="I23" s="1233"/>
      <c r="J23" s="242"/>
      <c r="K23" s="238"/>
      <c r="L23" s="1232">
        <f t="shared" si="0"/>
        <v>0</v>
      </c>
      <c r="M23" s="238"/>
      <c r="N23" s="270">
        <f t="shared" si="1"/>
        <v>0</v>
      </c>
      <c r="O23" s="238"/>
      <c r="P23" s="742"/>
      <c r="Q23" s="460" t="s">
        <v>15990</v>
      </c>
      <c r="R23" s="1330" t="s">
        <v>15992</v>
      </c>
    </row>
    <row r="24" spans="1:18" s="5" customFormat="1" ht="32.25" customHeight="1">
      <c r="A24" s="242"/>
      <c r="B24" s="460" t="s">
        <v>15993</v>
      </c>
      <c r="C24" s="286" t="s">
        <v>1523</v>
      </c>
      <c r="D24" s="286">
        <v>0</v>
      </c>
      <c r="E24" s="1330">
        <v>29</v>
      </c>
      <c r="F24" s="106"/>
      <c r="G24" s="803" t="s">
        <v>15994</v>
      </c>
      <c r="H24" s="242"/>
      <c r="I24" s="1233"/>
      <c r="J24" s="242"/>
      <c r="K24" s="238"/>
      <c r="L24" s="1232">
        <f t="shared" si="0"/>
        <v>0</v>
      </c>
      <c r="M24" s="238"/>
      <c r="N24" s="270">
        <f t="shared" si="1"/>
        <v>0</v>
      </c>
      <c r="O24" s="238"/>
      <c r="P24" s="742"/>
      <c r="Q24" s="460" t="s">
        <v>15993</v>
      </c>
      <c r="R24" s="1330" t="s">
        <v>15995</v>
      </c>
    </row>
    <row r="25" spans="1:18" s="5" customFormat="1" ht="32.25" customHeight="1">
      <c r="A25" s="242"/>
      <c r="B25" s="460" t="s">
        <v>15996</v>
      </c>
      <c r="C25" s="286" t="s">
        <v>1523</v>
      </c>
      <c r="D25" s="286">
        <v>0</v>
      </c>
      <c r="E25" s="1330">
        <v>19</v>
      </c>
      <c r="F25" s="106"/>
      <c r="G25" s="803" t="s">
        <v>15997</v>
      </c>
      <c r="H25" s="242"/>
      <c r="I25" s="1233"/>
      <c r="J25" s="242"/>
      <c r="K25" s="238"/>
      <c r="L25" s="1232">
        <f t="shared" si="0"/>
        <v>0</v>
      </c>
      <c r="M25" s="238"/>
      <c r="N25" s="270">
        <f t="shared" si="1"/>
        <v>0</v>
      </c>
      <c r="O25" s="238"/>
      <c r="P25" s="742"/>
      <c r="Q25" s="460" t="s">
        <v>15996</v>
      </c>
      <c r="R25" s="1330" t="s">
        <v>15998</v>
      </c>
    </row>
    <row r="26" spans="1:18" s="5" customFormat="1" ht="32.25" customHeight="1">
      <c r="A26" s="242"/>
      <c r="B26" s="460" t="s">
        <v>15999</v>
      </c>
      <c r="C26" s="286" t="s">
        <v>1523</v>
      </c>
      <c r="D26" s="286">
        <v>0</v>
      </c>
      <c r="E26" s="1330">
        <v>259</v>
      </c>
      <c r="F26" s="106"/>
      <c r="G26" s="803" t="s">
        <v>16000</v>
      </c>
      <c r="H26" s="242"/>
      <c r="I26" s="1233"/>
      <c r="J26" s="242"/>
      <c r="K26" s="238"/>
      <c r="L26" s="1232">
        <f t="shared" si="0"/>
        <v>0</v>
      </c>
      <c r="M26" s="238"/>
      <c r="N26" s="270">
        <f t="shared" si="1"/>
        <v>0</v>
      </c>
      <c r="O26" s="238"/>
      <c r="P26" s="742"/>
      <c r="Q26" s="460" t="s">
        <v>15999</v>
      </c>
      <c r="R26" s="1330" t="s">
        <v>16001</v>
      </c>
    </row>
    <row r="27" spans="1:18" s="5" customFormat="1" ht="32.25" customHeight="1">
      <c r="A27" s="242"/>
      <c r="B27" s="460" t="s">
        <v>16002</v>
      </c>
      <c r="C27" s="286" t="s">
        <v>1523</v>
      </c>
      <c r="D27" s="286">
        <v>0</v>
      </c>
      <c r="E27" s="1330">
        <v>0</v>
      </c>
      <c r="F27" s="106"/>
      <c r="G27" s="803" t="s">
        <v>16003</v>
      </c>
      <c r="H27" s="242"/>
      <c r="I27" s="1233"/>
      <c r="J27" s="242"/>
      <c r="K27" s="238"/>
      <c r="L27" s="1232">
        <f t="shared" si="0"/>
        <v>0</v>
      </c>
      <c r="M27" s="238"/>
      <c r="N27" s="270">
        <f t="shared" si="1"/>
        <v>0</v>
      </c>
      <c r="O27" s="238"/>
      <c r="P27" s="742"/>
      <c r="Q27" s="460" t="s">
        <v>16002</v>
      </c>
      <c r="R27" s="1330" t="s">
        <v>16004</v>
      </c>
    </row>
    <row r="28" spans="1:18" ht="15.75" customHeight="1">
      <c r="A28" s="242"/>
      <c r="B28" s="460" t="s">
        <v>16005</v>
      </c>
      <c r="C28" s="286" t="s">
        <v>1523</v>
      </c>
      <c r="D28" s="286">
        <v>0</v>
      </c>
      <c r="E28" s="1330">
        <v>304</v>
      </c>
      <c r="F28" s="106"/>
      <c r="G28" s="803" t="s">
        <v>16006</v>
      </c>
      <c r="H28" s="242"/>
      <c r="I28" s="1233"/>
      <c r="J28" s="242"/>
      <c r="K28" s="238"/>
      <c r="L28" s="1232">
        <f t="shared" si="0"/>
        <v>0</v>
      </c>
      <c r="M28" s="238"/>
      <c r="N28" s="270">
        <f t="shared" si="1"/>
        <v>0</v>
      </c>
      <c r="O28" s="238"/>
      <c r="P28" s="219"/>
      <c r="Q28" s="460" t="s">
        <v>16005</v>
      </c>
      <c r="R28" s="1330" t="s">
        <v>16007</v>
      </c>
    </row>
    <row r="29" spans="1:18" ht="15.75" customHeight="1">
      <c r="A29" s="242"/>
      <c r="B29" s="460" t="s">
        <v>16008</v>
      </c>
      <c r="C29" s="286" t="s">
        <v>1523</v>
      </c>
      <c r="D29" s="286">
        <v>0</v>
      </c>
      <c r="E29" s="1330">
        <v>35</v>
      </c>
      <c r="F29" s="106"/>
      <c r="G29" s="803" t="s">
        <v>16009</v>
      </c>
      <c r="H29" s="242"/>
      <c r="I29" s="1233"/>
      <c r="J29" s="242"/>
      <c r="K29" s="238"/>
      <c r="L29" s="1232">
        <f t="shared" si="0"/>
        <v>0</v>
      </c>
      <c r="M29" s="238"/>
      <c r="N29" s="270">
        <f t="shared" si="1"/>
        <v>0</v>
      </c>
      <c r="O29" s="238"/>
      <c r="P29" s="219"/>
      <c r="Q29" s="460" t="s">
        <v>16008</v>
      </c>
      <c r="R29" s="1330" t="s">
        <v>16010</v>
      </c>
    </row>
    <row r="30" spans="1:18" ht="15.75" customHeight="1">
      <c r="A30" s="242"/>
      <c r="B30" s="460" t="s">
        <v>16011</v>
      </c>
      <c r="C30" s="286" t="s">
        <v>3251</v>
      </c>
      <c r="D30" s="286">
        <v>3</v>
      </c>
      <c r="E30" s="1266">
        <v>131677.12599999999</v>
      </c>
      <c r="F30" s="871"/>
      <c r="G30" s="803" t="s">
        <v>16012</v>
      </c>
      <c r="H30" s="197"/>
      <c r="I30" s="842"/>
      <c r="J30" s="197"/>
      <c r="K30" s="238"/>
      <c r="L30" s="1232">
        <f t="shared" si="0"/>
        <v>0</v>
      </c>
      <c r="M30" s="238"/>
      <c r="N30" s="270">
        <f t="shared" si="1"/>
        <v>0</v>
      </c>
      <c r="O30" s="238"/>
      <c r="P30" s="219"/>
      <c r="Q30" s="460" t="s">
        <v>16011</v>
      </c>
      <c r="R30" s="1266" t="s">
        <v>16013</v>
      </c>
    </row>
    <row r="31" spans="1:18" ht="15.75" customHeight="1">
      <c r="A31" s="242"/>
      <c r="B31" s="460" t="s">
        <v>16014</v>
      </c>
      <c r="C31" s="286" t="s">
        <v>15652</v>
      </c>
      <c r="D31" s="286">
        <v>2</v>
      </c>
      <c r="E31" s="1234">
        <v>55.09</v>
      </c>
      <c r="F31" s="106"/>
      <c r="G31" s="803" t="s">
        <v>16015</v>
      </c>
      <c r="H31" s="242"/>
      <c r="I31" s="1233"/>
      <c r="J31" s="242"/>
      <c r="K31" s="238"/>
      <c r="L31" s="1232">
        <f t="shared" si="0"/>
        <v>0</v>
      </c>
      <c r="M31" s="238"/>
      <c r="N31" s="270">
        <f t="shared" si="1"/>
        <v>0</v>
      </c>
      <c r="O31" s="238"/>
      <c r="P31" s="219"/>
      <c r="Q31" s="460" t="s">
        <v>16014</v>
      </c>
      <c r="R31" s="1234" t="s">
        <v>16016</v>
      </c>
    </row>
    <row r="32" spans="1:18" ht="15.75" customHeight="1">
      <c r="A32" s="242"/>
      <c r="B32" s="460" t="s">
        <v>16017</v>
      </c>
      <c r="C32" s="286" t="s">
        <v>1523</v>
      </c>
      <c r="D32" s="286">
        <v>0</v>
      </c>
      <c r="E32" s="1330">
        <v>4</v>
      </c>
      <c r="F32" s="106"/>
      <c r="G32" s="803" t="s">
        <v>16018</v>
      </c>
      <c r="H32" s="242"/>
      <c r="I32" s="1233"/>
      <c r="J32" s="242"/>
      <c r="K32" s="238"/>
      <c r="L32" s="1232">
        <f t="shared" si="0"/>
        <v>0</v>
      </c>
      <c r="M32" s="238"/>
      <c r="N32" s="270">
        <f t="shared" si="1"/>
        <v>0</v>
      </c>
      <c r="O32" s="238"/>
      <c r="P32" s="219"/>
      <c r="Q32" s="460" t="s">
        <v>16017</v>
      </c>
      <c r="R32" s="1330" t="s">
        <v>16019</v>
      </c>
    </row>
    <row r="33" spans="1:19" ht="15.75" customHeight="1">
      <c r="A33" s="242"/>
      <c r="B33" s="460" t="s">
        <v>16020</v>
      </c>
      <c r="C33" s="286" t="s">
        <v>3132</v>
      </c>
      <c r="D33" s="286">
        <v>2</v>
      </c>
      <c r="E33" s="1234">
        <v>0.94</v>
      </c>
      <c r="F33" s="106"/>
      <c r="G33" s="803" t="s">
        <v>16021</v>
      </c>
      <c r="H33" s="242"/>
      <c r="I33" s="1233"/>
      <c r="J33" s="242"/>
      <c r="K33" s="238"/>
      <c r="L33" s="1232">
        <f t="shared" si="0"/>
        <v>0</v>
      </c>
      <c r="M33" s="238"/>
      <c r="N33" s="270">
        <f t="shared" si="1"/>
        <v>0</v>
      </c>
      <c r="O33" s="238"/>
      <c r="P33" s="219"/>
      <c r="Q33" s="460" t="s">
        <v>16020</v>
      </c>
      <c r="R33" s="1234" t="s">
        <v>16022</v>
      </c>
    </row>
    <row r="34" spans="1:19" ht="15.75" customHeight="1">
      <c r="A34" s="242"/>
      <c r="B34" s="460" t="s">
        <v>16023</v>
      </c>
      <c r="C34" s="286" t="s">
        <v>1523</v>
      </c>
      <c r="D34" s="286">
        <v>0</v>
      </c>
      <c r="E34" s="1330">
        <v>50</v>
      </c>
      <c r="F34" s="106"/>
      <c r="G34" s="803" t="s">
        <v>16024</v>
      </c>
      <c r="H34" s="242"/>
      <c r="I34" s="1233"/>
      <c r="J34" s="242"/>
      <c r="K34" s="238"/>
      <c r="L34" s="1232">
        <f t="shared" si="0"/>
        <v>0</v>
      </c>
      <c r="M34" s="238"/>
      <c r="N34" s="270">
        <f t="shared" si="1"/>
        <v>0</v>
      </c>
      <c r="O34" s="238"/>
      <c r="P34" s="219"/>
      <c r="Q34" s="460" t="s">
        <v>16023</v>
      </c>
      <c r="R34" s="1234" t="s">
        <v>16025</v>
      </c>
    </row>
    <row r="35" spans="1:19" ht="15.75" customHeight="1">
      <c r="A35" s="242"/>
      <c r="B35" s="460" t="s">
        <v>16026</v>
      </c>
      <c r="C35" s="286" t="s">
        <v>3132</v>
      </c>
      <c r="D35" s="286">
        <v>2</v>
      </c>
      <c r="E35" s="1234">
        <v>5.46</v>
      </c>
      <c r="F35" s="106"/>
      <c r="G35" s="803" t="s">
        <v>16027</v>
      </c>
      <c r="H35" s="242"/>
      <c r="I35" s="1233"/>
      <c r="J35" s="242"/>
      <c r="K35" s="238"/>
      <c r="L35" s="1232">
        <f t="shared" si="0"/>
        <v>0</v>
      </c>
      <c r="M35" s="238"/>
      <c r="N35" s="270">
        <f t="shared" si="1"/>
        <v>0</v>
      </c>
      <c r="O35" s="238"/>
      <c r="P35" s="219"/>
      <c r="Q35" s="460" t="s">
        <v>16026</v>
      </c>
      <c r="R35" s="1234" t="s">
        <v>16028</v>
      </c>
    </row>
    <row r="36" spans="1:19" ht="15.75" customHeight="1">
      <c r="A36" s="242"/>
      <c r="B36" s="2375" t="s">
        <v>16029</v>
      </c>
      <c r="C36" s="2368" t="s">
        <v>3132</v>
      </c>
      <c r="D36" s="2368">
        <v>2</v>
      </c>
      <c r="E36" s="1234">
        <v>1343.49</v>
      </c>
      <c r="F36" s="106"/>
      <c r="G36" s="803" t="s">
        <v>16030</v>
      </c>
      <c r="H36" s="242"/>
      <c r="I36" s="1233"/>
      <c r="J36" s="242"/>
      <c r="K36" s="238"/>
      <c r="L36" s="1232">
        <f t="shared" si="0"/>
        <v>0</v>
      </c>
      <c r="M36" s="238"/>
      <c r="N36" s="270">
        <f t="shared" si="1"/>
        <v>0</v>
      </c>
      <c r="O36" s="238"/>
      <c r="P36" s="219"/>
      <c r="Q36" s="2375" t="s">
        <v>16029</v>
      </c>
      <c r="R36" s="1234" t="s">
        <v>3133</v>
      </c>
    </row>
    <row r="37" spans="1:19" ht="15.75" customHeight="1" thickBot="1">
      <c r="A37" s="242"/>
      <c r="B37" s="2420" t="s">
        <v>16031</v>
      </c>
      <c r="C37" s="2422" t="s">
        <v>3137</v>
      </c>
      <c r="D37" s="2422">
        <v>2</v>
      </c>
      <c r="E37" s="2605">
        <f>IFERROR(E36 / E48,0)</f>
        <v>1.1574725814372238</v>
      </c>
      <c r="F37" s="106"/>
      <c r="G37" s="2428" t="s">
        <v>16032</v>
      </c>
      <c r="H37" s="242"/>
      <c r="I37" s="1237"/>
      <c r="J37" s="242"/>
      <c r="K37" s="238"/>
      <c r="L37" s="1232">
        <f t="shared" si="0"/>
        <v>0</v>
      </c>
      <c r="M37" s="238"/>
      <c r="N37" s="270">
        <f t="shared" si="1"/>
        <v>0</v>
      </c>
      <c r="O37" s="238"/>
      <c r="P37" s="219"/>
      <c r="Q37" s="2420" t="s">
        <v>16031</v>
      </c>
      <c r="R37" s="1236" t="s">
        <v>3135</v>
      </c>
    </row>
    <row r="38" spans="1:19" ht="17.25" thickTop="1" thickBot="1">
      <c r="A38" s="242"/>
      <c r="B38" s="242"/>
      <c r="C38" s="242"/>
      <c r="D38" s="242"/>
      <c r="E38" s="242"/>
      <c r="F38" s="242"/>
      <c r="G38" s="436"/>
      <c r="H38" s="242"/>
      <c r="I38" s="242"/>
      <c r="J38" s="242"/>
      <c r="K38" s="238"/>
      <c r="L38" s="219"/>
      <c r="M38" s="238"/>
      <c r="N38" s="219"/>
      <c r="O38" s="238"/>
      <c r="P38" s="219"/>
      <c r="Q38" s="242"/>
      <c r="R38" s="242"/>
    </row>
    <row r="39" spans="1:19" s="2331" customFormat="1" ht="17.25" thickTop="1" thickBot="1">
      <c r="A39" s="242"/>
      <c r="B39" s="2427" t="s">
        <v>16033</v>
      </c>
      <c r="C39" s="2421"/>
      <c r="D39" s="2421"/>
      <c r="E39" s="242"/>
      <c r="F39" s="242"/>
      <c r="G39" s="436"/>
      <c r="H39" s="242"/>
      <c r="I39" s="242"/>
      <c r="J39" s="242"/>
      <c r="K39" s="238"/>
      <c r="L39" s="219"/>
      <c r="M39" s="238"/>
      <c r="N39" s="270">
        <f t="shared" ref="N39:N48" si="2" xml:space="preserve"> IF( ISNUMBER(E39 ), 0, 1 )</f>
        <v>1</v>
      </c>
      <c r="O39" s="238"/>
      <c r="P39" s="219"/>
      <c r="Q39" s="2427" t="s">
        <v>16033</v>
      </c>
      <c r="R39" s="242"/>
      <c r="S39" s="16"/>
    </row>
    <row r="40" spans="1:19" s="2331" customFormat="1" ht="16.5" thickTop="1">
      <c r="A40" s="242"/>
      <c r="B40" s="2415" t="s">
        <v>16034</v>
      </c>
      <c r="C40" s="277" t="s">
        <v>3132</v>
      </c>
      <c r="D40" s="277">
        <v>2</v>
      </c>
      <c r="E40" s="1296">
        <v>285.61</v>
      </c>
      <c r="F40" s="242"/>
      <c r="G40" s="2424" t="s">
        <v>16035</v>
      </c>
      <c r="H40" s="242"/>
      <c r="I40" s="1040"/>
      <c r="J40" s="242"/>
      <c r="K40" s="238"/>
      <c r="L40" s="1232">
        <f t="shared" ref="L40:L48" si="3">IF( SUM( N40:N40 ) = 0, 0, $N$5 )</f>
        <v>0</v>
      </c>
      <c r="M40" s="238"/>
      <c r="N40" s="270">
        <f t="shared" si="2"/>
        <v>0</v>
      </c>
      <c r="O40" s="238"/>
      <c r="P40" s="219"/>
      <c r="Q40" s="451" t="s">
        <v>16036</v>
      </c>
      <c r="R40" s="1711" t="s">
        <v>3138</v>
      </c>
      <c r="S40" s="16"/>
    </row>
    <row r="41" spans="1:19" s="2331" customFormat="1" ht="15.75">
      <c r="A41" s="16"/>
      <c r="B41" s="2375" t="s">
        <v>16037</v>
      </c>
      <c r="C41" s="286" t="s">
        <v>3132</v>
      </c>
      <c r="D41" s="286">
        <v>2</v>
      </c>
      <c r="E41" s="1234">
        <v>442.23</v>
      </c>
      <c r="F41" s="16"/>
      <c r="G41" s="2429" t="s">
        <v>16038</v>
      </c>
      <c r="H41" s="16"/>
      <c r="I41" s="1233"/>
      <c r="J41" s="16"/>
      <c r="K41" s="238"/>
      <c r="L41" s="1232">
        <f t="shared" si="3"/>
        <v>0</v>
      </c>
      <c r="M41" s="238"/>
      <c r="N41" s="270">
        <f t="shared" si="2"/>
        <v>0</v>
      </c>
      <c r="O41" s="238"/>
      <c r="P41" s="16"/>
      <c r="Q41" s="460" t="s">
        <v>16039</v>
      </c>
      <c r="R41" s="1269" t="s">
        <v>3140</v>
      </c>
      <c r="S41" s="16"/>
    </row>
    <row r="42" spans="1:19" s="2331" customFormat="1" ht="15.75">
      <c r="A42" s="16"/>
      <c r="B42" s="2375" t="s">
        <v>16040</v>
      </c>
      <c r="C42" s="286" t="s">
        <v>3132</v>
      </c>
      <c r="D42" s="286">
        <v>2</v>
      </c>
      <c r="E42" s="1234">
        <v>198.97</v>
      </c>
      <c r="F42" s="16"/>
      <c r="G42" s="2429" t="s">
        <v>16041</v>
      </c>
      <c r="H42" s="16"/>
      <c r="I42" s="1233"/>
      <c r="J42" s="16"/>
      <c r="K42" s="238"/>
      <c r="L42" s="1232">
        <f t="shared" si="3"/>
        <v>0</v>
      </c>
      <c r="M42" s="238"/>
      <c r="N42" s="270">
        <f t="shared" si="2"/>
        <v>0</v>
      </c>
      <c r="O42" s="238"/>
      <c r="P42" s="16"/>
      <c r="Q42" s="460" t="s">
        <v>16042</v>
      </c>
      <c r="R42" s="1269" t="s">
        <v>3142</v>
      </c>
      <c r="S42" s="16"/>
    </row>
    <row r="43" spans="1:19" s="2331" customFormat="1" ht="15.75">
      <c r="A43" s="16"/>
      <c r="B43" s="2375" t="s">
        <v>16043</v>
      </c>
      <c r="C43" s="286" t="s">
        <v>3132</v>
      </c>
      <c r="D43" s="286">
        <v>2</v>
      </c>
      <c r="E43" s="1234">
        <v>6.04</v>
      </c>
      <c r="F43" s="16"/>
      <c r="G43" s="2429" t="s">
        <v>16044</v>
      </c>
      <c r="H43" s="16"/>
      <c r="I43" s="842"/>
      <c r="J43" s="16"/>
      <c r="K43" s="238"/>
      <c r="L43" s="1232">
        <f t="shared" si="3"/>
        <v>0</v>
      </c>
      <c r="M43" s="238"/>
      <c r="N43" s="270">
        <f t="shared" si="2"/>
        <v>0</v>
      </c>
      <c r="O43" s="238"/>
      <c r="P43" s="16"/>
      <c r="Q43" s="460" t="s">
        <v>16045</v>
      </c>
      <c r="R43" s="1234" t="s">
        <v>3144</v>
      </c>
      <c r="S43" s="16"/>
    </row>
    <row r="44" spans="1:19" s="2331" customFormat="1" ht="15.75">
      <c r="A44" s="16"/>
      <c r="B44" s="460" t="s">
        <v>16046</v>
      </c>
      <c r="C44" s="286" t="s">
        <v>3132</v>
      </c>
      <c r="D44" s="286">
        <v>2</v>
      </c>
      <c r="E44" s="1234">
        <v>174.43</v>
      </c>
      <c r="F44" s="106"/>
      <c r="G44" s="2429" t="s">
        <v>16047</v>
      </c>
      <c r="H44" s="242"/>
      <c r="I44" s="1233"/>
      <c r="J44" s="242"/>
      <c r="K44" s="238"/>
      <c r="L44" s="1232">
        <f t="shared" si="3"/>
        <v>0</v>
      </c>
      <c r="M44" s="238"/>
      <c r="N44" s="270">
        <f t="shared" si="2"/>
        <v>0</v>
      </c>
      <c r="O44" s="238"/>
      <c r="P44" s="219"/>
      <c r="Q44" s="460" t="s">
        <v>16046</v>
      </c>
      <c r="R44" s="1234" t="s">
        <v>16048</v>
      </c>
      <c r="S44" s="16"/>
    </row>
    <row r="45" spans="1:19" s="2331" customFormat="1" ht="15.75">
      <c r="A45" s="16"/>
      <c r="B45" s="460" t="s">
        <v>16049</v>
      </c>
      <c r="C45" s="286" t="s">
        <v>3132</v>
      </c>
      <c r="D45" s="286">
        <v>2</v>
      </c>
      <c r="E45" s="1234">
        <v>4.7300000000000004</v>
      </c>
      <c r="F45" s="16"/>
      <c r="G45" s="2429" t="s">
        <v>16050</v>
      </c>
      <c r="H45" s="16"/>
      <c r="I45" s="1233"/>
      <c r="J45" s="16"/>
      <c r="K45" s="238"/>
      <c r="L45" s="1232">
        <f t="shared" si="3"/>
        <v>0</v>
      </c>
      <c r="M45" s="238"/>
      <c r="N45" s="270">
        <f t="shared" si="2"/>
        <v>0</v>
      </c>
      <c r="O45" s="238"/>
      <c r="P45" s="16"/>
      <c r="Q45" s="460" t="s">
        <v>16049</v>
      </c>
      <c r="R45" s="1234" t="s">
        <v>3146</v>
      </c>
      <c r="S45" s="16"/>
    </row>
    <row r="46" spans="1:19" s="2331" customFormat="1" ht="15.75">
      <c r="A46" s="16"/>
      <c r="B46" s="460" t="s">
        <v>16051</v>
      </c>
      <c r="C46" s="286" t="s">
        <v>3132</v>
      </c>
      <c r="D46" s="286">
        <v>2</v>
      </c>
      <c r="E46" s="1234">
        <v>37.65</v>
      </c>
      <c r="F46" s="106"/>
      <c r="G46" s="2429" t="s">
        <v>16052</v>
      </c>
      <c r="H46" s="242"/>
      <c r="I46" s="1233"/>
      <c r="J46" s="242"/>
      <c r="K46" s="238"/>
      <c r="L46" s="1232">
        <f t="shared" si="3"/>
        <v>0</v>
      </c>
      <c r="M46" s="238"/>
      <c r="N46" s="270">
        <f t="shared" si="2"/>
        <v>0</v>
      </c>
      <c r="O46" s="238"/>
      <c r="P46" s="219"/>
      <c r="Q46" s="460" t="s">
        <v>16051</v>
      </c>
      <c r="R46" s="1234" t="s">
        <v>3148</v>
      </c>
      <c r="S46" s="16"/>
    </row>
    <row r="47" spans="1:19" s="2331" customFormat="1" ht="15.75">
      <c r="A47" s="16"/>
      <c r="B47" s="460" t="s">
        <v>16053</v>
      </c>
      <c r="C47" s="286" t="s">
        <v>3132</v>
      </c>
      <c r="D47" s="286">
        <v>2</v>
      </c>
      <c r="E47" s="1266">
        <v>1149.67</v>
      </c>
      <c r="F47" s="106"/>
      <c r="G47" s="2429" t="s">
        <v>16054</v>
      </c>
      <c r="H47" s="242"/>
      <c r="I47" s="1233"/>
      <c r="J47" s="242"/>
      <c r="K47" s="238"/>
      <c r="L47" s="1232">
        <f t="shared" si="3"/>
        <v>0</v>
      </c>
      <c r="M47" s="238"/>
      <c r="N47" s="270">
        <f t="shared" si="2"/>
        <v>0</v>
      </c>
      <c r="O47" s="238"/>
      <c r="P47" s="219"/>
      <c r="Q47" s="460" t="s">
        <v>16053</v>
      </c>
      <c r="R47" s="1266" t="s">
        <v>3150</v>
      </c>
      <c r="S47" s="16"/>
    </row>
    <row r="48" spans="1:19" s="2331" customFormat="1" ht="16.5" thickBot="1">
      <c r="A48" s="16"/>
      <c r="B48" s="463" t="s">
        <v>16055</v>
      </c>
      <c r="C48" s="355" t="s">
        <v>3132</v>
      </c>
      <c r="D48" s="355">
        <v>2</v>
      </c>
      <c r="E48" s="2426">
        <v>1160.71</v>
      </c>
      <c r="F48" s="16"/>
      <c r="G48" s="2428" t="s">
        <v>16056</v>
      </c>
      <c r="H48" s="16"/>
      <c r="I48" s="1237"/>
      <c r="J48" s="16"/>
      <c r="K48" s="238"/>
      <c r="L48" s="1232">
        <f t="shared" si="3"/>
        <v>0</v>
      </c>
      <c r="M48" s="238"/>
      <c r="N48" s="270">
        <f t="shared" si="2"/>
        <v>0</v>
      </c>
      <c r="O48" s="238"/>
      <c r="P48" s="16"/>
      <c r="Q48" s="463" t="s">
        <v>16055</v>
      </c>
      <c r="R48" s="2426" t="s">
        <v>3152</v>
      </c>
      <c r="S48" s="16"/>
    </row>
    <row r="49" spans="1:19" s="2331" customFormat="1" ht="16.5" thickTop="1" thickBot="1">
      <c r="A49" s="16"/>
      <c r="B49" s="2423"/>
      <c r="C49" s="2423"/>
      <c r="D49" s="2423"/>
      <c r="E49" s="16"/>
      <c r="F49" s="16"/>
      <c r="G49" s="2430"/>
      <c r="H49" s="16"/>
      <c r="I49" s="16"/>
      <c r="J49" s="16"/>
      <c r="K49" s="238"/>
      <c r="L49" s="16"/>
      <c r="M49" s="238"/>
      <c r="N49" s="16"/>
      <c r="O49" s="238"/>
      <c r="P49" s="16"/>
      <c r="Q49" s="2423"/>
      <c r="R49" s="16"/>
      <c r="S49" s="16"/>
    </row>
    <row r="50" spans="1:19" s="2331" customFormat="1" ht="17.25" thickTop="1" thickBot="1">
      <c r="A50" s="16"/>
      <c r="B50" s="2427" t="s">
        <v>16057</v>
      </c>
      <c r="C50" s="2421"/>
      <c r="D50" s="2421"/>
      <c r="E50" s="242"/>
      <c r="F50" s="242"/>
      <c r="G50" s="436"/>
      <c r="H50" s="242"/>
      <c r="I50" s="242"/>
      <c r="J50" s="242"/>
      <c r="K50" s="238"/>
      <c r="L50" s="219"/>
      <c r="M50" s="238"/>
      <c r="N50" s="219"/>
      <c r="O50" s="238"/>
      <c r="P50" s="219"/>
      <c r="Q50" s="2427" t="s">
        <v>16058</v>
      </c>
      <c r="R50" s="242"/>
      <c r="S50" s="16"/>
    </row>
    <row r="51" spans="1:19" s="2331" customFormat="1" ht="16.5" thickTop="1">
      <c r="A51" s="16"/>
      <c r="B51" s="2415" t="s">
        <v>16034</v>
      </c>
      <c r="C51" s="277" t="s">
        <v>3132</v>
      </c>
      <c r="D51" s="277">
        <v>2</v>
      </c>
      <c r="E51" s="1296">
        <v>123.89</v>
      </c>
      <c r="F51" s="242"/>
      <c r="G51" s="2424" t="s">
        <v>16059</v>
      </c>
      <c r="H51" s="242"/>
      <c r="I51" s="1040"/>
      <c r="J51" s="242"/>
      <c r="K51" s="238"/>
      <c r="L51" s="1232">
        <f>IF( SUM( N51:N51 ) = 0, 0, $N$5 )</f>
        <v>0</v>
      </c>
      <c r="M51" s="238"/>
      <c r="N51" s="270">
        <f t="shared" ref="N51:N59" si="4" xml:space="preserve"> IF( ISNUMBER(E51 ), 0, 1 )</f>
        <v>0</v>
      </c>
      <c r="O51" s="238"/>
      <c r="P51" s="219"/>
      <c r="Q51" s="451" t="s">
        <v>16036</v>
      </c>
      <c r="R51" s="1711" t="s">
        <v>3154</v>
      </c>
      <c r="S51" s="16"/>
    </row>
    <row r="52" spans="1:19" s="2331" customFormat="1" ht="15.75">
      <c r="A52" s="16"/>
      <c r="B52" s="2375" t="s">
        <v>16037</v>
      </c>
      <c r="C52" s="286" t="s">
        <v>3132</v>
      </c>
      <c r="D52" s="286">
        <v>2</v>
      </c>
      <c r="E52" s="1234">
        <v>285.82</v>
      </c>
      <c r="F52" s="16"/>
      <c r="G52" s="2429" t="s">
        <v>16060</v>
      </c>
      <c r="H52" s="16"/>
      <c r="I52" s="1233"/>
      <c r="J52" s="16"/>
      <c r="K52" s="238"/>
      <c r="L52" s="1232">
        <f t="shared" ref="L52:L59" si="5">IF( SUM( N52:N52 ) = 0, 0, $N$5 )</f>
        <v>0</v>
      </c>
      <c r="M52" s="238"/>
      <c r="N52" s="270">
        <f t="shared" si="4"/>
        <v>0</v>
      </c>
      <c r="O52" s="238"/>
      <c r="P52" s="16"/>
      <c r="Q52" s="460" t="s">
        <v>16039</v>
      </c>
      <c r="R52" s="1269" t="s">
        <v>3156</v>
      </c>
      <c r="S52" s="16"/>
    </row>
    <row r="53" spans="1:19" s="2331" customFormat="1" ht="15.75">
      <c r="A53" s="16"/>
      <c r="B53" s="2375" t="s">
        <v>16040</v>
      </c>
      <c r="C53" s="286" t="s">
        <v>3132</v>
      </c>
      <c r="D53" s="286">
        <v>2</v>
      </c>
      <c r="E53" s="1234">
        <v>127.93</v>
      </c>
      <c r="F53" s="16"/>
      <c r="G53" s="2429" t="s">
        <v>16061</v>
      </c>
      <c r="H53" s="16"/>
      <c r="I53" s="1233"/>
      <c r="J53" s="16"/>
      <c r="K53" s="238"/>
      <c r="L53" s="1232">
        <f t="shared" si="5"/>
        <v>0</v>
      </c>
      <c r="M53" s="238"/>
      <c r="N53" s="270">
        <f t="shared" si="4"/>
        <v>0</v>
      </c>
      <c r="O53" s="238"/>
      <c r="P53" s="16"/>
      <c r="Q53" s="460" t="s">
        <v>16042</v>
      </c>
      <c r="R53" s="1269" t="s">
        <v>3158</v>
      </c>
      <c r="S53" s="16"/>
    </row>
    <row r="54" spans="1:19" s="2331" customFormat="1" ht="15.75">
      <c r="A54" s="16"/>
      <c r="B54" s="2375" t="s">
        <v>16043</v>
      </c>
      <c r="C54" s="286" t="s">
        <v>3132</v>
      </c>
      <c r="D54" s="286">
        <v>2</v>
      </c>
      <c r="E54" s="1234">
        <v>4.67</v>
      </c>
      <c r="F54" s="16"/>
      <c r="G54" s="2429" t="s">
        <v>16062</v>
      </c>
      <c r="H54" s="16"/>
      <c r="I54" s="842"/>
      <c r="J54" s="16"/>
      <c r="K54" s="238"/>
      <c r="L54" s="1232">
        <f t="shared" si="5"/>
        <v>0</v>
      </c>
      <c r="M54" s="238"/>
      <c r="N54" s="270">
        <f t="shared" si="4"/>
        <v>0</v>
      </c>
      <c r="O54" s="238"/>
      <c r="P54" s="16"/>
      <c r="Q54" s="460" t="s">
        <v>16045</v>
      </c>
      <c r="R54" s="1234" t="s">
        <v>3160</v>
      </c>
      <c r="S54" s="16"/>
    </row>
    <row r="55" spans="1:19" s="2331" customFormat="1" ht="15.75">
      <c r="A55" s="16"/>
      <c r="B55" s="460" t="s">
        <v>16046</v>
      </c>
      <c r="C55" s="286" t="s">
        <v>3132</v>
      </c>
      <c r="D55" s="286">
        <v>2</v>
      </c>
      <c r="E55" s="1234">
        <v>118.82</v>
      </c>
      <c r="F55" s="106"/>
      <c r="G55" s="2429" t="s">
        <v>16063</v>
      </c>
      <c r="H55" s="242"/>
      <c r="I55" s="1233"/>
      <c r="J55" s="242"/>
      <c r="K55" s="238"/>
      <c r="L55" s="1232">
        <f t="shared" si="5"/>
        <v>0</v>
      </c>
      <c r="M55" s="238"/>
      <c r="N55" s="270">
        <f t="shared" si="4"/>
        <v>0</v>
      </c>
      <c r="O55" s="238"/>
      <c r="P55" s="219"/>
      <c r="Q55" s="460" t="s">
        <v>16046</v>
      </c>
      <c r="R55" s="1234" t="s">
        <v>3162</v>
      </c>
      <c r="S55" s="16"/>
    </row>
    <row r="56" spans="1:19" s="2331" customFormat="1" ht="15.75">
      <c r="A56" s="16"/>
      <c r="B56" s="460" t="s">
        <v>16049</v>
      </c>
      <c r="C56" s="286" t="s">
        <v>3132</v>
      </c>
      <c r="D56" s="286">
        <v>2</v>
      </c>
      <c r="E56" s="1234">
        <v>1.06</v>
      </c>
      <c r="F56" s="16"/>
      <c r="G56" s="2429" t="s">
        <v>16064</v>
      </c>
      <c r="H56" s="16"/>
      <c r="I56" s="1233"/>
      <c r="J56" s="16"/>
      <c r="K56" s="238"/>
      <c r="L56" s="1232">
        <f t="shared" si="5"/>
        <v>0</v>
      </c>
      <c r="M56" s="238"/>
      <c r="N56" s="270">
        <f t="shared" si="4"/>
        <v>0</v>
      </c>
      <c r="O56" s="238"/>
      <c r="P56" s="16"/>
      <c r="Q56" s="460" t="s">
        <v>16049</v>
      </c>
      <c r="R56" s="1234" t="s">
        <v>3164</v>
      </c>
      <c r="S56" s="16"/>
    </row>
    <row r="57" spans="1:19" s="2331" customFormat="1" ht="15.75">
      <c r="A57" s="16"/>
      <c r="B57" s="460" t="s">
        <v>16051</v>
      </c>
      <c r="C57" s="286" t="s">
        <v>3132</v>
      </c>
      <c r="D57" s="286">
        <v>2</v>
      </c>
      <c r="E57" s="1234">
        <v>26.83</v>
      </c>
      <c r="F57" s="106"/>
      <c r="G57" s="2429" t="s">
        <v>16065</v>
      </c>
      <c r="H57" s="242"/>
      <c r="I57" s="1233"/>
      <c r="J57" s="242"/>
      <c r="K57" s="238"/>
      <c r="L57" s="1232">
        <f t="shared" si="5"/>
        <v>0</v>
      </c>
      <c r="M57" s="238"/>
      <c r="N57" s="270">
        <f t="shared" si="4"/>
        <v>0</v>
      </c>
      <c r="O57" s="238"/>
      <c r="P57" s="219"/>
      <c r="Q57" s="460" t="s">
        <v>16051</v>
      </c>
      <c r="R57" s="1234" t="s">
        <v>3166</v>
      </c>
      <c r="S57" s="16"/>
    </row>
    <row r="58" spans="1:19" s="2331" customFormat="1" ht="15.75">
      <c r="A58" s="16"/>
      <c r="B58" s="460" t="s">
        <v>16053</v>
      </c>
      <c r="C58" s="286" t="s">
        <v>3132</v>
      </c>
      <c r="D58" s="286">
        <v>2</v>
      </c>
      <c r="E58" s="1234">
        <v>689.02</v>
      </c>
      <c r="F58" s="106"/>
      <c r="G58" s="2429" t="s">
        <v>16066</v>
      </c>
      <c r="H58" s="242"/>
      <c r="I58" s="1233"/>
      <c r="J58" s="242"/>
      <c r="K58" s="238"/>
      <c r="L58" s="1232">
        <f t="shared" si="5"/>
        <v>0</v>
      </c>
      <c r="M58" s="238"/>
      <c r="N58" s="270">
        <f t="shared" si="4"/>
        <v>0</v>
      </c>
      <c r="O58" s="238"/>
      <c r="P58" s="219"/>
      <c r="Q58" s="460" t="s">
        <v>16053</v>
      </c>
      <c r="R58" s="1266" t="s">
        <v>3168</v>
      </c>
      <c r="S58" s="16"/>
    </row>
    <row r="59" spans="1:19" s="2331" customFormat="1" ht="16.5" thickBot="1">
      <c r="A59" s="16"/>
      <c r="B59" s="463" t="s">
        <v>16055</v>
      </c>
      <c r="C59" s="355" t="s">
        <v>3132</v>
      </c>
      <c r="D59" s="355">
        <v>2</v>
      </c>
      <c r="E59" s="1236">
        <v>696.75</v>
      </c>
      <c r="F59" s="16"/>
      <c r="G59" s="2428" t="s">
        <v>16067</v>
      </c>
      <c r="H59" s="16"/>
      <c r="I59" s="1237"/>
      <c r="J59" s="16"/>
      <c r="K59" s="238"/>
      <c r="L59" s="1232">
        <f t="shared" si="5"/>
        <v>0</v>
      </c>
      <c r="M59" s="238"/>
      <c r="N59" s="270">
        <f t="shared" si="4"/>
        <v>0</v>
      </c>
      <c r="O59" s="238"/>
      <c r="P59" s="16"/>
      <c r="Q59" s="463" t="s">
        <v>16055</v>
      </c>
      <c r="R59" s="2426" t="s">
        <v>3170</v>
      </c>
      <c r="S59" s="16"/>
    </row>
    <row r="60" spans="1:19" s="2331" customFormat="1" ht="16.5" thickTop="1" thickBot="1">
      <c r="A60" s="16"/>
      <c r="B60" s="2423"/>
      <c r="C60" s="2423"/>
      <c r="D60" s="2423"/>
      <c r="E60" s="16"/>
      <c r="F60" s="16"/>
      <c r="G60" s="2430"/>
      <c r="H60" s="16"/>
      <c r="I60" s="16"/>
      <c r="J60" s="16"/>
      <c r="K60" s="238"/>
      <c r="L60" s="16"/>
      <c r="M60" s="238"/>
      <c r="N60" s="16"/>
      <c r="O60" s="238"/>
      <c r="P60" s="16"/>
      <c r="Q60" s="2423"/>
      <c r="R60" s="16"/>
      <c r="S60" s="16"/>
    </row>
    <row r="61" spans="1:19" s="2331" customFormat="1" ht="17.25" thickTop="1" thickBot="1">
      <c r="A61" s="16"/>
      <c r="B61" s="2427" t="s">
        <v>16068</v>
      </c>
      <c r="C61" s="2421"/>
      <c r="D61" s="2421"/>
      <c r="E61" s="242"/>
      <c r="F61" s="242"/>
      <c r="G61" s="436"/>
      <c r="H61" s="242"/>
      <c r="I61" s="242"/>
      <c r="J61" s="242"/>
      <c r="K61" s="238"/>
      <c r="L61" s="16"/>
      <c r="M61" s="238"/>
      <c r="N61" s="219"/>
      <c r="O61" s="238"/>
      <c r="P61" s="219"/>
      <c r="Q61" s="2427" t="s">
        <v>16069</v>
      </c>
      <c r="R61" s="242"/>
      <c r="S61" s="16"/>
    </row>
    <row r="62" spans="1:19" s="2331" customFormat="1" ht="16.5" thickTop="1">
      <c r="A62" s="16"/>
      <c r="B62" s="2415" t="s">
        <v>16034</v>
      </c>
      <c r="C62" s="277" t="s">
        <v>3132</v>
      </c>
      <c r="D62" s="277">
        <v>2</v>
      </c>
      <c r="E62" s="1296">
        <v>161.72999999999999</v>
      </c>
      <c r="F62" s="242"/>
      <c r="G62" s="2424" t="s">
        <v>16070</v>
      </c>
      <c r="H62" s="242"/>
      <c r="I62" s="1040"/>
      <c r="J62" s="242"/>
      <c r="K62" s="238"/>
      <c r="L62" s="1232">
        <f>IF( SUM( N62:N62 ) = 0, 0, $N$5 )</f>
        <v>0</v>
      </c>
      <c r="M62" s="238"/>
      <c r="N62" s="270">
        <f t="shared" ref="N62:N70" si="6" xml:space="preserve"> IF( ISNUMBER(E62 ), 0, 1 )</f>
        <v>0</v>
      </c>
      <c r="O62" s="238"/>
      <c r="P62" s="219"/>
      <c r="Q62" s="451" t="s">
        <v>16036</v>
      </c>
      <c r="R62" s="1711" t="s">
        <v>3172</v>
      </c>
      <c r="S62" s="16"/>
    </row>
    <row r="63" spans="1:19" s="2331" customFormat="1" ht="15.75">
      <c r="A63" s="16"/>
      <c r="B63" s="2375" t="s">
        <v>16037</v>
      </c>
      <c r="C63" s="286" t="s">
        <v>3132</v>
      </c>
      <c r="D63" s="286">
        <v>2</v>
      </c>
      <c r="E63" s="1234">
        <v>156.41</v>
      </c>
      <c r="F63" s="16"/>
      <c r="G63" s="2429" t="s">
        <v>16071</v>
      </c>
      <c r="H63" s="16"/>
      <c r="I63" s="1233"/>
      <c r="J63" s="16"/>
      <c r="K63" s="238"/>
      <c r="L63" s="1232">
        <f t="shared" ref="L63:L70" si="7">IF( SUM( N63:N63 ) = 0, 0, $N$5 )</f>
        <v>0</v>
      </c>
      <c r="M63" s="238"/>
      <c r="N63" s="270">
        <f t="shared" si="6"/>
        <v>0</v>
      </c>
      <c r="O63" s="238"/>
      <c r="P63" s="16"/>
      <c r="Q63" s="460" t="s">
        <v>16039</v>
      </c>
      <c r="R63" s="1269" t="s">
        <v>3174</v>
      </c>
      <c r="S63" s="16"/>
    </row>
    <row r="64" spans="1:19" s="2331" customFormat="1" ht="15.75">
      <c r="A64" s="16"/>
      <c r="B64" s="2375" t="s">
        <v>16040</v>
      </c>
      <c r="C64" s="286" t="s">
        <v>3132</v>
      </c>
      <c r="D64" s="286">
        <v>2</v>
      </c>
      <c r="E64" s="1234">
        <v>71.040000000000006</v>
      </c>
      <c r="F64" s="16"/>
      <c r="G64" s="2429" t="s">
        <v>16072</v>
      </c>
      <c r="H64" s="16"/>
      <c r="I64" s="1233"/>
      <c r="J64" s="16"/>
      <c r="K64" s="238"/>
      <c r="L64" s="1232">
        <f t="shared" si="7"/>
        <v>0</v>
      </c>
      <c r="M64" s="238"/>
      <c r="N64" s="270">
        <f t="shared" si="6"/>
        <v>0</v>
      </c>
      <c r="O64" s="238"/>
      <c r="P64" s="16"/>
      <c r="Q64" s="460" t="s">
        <v>16042</v>
      </c>
      <c r="R64" s="1269" t="s">
        <v>3176</v>
      </c>
      <c r="S64" s="16"/>
    </row>
    <row r="65" spans="1:19" s="2331" customFormat="1" ht="15.75">
      <c r="A65" s="16"/>
      <c r="B65" s="2375" t="s">
        <v>16043</v>
      </c>
      <c r="C65" s="286" t="s">
        <v>3132</v>
      </c>
      <c r="D65" s="286">
        <v>2</v>
      </c>
      <c r="E65" s="1234">
        <v>1.37</v>
      </c>
      <c r="F65" s="16"/>
      <c r="G65" s="2429" t="s">
        <v>16073</v>
      </c>
      <c r="H65" s="16"/>
      <c r="I65" s="842"/>
      <c r="J65" s="16"/>
      <c r="K65" s="238"/>
      <c r="L65" s="1232">
        <f t="shared" si="7"/>
        <v>0</v>
      </c>
      <c r="M65" s="238"/>
      <c r="N65" s="270">
        <f t="shared" si="6"/>
        <v>0</v>
      </c>
      <c r="O65" s="238"/>
      <c r="P65" s="16"/>
      <c r="Q65" s="460" t="s">
        <v>16045</v>
      </c>
      <c r="R65" s="1234" t="s">
        <v>3178</v>
      </c>
      <c r="S65" s="16"/>
    </row>
    <row r="66" spans="1:19" s="2331" customFormat="1" ht="15.75">
      <c r="A66" s="16"/>
      <c r="B66" s="460" t="s">
        <v>16046</v>
      </c>
      <c r="C66" s="286" t="s">
        <v>3132</v>
      </c>
      <c r="D66" s="286">
        <v>2</v>
      </c>
      <c r="E66" s="1234">
        <v>55.62</v>
      </c>
      <c r="F66" s="106"/>
      <c r="G66" s="2429" t="s">
        <v>16074</v>
      </c>
      <c r="H66" s="242"/>
      <c r="I66" s="1233"/>
      <c r="J66" s="242"/>
      <c r="K66" s="238"/>
      <c r="L66" s="1232">
        <f t="shared" si="7"/>
        <v>0</v>
      </c>
      <c r="M66" s="238"/>
      <c r="N66" s="270">
        <f t="shared" si="6"/>
        <v>0</v>
      </c>
      <c r="O66" s="238"/>
      <c r="P66" s="219"/>
      <c r="Q66" s="460" t="s">
        <v>16046</v>
      </c>
      <c r="R66" s="1234" t="s">
        <v>3180</v>
      </c>
      <c r="S66" s="16"/>
    </row>
    <row r="67" spans="1:19" s="2331" customFormat="1" ht="15.75">
      <c r="A67" s="16"/>
      <c r="B67" s="460" t="s">
        <v>16049</v>
      </c>
      <c r="C67" s="286" t="s">
        <v>3132</v>
      </c>
      <c r="D67" s="286">
        <v>2</v>
      </c>
      <c r="E67" s="1234">
        <v>3.67</v>
      </c>
      <c r="F67" s="16"/>
      <c r="G67" s="2429" t="s">
        <v>16075</v>
      </c>
      <c r="H67" s="16"/>
      <c r="I67" s="1233"/>
      <c r="J67" s="16"/>
      <c r="K67" s="238"/>
      <c r="L67" s="1232">
        <f t="shared" si="7"/>
        <v>0</v>
      </c>
      <c r="M67" s="238"/>
      <c r="N67" s="270">
        <f t="shared" si="6"/>
        <v>0</v>
      </c>
      <c r="O67" s="238"/>
      <c r="P67" s="16"/>
      <c r="Q67" s="460" t="s">
        <v>16049</v>
      </c>
      <c r="R67" s="1234" t="s">
        <v>3182</v>
      </c>
      <c r="S67" s="16"/>
    </row>
    <row r="68" spans="1:19" s="2331" customFormat="1" ht="15.75">
      <c r="A68" s="16"/>
      <c r="B68" s="460" t="s">
        <v>16051</v>
      </c>
      <c r="C68" s="286" t="s">
        <v>3132</v>
      </c>
      <c r="D68" s="286">
        <v>2</v>
      </c>
      <c r="E68" s="1234">
        <v>10.82</v>
      </c>
      <c r="F68" s="106"/>
      <c r="G68" s="2429" t="s">
        <v>16076</v>
      </c>
      <c r="H68" s="242"/>
      <c r="I68" s="1233"/>
      <c r="J68" s="242"/>
      <c r="K68" s="238"/>
      <c r="L68" s="1232">
        <f t="shared" si="7"/>
        <v>0</v>
      </c>
      <c r="M68" s="238"/>
      <c r="N68" s="270">
        <f t="shared" si="6"/>
        <v>0</v>
      </c>
      <c r="O68" s="238"/>
      <c r="P68" s="219"/>
      <c r="Q68" s="460" t="s">
        <v>16051</v>
      </c>
      <c r="R68" s="1234" t="s">
        <v>3184</v>
      </c>
      <c r="S68" s="16"/>
    </row>
    <row r="69" spans="1:19" s="2331" customFormat="1" ht="15.75">
      <c r="A69" s="16"/>
      <c r="B69" s="460" t="s">
        <v>16053</v>
      </c>
      <c r="C69" s="286" t="s">
        <v>3132</v>
      </c>
      <c r="D69" s="286">
        <v>2</v>
      </c>
      <c r="E69" s="1234">
        <v>460.65</v>
      </c>
      <c r="F69" s="106"/>
      <c r="G69" s="2429" t="s">
        <v>16077</v>
      </c>
      <c r="H69" s="242"/>
      <c r="I69" s="1233"/>
      <c r="J69" s="242"/>
      <c r="K69" s="238"/>
      <c r="L69" s="1232">
        <f t="shared" si="7"/>
        <v>0</v>
      </c>
      <c r="M69" s="238"/>
      <c r="N69" s="270">
        <f t="shared" si="6"/>
        <v>0</v>
      </c>
      <c r="O69" s="238"/>
      <c r="P69" s="219"/>
      <c r="Q69" s="460" t="s">
        <v>16053</v>
      </c>
      <c r="R69" s="1266" t="s">
        <v>3186</v>
      </c>
      <c r="S69" s="16"/>
    </row>
    <row r="70" spans="1:19" s="2331" customFormat="1" ht="16.5" thickBot="1">
      <c r="A70" s="16"/>
      <c r="B70" s="463" t="s">
        <v>16055</v>
      </c>
      <c r="C70" s="355" t="s">
        <v>3132</v>
      </c>
      <c r="D70" s="355">
        <v>2</v>
      </c>
      <c r="E70" s="1236">
        <v>463.96</v>
      </c>
      <c r="F70" s="16"/>
      <c r="G70" s="2428" t="s">
        <v>16078</v>
      </c>
      <c r="H70" s="16"/>
      <c r="I70" s="1237"/>
      <c r="J70" s="16"/>
      <c r="K70" s="238"/>
      <c r="L70" s="1232">
        <f t="shared" si="7"/>
        <v>0</v>
      </c>
      <c r="M70" s="238"/>
      <c r="N70" s="270">
        <f t="shared" si="6"/>
        <v>0</v>
      </c>
      <c r="O70" s="238"/>
      <c r="P70" s="16"/>
      <c r="Q70" s="463" t="s">
        <v>16055</v>
      </c>
      <c r="R70" s="2426" t="s">
        <v>3188</v>
      </c>
      <c r="S70" s="16"/>
    </row>
    <row r="71" spans="1:19" s="2331" customFormat="1" ht="16.5" thickTop="1" thickBot="1">
      <c r="A71" s="16"/>
      <c r="B71" s="2423"/>
      <c r="C71" s="2423"/>
      <c r="D71" s="2423"/>
      <c r="E71" s="16"/>
      <c r="F71" s="16"/>
      <c r="G71" s="2430"/>
      <c r="H71" s="16"/>
      <c r="I71" s="16"/>
      <c r="J71" s="16"/>
      <c r="K71" s="238"/>
      <c r="L71" s="16"/>
      <c r="M71" s="238"/>
      <c r="N71" s="16"/>
      <c r="O71" s="238"/>
      <c r="P71" s="16"/>
      <c r="Q71" s="2423"/>
      <c r="R71" s="16"/>
      <c r="S71" s="16"/>
    </row>
    <row r="72" spans="1:19" s="2331" customFormat="1" ht="16.5" thickTop="1" thickBot="1">
      <c r="A72" s="16"/>
      <c r="B72" s="2427" t="s">
        <v>16079</v>
      </c>
      <c r="C72" s="2425"/>
      <c r="D72" s="2425"/>
      <c r="E72" s="16"/>
      <c r="F72" s="16"/>
      <c r="G72" s="2430"/>
      <c r="H72" s="16"/>
      <c r="I72" s="16"/>
      <c r="J72" s="16"/>
      <c r="K72" s="238"/>
      <c r="L72" s="16"/>
      <c r="M72" s="238"/>
      <c r="N72" s="16"/>
      <c r="O72" s="238"/>
      <c r="P72" s="16"/>
      <c r="Q72" s="2427" t="s">
        <v>16079</v>
      </c>
      <c r="R72" s="16"/>
      <c r="S72" s="16"/>
    </row>
    <row r="73" spans="1:19" s="2331" customFormat="1" ht="15.75" thickTop="1">
      <c r="A73" s="16"/>
      <c r="B73" s="451" t="s">
        <v>16080</v>
      </c>
      <c r="C73" s="277" t="s">
        <v>3192</v>
      </c>
      <c r="D73" s="277">
        <v>2</v>
      </c>
      <c r="E73" s="1296">
        <v>7.71</v>
      </c>
      <c r="F73" s="16"/>
      <c r="G73" s="2424" t="s">
        <v>16081</v>
      </c>
      <c r="H73" s="16"/>
      <c r="I73" s="1040"/>
      <c r="J73" s="16"/>
      <c r="K73" s="238"/>
      <c r="L73" s="1232">
        <f>IF( SUM( N73:N73 ) = 0, 0, $N$5 )</f>
        <v>0</v>
      </c>
      <c r="M73" s="238"/>
      <c r="N73" s="270">
        <f t="shared" ref="N73:N82" si="8" xml:space="preserve"> IF( ISNUMBER(E73 ), 0, 1 )</f>
        <v>0</v>
      </c>
      <c r="O73" s="238"/>
      <c r="P73" s="16"/>
      <c r="Q73" s="451" t="s">
        <v>16080</v>
      </c>
      <c r="R73" s="1711" t="s">
        <v>16082</v>
      </c>
      <c r="S73" s="16"/>
    </row>
    <row r="74" spans="1:19" s="2331" customFormat="1" ht="15.75">
      <c r="A74" s="16"/>
      <c r="B74" s="460" t="s">
        <v>16083</v>
      </c>
      <c r="C74" s="286" t="s">
        <v>3192</v>
      </c>
      <c r="D74" s="286">
        <v>2</v>
      </c>
      <c r="E74" s="1234">
        <v>131.44999999999999</v>
      </c>
      <c r="F74" s="16"/>
      <c r="G74" s="2429" t="s">
        <v>16084</v>
      </c>
      <c r="H74" s="16"/>
      <c r="I74" s="1233"/>
      <c r="J74" s="16"/>
      <c r="K74" s="238"/>
      <c r="L74" s="1232">
        <f t="shared" ref="L74:L82" si="9">IF( SUM( N74:N74 ) = 0, 0, $N$5 )</f>
        <v>0</v>
      </c>
      <c r="M74" s="238"/>
      <c r="N74" s="270">
        <f t="shared" si="8"/>
        <v>0</v>
      </c>
      <c r="O74" s="238"/>
      <c r="P74" s="16"/>
      <c r="Q74" s="460">
        <v>87</v>
      </c>
      <c r="R74" s="1269" t="s">
        <v>16085</v>
      </c>
      <c r="S74" s="16"/>
    </row>
    <row r="75" spans="1:19" s="2331" customFormat="1" ht="15.75">
      <c r="A75" s="16"/>
      <c r="B75" s="2375" t="s">
        <v>16086</v>
      </c>
      <c r="C75" s="286" t="s">
        <v>3192</v>
      </c>
      <c r="D75" s="286">
        <v>2</v>
      </c>
      <c r="E75" s="1234">
        <v>14.57</v>
      </c>
      <c r="F75" s="16"/>
      <c r="G75" s="2429" t="s">
        <v>16087</v>
      </c>
      <c r="H75" s="16"/>
      <c r="I75" s="1233"/>
      <c r="J75" s="16"/>
      <c r="K75" s="238"/>
      <c r="L75" s="1232">
        <f t="shared" si="9"/>
        <v>0</v>
      </c>
      <c r="M75" s="238"/>
      <c r="N75" s="270">
        <f t="shared" si="8"/>
        <v>0</v>
      </c>
      <c r="O75" s="238"/>
      <c r="P75" s="16"/>
      <c r="Q75" s="460" t="s">
        <v>16088</v>
      </c>
      <c r="R75" s="1269" t="s">
        <v>16089</v>
      </c>
      <c r="S75" s="16"/>
    </row>
    <row r="76" spans="1:19" s="2331" customFormat="1" ht="15.75">
      <c r="A76" s="16"/>
      <c r="B76" s="2375" t="s">
        <v>16090</v>
      </c>
      <c r="C76" s="286" t="s">
        <v>3192</v>
      </c>
      <c r="D76" s="286">
        <v>2</v>
      </c>
      <c r="E76" s="1234">
        <v>24.79</v>
      </c>
      <c r="F76" s="16"/>
      <c r="G76" s="2429" t="s">
        <v>16091</v>
      </c>
      <c r="H76" s="16"/>
      <c r="I76" s="1233"/>
      <c r="J76" s="16"/>
      <c r="K76" s="238"/>
      <c r="L76" s="1232">
        <f t="shared" si="9"/>
        <v>0</v>
      </c>
      <c r="M76" s="238"/>
      <c r="N76" s="270">
        <f t="shared" si="8"/>
        <v>0</v>
      </c>
      <c r="O76" s="238"/>
      <c r="P76" s="16"/>
      <c r="Q76" s="460" t="s">
        <v>16092</v>
      </c>
      <c r="R76" s="1234" t="s">
        <v>16093</v>
      </c>
      <c r="S76" s="16"/>
    </row>
    <row r="77" spans="1:19" s="2331" customFormat="1" ht="15.75">
      <c r="A77" s="16"/>
      <c r="B77" s="2375" t="s">
        <v>16094</v>
      </c>
      <c r="C77" s="286" t="s">
        <v>3192</v>
      </c>
      <c r="D77" s="286">
        <v>2</v>
      </c>
      <c r="E77" s="1234">
        <v>0.92</v>
      </c>
      <c r="F77" s="16"/>
      <c r="G77" s="2429" t="s">
        <v>16095</v>
      </c>
      <c r="H77" s="16"/>
      <c r="I77" s="1233"/>
      <c r="J77" s="16"/>
      <c r="K77" s="238"/>
      <c r="L77" s="1232">
        <f t="shared" si="9"/>
        <v>0</v>
      </c>
      <c r="M77" s="238"/>
      <c r="N77" s="270">
        <f t="shared" si="8"/>
        <v>0</v>
      </c>
      <c r="O77" s="238"/>
      <c r="P77" s="16"/>
      <c r="Q77" s="460" t="s">
        <v>16096</v>
      </c>
      <c r="R77" s="1234" t="s">
        <v>16097</v>
      </c>
      <c r="S77" s="16"/>
    </row>
    <row r="78" spans="1:19" s="2331" customFormat="1" ht="15.75">
      <c r="A78" s="16"/>
      <c r="B78" s="2375" t="s">
        <v>16098</v>
      </c>
      <c r="C78" s="286" t="s">
        <v>3192</v>
      </c>
      <c r="D78" s="286">
        <v>2</v>
      </c>
      <c r="E78" s="1234">
        <v>0.21</v>
      </c>
      <c r="F78" s="16"/>
      <c r="G78" s="2429" t="s">
        <v>16099</v>
      </c>
      <c r="H78" s="16"/>
      <c r="I78" s="2320"/>
      <c r="J78" s="16"/>
      <c r="K78" s="238"/>
      <c r="L78" s="1232">
        <f t="shared" si="9"/>
        <v>0</v>
      </c>
      <c r="M78" s="238"/>
      <c r="N78" s="270">
        <f t="shared" si="8"/>
        <v>0</v>
      </c>
      <c r="O78" s="238"/>
      <c r="P78" s="16"/>
      <c r="Q78" s="460" t="s">
        <v>16100</v>
      </c>
      <c r="R78" s="1234" t="s">
        <v>16101</v>
      </c>
      <c r="S78" s="16"/>
    </row>
    <row r="79" spans="1:19" s="2331" customFormat="1" ht="15.75">
      <c r="A79" s="16"/>
      <c r="B79" s="2375" t="s">
        <v>16102</v>
      </c>
      <c r="C79" s="286" t="s">
        <v>3192</v>
      </c>
      <c r="D79" s="286">
        <v>2</v>
      </c>
      <c r="E79" s="1234">
        <v>0.85</v>
      </c>
      <c r="F79" s="16"/>
      <c r="G79" s="2429" t="s">
        <v>16103</v>
      </c>
      <c r="H79" s="16"/>
      <c r="I79" s="2320"/>
      <c r="J79" s="16"/>
      <c r="K79" s="238"/>
      <c r="L79" s="1232">
        <f t="shared" si="9"/>
        <v>0</v>
      </c>
      <c r="M79" s="238"/>
      <c r="N79" s="270">
        <f t="shared" si="8"/>
        <v>0</v>
      </c>
      <c r="O79" s="238"/>
      <c r="P79" s="16"/>
      <c r="Q79" s="460" t="s">
        <v>16102</v>
      </c>
      <c r="R79" s="1234" t="s">
        <v>3190</v>
      </c>
      <c r="S79" s="16"/>
    </row>
    <row r="80" spans="1:19" s="2331" customFormat="1" ht="15.75">
      <c r="A80" s="16"/>
      <c r="B80" s="2375" t="s">
        <v>16104</v>
      </c>
      <c r="C80" s="286" t="s">
        <v>3192</v>
      </c>
      <c r="D80" s="286">
        <v>2</v>
      </c>
      <c r="E80" s="1234">
        <v>1.02</v>
      </c>
      <c r="F80" s="16"/>
      <c r="G80" s="2429" t="s">
        <v>16105</v>
      </c>
      <c r="H80" s="16"/>
      <c r="I80" s="2320"/>
      <c r="J80" s="16"/>
      <c r="K80" s="238"/>
      <c r="L80" s="1232">
        <f t="shared" si="9"/>
        <v>0</v>
      </c>
      <c r="M80" s="238"/>
      <c r="N80" s="270">
        <f t="shared" si="8"/>
        <v>0</v>
      </c>
      <c r="O80" s="238"/>
      <c r="P80" s="16"/>
      <c r="Q80" s="460" t="s">
        <v>16104</v>
      </c>
      <c r="R80" s="1266" t="s">
        <v>3193</v>
      </c>
      <c r="S80" s="16"/>
    </row>
    <row r="81" spans="1:19" s="2331" customFormat="1" ht="15.75">
      <c r="A81" s="16"/>
      <c r="B81" s="2375" t="s">
        <v>16106</v>
      </c>
      <c r="C81" s="286" t="s">
        <v>3192</v>
      </c>
      <c r="D81" s="286">
        <v>2</v>
      </c>
      <c r="E81" s="1234">
        <v>0.53</v>
      </c>
      <c r="F81" s="16"/>
      <c r="G81" s="2429" t="s">
        <v>16107</v>
      </c>
      <c r="H81" s="16"/>
      <c r="I81" s="2320"/>
      <c r="J81" s="16"/>
      <c r="K81" s="238"/>
      <c r="L81" s="1232">
        <f t="shared" si="9"/>
        <v>0</v>
      </c>
      <c r="M81" s="238"/>
      <c r="N81" s="270">
        <f t="shared" si="8"/>
        <v>0</v>
      </c>
      <c r="O81" s="238"/>
      <c r="P81" s="16"/>
      <c r="Q81" s="460" t="s">
        <v>16106</v>
      </c>
      <c r="R81" s="1266" t="s">
        <v>3195</v>
      </c>
      <c r="S81" s="16"/>
    </row>
    <row r="82" spans="1:19" s="2331" customFormat="1" ht="16.5" thickBot="1">
      <c r="A82" s="16"/>
      <c r="B82" s="2420" t="s">
        <v>16108</v>
      </c>
      <c r="C82" s="355" t="s">
        <v>3192</v>
      </c>
      <c r="D82" s="355">
        <v>2</v>
      </c>
      <c r="E82" s="1236">
        <v>0.11</v>
      </c>
      <c r="F82" s="16"/>
      <c r="G82" s="2428" t="s">
        <v>16109</v>
      </c>
      <c r="H82" s="16"/>
      <c r="I82" s="1237"/>
      <c r="J82" s="16"/>
      <c r="K82" s="238"/>
      <c r="L82" s="1232">
        <f t="shared" si="9"/>
        <v>0</v>
      </c>
      <c r="M82" s="238"/>
      <c r="N82" s="270">
        <f t="shared" si="8"/>
        <v>0</v>
      </c>
      <c r="O82" s="238"/>
      <c r="P82" s="16"/>
      <c r="Q82" s="463" t="s">
        <v>16108</v>
      </c>
      <c r="R82" s="1333" t="s">
        <v>3197</v>
      </c>
      <c r="S82" s="16"/>
    </row>
    <row r="83" spans="1:19" ht="16.5" thickTop="1" thickBot="1">
      <c r="G83" s="2430"/>
      <c r="K83" s="238"/>
      <c r="M83" s="238"/>
      <c r="O83" s="238"/>
    </row>
    <row r="84" spans="1:19" s="2331" customFormat="1" ht="16.5" thickTop="1" thickBot="1">
      <c r="A84" s="16"/>
      <c r="B84" s="2427" t="s">
        <v>16110</v>
      </c>
      <c r="C84" s="2425"/>
      <c r="D84" s="2425"/>
      <c r="E84" s="16"/>
      <c r="F84" s="16"/>
      <c r="G84" s="2430"/>
      <c r="H84" s="16"/>
      <c r="I84" s="16"/>
      <c r="J84" s="16"/>
      <c r="K84" s="238"/>
      <c r="L84" s="16"/>
      <c r="M84" s="238"/>
      <c r="N84" s="16"/>
      <c r="O84" s="238"/>
      <c r="P84" s="16"/>
      <c r="Q84" s="2427" t="s">
        <v>16110</v>
      </c>
      <c r="R84" s="16"/>
      <c r="S84" s="16"/>
    </row>
    <row r="85" spans="1:19" s="2331" customFormat="1" ht="15.75" thickTop="1">
      <c r="A85" s="16"/>
      <c r="B85" s="451" t="s">
        <v>16080</v>
      </c>
      <c r="C85" s="277" t="s">
        <v>3192</v>
      </c>
      <c r="D85" s="277">
        <v>2</v>
      </c>
      <c r="E85" s="1296">
        <v>5.83</v>
      </c>
      <c r="F85" s="16"/>
      <c r="G85" s="2424" t="s">
        <v>16111</v>
      </c>
      <c r="H85" s="16"/>
      <c r="I85" s="1040"/>
      <c r="J85" s="16"/>
      <c r="K85" s="238"/>
      <c r="L85" s="1232">
        <f>IF( SUM( N85:N85 ) = 0, 0, $N$5 )</f>
        <v>0</v>
      </c>
      <c r="M85" s="238"/>
      <c r="N85" s="270">
        <f t="shared" ref="N85:N94" si="10" xml:space="preserve"> IF( ISNUMBER(E85 ), 0, 1 )</f>
        <v>0</v>
      </c>
      <c r="O85" s="238"/>
      <c r="P85" s="16"/>
      <c r="Q85" s="451" t="s">
        <v>16080</v>
      </c>
      <c r="R85" s="1711" t="s">
        <v>16112</v>
      </c>
      <c r="S85" s="16"/>
    </row>
    <row r="86" spans="1:19" s="2331" customFormat="1" ht="15.75">
      <c r="A86" s="16"/>
      <c r="B86" s="460" t="s">
        <v>16083</v>
      </c>
      <c r="C86" s="286" t="s">
        <v>3192</v>
      </c>
      <c r="D86" s="286">
        <v>2</v>
      </c>
      <c r="E86" s="1234">
        <v>91.84</v>
      </c>
      <c r="F86" s="16"/>
      <c r="G86" s="2429" t="s">
        <v>16113</v>
      </c>
      <c r="H86" s="16"/>
      <c r="I86" s="1233"/>
      <c r="J86" s="16"/>
      <c r="K86" s="238"/>
      <c r="L86" s="1232">
        <f t="shared" ref="L86:L94" si="11">IF( SUM( N86:N86 ) = 0, 0, $N$5 )</f>
        <v>0</v>
      </c>
      <c r="M86" s="238"/>
      <c r="N86" s="270">
        <f t="shared" si="10"/>
        <v>0</v>
      </c>
      <c r="O86" s="238"/>
      <c r="P86" s="16"/>
      <c r="Q86" s="460" t="s">
        <v>16083</v>
      </c>
      <c r="R86" s="1269" t="s">
        <v>16114</v>
      </c>
      <c r="S86" s="16"/>
    </row>
    <row r="87" spans="1:19" s="2331" customFormat="1" ht="15.75">
      <c r="A87" s="16"/>
      <c r="B87" s="2375" t="s">
        <v>16086</v>
      </c>
      <c r="C87" s="286" t="s">
        <v>3192</v>
      </c>
      <c r="D87" s="286">
        <v>2</v>
      </c>
      <c r="E87" s="1234">
        <v>6.75</v>
      </c>
      <c r="F87" s="16"/>
      <c r="G87" s="2429" t="s">
        <v>16115</v>
      </c>
      <c r="H87" s="16"/>
      <c r="I87" s="1233"/>
      <c r="J87" s="16"/>
      <c r="K87" s="238"/>
      <c r="L87" s="1232">
        <f t="shared" si="11"/>
        <v>0</v>
      </c>
      <c r="M87" s="238"/>
      <c r="N87" s="270">
        <f t="shared" si="10"/>
        <v>0</v>
      </c>
      <c r="O87" s="238"/>
      <c r="P87" s="16"/>
      <c r="Q87" s="460" t="s">
        <v>16088</v>
      </c>
      <c r="R87" s="1269" t="s">
        <v>16116</v>
      </c>
      <c r="S87" s="16"/>
    </row>
    <row r="88" spans="1:19" s="2331" customFormat="1" ht="15.75">
      <c r="A88" s="16"/>
      <c r="B88" s="2375" t="s">
        <v>16090</v>
      </c>
      <c r="C88" s="286" t="s">
        <v>3192</v>
      </c>
      <c r="D88" s="286">
        <v>2</v>
      </c>
      <c r="E88" s="1234">
        <v>17.87</v>
      </c>
      <c r="F88" s="16"/>
      <c r="G88" s="2429" t="s">
        <v>16117</v>
      </c>
      <c r="H88" s="16"/>
      <c r="I88" s="1233"/>
      <c r="J88" s="16"/>
      <c r="K88" s="238"/>
      <c r="L88" s="1232">
        <f t="shared" si="11"/>
        <v>0</v>
      </c>
      <c r="M88" s="238"/>
      <c r="N88" s="270">
        <f t="shared" si="10"/>
        <v>0</v>
      </c>
      <c r="O88" s="238"/>
      <c r="P88" s="16"/>
      <c r="Q88" s="460" t="s">
        <v>16092</v>
      </c>
      <c r="R88" s="1234" t="s">
        <v>16118</v>
      </c>
      <c r="S88" s="16"/>
    </row>
    <row r="89" spans="1:19" s="2331" customFormat="1" ht="15.75">
      <c r="A89" s="16"/>
      <c r="B89" s="2375" t="s">
        <v>16094</v>
      </c>
      <c r="C89" s="286" t="s">
        <v>3192</v>
      </c>
      <c r="D89" s="286">
        <v>2</v>
      </c>
      <c r="E89" s="1234">
        <v>0.5</v>
      </c>
      <c r="F89" s="16"/>
      <c r="G89" s="2429" t="s">
        <v>16119</v>
      </c>
      <c r="H89" s="16"/>
      <c r="I89" s="1233"/>
      <c r="J89" s="16"/>
      <c r="K89" s="238"/>
      <c r="L89" s="1232">
        <f t="shared" si="11"/>
        <v>0</v>
      </c>
      <c r="M89" s="238"/>
      <c r="N89" s="270">
        <f t="shared" si="10"/>
        <v>0</v>
      </c>
      <c r="O89" s="238"/>
      <c r="P89" s="16"/>
      <c r="Q89" s="460" t="s">
        <v>16096</v>
      </c>
      <c r="R89" s="1234" t="s">
        <v>16120</v>
      </c>
      <c r="S89" s="16"/>
    </row>
    <row r="90" spans="1:19" s="2331" customFormat="1" ht="15.75">
      <c r="A90" s="16"/>
      <c r="B90" s="2375" t="s">
        <v>16098</v>
      </c>
      <c r="C90" s="286" t="s">
        <v>3192</v>
      </c>
      <c r="D90" s="286">
        <v>2</v>
      </c>
      <c r="E90" s="1234">
        <v>0.16</v>
      </c>
      <c r="F90" s="16"/>
      <c r="G90" s="2429" t="s">
        <v>16121</v>
      </c>
      <c r="H90" s="16"/>
      <c r="I90" s="2320"/>
      <c r="J90" s="16"/>
      <c r="K90" s="238"/>
      <c r="L90" s="1232">
        <f t="shared" si="11"/>
        <v>0</v>
      </c>
      <c r="M90" s="238"/>
      <c r="N90" s="270">
        <f t="shared" si="10"/>
        <v>0</v>
      </c>
      <c r="O90" s="238"/>
      <c r="P90" s="16"/>
      <c r="Q90" s="460" t="s">
        <v>16100</v>
      </c>
      <c r="R90" s="1234" t="s">
        <v>16122</v>
      </c>
      <c r="S90" s="16"/>
    </row>
    <row r="91" spans="1:19" s="2331" customFormat="1" ht="15.75">
      <c r="A91" s="16"/>
      <c r="B91" s="2375" t="s">
        <v>16102</v>
      </c>
      <c r="C91" s="286" t="s">
        <v>3192</v>
      </c>
      <c r="D91" s="286">
        <v>2</v>
      </c>
      <c r="E91" s="1234">
        <v>0.48</v>
      </c>
      <c r="F91" s="16"/>
      <c r="G91" s="2429" t="s">
        <v>16123</v>
      </c>
      <c r="H91" s="16"/>
      <c r="I91" s="2320"/>
      <c r="J91" s="16"/>
      <c r="K91" s="238"/>
      <c r="L91" s="1232">
        <f t="shared" si="11"/>
        <v>0</v>
      </c>
      <c r="M91" s="238"/>
      <c r="N91" s="270">
        <f t="shared" si="10"/>
        <v>0</v>
      </c>
      <c r="O91" s="238"/>
      <c r="P91" s="16"/>
      <c r="Q91" s="460" t="s">
        <v>16102</v>
      </c>
      <c r="R91" s="1234" t="s">
        <v>3199</v>
      </c>
      <c r="S91" s="16"/>
    </row>
    <row r="92" spans="1:19" s="2331" customFormat="1" ht="15.75">
      <c r="A92" s="16"/>
      <c r="B92" s="2375" t="s">
        <v>16104</v>
      </c>
      <c r="C92" s="286" t="s">
        <v>3192</v>
      </c>
      <c r="D92" s="286">
        <v>2</v>
      </c>
      <c r="E92" s="1234">
        <v>0.81</v>
      </c>
      <c r="F92" s="16"/>
      <c r="G92" s="2429" t="s">
        <v>16124</v>
      </c>
      <c r="H92" s="16"/>
      <c r="I92" s="2320"/>
      <c r="J92" s="16"/>
      <c r="K92" s="238"/>
      <c r="L92" s="1232">
        <f t="shared" si="11"/>
        <v>0</v>
      </c>
      <c r="M92" s="238"/>
      <c r="N92" s="270">
        <f t="shared" si="10"/>
        <v>0</v>
      </c>
      <c r="O92" s="238"/>
      <c r="P92" s="16"/>
      <c r="Q92" s="460" t="s">
        <v>16104</v>
      </c>
      <c r="R92" s="1266" t="s">
        <v>3201</v>
      </c>
      <c r="S92" s="16"/>
    </row>
    <row r="93" spans="1:19" s="2331" customFormat="1" ht="15.75">
      <c r="A93" s="16"/>
      <c r="B93" s="2375" t="s">
        <v>16106</v>
      </c>
      <c r="C93" s="286" t="s">
        <v>3192</v>
      </c>
      <c r="D93" s="286">
        <v>2</v>
      </c>
      <c r="E93" s="1234">
        <v>0.34</v>
      </c>
      <c r="F93" s="16"/>
      <c r="G93" s="2429" t="s">
        <v>16125</v>
      </c>
      <c r="H93" s="16"/>
      <c r="I93" s="2320"/>
      <c r="J93" s="16"/>
      <c r="K93" s="238"/>
      <c r="L93" s="1232">
        <f t="shared" si="11"/>
        <v>0</v>
      </c>
      <c r="M93" s="238"/>
      <c r="N93" s="270">
        <f t="shared" si="10"/>
        <v>0</v>
      </c>
      <c r="O93" s="238"/>
      <c r="P93" s="16"/>
      <c r="Q93" s="460" t="s">
        <v>16106</v>
      </c>
      <c r="R93" s="1266" t="s">
        <v>3203</v>
      </c>
      <c r="S93" s="16"/>
    </row>
    <row r="94" spans="1:19" s="2331" customFormat="1" ht="16.5" thickBot="1">
      <c r="A94" s="16"/>
      <c r="B94" s="2420" t="s">
        <v>16108</v>
      </c>
      <c r="C94" s="355" t="s">
        <v>3192</v>
      </c>
      <c r="D94" s="355">
        <v>2</v>
      </c>
      <c r="E94" s="1236">
        <v>0.09</v>
      </c>
      <c r="F94" s="16"/>
      <c r="G94" s="2428" t="s">
        <v>16126</v>
      </c>
      <c r="H94" s="16"/>
      <c r="I94" s="1237"/>
      <c r="J94" s="16"/>
      <c r="K94" s="238"/>
      <c r="L94" s="1232">
        <f t="shared" si="11"/>
        <v>0</v>
      </c>
      <c r="M94" s="238"/>
      <c r="N94" s="270">
        <f t="shared" si="10"/>
        <v>0</v>
      </c>
      <c r="O94" s="238"/>
      <c r="P94" s="16"/>
      <c r="Q94" s="463" t="s">
        <v>16108</v>
      </c>
      <c r="R94" s="1333" t="s">
        <v>3205</v>
      </c>
      <c r="S94" s="16"/>
    </row>
    <row r="95" spans="1:19" ht="16.5" thickTop="1" thickBot="1">
      <c r="G95" s="2430"/>
      <c r="K95" s="238"/>
      <c r="M95" s="238"/>
      <c r="O95" s="238"/>
    </row>
    <row r="96" spans="1:19" s="2331" customFormat="1" ht="16.5" thickTop="1" thickBot="1">
      <c r="A96" s="16"/>
      <c r="B96" s="2427" t="s">
        <v>16127</v>
      </c>
      <c r="C96" s="2425"/>
      <c r="D96" s="2425"/>
      <c r="E96" s="16"/>
      <c r="F96" s="16"/>
      <c r="G96" s="2430"/>
      <c r="H96" s="16"/>
      <c r="I96" s="16"/>
      <c r="J96" s="16"/>
      <c r="K96" s="238"/>
      <c r="L96" s="16"/>
      <c r="M96" s="238"/>
      <c r="N96" s="16"/>
      <c r="O96" s="238"/>
      <c r="P96" s="16"/>
      <c r="Q96" s="2427" t="s">
        <v>16127</v>
      </c>
      <c r="R96" s="16"/>
      <c r="S96" s="16"/>
    </row>
    <row r="97" spans="1:19" s="2331" customFormat="1" ht="15.75" thickTop="1">
      <c r="A97" s="16"/>
      <c r="B97" s="451" t="s">
        <v>16080</v>
      </c>
      <c r="C97" s="277" t="s">
        <v>3192</v>
      </c>
      <c r="D97" s="277">
        <v>2</v>
      </c>
      <c r="E97" s="1296">
        <v>1.88</v>
      </c>
      <c r="F97" s="16"/>
      <c r="G97" s="2424" t="s">
        <v>16128</v>
      </c>
      <c r="H97" s="16"/>
      <c r="I97" s="1040"/>
      <c r="J97" s="16"/>
      <c r="K97" s="238"/>
      <c r="L97" s="1232">
        <f>IF( SUM( N97:N97 ) = 0, 0, $N$5 )</f>
        <v>0</v>
      </c>
      <c r="M97" s="238"/>
      <c r="N97" s="270">
        <f t="shared" ref="N97:N106" si="12" xml:space="preserve"> IF( ISNUMBER(E97 ), 0, 1 )</f>
        <v>0</v>
      </c>
      <c r="O97" s="238"/>
      <c r="P97" s="16"/>
      <c r="Q97" s="451" t="s">
        <v>16080</v>
      </c>
      <c r="R97" s="1711" t="s">
        <v>16129</v>
      </c>
      <c r="S97" s="16"/>
    </row>
    <row r="98" spans="1:19" s="2331" customFormat="1" ht="15.75">
      <c r="A98" s="16"/>
      <c r="B98" s="460" t="s">
        <v>16083</v>
      </c>
      <c r="C98" s="286" t="s">
        <v>3192</v>
      </c>
      <c r="D98" s="286">
        <v>2</v>
      </c>
      <c r="E98" s="1234">
        <v>39.61</v>
      </c>
      <c r="F98" s="16"/>
      <c r="G98" s="2429" t="s">
        <v>16130</v>
      </c>
      <c r="H98" s="16"/>
      <c r="I98" s="1233"/>
      <c r="J98" s="16"/>
      <c r="K98" s="238"/>
      <c r="L98" s="1232">
        <f t="shared" ref="L98:L106" si="13">IF( SUM( N98:N98 ) = 0, 0, $N$5 )</f>
        <v>0</v>
      </c>
      <c r="M98" s="238"/>
      <c r="N98" s="270">
        <f t="shared" si="12"/>
        <v>0</v>
      </c>
      <c r="O98" s="238"/>
      <c r="P98" s="16"/>
      <c r="Q98" s="460" t="s">
        <v>16083</v>
      </c>
      <c r="R98" s="1269" t="s">
        <v>16131</v>
      </c>
      <c r="S98" s="16"/>
    </row>
    <row r="99" spans="1:19" s="2331" customFormat="1" ht="15.75">
      <c r="A99" s="16"/>
      <c r="B99" s="2375" t="s">
        <v>16086</v>
      </c>
      <c r="C99" s="286" t="s">
        <v>3192</v>
      </c>
      <c r="D99" s="286">
        <v>2</v>
      </c>
      <c r="E99" s="1234">
        <v>7.82</v>
      </c>
      <c r="F99" s="16"/>
      <c r="G99" s="2429" t="s">
        <v>16132</v>
      </c>
      <c r="H99" s="16"/>
      <c r="I99" s="1233"/>
      <c r="J99" s="16"/>
      <c r="K99" s="238"/>
      <c r="L99" s="1232">
        <f t="shared" si="13"/>
        <v>0</v>
      </c>
      <c r="M99" s="238"/>
      <c r="N99" s="270">
        <f t="shared" si="12"/>
        <v>0</v>
      </c>
      <c r="O99" s="238"/>
      <c r="P99" s="16"/>
      <c r="Q99" s="460" t="s">
        <v>16088</v>
      </c>
      <c r="R99" s="1269" t="s">
        <v>16133</v>
      </c>
      <c r="S99" s="16"/>
    </row>
    <row r="100" spans="1:19" s="2331" customFormat="1" ht="15.75">
      <c r="A100" s="16"/>
      <c r="B100" s="2375" t="s">
        <v>16090</v>
      </c>
      <c r="C100" s="286" t="s">
        <v>3192</v>
      </c>
      <c r="D100" s="286">
        <v>2</v>
      </c>
      <c r="E100" s="1234">
        <v>6.92</v>
      </c>
      <c r="F100" s="16"/>
      <c r="G100" s="2429" t="s">
        <v>16134</v>
      </c>
      <c r="H100" s="16"/>
      <c r="I100" s="1233"/>
      <c r="J100" s="16"/>
      <c r="K100" s="238"/>
      <c r="L100" s="1232">
        <f t="shared" si="13"/>
        <v>0</v>
      </c>
      <c r="M100" s="238"/>
      <c r="N100" s="270">
        <f t="shared" si="12"/>
        <v>0</v>
      </c>
      <c r="O100" s="238"/>
      <c r="P100" s="16"/>
      <c r="Q100" s="460" t="s">
        <v>16092</v>
      </c>
      <c r="R100" s="1234" t="s">
        <v>16135</v>
      </c>
      <c r="S100" s="16"/>
    </row>
    <row r="101" spans="1:19" s="2331" customFormat="1" ht="15.75">
      <c r="A101" s="16"/>
      <c r="B101" s="2375" t="s">
        <v>16094</v>
      </c>
      <c r="C101" s="286" t="s">
        <v>3192</v>
      </c>
      <c r="D101" s="286">
        <v>2</v>
      </c>
      <c r="E101" s="1234">
        <v>0.42</v>
      </c>
      <c r="F101" s="16"/>
      <c r="G101" s="2429" t="s">
        <v>16136</v>
      </c>
      <c r="H101" s="16"/>
      <c r="I101" s="1233"/>
      <c r="J101" s="16"/>
      <c r="K101" s="238"/>
      <c r="L101" s="1232">
        <f t="shared" si="13"/>
        <v>0</v>
      </c>
      <c r="M101" s="238"/>
      <c r="N101" s="270">
        <f t="shared" si="12"/>
        <v>0</v>
      </c>
      <c r="O101" s="238"/>
      <c r="P101" s="16"/>
      <c r="Q101" s="460" t="s">
        <v>16096</v>
      </c>
      <c r="R101" s="1234" t="s">
        <v>16137</v>
      </c>
      <c r="S101" s="16"/>
    </row>
    <row r="102" spans="1:19" s="2331" customFormat="1" ht="15.75">
      <c r="A102" s="16"/>
      <c r="B102" s="2375" t="s">
        <v>16098</v>
      </c>
      <c r="C102" s="286" t="s">
        <v>3192</v>
      </c>
      <c r="D102" s="286">
        <v>2</v>
      </c>
      <c r="E102" s="1234">
        <v>0.05</v>
      </c>
      <c r="F102" s="16"/>
      <c r="G102" s="2429" t="s">
        <v>16138</v>
      </c>
      <c r="H102" s="16"/>
      <c r="I102" s="2320"/>
      <c r="J102" s="16"/>
      <c r="K102" s="238"/>
      <c r="L102" s="1232">
        <f t="shared" si="13"/>
        <v>0</v>
      </c>
      <c r="M102" s="238"/>
      <c r="N102" s="270">
        <f t="shared" si="12"/>
        <v>0</v>
      </c>
      <c r="O102" s="238"/>
      <c r="P102" s="16"/>
      <c r="Q102" s="460" t="s">
        <v>16100</v>
      </c>
      <c r="R102" s="1234" t="s">
        <v>16139</v>
      </c>
      <c r="S102" s="16"/>
    </row>
    <row r="103" spans="1:19" s="2331" customFormat="1" ht="15.75">
      <c r="A103" s="16"/>
      <c r="B103" s="2375" t="s">
        <v>16102</v>
      </c>
      <c r="C103" s="286" t="s">
        <v>3192</v>
      </c>
      <c r="D103" s="286">
        <v>2</v>
      </c>
      <c r="E103" s="1234">
        <v>0.37</v>
      </c>
      <c r="F103" s="16"/>
      <c r="G103" s="2429" t="s">
        <v>16140</v>
      </c>
      <c r="H103" s="16"/>
      <c r="I103" s="2320"/>
      <c r="J103" s="16"/>
      <c r="K103" s="238"/>
      <c r="L103" s="1232">
        <f t="shared" si="13"/>
        <v>0</v>
      </c>
      <c r="M103" s="238"/>
      <c r="N103" s="270">
        <f t="shared" si="12"/>
        <v>0</v>
      </c>
      <c r="O103" s="238"/>
      <c r="P103" s="16"/>
      <c r="Q103" s="460" t="s">
        <v>16102</v>
      </c>
      <c r="R103" s="1234" t="s">
        <v>3207</v>
      </c>
      <c r="S103" s="16"/>
    </row>
    <row r="104" spans="1:19" s="2331" customFormat="1" ht="15.75">
      <c r="A104" s="16"/>
      <c r="B104" s="2375" t="s">
        <v>16104</v>
      </c>
      <c r="C104" s="286" t="s">
        <v>3192</v>
      </c>
      <c r="D104" s="286">
        <v>2</v>
      </c>
      <c r="E104" s="1234">
        <v>0.21</v>
      </c>
      <c r="F104" s="16"/>
      <c r="G104" s="2429" t="s">
        <v>16141</v>
      </c>
      <c r="H104" s="16"/>
      <c r="I104" s="2320"/>
      <c r="J104" s="16"/>
      <c r="K104" s="238"/>
      <c r="L104" s="1232">
        <f t="shared" si="13"/>
        <v>0</v>
      </c>
      <c r="M104" s="238"/>
      <c r="N104" s="270">
        <f t="shared" si="12"/>
        <v>0</v>
      </c>
      <c r="O104" s="238"/>
      <c r="P104" s="16"/>
      <c r="Q104" s="460" t="s">
        <v>16104</v>
      </c>
      <c r="R104" s="1266" t="s">
        <v>3209</v>
      </c>
      <c r="S104" s="16"/>
    </row>
    <row r="105" spans="1:19" s="2331" customFormat="1" ht="15.75">
      <c r="A105" s="16"/>
      <c r="B105" s="2375" t="s">
        <v>16106</v>
      </c>
      <c r="C105" s="286" t="s">
        <v>3192</v>
      </c>
      <c r="D105" s="286">
        <v>2</v>
      </c>
      <c r="E105" s="1234">
        <v>0.19</v>
      </c>
      <c r="F105" s="16"/>
      <c r="G105" s="2429" t="s">
        <v>16142</v>
      </c>
      <c r="H105" s="16"/>
      <c r="I105" s="2320"/>
      <c r="J105" s="16"/>
      <c r="K105" s="238"/>
      <c r="L105" s="1232">
        <f t="shared" si="13"/>
        <v>0</v>
      </c>
      <c r="M105" s="238"/>
      <c r="N105" s="270">
        <f t="shared" si="12"/>
        <v>0</v>
      </c>
      <c r="O105" s="238"/>
      <c r="P105" s="16"/>
      <c r="Q105" s="460" t="s">
        <v>16106</v>
      </c>
      <c r="R105" s="1266" t="s">
        <v>3211</v>
      </c>
      <c r="S105" s="16"/>
    </row>
    <row r="106" spans="1:19" s="2331" customFormat="1" ht="16.5" thickBot="1">
      <c r="A106" s="16"/>
      <c r="B106" s="2420" t="s">
        <v>16108</v>
      </c>
      <c r="C106" s="355" t="s">
        <v>3192</v>
      </c>
      <c r="D106" s="355">
        <v>2</v>
      </c>
      <c r="E106" s="1236">
        <v>0.02</v>
      </c>
      <c r="F106" s="16"/>
      <c r="G106" s="2428" t="s">
        <v>16143</v>
      </c>
      <c r="H106" s="16"/>
      <c r="I106" s="1237"/>
      <c r="J106" s="16"/>
      <c r="K106" s="238"/>
      <c r="L106" s="1232">
        <f t="shared" si="13"/>
        <v>0</v>
      </c>
      <c r="M106" s="238"/>
      <c r="N106" s="270">
        <f t="shared" si="12"/>
        <v>0</v>
      </c>
      <c r="O106" s="238"/>
      <c r="P106" s="16"/>
      <c r="Q106" s="463" t="s">
        <v>16108</v>
      </c>
      <c r="R106" s="1333" t="s">
        <v>3213</v>
      </c>
      <c r="S106" s="16"/>
    </row>
    <row r="107" spans="1:19" ht="15.75" thickTop="1"/>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tabColor rgb="FF00B050"/>
    <pageSetUpPr fitToPage="1"/>
  </sheetPr>
  <dimension ref="A1:V40"/>
  <sheetViews>
    <sheetView showGridLines="0" topLeftCell="C16" zoomScale="70" zoomScaleNormal="70" zoomScaleSheetLayoutView="100" workbookViewId="0">
      <selection activeCell="V40" sqref="V40"/>
    </sheetView>
  </sheetViews>
  <sheetFormatPr defaultColWidth="9" defaultRowHeight="15"/>
  <cols>
    <col min="1" max="1" width="1.625" style="16" customWidth="1"/>
    <col min="2" max="2" width="77.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19"/>
      <c r="B1" s="1229" t="s">
        <v>16144</v>
      </c>
      <c r="C1" s="1229"/>
      <c r="D1" s="1229"/>
      <c r="E1" s="1229"/>
      <c r="F1" s="1229"/>
      <c r="G1" s="261"/>
      <c r="H1" s="219"/>
      <c r="I1" s="219"/>
      <c r="J1" s="219"/>
      <c r="K1" s="238"/>
      <c r="L1" s="219"/>
      <c r="M1" s="238"/>
      <c r="N1" s="219"/>
      <c r="O1" s="238"/>
      <c r="P1" s="219"/>
      <c r="Q1" s="1229" t="s">
        <v>7220</v>
      </c>
      <c r="R1" s="1229"/>
      <c r="S1" s="1229"/>
      <c r="T1" s="219"/>
      <c r="U1" s="219"/>
      <c r="V1" s="219"/>
    </row>
    <row r="2" spans="1:22" ht="30.75" customHeight="1">
      <c r="A2" s="219"/>
      <c r="B2" s="1229" t="str">
        <f>SelectCompany!B4</f>
        <v>Northumbrian Water</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07" t="s">
        <v>16145</v>
      </c>
      <c r="C3" s="2807"/>
      <c r="D3" s="2807"/>
      <c r="E3" s="2807"/>
      <c r="F3" s="2807"/>
      <c r="G3" s="2807"/>
      <c r="H3" s="2807"/>
      <c r="I3" s="2807"/>
      <c r="J3" s="219"/>
      <c r="K3" s="238"/>
      <c r="L3" s="1240" t="s">
        <v>7222</v>
      </c>
      <c r="M3" s="238"/>
      <c r="N3" s="219"/>
      <c r="O3" s="238"/>
      <c r="P3" s="219"/>
      <c r="Q3" s="2807" t="s">
        <v>16145</v>
      </c>
      <c r="R3" s="2807"/>
      <c r="S3" s="2807"/>
      <c r="T3" s="219"/>
      <c r="U3" s="219"/>
      <c r="V3" s="219"/>
    </row>
    <row r="4" spans="1:22" ht="15.75" customHeight="1" thickBot="1">
      <c r="A4" s="219"/>
      <c r="B4" s="690"/>
      <c r="C4" s="690"/>
      <c r="D4" s="690"/>
      <c r="E4" s="690"/>
      <c r="F4" s="827"/>
      <c r="G4" s="261"/>
      <c r="H4" s="219"/>
      <c r="I4" s="219"/>
      <c r="J4" s="219"/>
      <c r="K4" s="238"/>
      <c r="L4" s="219"/>
      <c r="M4" s="238"/>
      <c r="N4" s="240" t="s">
        <v>7223</v>
      </c>
      <c r="O4" s="238"/>
      <c r="P4" s="219"/>
      <c r="Q4" s="690"/>
      <c r="R4" s="690"/>
      <c r="S4" s="827"/>
      <c r="T4" s="219"/>
      <c r="U4" s="219"/>
      <c r="V4" s="219"/>
    </row>
    <row r="5" spans="1:22" ht="46.5" thickTop="1" thickBot="1">
      <c r="A5" s="242"/>
      <c r="B5" s="445" t="s">
        <v>7224</v>
      </c>
      <c r="C5" s="446" t="s">
        <v>7225</v>
      </c>
      <c r="D5" s="446" t="s">
        <v>670</v>
      </c>
      <c r="E5" s="447" t="s">
        <v>15581</v>
      </c>
      <c r="F5" s="731"/>
      <c r="G5" s="449" t="s">
        <v>7229</v>
      </c>
      <c r="H5" s="242"/>
      <c r="I5" s="449" t="s">
        <v>7230</v>
      </c>
      <c r="J5" s="242"/>
      <c r="K5" s="238"/>
      <c r="L5" s="1634"/>
      <c r="M5" s="238"/>
      <c r="N5" s="269" t="s">
        <v>7231</v>
      </c>
      <c r="O5" s="238"/>
      <c r="P5" s="219"/>
      <c r="Q5" s="445" t="s">
        <v>7224</v>
      </c>
      <c r="R5" s="447" t="s">
        <v>15581</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16146</v>
      </c>
      <c r="C7" s="482"/>
      <c r="D7" s="482"/>
      <c r="E7" s="482"/>
      <c r="F7" s="1242"/>
      <c r="G7" s="565"/>
      <c r="H7" s="242"/>
      <c r="I7" s="242"/>
      <c r="J7" s="242"/>
      <c r="K7" s="238"/>
      <c r="L7" s="219"/>
      <c r="M7" s="238"/>
      <c r="N7" s="219"/>
      <c r="O7" s="238"/>
      <c r="P7" s="219"/>
      <c r="Q7" s="393" t="s">
        <v>16146</v>
      </c>
      <c r="R7" s="482"/>
      <c r="S7" s="1242"/>
      <c r="T7" s="219"/>
      <c r="U7" s="219"/>
      <c r="V7" s="219"/>
    </row>
    <row r="8" spans="1:22" ht="15.75" customHeight="1" thickTop="1">
      <c r="A8" s="242"/>
      <c r="B8" s="451" t="s">
        <v>16147</v>
      </c>
      <c r="C8" s="277" t="s">
        <v>3217</v>
      </c>
      <c r="D8" s="277">
        <v>1</v>
      </c>
      <c r="E8" s="1268">
        <v>26450.6</v>
      </c>
      <c r="F8" s="1242"/>
      <c r="G8" s="281" t="s">
        <v>16148</v>
      </c>
      <c r="H8" s="242"/>
      <c r="I8" s="1231"/>
      <c r="J8" s="242"/>
      <c r="K8" s="238"/>
      <c r="L8" s="1232">
        <f>IF( SUM( N8:N8 ) = 0, 0, $N$5 )</f>
        <v>0</v>
      </c>
      <c r="M8" s="238"/>
      <c r="N8" s="285">
        <f xml:space="preserve"> IF( ISNUMBER(E8 ), 0, 1 )</f>
        <v>0</v>
      </c>
      <c r="O8" s="238"/>
      <c r="P8" s="219"/>
      <c r="Q8" s="451" t="s">
        <v>16147</v>
      </c>
      <c r="R8" s="1268" t="s">
        <v>16149</v>
      </c>
      <c r="S8" s="1242"/>
      <c r="T8" s="219"/>
      <c r="U8" s="219"/>
      <c r="V8" s="219"/>
    </row>
    <row r="9" spans="1:22" ht="15.75" customHeight="1">
      <c r="A9" s="242"/>
      <c r="B9" s="460" t="s">
        <v>16150</v>
      </c>
      <c r="C9" s="286" t="s">
        <v>3217</v>
      </c>
      <c r="D9" s="286">
        <v>1</v>
      </c>
      <c r="E9" s="1269">
        <v>0</v>
      </c>
      <c r="F9" s="1242"/>
      <c r="G9" s="290" t="s">
        <v>16151</v>
      </c>
      <c r="H9" s="242"/>
      <c r="I9" s="1233"/>
      <c r="J9" s="242"/>
      <c r="K9" s="238"/>
      <c r="L9" s="1232">
        <f t="shared" ref="L9:L15" si="0">IF( SUM( N9:N9 ) = 0, 0, $N$5 )</f>
        <v>0</v>
      </c>
      <c r="M9" s="238"/>
      <c r="N9" s="285">
        <f t="shared" ref="N9:N15" si="1" xml:space="preserve"> IF( ISNUMBER(E9 ), 0, 1 )</f>
        <v>0</v>
      </c>
      <c r="O9" s="238"/>
      <c r="P9" s="219"/>
      <c r="Q9" s="460" t="s">
        <v>16150</v>
      </c>
      <c r="R9" s="1269" t="s">
        <v>16152</v>
      </c>
      <c r="S9" s="1242"/>
      <c r="T9" s="219"/>
      <c r="U9" s="219"/>
      <c r="V9" s="219"/>
    </row>
    <row r="10" spans="1:22" ht="15.75" customHeight="1">
      <c r="A10" s="242"/>
      <c r="B10" s="460" t="s">
        <v>16153</v>
      </c>
      <c r="C10" s="286" t="s">
        <v>3217</v>
      </c>
      <c r="D10" s="286">
        <v>1</v>
      </c>
      <c r="E10" s="1269">
        <v>26.8</v>
      </c>
      <c r="F10" s="106"/>
      <c r="G10" s="290" t="s">
        <v>16154</v>
      </c>
      <c r="H10" s="242"/>
      <c r="I10" s="1270"/>
      <c r="J10" s="242"/>
      <c r="K10" s="238"/>
      <c r="L10" s="1232">
        <f t="shared" si="0"/>
        <v>0</v>
      </c>
      <c r="M10" s="238"/>
      <c r="N10" s="285">
        <f t="shared" si="1"/>
        <v>0</v>
      </c>
      <c r="O10" s="238"/>
      <c r="P10" s="219"/>
      <c r="Q10" s="460" t="s">
        <v>16153</v>
      </c>
      <c r="R10" s="964" t="s">
        <v>16155</v>
      </c>
      <c r="S10" s="106"/>
      <c r="T10" s="219"/>
      <c r="U10" s="219"/>
      <c r="V10" s="219"/>
    </row>
    <row r="11" spans="1:22" ht="15.75" customHeight="1">
      <c r="A11" s="242"/>
      <c r="B11" s="460" t="s">
        <v>16156</v>
      </c>
      <c r="C11" s="286" t="s">
        <v>3217</v>
      </c>
      <c r="D11" s="286">
        <v>1</v>
      </c>
      <c r="E11" s="1269">
        <v>64.2</v>
      </c>
      <c r="F11" s="106"/>
      <c r="G11" s="290" t="s">
        <v>16157</v>
      </c>
      <c r="H11" s="242"/>
      <c r="I11" s="1270"/>
      <c r="J11" s="242"/>
      <c r="K11" s="238"/>
      <c r="L11" s="1232">
        <f t="shared" si="0"/>
        <v>0</v>
      </c>
      <c r="M11" s="238"/>
      <c r="N11" s="285">
        <f t="shared" si="1"/>
        <v>0</v>
      </c>
      <c r="O11" s="238"/>
      <c r="P11" s="219"/>
      <c r="Q11" s="460" t="s">
        <v>16156</v>
      </c>
      <c r="R11" s="964" t="s">
        <v>16158</v>
      </c>
      <c r="S11" s="106"/>
      <c r="T11" s="219"/>
      <c r="U11" s="219"/>
      <c r="V11" s="219"/>
    </row>
    <row r="12" spans="1:22" ht="15.75" customHeight="1">
      <c r="A12" s="242"/>
      <c r="B12" s="460" t="s">
        <v>16159</v>
      </c>
      <c r="C12" s="286" t="s">
        <v>3217</v>
      </c>
      <c r="D12" s="286">
        <v>1</v>
      </c>
      <c r="E12" s="1269">
        <v>24080.400000000001</v>
      </c>
      <c r="F12" s="106"/>
      <c r="G12" s="290" t="s">
        <v>16160</v>
      </c>
      <c r="H12" s="242"/>
      <c r="I12" s="1233"/>
      <c r="J12" s="242"/>
      <c r="K12" s="238"/>
      <c r="L12" s="1232">
        <f t="shared" si="0"/>
        <v>0</v>
      </c>
      <c r="M12" s="238"/>
      <c r="N12" s="285">
        <f t="shared" si="1"/>
        <v>0</v>
      </c>
      <c r="O12" s="238"/>
      <c r="P12" s="219"/>
      <c r="Q12" s="460" t="s">
        <v>16159</v>
      </c>
      <c r="R12" s="964" t="s">
        <v>16161</v>
      </c>
      <c r="S12" s="106"/>
      <c r="T12" s="219"/>
      <c r="U12" s="219"/>
      <c r="V12" s="219"/>
    </row>
    <row r="13" spans="1:22" ht="15.75" customHeight="1">
      <c r="A13" s="242"/>
      <c r="B13" s="460" t="s">
        <v>16162</v>
      </c>
      <c r="C13" s="286" t="s">
        <v>3217</v>
      </c>
      <c r="D13" s="286">
        <v>1</v>
      </c>
      <c r="E13" s="1269">
        <v>1099.0999999999999</v>
      </c>
      <c r="F13" s="106"/>
      <c r="G13" s="290" t="s">
        <v>16163</v>
      </c>
      <c r="H13" s="242"/>
      <c r="I13" s="1233"/>
      <c r="J13" s="242"/>
      <c r="K13" s="238"/>
      <c r="L13" s="1232">
        <f t="shared" si="0"/>
        <v>0</v>
      </c>
      <c r="M13" s="238"/>
      <c r="N13" s="285">
        <f t="shared" si="1"/>
        <v>0</v>
      </c>
      <c r="O13" s="238"/>
      <c r="P13" s="219"/>
      <c r="Q13" s="460" t="s">
        <v>16164</v>
      </c>
      <c r="R13" s="964" t="s">
        <v>16165</v>
      </c>
      <c r="S13" s="106"/>
      <c r="T13" s="219"/>
      <c r="U13" s="219"/>
      <c r="V13" s="219"/>
    </row>
    <row r="14" spans="1:22" ht="15.75" customHeight="1">
      <c r="A14" s="242"/>
      <c r="B14" s="460" t="s">
        <v>16166</v>
      </c>
      <c r="C14" s="286" t="s">
        <v>3217</v>
      </c>
      <c r="D14" s="286">
        <v>1</v>
      </c>
      <c r="E14" s="1269">
        <v>405.6</v>
      </c>
      <c r="F14" s="106"/>
      <c r="G14" s="290" t="s">
        <v>16167</v>
      </c>
      <c r="H14" s="242"/>
      <c r="I14" s="1233"/>
      <c r="J14" s="242"/>
      <c r="K14" s="238"/>
      <c r="L14" s="1232">
        <f t="shared" si="0"/>
        <v>0</v>
      </c>
      <c r="M14" s="238"/>
      <c r="N14" s="285">
        <f t="shared" si="1"/>
        <v>0</v>
      </c>
      <c r="O14" s="238"/>
      <c r="P14" s="219"/>
      <c r="Q14" s="460" t="s">
        <v>16168</v>
      </c>
      <c r="R14" s="964" t="s">
        <v>16169</v>
      </c>
      <c r="S14" s="106"/>
      <c r="T14" s="219"/>
      <c r="U14" s="219"/>
      <c r="V14" s="219"/>
    </row>
    <row r="15" spans="1:22" ht="15.75" customHeight="1" thickBot="1">
      <c r="A15" s="242"/>
      <c r="B15" s="463" t="s">
        <v>16170</v>
      </c>
      <c r="C15" s="355" t="s">
        <v>3217</v>
      </c>
      <c r="D15" s="355">
        <v>1</v>
      </c>
      <c r="E15" s="1271">
        <v>865.5</v>
      </c>
      <c r="F15" s="106"/>
      <c r="G15" s="290" t="s">
        <v>16171</v>
      </c>
      <c r="H15" s="242"/>
      <c r="I15" s="1237"/>
      <c r="J15" s="242"/>
      <c r="K15" s="238"/>
      <c r="L15" s="1232">
        <f t="shared" si="0"/>
        <v>0</v>
      </c>
      <c r="M15" s="238"/>
      <c r="N15" s="285">
        <f t="shared" si="1"/>
        <v>0</v>
      </c>
      <c r="O15" s="238"/>
      <c r="P15" s="219"/>
      <c r="Q15" s="463" t="s">
        <v>16172</v>
      </c>
      <c r="R15" s="1267" t="s">
        <v>16173</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16174</v>
      </c>
      <c r="C17" s="482"/>
      <c r="D17" s="482"/>
      <c r="E17" s="482"/>
      <c r="F17" s="1242"/>
      <c r="G17" s="565"/>
      <c r="H17" s="242"/>
      <c r="I17" s="242"/>
      <c r="J17" s="242"/>
      <c r="K17" s="238"/>
      <c r="L17" s="219"/>
      <c r="M17" s="238"/>
      <c r="N17" s="219"/>
      <c r="O17" s="238"/>
      <c r="P17" s="219"/>
      <c r="Q17" s="393" t="s">
        <v>16174</v>
      </c>
      <c r="R17" s="482"/>
      <c r="S17" s="1242"/>
      <c r="T17" s="219"/>
      <c r="U17" s="219"/>
      <c r="V17" s="219"/>
    </row>
    <row r="18" spans="1:22" ht="15.75" customHeight="1" thickTop="1">
      <c r="A18" s="242"/>
      <c r="B18" s="451" t="s">
        <v>16175</v>
      </c>
      <c r="C18" s="277" t="s">
        <v>3217</v>
      </c>
      <c r="D18" s="277">
        <v>1</v>
      </c>
      <c r="E18" s="1268">
        <v>24.6</v>
      </c>
      <c r="F18" s="106"/>
      <c r="G18" s="281" t="s">
        <v>16176</v>
      </c>
      <c r="H18" s="242"/>
      <c r="I18" s="1231"/>
      <c r="J18" s="242"/>
      <c r="K18" s="238"/>
      <c r="L18" s="1232">
        <f t="shared" ref="L18:L24" si="2">IF( SUM( N18:N18 ) = 0, 0, $N$5 )</f>
        <v>0</v>
      </c>
      <c r="M18" s="238"/>
      <c r="N18" s="285">
        <f t="shared" ref="N18:N26" si="3" xml:space="preserve"> IF( ISNUMBER(E18 ), 0, 1 )</f>
        <v>0</v>
      </c>
      <c r="O18" s="238"/>
      <c r="P18" s="219"/>
      <c r="Q18" s="451" t="s">
        <v>16175</v>
      </c>
      <c r="R18" s="1268" t="s">
        <v>16177</v>
      </c>
      <c r="S18" s="106"/>
      <c r="T18" s="219"/>
      <c r="U18" s="219"/>
      <c r="V18" s="219"/>
    </row>
    <row r="19" spans="1:22" ht="15.75" customHeight="1">
      <c r="A19" s="242"/>
      <c r="B19" s="460" t="s">
        <v>16178</v>
      </c>
      <c r="C19" s="286" t="s">
        <v>3217</v>
      </c>
      <c r="D19" s="286">
        <v>1</v>
      </c>
      <c r="E19" s="1269">
        <v>187.9</v>
      </c>
      <c r="F19" s="106"/>
      <c r="G19" s="290" t="s">
        <v>16179</v>
      </c>
      <c r="H19" s="242"/>
      <c r="I19" s="1233"/>
      <c r="J19" s="242"/>
      <c r="K19" s="238"/>
      <c r="L19" s="1232">
        <f t="shared" si="2"/>
        <v>0</v>
      </c>
      <c r="M19" s="238"/>
      <c r="N19" s="285">
        <f t="shared" si="3"/>
        <v>0</v>
      </c>
      <c r="O19" s="238"/>
      <c r="P19" s="219"/>
      <c r="Q19" s="460" t="s">
        <v>16178</v>
      </c>
      <c r="R19" s="964" t="s">
        <v>16180</v>
      </c>
      <c r="S19" s="106"/>
      <c r="T19" s="219"/>
      <c r="U19" s="219"/>
      <c r="V19" s="219"/>
    </row>
    <row r="20" spans="1:22" ht="15.75" customHeight="1">
      <c r="A20" s="242"/>
      <c r="B20" s="460" t="s">
        <v>16181</v>
      </c>
      <c r="C20" s="286" t="s">
        <v>3217</v>
      </c>
      <c r="D20" s="286">
        <v>1</v>
      </c>
      <c r="E20" s="1269">
        <v>330.7</v>
      </c>
      <c r="F20" s="106"/>
      <c r="G20" s="290" t="s">
        <v>16182</v>
      </c>
      <c r="H20" s="242"/>
      <c r="I20" s="1233"/>
      <c r="J20" s="242"/>
      <c r="K20" s="238"/>
      <c r="L20" s="1232">
        <f t="shared" si="2"/>
        <v>0</v>
      </c>
      <c r="M20" s="238"/>
      <c r="N20" s="285">
        <f t="shared" si="3"/>
        <v>0</v>
      </c>
      <c r="O20" s="238"/>
      <c r="P20" s="219"/>
      <c r="Q20" s="460" t="s">
        <v>16181</v>
      </c>
      <c r="R20" s="964" t="s">
        <v>16183</v>
      </c>
      <c r="S20" s="106"/>
      <c r="T20" s="219"/>
      <c r="U20" s="219"/>
      <c r="V20" s="219"/>
    </row>
    <row r="21" spans="1:22" ht="15.75" customHeight="1">
      <c r="A21" s="242"/>
      <c r="B21" s="460" t="s">
        <v>16184</v>
      </c>
      <c r="C21" s="286" t="s">
        <v>3217</v>
      </c>
      <c r="D21" s="286">
        <v>1</v>
      </c>
      <c r="E21" s="1269">
        <v>2520</v>
      </c>
      <c r="F21" s="106"/>
      <c r="G21" s="290" t="s">
        <v>16185</v>
      </c>
      <c r="H21" s="242"/>
      <c r="I21" s="1233"/>
      <c r="J21" s="242"/>
      <c r="K21" s="238"/>
      <c r="L21" s="1232">
        <f t="shared" si="2"/>
        <v>0</v>
      </c>
      <c r="M21" s="238"/>
      <c r="N21" s="285">
        <f t="shared" si="3"/>
        <v>0</v>
      </c>
      <c r="O21" s="238"/>
      <c r="P21" s="219"/>
      <c r="Q21" s="460" t="s">
        <v>16184</v>
      </c>
      <c r="R21" s="964" t="s">
        <v>16186</v>
      </c>
      <c r="S21" s="106"/>
      <c r="T21" s="219"/>
      <c r="U21" s="219"/>
      <c r="V21" s="219"/>
    </row>
    <row r="22" spans="1:22" ht="15.75" customHeight="1">
      <c r="A22" s="242"/>
      <c r="B22" s="460" t="s">
        <v>16187</v>
      </c>
      <c r="C22" s="286" t="s">
        <v>3217</v>
      </c>
      <c r="D22" s="286">
        <v>1</v>
      </c>
      <c r="E22" s="1269">
        <v>3427.2</v>
      </c>
      <c r="F22" s="106"/>
      <c r="G22" s="290" t="s">
        <v>16188</v>
      </c>
      <c r="H22" s="242"/>
      <c r="I22" s="1233"/>
      <c r="J22" s="242"/>
      <c r="K22" s="238"/>
      <c r="L22" s="1232">
        <f t="shared" si="2"/>
        <v>0</v>
      </c>
      <c r="M22" s="238"/>
      <c r="N22" s="285">
        <f t="shared" si="3"/>
        <v>0</v>
      </c>
      <c r="O22" s="238"/>
      <c r="P22" s="219"/>
      <c r="Q22" s="460" t="s">
        <v>16187</v>
      </c>
      <c r="R22" s="964" t="s">
        <v>16189</v>
      </c>
      <c r="S22" s="106"/>
      <c r="T22" s="219"/>
      <c r="U22" s="219"/>
      <c r="V22" s="219"/>
    </row>
    <row r="23" spans="1:22" ht="15.75" customHeight="1">
      <c r="A23" s="242"/>
      <c r="B23" s="460" t="s">
        <v>16190</v>
      </c>
      <c r="C23" s="286" t="s">
        <v>3217</v>
      </c>
      <c r="D23" s="286">
        <v>1</v>
      </c>
      <c r="E23" s="1269">
        <v>5288.8</v>
      </c>
      <c r="F23" s="106"/>
      <c r="G23" s="290" t="s">
        <v>16191</v>
      </c>
      <c r="H23" s="242"/>
      <c r="I23" s="1233"/>
      <c r="J23" s="242"/>
      <c r="K23" s="238"/>
      <c r="L23" s="1232">
        <f t="shared" si="2"/>
        <v>0</v>
      </c>
      <c r="M23" s="238"/>
      <c r="N23" s="285">
        <f t="shared" si="3"/>
        <v>0</v>
      </c>
      <c r="O23" s="238"/>
      <c r="P23" s="219"/>
      <c r="Q23" s="460" t="s">
        <v>16190</v>
      </c>
      <c r="R23" s="964" t="s">
        <v>16192</v>
      </c>
      <c r="S23" s="106"/>
      <c r="T23" s="219"/>
      <c r="U23" s="219"/>
      <c r="V23" s="219"/>
    </row>
    <row r="24" spans="1:22" ht="19.5" customHeight="1">
      <c r="A24" s="242"/>
      <c r="B24" s="460" t="s">
        <v>16193</v>
      </c>
      <c r="C24" s="286" t="s">
        <v>3217</v>
      </c>
      <c r="D24" s="286">
        <v>1</v>
      </c>
      <c r="E24" s="1269">
        <v>7617.9</v>
      </c>
      <c r="F24" s="106"/>
      <c r="G24" s="290" t="s">
        <v>16194</v>
      </c>
      <c r="H24" s="242"/>
      <c r="I24" s="1233"/>
      <c r="J24" s="242"/>
      <c r="K24" s="238"/>
      <c r="L24" s="1232">
        <f t="shared" si="2"/>
        <v>0</v>
      </c>
      <c r="M24" s="238"/>
      <c r="N24" s="285">
        <f t="shared" si="3"/>
        <v>0</v>
      </c>
      <c r="O24" s="238"/>
      <c r="P24" s="219"/>
      <c r="Q24" s="460" t="s">
        <v>16193</v>
      </c>
      <c r="R24" s="964" t="s">
        <v>16195</v>
      </c>
      <c r="S24" s="106"/>
      <c r="T24" s="219"/>
      <c r="U24" s="219"/>
      <c r="V24" s="219"/>
    </row>
    <row r="25" spans="1:22" ht="25.5" customHeight="1">
      <c r="A25" s="242"/>
      <c r="B25" s="2375" t="s">
        <v>16196</v>
      </c>
      <c r="C25" s="2322" t="s">
        <v>3217</v>
      </c>
      <c r="D25" s="2322">
        <v>1</v>
      </c>
      <c r="E25" s="2323">
        <v>6830.7</v>
      </c>
      <c r="F25" s="106"/>
      <c r="G25" s="290" t="s">
        <v>16197</v>
      </c>
      <c r="H25" s="242"/>
      <c r="I25" s="2320"/>
      <c r="J25" s="242"/>
      <c r="K25" s="238"/>
      <c r="L25" s="1232">
        <f>IF( SUM( N26:N26 ) = 0, 0, $N$5 )</f>
        <v>0</v>
      </c>
      <c r="M25" s="238"/>
      <c r="N25" s="285"/>
      <c r="O25" s="238"/>
      <c r="P25" s="219"/>
      <c r="Q25" s="2375" t="s">
        <v>16196</v>
      </c>
      <c r="R25" s="1269" t="s">
        <v>16198</v>
      </c>
      <c r="S25" s="106"/>
      <c r="T25" s="219"/>
      <c r="U25" s="219"/>
      <c r="V25" s="219"/>
    </row>
    <row r="26" spans="1:22" ht="23.25" customHeight="1" thickBot="1">
      <c r="A26" s="242"/>
      <c r="B26" s="453" t="s">
        <v>16199</v>
      </c>
      <c r="C26" s="355" t="s">
        <v>3217</v>
      </c>
      <c r="D26" s="355">
        <v>1</v>
      </c>
      <c r="E26" s="1271">
        <v>222.9</v>
      </c>
      <c r="F26" s="106"/>
      <c r="G26" s="1043" t="s">
        <v>16200</v>
      </c>
      <c r="H26" s="242"/>
      <c r="I26" s="1237"/>
      <c r="J26" s="242"/>
      <c r="K26" s="238"/>
      <c r="M26" s="238"/>
      <c r="N26" s="285">
        <f t="shared" si="3"/>
        <v>0</v>
      </c>
      <c r="O26" s="238"/>
      <c r="P26" s="219"/>
      <c r="Q26" s="463" t="s">
        <v>16201</v>
      </c>
      <c r="R26" s="1271" t="s">
        <v>3215</v>
      </c>
      <c r="S26" s="106"/>
      <c r="T26" s="219"/>
      <c r="U26" s="219"/>
      <c r="V26" s="219"/>
    </row>
    <row r="27" spans="1:22" ht="16.5" thickTop="1" thickBot="1"/>
    <row r="28" spans="1:22" ht="17.25" thickTop="1" thickBot="1">
      <c r="A28" s="242"/>
      <c r="B28" s="393" t="s">
        <v>16202</v>
      </c>
      <c r="C28" s="482"/>
      <c r="D28" s="482"/>
      <c r="E28" s="482"/>
      <c r="F28" s="1242"/>
      <c r="G28" s="565"/>
      <c r="H28" s="242"/>
      <c r="I28" s="242"/>
      <c r="J28" s="242"/>
      <c r="K28" s="238"/>
      <c r="L28" s="219"/>
      <c r="M28" s="238"/>
      <c r="N28" s="219"/>
      <c r="O28" s="238"/>
      <c r="P28" s="219"/>
      <c r="Q28" s="393" t="s">
        <v>16202</v>
      </c>
      <c r="R28" s="482"/>
      <c r="S28" s="1242"/>
      <c r="T28" s="219"/>
      <c r="U28" s="219"/>
      <c r="V28" s="219"/>
    </row>
    <row r="29" spans="1:22" ht="15.75" customHeight="1" thickTop="1">
      <c r="A29" s="242"/>
      <c r="B29" s="451" t="s">
        <v>16203</v>
      </c>
      <c r="C29" s="277" t="s">
        <v>1523</v>
      </c>
      <c r="D29" s="277">
        <v>0</v>
      </c>
      <c r="E29" s="1711">
        <v>541794</v>
      </c>
      <c r="F29" s="106"/>
      <c r="G29" s="1040" t="s">
        <v>16204</v>
      </c>
      <c r="H29" s="242"/>
      <c r="I29" s="1231"/>
      <c r="J29" s="242"/>
      <c r="K29" s="238"/>
      <c r="L29" s="2324" t="s">
        <v>7231</v>
      </c>
      <c r="M29" s="238"/>
      <c r="N29" s="285">
        <v>1</v>
      </c>
      <c r="O29" s="238"/>
      <c r="P29" s="219"/>
      <c r="Q29" s="451" t="s">
        <v>16203</v>
      </c>
      <c r="R29" s="960" t="s">
        <v>16205</v>
      </c>
      <c r="S29" s="106"/>
      <c r="T29" s="219"/>
      <c r="U29" s="219"/>
      <c r="V29" s="219"/>
    </row>
    <row r="30" spans="1:22" ht="15.75">
      <c r="A30" s="242"/>
      <c r="B30" s="460" t="s">
        <v>16206</v>
      </c>
      <c r="C30" s="286" t="s">
        <v>1523</v>
      </c>
      <c r="D30" s="286">
        <v>0</v>
      </c>
      <c r="E30" s="1330">
        <v>51139</v>
      </c>
      <c r="F30" s="106"/>
      <c r="G30" s="1041" t="s">
        <v>16207</v>
      </c>
      <c r="H30" s="242"/>
      <c r="I30" s="1233"/>
      <c r="J30" s="242"/>
      <c r="K30" s="238"/>
      <c r="L30" s="2324" t="s">
        <v>7231</v>
      </c>
      <c r="M30" s="238"/>
      <c r="N30" s="285">
        <v>1</v>
      </c>
      <c r="O30" s="238"/>
      <c r="P30" s="219"/>
      <c r="Q30" s="460" t="s">
        <v>16206</v>
      </c>
      <c r="R30" s="964" t="s">
        <v>16208</v>
      </c>
      <c r="S30" s="106"/>
      <c r="T30" s="219"/>
      <c r="U30" s="219"/>
      <c r="V30" s="219"/>
    </row>
    <row r="31" spans="1:22" ht="15.75">
      <c r="A31" s="242"/>
      <c r="B31" s="2325" t="s">
        <v>16209</v>
      </c>
      <c r="C31" s="2326" t="s">
        <v>1523</v>
      </c>
      <c r="D31" s="2326">
        <v>0</v>
      </c>
      <c r="E31" s="2536">
        <v>1565328</v>
      </c>
      <c r="F31" s="106"/>
      <c r="G31" s="2537" t="s">
        <v>16210</v>
      </c>
      <c r="H31" s="242"/>
      <c r="I31" s="2329"/>
      <c r="J31" s="242"/>
      <c r="K31" s="238"/>
      <c r="L31" s="2324" t="s">
        <v>7231</v>
      </c>
      <c r="M31" s="238"/>
      <c r="N31" s="285">
        <v>1</v>
      </c>
      <c r="O31" s="238"/>
      <c r="P31" s="219"/>
      <c r="Q31" s="460" t="s">
        <v>16209</v>
      </c>
      <c r="R31" s="964" t="s">
        <v>16211</v>
      </c>
      <c r="S31" s="106"/>
      <c r="T31" s="219"/>
      <c r="U31" s="219"/>
      <c r="V31" s="219"/>
    </row>
    <row r="32" spans="1:22" ht="30.75" thickBot="1">
      <c r="A32" s="242"/>
      <c r="B32" s="2375" t="s">
        <v>16212</v>
      </c>
      <c r="C32" s="2368" t="s">
        <v>1523</v>
      </c>
      <c r="D32" s="2368">
        <v>0</v>
      </c>
      <c r="E32" s="2538">
        <v>92</v>
      </c>
      <c r="F32" s="106"/>
      <c r="G32" s="1043" t="s">
        <v>16213</v>
      </c>
      <c r="H32" s="242"/>
      <c r="I32" s="2539"/>
      <c r="J32" s="242"/>
      <c r="K32" s="238"/>
      <c r="L32" s="2324"/>
      <c r="M32" s="238"/>
      <c r="N32" s="285"/>
      <c r="O32" s="238"/>
      <c r="P32" s="219"/>
      <c r="Q32" s="2420" t="s">
        <v>16212</v>
      </c>
      <c r="R32" s="1256" t="s">
        <v>16214</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7742</v>
      </c>
      <c r="C34" s="482"/>
      <c r="D34" s="482"/>
      <c r="E34" s="482"/>
      <c r="F34" s="1242"/>
      <c r="G34" s="565"/>
      <c r="H34" s="242"/>
      <c r="I34" s="242"/>
      <c r="J34" s="242"/>
      <c r="K34" s="238"/>
      <c r="L34" s="219"/>
      <c r="M34" s="238"/>
      <c r="N34" s="219"/>
      <c r="O34" s="238"/>
      <c r="P34" s="219"/>
      <c r="Q34" s="393" t="s">
        <v>7742</v>
      </c>
      <c r="R34" s="482"/>
      <c r="S34" s="1242"/>
      <c r="T34" s="219"/>
      <c r="U34" s="219"/>
      <c r="V34" s="219"/>
    </row>
    <row r="35" spans="1:22" ht="15.95" customHeight="1" thickTop="1">
      <c r="A35" s="242"/>
      <c r="B35" s="829" t="s">
        <v>16215</v>
      </c>
      <c r="C35" s="788" t="s">
        <v>16216</v>
      </c>
      <c r="D35" s="788">
        <v>0</v>
      </c>
      <c r="E35" s="1708">
        <v>11803</v>
      </c>
      <c r="F35" s="197"/>
      <c r="G35" s="2540" t="s">
        <v>16217</v>
      </c>
      <c r="H35" s="242"/>
      <c r="I35" s="1231"/>
      <c r="J35" s="242"/>
      <c r="K35" s="238"/>
      <c r="L35" s="2324" t="s">
        <v>7231</v>
      </c>
      <c r="M35" s="238"/>
      <c r="N35" s="285">
        <v>1</v>
      </c>
      <c r="O35" s="238"/>
      <c r="P35" s="219"/>
      <c r="Q35" s="829" t="s">
        <v>16215</v>
      </c>
      <c r="R35" s="1253" t="s">
        <v>16218</v>
      </c>
      <c r="S35" s="197"/>
      <c r="T35" s="219"/>
      <c r="U35" s="219"/>
      <c r="V35" s="219"/>
    </row>
    <row r="36" spans="1:22" ht="15.95" customHeight="1">
      <c r="A36" s="242"/>
      <c r="B36" s="833" t="s">
        <v>16219</v>
      </c>
      <c r="C36" s="834" t="s">
        <v>1523</v>
      </c>
      <c r="D36" s="834">
        <v>2</v>
      </c>
      <c r="E36" s="2541">
        <v>7.62</v>
      </c>
      <c r="F36" s="389"/>
      <c r="G36" s="2542" t="s">
        <v>16220</v>
      </c>
      <c r="H36" s="242"/>
      <c r="I36" s="1233"/>
      <c r="J36" s="242"/>
      <c r="K36" s="238"/>
      <c r="L36" s="2324" t="s">
        <v>7231</v>
      </c>
      <c r="M36" s="238"/>
      <c r="N36" s="285">
        <v>1</v>
      </c>
      <c r="O36" s="238"/>
      <c r="P36" s="219"/>
      <c r="Q36" s="833" t="s">
        <v>16219</v>
      </c>
      <c r="R36" s="2541" t="s">
        <v>16221</v>
      </c>
      <c r="S36" s="389"/>
      <c r="T36" s="219"/>
      <c r="U36" s="219"/>
      <c r="V36" s="219"/>
    </row>
    <row r="37" spans="1:22" ht="15.95" customHeight="1">
      <c r="A37" s="242"/>
      <c r="B37" s="833" t="s">
        <v>16222</v>
      </c>
      <c r="C37" s="834" t="s">
        <v>1523</v>
      </c>
      <c r="D37" s="834">
        <v>0</v>
      </c>
      <c r="E37" s="1709">
        <v>167</v>
      </c>
      <c r="F37" s="197"/>
      <c r="G37" s="2542" t="s">
        <v>16223</v>
      </c>
      <c r="H37" s="242"/>
      <c r="I37" s="1233"/>
      <c r="J37" s="242"/>
      <c r="K37" s="238"/>
      <c r="L37" s="2324" t="s">
        <v>7231</v>
      </c>
      <c r="M37" s="238"/>
      <c r="N37" s="285">
        <v>1</v>
      </c>
      <c r="O37" s="238"/>
      <c r="P37" s="219"/>
      <c r="Q37" s="833" t="s">
        <v>16222</v>
      </c>
      <c r="R37" s="1254" t="s">
        <v>16224</v>
      </c>
      <c r="S37" s="197"/>
      <c r="T37" s="219"/>
      <c r="U37" s="219"/>
      <c r="V37" s="219"/>
    </row>
    <row r="38" spans="1:22" ht="15.95" customHeight="1">
      <c r="A38" s="242"/>
      <c r="B38" s="833" t="s">
        <v>16225</v>
      </c>
      <c r="C38" s="834" t="s">
        <v>1523</v>
      </c>
      <c r="D38" s="834">
        <v>0</v>
      </c>
      <c r="E38" s="1709">
        <v>2313</v>
      </c>
      <c r="F38" s="389"/>
      <c r="G38" s="2542" t="s">
        <v>16226</v>
      </c>
      <c r="H38" s="242"/>
      <c r="I38" s="1233"/>
      <c r="J38" s="242"/>
      <c r="K38" s="238"/>
      <c r="L38" s="2324" t="s">
        <v>7231</v>
      </c>
      <c r="M38" s="238"/>
      <c r="N38" s="285"/>
      <c r="O38" s="238"/>
      <c r="P38" s="219"/>
      <c r="Q38" s="833" t="s">
        <v>16225</v>
      </c>
      <c r="R38" s="2541" t="s">
        <v>16227</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7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rgb="FF00B050"/>
    <pageSetUpPr fitToPage="1"/>
  </sheetPr>
  <dimension ref="A1:AA44"/>
  <sheetViews>
    <sheetView showGridLines="0" zoomScale="60" zoomScaleNormal="60" zoomScaleSheetLayoutView="100" workbookViewId="0"/>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B1" s="1229" t="s">
        <v>16228</v>
      </c>
      <c r="C1" s="1229"/>
      <c r="D1" s="1229"/>
      <c r="E1" s="1229"/>
      <c r="F1" s="1229"/>
      <c r="G1" s="1229"/>
      <c r="H1" s="1229"/>
      <c r="I1" s="1229"/>
      <c r="J1" s="1229"/>
      <c r="N1" s="238"/>
      <c r="P1" s="238"/>
      <c r="T1" s="238"/>
      <c r="V1" s="1229" t="s">
        <v>7220</v>
      </c>
      <c r="W1" s="1229"/>
      <c r="X1" s="1229"/>
      <c r="Y1" s="1229"/>
      <c r="Z1" s="1229"/>
      <c r="AA1" s="1229"/>
    </row>
    <row r="2" spans="1:27" ht="30.75" customHeight="1">
      <c r="B2" s="1229" t="str">
        <f>SelectCompany!B4</f>
        <v>Northumbrian Water</v>
      </c>
      <c r="C2" s="529"/>
      <c r="D2" s="529"/>
      <c r="E2" s="529"/>
      <c r="F2" s="529"/>
      <c r="G2" s="529"/>
      <c r="H2" s="529"/>
      <c r="N2" s="238"/>
      <c r="P2" s="238"/>
      <c r="T2" s="238"/>
      <c r="V2" s="1229"/>
      <c r="W2" s="529"/>
      <c r="X2" s="529"/>
      <c r="Y2" s="529"/>
      <c r="Z2" s="529"/>
    </row>
    <row r="3" spans="1:27" ht="45" customHeight="1">
      <c r="B3" s="2807" t="s">
        <v>16229</v>
      </c>
      <c r="C3" s="2807"/>
      <c r="D3" s="2807"/>
      <c r="E3" s="2807"/>
      <c r="F3" s="2807"/>
      <c r="G3" s="2807"/>
      <c r="H3" s="2807"/>
      <c r="I3" s="2807"/>
      <c r="J3" s="2807"/>
      <c r="K3" s="2807"/>
      <c r="L3" s="2807"/>
      <c r="M3" s="261"/>
      <c r="N3" s="238"/>
      <c r="O3" s="1240" t="s">
        <v>7222</v>
      </c>
      <c r="P3" s="238"/>
      <c r="T3" s="238"/>
      <c r="V3" s="2807" t="s">
        <v>16229</v>
      </c>
      <c r="W3" s="2807"/>
      <c r="X3" s="2807"/>
      <c r="Y3" s="2807"/>
      <c r="Z3" s="2807"/>
      <c r="AA3" s="2807"/>
    </row>
    <row r="4" spans="1:27" ht="14.25" customHeight="1" thickBot="1">
      <c r="B4" s="1274"/>
      <c r="C4" s="1274"/>
      <c r="D4" s="1274"/>
      <c r="E4" s="1274"/>
      <c r="F4" s="1274"/>
      <c r="G4" s="1274"/>
      <c r="H4" s="1274"/>
      <c r="I4" s="1274"/>
      <c r="J4" s="1274"/>
      <c r="K4" s="1274"/>
      <c r="L4" s="1275"/>
      <c r="M4" s="242"/>
      <c r="N4" s="238"/>
      <c r="P4" s="238"/>
      <c r="Q4" s="2895" t="s">
        <v>7223</v>
      </c>
      <c r="R4" s="2895"/>
      <c r="S4" s="2895"/>
      <c r="T4" s="238"/>
      <c r="V4" s="1274"/>
      <c r="W4" s="1274"/>
      <c r="X4" s="1274"/>
      <c r="Y4" s="1274"/>
      <c r="Z4" s="1274"/>
      <c r="AA4" s="1274"/>
    </row>
    <row r="5" spans="1:27" ht="46.5" thickTop="1" thickBot="1">
      <c r="A5" s="242"/>
      <c r="B5" s="445" t="s">
        <v>7224</v>
      </c>
      <c r="C5" s="446" t="s">
        <v>7225</v>
      </c>
      <c r="D5" s="446" t="s">
        <v>670</v>
      </c>
      <c r="E5" s="446" t="s">
        <v>14699</v>
      </c>
      <c r="F5" s="446" t="s">
        <v>14700</v>
      </c>
      <c r="G5" s="447" t="s">
        <v>16230</v>
      </c>
      <c r="H5" s="242"/>
      <c r="I5" s="261"/>
      <c r="J5" s="449" t="s">
        <v>7229</v>
      </c>
      <c r="K5" s="261"/>
      <c r="L5" s="449" t="s">
        <v>7230</v>
      </c>
      <c r="M5" s="261"/>
      <c r="N5" s="238"/>
      <c r="P5" s="238"/>
      <c r="Q5" s="269" t="s">
        <v>7231</v>
      </c>
      <c r="R5" s="269"/>
      <c r="T5" s="238"/>
      <c r="V5" s="445" t="s">
        <v>7224</v>
      </c>
      <c r="W5" s="446" t="s">
        <v>14699</v>
      </c>
      <c r="X5" s="446" t="s">
        <v>14700</v>
      </c>
      <c r="Y5" s="447" t="s">
        <v>16230</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16231</v>
      </c>
      <c r="C7" s="482"/>
      <c r="D7" s="482"/>
      <c r="E7" s="455"/>
      <c r="F7" s="455"/>
      <c r="G7" s="455"/>
      <c r="H7" s="455"/>
      <c r="I7" s="261"/>
      <c r="J7" s="242"/>
      <c r="K7" s="261"/>
      <c r="L7" s="727"/>
      <c r="M7" s="261"/>
      <c r="N7" s="238"/>
      <c r="P7" s="238"/>
      <c r="T7" s="238"/>
      <c r="V7" s="784" t="s">
        <v>16231</v>
      </c>
      <c r="W7" s="455"/>
      <c r="X7" s="455"/>
      <c r="Y7" s="455"/>
      <c r="Z7" s="455"/>
      <c r="AA7" s="261"/>
    </row>
    <row r="8" spans="1:27" ht="15.75" customHeight="1" thickTop="1">
      <c r="A8" s="242"/>
      <c r="B8" s="451" t="s">
        <v>16232</v>
      </c>
      <c r="C8" s="277" t="s">
        <v>681</v>
      </c>
      <c r="D8" s="277">
        <v>3</v>
      </c>
      <c r="E8" s="891">
        <v>3.0000000000000001E-3</v>
      </c>
      <c r="F8" s="891">
        <v>1E-3</v>
      </c>
      <c r="G8" s="1276">
        <v>3.718</v>
      </c>
      <c r="H8" s="83"/>
      <c r="I8" s="261"/>
      <c r="J8" s="1040" t="s">
        <v>16233</v>
      </c>
      <c r="K8" s="261"/>
      <c r="L8" s="1277"/>
      <c r="M8" s="261"/>
      <c r="N8" s="238"/>
      <c r="O8" s="1232">
        <f>IF( SUM( Q8:S8 ) = 0, 0, $Q$5 )</f>
        <v>0</v>
      </c>
      <c r="P8" s="238"/>
      <c r="Q8" s="285">
        <f t="shared" ref="Q8:S12" si="0" xml:space="preserve"> IF( ISNUMBER(E8 ), 0, 1 )</f>
        <v>0</v>
      </c>
      <c r="R8" s="285">
        <f t="shared" si="0"/>
        <v>0</v>
      </c>
      <c r="S8" s="285">
        <f t="shared" si="0"/>
        <v>0</v>
      </c>
      <c r="T8" s="238"/>
      <c r="V8" s="451" t="s">
        <v>16232</v>
      </c>
      <c r="W8" s="891" t="s">
        <v>16234</v>
      </c>
      <c r="X8" s="891" t="s">
        <v>16235</v>
      </c>
      <c r="Y8" s="1276" t="s">
        <v>16236</v>
      </c>
      <c r="Z8" s="383"/>
      <c r="AA8" s="261"/>
    </row>
    <row r="9" spans="1:27" ht="15.75" customHeight="1">
      <c r="A9" s="242"/>
      <c r="B9" s="460" t="s">
        <v>16237</v>
      </c>
      <c r="C9" s="286" t="s">
        <v>681</v>
      </c>
      <c r="D9" s="286">
        <v>3</v>
      </c>
      <c r="E9" s="892">
        <v>0</v>
      </c>
      <c r="F9" s="892">
        <v>0</v>
      </c>
      <c r="G9" s="1266">
        <v>1.01</v>
      </c>
      <c r="H9" s="83"/>
      <c r="I9" s="261"/>
      <c r="J9" s="1041" t="s">
        <v>16238</v>
      </c>
      <c r="K9" s="261"/>
      <c r="L9" s="1278"/>
      <c r="M9" s="261"/>
      <c r="N9" s="238"/>
      <c r="O9" s="1232">
        <f t="shared" ref="O9:O11" si="1">IF( SUM( Q9:S9 ) = 0, 0, $Q$5 )</f>
        <v>0</v>
      </c>
      <c r="P9" s="238"/>
      <c r="Q9" s="285">
        <f t="shared" si="0"/>
        <v>0</v>
      </c>
      <c r="R9" s="285">
        <f t="shared" si="0"/>
        <v>0</v>
      </c>
      <c r="S9" s="285">
        <f t="shared" si="0"/>
        <v>0</v>
      </c>
      <c r="T9" s="238"/>
      <c r="V9" s="460" t="s">
        <v>16237</v>
      </c>
      <c r="W9" s="892" t="s">
        <v>16239</v>
      </c>
      <c r="X9" s="892" t="s">
        <v>16240</v>
      </c>
      <c r="Y9" s="1266" t="s">
        <v>16241</v>
      </c>
      <c r="Z9" s="383"/>
      <c r="AA9" s="261"/>
    </row>
    <row r="10" spans="1:27" ht="15.75" customHeight="1">
      <c r="A10" s="242"/>
      <c r="B10" s="460" t="s">
        <v>16242</v>
      </c>
      <c r="C10" s="286" t="s">
        <v>681</v>
      </c>
      <c r="D10" s="286">
        <v>3</v>
      </c>
      <c r="E10" s="892">
        <v>1E-3</v>
      </c>
      <c r="F10" s="892">
        <v>2E-3</v>
      </c>
      <c r="G10" s="1266">
        <v>4.0000000000000001E-3</v>
      </c>
      <c r="H10" s="83"/>
      <c r="I10" s="261"/>
      <c r="J10" s="1041" t="s">
        <v>16243</v>
      </c>
      <c r="K10" s="261"/>
      <c r="L10" s="1278"/>
      <c r="M10" s="261"/>
      <c r="N10" s="238"/>
      <c r="O10" s="1232">
        <f t="shared" si="1"/>
        <v>0</v>
      </c>
      <c r="P10" s="238"/>
      <c r="Q10" s="285">
        <f t="shared" si="0"/>
        <v>0</v>
      </c>
      <c r="R10" s="285">
        <f t="shared" si="0"/>
        <v>0</v>
      </c>
      <c r="S10" s="285">
        <f t="shared" si="0"/>
        <v>0</v>
      </c>
      <c r="T10" s="238"/>
      <c r="V10" s="460" t="s">
        <v>16242</v>
      </c>
      <c r="W10" s="892" t="s">
        <v>16244</v>
      </c>
      <c r="X10" s="892" t="s">
        <v>16245</v>
      </c>
      <c r="Y10" s="1266" t="s">
        <v>16246</v>
      </c>
      <c r="Z10" s="383"/>
      <c r="AA10" s="261"/>
    </row>
    <row r="11" spans="1:27" ht="15.75" customHeight="1">
      <c r="A11" s="242"/>
      <c r="B11" s="460" t="s">
        <v>16247</v>
      </c>
      <c r="C11" s="286" t="s">
        <v>681</v>
      </c>
      <c r="D11" s="286">
        <v>3</v>
      </c>
      <c r="E11" s="892">
        <v>5.0000000000000001E-3</v>
      </c>
      <c r="F11" s="892">
        <v>0</v>
      </c>
      <c r="G11" s="1266">
        <v>1.5529999999999999</v>
      </c>
      <c r="H11" s="83"/>
      <c r="I11" s="261"/>
      <c r="J11" s="1041" t="s">
        <v>16248</v>
      </c>
      <c r="K11" s="261"/>
      <c r="L11" s="1278"/>
      <c r="M11" s="261"/>
      <c r="N11" s="238"/>
      <c r="O11" s="1232">
        <f t="shared" si="1"/>
        <v>0</v>
      </c>
      <c r="P11" s="238"/>
      <c r="Q11" s="285">
        <f t="shared" si="0"/>
        <v>0</v>
      </c>
      <c r="R11" s="285">
        <f t="shared" si="0"/>
        <v>0</v>
      </c>
      <c r="S11" s="285">
        <f t="shared" si="0"/>
        <v>0</v>
      </c>
      <c r="T11" s="238"/>
      <c r="V11" s="460" t="s">
        <v>16247</v>
      </c>
      <c r="W11" s="892" t="s">
        <v>16249</v>
      </c>
      <c r="X11" s="892" t="s">
        <v>16250</v>
      </c>
      <c r="Y11" s="1266" t="s">
        <v>16251</v>
      </c>
      <c r="Z11" s="383"/>
      <c r="AA11" s="261"/>
    </row>
    <row r="12" spans="1:27" ht="15.75" customHeight="1" thickBot="1">
      <c r="A12" s="242"/>
      <c r="B12" s="463" t="s">
        <v>16252</v>
      </c>
      <c r="C12" s="355" t="s">
        <v>681</v>
      </c>
      <c r="D12" s="355">
        <v>3</v>
      </c>
      <c r="E12" s="2604">
        <v>3.1E-2</v>
      </c>
      <c r="F12" s="2604">
        <v>0</v>
      </c>
      <c r="G12" s="2426">
        <v>0.11600000000000001</v>
      </c>
      <c r="H12" s="83"/>
      <c r="I12" s="261"/>
      <c r="J12" s="1043" t="s">
        <v>16253</v>
      </c>
      <c r="K12" s="261"/>
      <c r="L12" s="1278"/>
      <c r="M12" s="261"/>
      <c r="N12" s="238"/>
      <c r="O12" s="1232">
        <f t="shared" ref="O12" si="2">IF( SUM( Q12:S12 ) = 0, 0, $Q$5 )</f>
        <v>0</v>
      </c>
      <c r="P12" s="238"/>
      <c r="Q12" s="285">
        <f t="shared" si="0"/>
        <v>0</v>
      </c>
      <c r="R12" s="285">
        <f t="shared" si="0"/>
        <v>0</v>
      </c>
      <c r="S12" s="285">
        <f t="shared" si="0"/>
        <v>0</v>
      </c>
      <c r="T12" s="238"/>
      <c r="V12" s="460" t="s">
        <v>16252</v>
      </c>
      <c r="W12" s="892" t="s">
        <v>16254</v>
      </c>
      <c r="X12" s="892" t="s">
        <v>16255</v>
      </c>
      <c r="Y12" s="1266" t="s">
        <v>16256</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16257</v>
      </c>
      <c r="C14" s="482"/>
      <c r="D14" s="482"/>
      <c r="E14" s="455"/>
      <c r="F14" s="455"/>
      <c r="G14" s="455"/>
      <c r="H14" s="455"/>
      <c r="I14" s="242"/>
      <c r="J14" s="242"/>
      <c r="K14" s="242"/>
      <c r="L14" s="1280"/>
      <c r="M14" s="242"/>
      <c r="N14" s="238"/>
      <c r="P14" s="238"/>
      <c r="T14" s="238"/>
      <c r="V14" s="393" t="s">
        <v>16257</v>
      </c>
      <c r="W14" s="455"/>
      <c r="X14" s="455"/>
      <c r="Y14" s="455"/>
      <c r="Z14" s="455"/>
    </row>
    <row r="15" spans="1:27" ht="15.75" customHeight="1" thickTop="1">
      <c r="A15" s="242"/>
      <c r="B15" s="451" t="s">
        <v>16258</v>
      </c>
      <c r="C15" s="277" t="s">
        <v>3222</v>
      </c>
      <c r="D15" s="277">
        <v>3</v>
      </c>
      <c r="E15" s="891">
        <v>1.2999999999999999E-2</v>
      </c>
      <c r="F15" s="891">
        <v>7.0000000000000001E-3</v>
      </c>
      <c r="G15" s="1276">
        <v>16.302</v>
      </c>
      <c r="H15" s="83"/>
      <c r="I15" s="242"/>
      <c r="J15" s="1040" t="s">
        <v>16259</v>
      </c>
      <c r="K15" s="1281"/>
      <c r="L15" s="1282"/>
      <c r="M15" s="1281"/>
      <c r="N15" s="238"/>
      <c r="O15" s="1232">
        <f t="shared" ref="O15:O30" si="3">IF( SUM( Q15:S15 ) = 0, 0, $Q$5 )</f>
        <v>0</v>
      </c>
      <c r="P15" s="238"/>
      <c r="Q15" s="285">
        <f t="shared" ref="Q15:S19" si="4" xml:space="preserve"> IF( ISNUMBER(E15 ), 0, 1 )</f>
        <v>0</v>
      </c>
      <c r="R15" s="285">
        <f t="shared" si="4"/>
        <v>0</v>
      </c>
      <c r="S15" s="285">
        <f t="shared" si="4"/>
        <v>0</v>
      </c>
      <c r="T15" s="238"/>
      <c r="V15" s="451" t="s">
        <v>16258</v>
      </c>
      <c r="W15" s="891" t="s">
        <v>16260</v>
      </c>
      <c r="X15" s="891" t="s">
        <v>16261</v>
      </c>
      <c r="Y15" s="1276" t="s">
        <v>16262</v>
      </c>
      <c r="Z15" s="383"/>
    </row>
    <row r="16" spans="1:27" ht="15.75" customHeight="1">
      <c r="A16" s="242"/>
      <c r="B16" s="460" t="s">
        <v>16263</v>
      </c>
      <c r="C16" s="286" t="s">
        <v>3222</v>
      </c>
      <c r="D16" s="286">
        <v>3</v>
      </c>
      <c r="E16" s="892">
        <v>1E-3</v>
      </c>
      <c r="F16" s="892">
        <v>0</v>
      </c>
      <c r="G16" s="1266">
        <v>12.805999999999999</v>
      </c>
      <c r="H16" s="83"/>
      <c r="I16" s="242"/>
      <c r="J16" s="1041" t="s">
        <v>16264</v>
      </c>
      <c r="K16" s="1281"/>
      <c r="L16" s="1283"/>
      <c r="M16" s="1281"/>
      <c r="N16" s="238"/>
      <c r="O16" s="1232">
        <f t="shared" si="3"/>
        <v>0</v>
      </c>
      <c r="P16" s="238"/>
      <c r="Q16" s="285">
        <f t="shared" si="4"/>
        <v>0</v>
      </c>
      <c r="R16" s="285">
        <f t="shared" si="4"/>
        <v>0</v>
      </c>
      <c r="S16" s="285">
        <f t="shared" si="4"/>
        <v>0</v>
      </c>
      <c r="T16" s="238"/>
      <c r="V16" s="460" t="s">
        <v>16263</v>
      </c>
      <c r="W16" s="892" t="s">
        <v>16265</v>
      </c>
      <c r="X16" s="892" t="s">
        <v>16266</v>
      </c>
      <c r="Y16" s="1266" t="s">
        <v>16267</v>
      </c>
      <c r="Z16" s="383"/>
    </row>
    <row r="17" spans="1:26" ht="15.75" customHeight="1">
      <c r="A17" s="242"/>
      <c r="B17" s="460" t="s">
        <v>16268</v>
      </c>
      <c r="C17" s="286" t="s">
        <v>3222</v>
      </c>
      <c r="D17" s="286">
        <v>3</v>
      </c>
      <c r="E17" s="892">
        <v>5.0000000000000001E-3</v>
      </c>
      <c r="F17" s="892">
        <v>0</v>
      </c>
      <c r="G17" s="1266">
        <v>2.1000000000000001E-2</v>
      </c>
      <c r="H17" s="83"/>
      <c r="I17" s="242"/>
      <c r="J17" s="1041" t="s">
        <v>16269</v>
      </c>
      <c r="K17" s="1281"/>
      <c r="L17" s="1283"/>
      <c r="M17" s="1281"/>
      <c r="N17" s="238"/>
      <c r="O17" s="1232">
        <f t="shared" si="3"/>
        <v>0</v>
      </c>
      <c r="P17" s="238"/>
      <c r="Q17" s="285">
        <f t="shared" si="4"/>
        <v>0</v>
      </c>
      <c r="R17" s="285">
        <f t="shared" si="4"/>
        <v>0</v>
      </c>
      <c r="S17" s="285">
        <f t="shared" si="4"/>
        <v>0</v>
      </c>
      <c r="T17" s="238"/>
      <c r="V17" s="460" t="s">
        <v>16268</v>
      </c>
      <c r="W17" s="892" t="s">
        <v>16270</v>
      </c>
      <c r="X17" s="892" t="s">
        <v>16271</v>
      </c>
      <c r="Y17" s="1266" t="s">
        <v>16272</v>
      </c>
      <c r="Z17" s="383"/>
    </row>
    <row r="18" spans="1:26" ht="15.75" customHeight="1">
      <c r="A18" s="242"/>
      <c r="B18" s="460" t="s">
        <v>16273</v>
      </c>
      <c r="C18" s="286" t="s">
        <v>3222</v>
      </c>
      <c r="D18" s="286">
        <v>3</v>
      </c>
      <c r="E18" s="892">
        <v>4.4999999999999998E-2</v>
      </c>
      <c r="F18" s="892">
        <v>3.0000000000000001E-3</v>
      </c>
      <c r="G18" s="1266">
        <v>17.425999999999998</v>
      </c>
      <c r="H18" s="83"/>
      <c r="I18" s="242"/>
      <c r="J18" s="1041" t="s">
        <v>16274</v>
      </c>
      <c r="K18" s="1281"/>
      <c r="L18" s="1283"/>
      <c r="M18" s="1281"/>
      <c r="N18" s="238"/>
      <c r="O18" s="1232">
        <f t="shared" si="3"/>
        <v>0</v>
      </c>
      <c r="P18" s="238"/>
      <c r="Q18" s="285">
        <f t="shared" si="4"/>
        <v>0</v>
      </c>
      <c r="R18" s="285">
        <f t="shared" si="4"/>
        <v>0</v>
      </c>
      <c r="S18" s="285">
        <f t="shared" si="4"/>
        <v>0</v>
      </c>
      <c r="T18" s="238"/>
      <c r="V18" s="460" t="s">
        <v>16273</v>
      </c>
      <c r="W18" s="892" t="s">
        <v>16275</v>
      </c>
      <c r="X18" s="892" t="s">
        <v>16276</v>
      </c>
      <c r="Y18" s="1266" t="s">
        <v>16277</v>
      </c>
      <c r="Z18" s="383"/>
    </row>
    <row r="19" spans="1:26" ht="15.75" customHeight="1">
      <c r="A19" s="242"/>
      <c r="B19" s="460" t="s">
        <v>16278</v>
      </c>
      <c r="C19" s="286" t="s">
        <v>3222</v>
      </c>
      <c r="D19" s="286">
        <v>3</v>
      </c>
      <c r="E19" s="892">
        <v>0.27300000000000002</v>
      </c>
      <c r="F19" s="892">
        <v>0</v>
      </c>
      <c r="G19" s="1266">
        <v>1.1539999999999999</v>
      </c>
      <c r="H19" s="83"/>
      <c r="I19" s="242"/>
      <c r="J19" s="1041" t="s">
        <v>16279</v>
      </c>
      <c r="K19" s="1281"/>
      <c r="L19" s="1283"/>
      <c r="M19" s="1281"/>
      <c r="N19" s="238"/>
      <c r="O19" s="1232">
        <f t="shared" si="3"/>
        <v>0</v>
      </c>
      <c r="P19" s="238"/>
      <c r="Q19" s="285">
        <f t="shared" si="4"/>
        <v>0</v>
      </c>
      <c r="R19" s="285">
        <f t="shared" si="4"/>
        <v>0</v>
      </c>
      <c r="S19" s="285">
        <f t="shared" si="4"/>
        <v>0</v>
      </c>
      <c r="T19" s="238"/>
      <c r="V19" s="460" t="s">
        <v>16278</v>
      </c>
      <c r="W19" s="892" t="s">
        <v>16280</v>
      </c>
      <c r="X19" s="892" t="s">
        <v>16281</v>
      </c>
      <c r="Y19" s="1266" t="s">
        <v>16282</v>
      </c>
      <c r="Z19" s="383"/>
    </row>
    <row r="20" spans="1:26" ht="15.75" customHeight="1">
      <c r="A20" s="242"/>
      <c r="B20" s="2432" t="s">
        <v>16283</v>
      </c>
      <c r="C20" s="286" t="s">
        <v>3222</v>
      </c>
      <c r="D20" s="286">
        <v>3</v>
      </c>
      <c r="E20" s="1285"/>
      <c r="F20" s="892">
        <v>1E-3</v>
      </c>
      <c r="G20" s="1266">
        <v>15.997</v>
      </c>
      <c r="H20" s="83"/>
      <c r="I20" s="242"/>
      <c r="J20" s="1041" t="s">
        <v>16284</v>
      </c>
      <c r="K20" s="1281"/>
      <c r="L20" s="1283"/>
      <c r="M20" s="1281"/>
      <c r="N20" s="238"/>
      <c r="O20" s="1232">
        <f>IF( SUM( Q20:S20 ) = 0, 0, $Q$5 )</f>
        <v>0</v>
      </c>
      <c r="P20" s="238"/>
      <c r="Q20" s="285"/>
      <c r="R20" s="285">
        <f xml:space="preserve"> IF( ISNUMBER(F20 ), 0, 1 )</f>
        <v>0</v>
      </c>
      <c r="S20" s="285">
        <f xml:space="preserve"> IF( ISNUMBER(G20 ), 0, 1 )</f>
        <v>0</v>
      </c>
      <c r="T20" s="238"/>
      <c r="V20" s="460" t="s">
        <v>16285</v>
      </c>
      <c r="W20" s="1285"/>
      <c r="X20" s="892" t="s">
        <v>3220</v>
      </c>
      <c r="Y20" s="1266" t="s">
        <v>3223</v>
      </c>
      <c r="Z20" s="383"/>
    </row>
    <row r="21" spans="1:26" ht="15.75" customHeight="1">
      <c r="A21" s="242"/>
      <c r="B21" s="2432" t="s">
        <v>16286</v>
      </c>
      <c r="C21" s="286" t="s">
        <v>3222</v>
      </c>
      <c r="D21" s="286">
        <v>3</v>
      </c>
      <c r="E21" s="1285"/>
      <c r="F21" s="1285"/>
      <c r="G21" s="1266">
        <v>1.1100000000000001</v>
      </c>
      <c r="H21" s="83"/>
      <c r="I21" s="242"/>
      <c r="J21" s="1041" t="s">
        <v>16287</v>
      </c>
      <c r="K21" s="1281"/>
      <c r="L21" s="1283"/>
      <c r="M21" s="1281"/>
      <c r="N21" s="238"/>
      <c r="O21" s="1232">
        <f>IF( SUM( Q21:S21 ) = 0, 0, $Q$5 )</f>
        <v>0</v>
      </c>
      <c r="P21" s="238"/>
      <c r="Q21" s="285"/>
      <c r="R21" s="285"/>
      <c r="S21" s="285">
        <f xml:space="preserve"> IF( ISNUMBER(G21 ), 0, 1 )</f>
        <v>0</v>
      </c>
      <c r="T21" s="238"/>
      <c r="V21" s="460" t="s">
        <v>16288</v>
      </c>
      <c r="W21" s="1285"/>
      <c r="X21" s="1285"/>
      <c r="Y21" s="1266" t="s">
        <v>3225</v>
      </c>
      <c r="Z21" s="383"/>
    </row>
    <row r="22" spans="1:26" ht="15.75" customHeight="1">
      <c r="A22" s="242"/>
      <c r="B22" s="2432" t="s">
        <v>16289</v>
      </c>
      <c r="C22" s="286" t="s">
        <v>3222</v>
      </c>
      <c r="D22" s="286">
        <v>3</v>
      </c>
      <c r="E22" s="1285"/>
      <c r="F22" s="892">
        <v>0</v>
      </c>
      <c r="G22" s="1266">
        <v>1.0880000000000001</v>
      </c>
      <c r="H22" s="83"/>
      <c r="I22" s="242"/>
      <c r="J22" s="1041" t="s">
        <v>16290</v>
      </c>
      <c r="K22" s="1281"/>
      <c r="L22" s="1283"/>
      <c r="M22" s="1281"/>
      <c r="N22" s="238"/>
      <c r="O22" s="1232">
        <f>IF( SUM( Q22:S22 ) = 0, 0, $Q$5 )</f>
        <v>0</v>
      </c>
      <c r="P22" s="238"/>
      <c r="Q22" s="285"/>
      <c r="R22" s="285">
        <f xml:space="preserve"> IF( ISNUMBER(F22 ), 0, 1 )</f>
        <v>0</v>
      </c>
      <c r="S22" s="285">
        <f xml:space="preserve"> IF( ISNUMBER(G22 ), 0, 1 )</f>
        <v>0</v>
      </c>
      <c r="T22" s="238"/>
      <c r="V22" s="460" t="s">
        <v>16289</v>
      </c>
      <c r="W22" s="1285"/>
      <c r="X22" s="892" t="s">
        <v>3227</v>
      </c>
      <c r="Y22" s="1266" t="s">
        <v>3229</v>
      </c>
      <c r="Z22" s="383"/>
    </row>
    <row r="23" spans="1:26" ht="15.75" customHeight="1">
      <c r="A23" s="242"/>
      <c r="B23" s="2432" t="s">
        <v>16291</v>
      </c>
      <c r="C23" s="286" t="s">
        <v>3222</v>
      </c>
      <c r="D23" s="286">
        <v>3</v>
      </c>
      <c r="E23" s="1285"/>
      <c r="F23" s="1285"/>
      <c r="G23" s="1266">
        <v>0.02</v>
      </c>
      <c r="H23" s="83"/>
      <c r="I23" s="242"/>
      <c r="J23" s="1041" t="s">
        <v>16292</v>
      </c>
      <c r="K23" s="1281"/>
      <c r="L23" s="1283"/>
      <c r="M23" s="1281"/>
      <c r="N23" s="238"/>
      <c r="O23" s="1232">
        <f>IF( SUM( Q23:S23 ) = 0, 0, $Q$5 )</f>
        <v>0</v>
      </c>
      <c r="P23" s="238"/>
      <c r="Q23" s="285"/>
      <c r="R23" s="285"/>
      <c r="S23" s="285">
        <f xml:space="preserve"> IF( ISNUMBER(G23 ), 0, 1 )</f>
        <v>0</v>
      </c>
      <c r="T23" s="238"/>
      <c r="V23" s="460" t="s">
        <v>16291</v>
      </c>
      <c r="W23" s="1285"/>
      <c r="X23" s="1285"/>
      <c r="Y23" s="1266" t="s">
        <v>3231</v>
      </c>
      <c r="Z23" s="383"/>
    </row>
    <row r="24" spans="1:26" ht="15.75" customHeight="1">
      <c r="A24" s="242"/>
      <c r="B24" s="460" t="s">
        <v>16293</v>
      </c>
      <c r="C24" s="286" t="s">
        <v>3132</v>
      </c>
      <c r="D24" s="286">
        <v>2</v>
      </c>
      <c r="E24" s="1284">
        <v>0</v>
      </c>
      <c r="F24" s="1284">
        <v>0</v>
      </c>
      <c r="G24" s="1234">
        <v>1.28</v>
      </c>
      <c r="H24" s="83"/>
      <c r="I24" s="242"/>
      <c r="J24" s="1041" t="s">
        <v>16294</v>
      </c>
      <c r="K24" s="1281"/>
      <c r="L24" s="1283"/>
      <c r="M24" s="1281"/>
      <c r="N24" s="238"/>
      <c r="O24" s="1232">
        <f t="shared" si="3"/>
        <v>0</v>
      </c>
      <c r="P24" s="238"/>
      <c r="Q24" s="285">
        <f t="shared" ref="Q24:S25" si="5" xml:space="preserve"> IF( ISNUMBER(E24 ), 0, 1 )</f>
        <v>0</v>
      </c>
      <c r="R24" s="285">
        <f t="shared" si="5"/>
        <v>0</v>
      </c>
      <c r="S24" s="285">
        <f t="shared" si="5"/>
        <v>0</v>
      </c>
      <c r="T24" s="238"/>
      <c r="V24" s="460" t="s">
        <v>16293</v>
      </c>
      <c r="W24" s="1284" t="s">
        <v>16295</v>
      </c>
      <c r="X24" s="1284" t="s">
        <v>16296</v>
      </c>
      <c r="Y24" s="1234" t="s">
        <v>16297</v>
      </c>
      <c r="Z24" s="383"/>
    </row>
    <row r="25" spans="1:26" ht="15.75" customHeight="1">
      <c r="A25" s="242"/>
      <c r="B25" s="460" t="s">
        <v>16298</v>
      </c>
      <c r="C25" s="286" t="s">
        <v>3132</v>
      </c>
      <c r="D25" s="286">
        <v>2</v>
      </c>
      <c r="E25" s="1284">
        <v>0</v>
      </c>
      <c r="F25" s="1284">
        <v>0</v>
      </c>
      <c r="G25" s="1234">
        <v>0</v>
      </c>
      <c r="H25" s="83"/>
      <c r="I25" s="242"/>
      <c r="J25" s="1041" t="s">
        <v>16299</v>
      </c>
      <c r="K25" s="1281"/>
      <c r="L25" s="1283"/>
      <c r="M25" s="1281"/>
      <c r="N25" s="238"/>
      <c r="O25" s="1232">
        <f t="shared" si="3"/>
        <v>0</v>
      </c>
      <c r="P25" s="238"/>
      <c r="Q25" s="285">
        <f t="shared" si="5"/>
        <v>0</v>
      </c>
      <c r="R25" s="285">
        <f t="shared" si="5"/>
        <v>0</v>
      </c>
      <c r="S25" s="285">
        <f t="shared" si="5"/>
        <v>0</v>
      </c>
      <c r="T25" s="238"/>
      <c r="V25" s="460" t="s">
        <v>16298</v>
      </c>
      <c r="W25" s="1284" t="s">
        <v>16300</v>
      </c>
      <c r="X25" s="1284" t="s">
        <v>16301</v>
      </c>
      <c r="Y25" s="1234" t="s">
        <v>16302</v>
      </c>
      <c r="Z25" s="383"/>
    </row>
    <row r="26" spans="1:26" ht="26.25" customHeight="1">
      <c r="A26" s="242"/>
      <c r="B26" s="2432" t="s">
        <v>16303</v>
      </c>
      <c r="C26" s="286" t="s">
        <v>3132</v>
      </c>
      <c r="D26" s="286">
        <v>2</v>
      </c>
      <c r="E26" s="1285"/>
      <c r="F26" s="1284">
        <v>0</v>
      </c>
      <c r="G26" s="1234">
        <v>0.06</v>
      </c>
      <c r="H26" s="83"/>
      <c r="I26" s="242"/>
      <c r="J26" s="1041" t="s">
        <v>16304</v>
      </c>
      <c r="K26" s="1281"/>
      <c r="L26" s="1283"/>
      <c r="M26" s="1281"/>
      <c r="N26" s="238"/>
      <c r="O26" s="1232">
        <f>IF( SUM( Q26:S26 ) = 0, 0, $Q$5 )</f>
        <v>0</v>
      </c>
      <c r="P26" s="238"/>
      <c r="Q26" s="285"/>
      <c r="R26" s="285">
        <f xml:space="preserve"> IF( ISNUMBER(F26 ), 0, 1 )</f>
        <v>0</v>
      </c>
      <c r="S26" s="285">
        <f xml:space="preserve"> IF( ISNUMBER(G26 ), 0, 1 )</f>
        <v>0</v>
      </c>
      <c r="T26" s="238"/>
      <c r="V26" s="460" t="s">
        <v>16305</v>
      </c>
      <c r="W26" s="1285"/>
      <c r="X26" s="892" t="s">
        <v>3233</v>
      </c>
      <c r="Y26" s="1234" t="s">
        <v>3235</v>
      </c>
      <c r="Z26" s="383"/>
    </row>
    <row r="27" spans="1:26" ht="31.5" customHeight="1">
      <c r="A27" s="242"/>
      <c r="B27" s="2432" t="s">
        <v>16306</v>
      </c>
      <c r="C27" s="286" t="s">
        <v>3132</v>
      </c>
      <c r="D27" s="286">
        <v>2</v>
      </c>
      <c r="E27" s="1285"/>
      <c r="F27" s="1285"/>
      <c r="G27" s="1234">
        <v>0</v>
      </c>
      <c r="H27" s="83"/>
      <c r="I27" s="242"/>
      <c r="J27" s="1041" t="s">
        <v>16307</v>
      </c>
      <c r="K27" s="1281"/>
      <c r="L27" s="1283"/>
      <c r="M27" s="1281"/>
      <c r="N27" s="238"/>
      <c r="O27" s="1232">
        <f>IF( SUM( Q27:S27 ) = 0, 0, $Q$5 )</f>
        <v>0</v>
      </c>
      <c r="P27" s="238"/>
      <c r="Q27" s="285"/>
      <c r="R27" s="285"/>
      <c r="S27" s="285">
        <f xml:space="preserve"> IF( ISNUMBER(G27 ), 0, 1 )</f>
        <v>0</v>
      </c>
      <c r="T27" s="238"/>
      <c r="V27" s="460" t="s">
        <v>16308</v>
      </c>
      <c r="W27" s="1285"/>
      <c r="X27" s="1285"/>
      <c r="Y27" s="1234" t="s">
        <v>3237</v>
      </c>
      <c r="Z27" s="383"/>
    </row>
    <row r="28" spans="1:26" ht="25.5" customHeight="1">
      <c r="A28" s="242"/>
      <c r="B28" s="2432" t="s">
        <v>16309</v>
      </c>
      <c r="C28" s="286" t="s">
        <v>3132</v>
      </c>
      <c r="D28" s="286">
        <v>2</v>
      </c>
      <c r="E28" s="1285"/>
      <c r="F28" s="892">
        <v>0</v>
      </c>
      <c r="G28" s="1234">
        <v>0</v>
      </c>
      <c r="H28" s="83"/>
      <c r="I28" s="242"/>
      <c r="J28" s="1041" t="s">
        <v>16310</v>
      </c>
      <c r="K28" s="1281"/>
      <c r="L28" s="1283"/>
      <c r="M28" s="1281"/>
      <c r="N28" s="238"/>
      <c r="O28" s="1232">
        <f>IF( SUM( Q28:S28 ) = 0, 0, $Q$5 )</f>
        <v>0</v>
      </c>
      <c r="P28" s="238"/>
      <c r="Q28" s="285"/>
      <c r="R28" s="285">
        <f xml:space="preserve"> IF( ISNUMBER(F28 ), 0, 1 )</f>
        <v>0</v>
      </c>
      <c r="S28" s="285">
        <f xml:space="preserve"> IF( ISNUMBER(G28 ), 0, 1 )</f>
        <v>0</v>
      </c>
      <c r="T28" s="238"/>
      <c r="V28" s="460" t="s">
        <v>16309</v>
      </c>
      <c r="W28" s="1285"/>
      <c r="X28" s="892" t="s">
        <v>3239</v>
      </c>
      <c r="Y28" s="1234" t="s">
        <v>3241</v>
      </c>
      <c r="Z28" s="383"/>
    </row>
    <row r="29" spans="1:26" ht="33" customHeight="1">
      <c r="A29" s="242"/>
      <c r="B29" s="2432" t="s">
        <v>16311</v>
      </c>
      <c r="C29" s="286" t="s">
        <v>3132</v>
      </c>
      <c r="D29" s="286">
        <v>2</v>
      </c>
      <c r="E29" s="1285"/>
      <c r="F29" s="1285"/>
      <c r="G29" s="1234">
        <v>0</v>
      </c>
      <c r="H29" s="83"/>
      <c r="I29" s="242"/>
      <c r="J29" s="1041" t="s">
        <v>16312</v>
      </c>
      <c r="K29" s="1281"/>
      <c r="L29" s="1283"/>
      <c r="M29" s="1281"/>
      <c r="N29" s="238"/>
      <c r="O29" s="1232">
        <f>IF( SUM( Q29:S29 ) = 0, 0, $Q$5 )</f>
        <v>0</v>
      </c>
      <c r="P29" s="238"/>
      <c r="Q29" s="285"/>
      <c r="R29" s="285"/>
      <c r="S29" s="285">
        <f xml:space="preserve"> IF( ISNUMBER(G29 ), 0, 1 )</f>
        <v>0</v>
      </c>
      <c r="T29" s="238"/>
      <c r="V29" s="460" t="s">
        <v>16311</v>
      </c>
      <c r="W29" s="1285"/>
      <c r="X29" s="1285"/>
      <c r="Y29" s="1234" t="s">
        <v>3243</v>
      </c>
      <c r="Z29" s="383"/>
    </row>
    <row r="30" spans="1:26" ht="15.75" customHeight="1" thickBot="1">
      <c r="A30" s="242"/>
      <c r="B30" s="463" t="s">
        <v>16313</v>
      </c>
      <c r="C30" s="355" t="s">
        <v>3137</v>
      </c>
      <c r="D30" s="355">
        <v>1</v>
      </c>
      <c r="E30" s="1286">
        <v>45.2</v>
      </c>
      <c r="F30" s="1286">
        <v>4.5</v>
      </c>
      <c r="G30" s="1271">
        <v>3.3</v>
      </c>
      <c r="H30" s="83"/>
      <c r="I30" s="242"/>
      <c r="J30" s="1043" t="s">
        <v>16314</v>
      </c>
      <c r="K30" s="1281"/>
      <c r="L30" s="1287"/>
      <c r="M30" s="1281"/>
      <c r="N30" s="238"/>
      <c r="O30" s="1232">
        <f t="shared" si="3"/>
        <v>0</v>
      </c>
      <c r="P30" s="238"/>
      <c r="Q30" s="285">
        <f xml:space="preserve"> IF( ISNUMBER(E30 ), 0, 1 )</f>
        <v>0</v>
      </c>
      <c r="R30" s="285">
        <f xml:space="preserve"> IF( ISNUMBER(F30 ), 0, 1 )</f>
        <v>0</v>
      </c>
      <c r="S30" s="285">
        <f xml:space="preserve"> IF( ISNUMBER(G30 ), 0, 1 )</f>
        <v>0</v>
      </c>
      <c r="T30" s="238"/>
      <c r="V30" s="463" t="s">
        <v>16313</v>
      </c>
      <c r="W30" s="1286" t="s">
        <v>16315</v>
      </c>
      <c r="X30" s="1286" t="s">
        <v>16316</v>
      </c>
      <c r="Y30" s="1271" t="s">
        <v>16317</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16318</v>
      </c>
      <c r="C32" s="446" t="s">
        <v>7225</v>
      </c>
      <c r="D32" s="446" t="s">
        <v>670</v>
      </c>
      <c r="E32" s="446" t="s">
        <v>16319</v>
      </c>
      <c r="F32" s="446" t="s">
        <v>16320</v>
      </c>
      <c r="G32" s="447" t="s">
        <v>7445</v>
      </c>
      <c r="H32" s="242"/>
      <c r="I32" s="242"/>
      <c r="J32" s="242"/>
      <c r="K32" s="242"/>
      <c r="L32" s="1280"/>
      <c r="M32" s="242"/>
      <c r="N32" s="238"/>
      <c r="P32" s="238"/>
      <c r="T32" s="238"/>
      <c r="V32" s="1289" t="s">
        <v>16321</v>
      </c>
      <c r="W32" s="446" t="s">
        <v>16319</v>
      </c>
      <c r="X32" s="446" t="s">
        <v>16320</v>
      </c>
      <c r="Y32" s="447" t="s">
        <v>7445</v>
      </c>
    </row>
    <row r="33" spans="1:27" ht="15.75" customHeight="1" thickTop="1">
      <c r="A33" s="242"/>
      <c r="B33" s="451" t="s">
        <v>16322</v>
      </c>
      <c r="C33" s="277" t="s">
        <v>681</v>
      </c>
      <c r="D33" s="277">
        <v>3</v>
      </c>
      <c r="E33" s="891">
        <v>47.122999999999998</v>
      </c>
      <c r="F33" s="891">
        <v>2.8730000000000002</v>
      </c>
      <c r="G33" s="416">
        <f>SUM(E33:F33)</f>
        <v>49.995999999999995</v>
      </c>
      <c r="H33" s="242"/>
      <c r="I33" s="242"/>
      <c r="J33" s="1040" t="s">
        <v>16323</v>
      </c>
      <c r="K33" s="242"/>
      <c r="L33" s="1290"/>
      <c r="M33" s="242"/>
      <c r="N33" s="238"/>
      <c r="O33" s="1232">
        <f t="shared" ref="O33:O34" si="6">IF( SUM( Q33:S33 ) = 0, 0, $Q$5 )</f>
        <v>0</v>
      </c>
      <c r="P33" s="238"/>
      <c r="Q33" s="285">
        <f xml:space="preserve"> IF( ISNUMBER(E33 ), 0, 1 )</f>
        <v>0</v>
      </c>
      <c r="R33" s="285">
        <f xml:space="preserve"> IF( ISNUMBER(F33 ), 0, 1 )</f>
        <v>0</v>
      </c>
      <c r="T33" s="238"/>
      <c r="V33" s="451" t="s">
        <v>16324</v>
      </c>
      <c r="W33" s="891" t="s">
        <v>16325</v>
      </c>
      <c r="X33" s="891" t="s">
        <v>16326</v>
      </c>
      <c r="Y33" s="416" t="s">
        <v>16327</v>
      </c>
    </row>
    <row r="34" spans="1:27" ht="15.75" customHeight="1" thickBot="1">
      <c r="A34" s="242"/>
      <c r="B34" s="463" t="s">
        <v>16328</v>
      </c>
      <c r="C34" s="355" t="s">
        <v>3132</v>
      </c>
      <c r="D34" s="355">
        <v>2</v>
      </c>
      <c r="E34" s="1291"/>
      <c r="F34" s="1291"/>
      <c r="G34" s="1236">
        <v>15.31</v>
      </c>
      <c r="H34" s="242"/>
      <c r="I34" s="1293"/>
      <c r="J34" s="1043" t="s">
        <v>16329</v>
      </c>
      <c r="K34" s="242"/>
      <c r="L34" s="1294"/>
      <c r="M34" s="242"/>
      <c r="N34" s="238"/>
      <c r="O34" s="1232">
        <f t="shared" si="6"/>
        <v>0</v>
      </c>
      <c r="P34" s="238"/>
      <c r="S34" s="285">
        <f xml:space="preserve"> IF( ISNUMBER(G34 ), 0, 1 )</f>
        <v>0</v>
      </c>
      <c r="T34" s="238"/>
      <c r="V34" s="463" t="s">
        <v>16328</v>
      </c>
      <c r="W34" s="1291"/>
      <c r="X34" s="1291"/>
      <c r="Y34" s="1292" t="s">
        <v>16330</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16331</v>
      </c>
      <c r="C36" s="482"/>
      <c r="D36" s="482"/>
      <c r="E36" s="455"/>
      <c r="F36" s="455"/>
      <c r="G36" s="455"/>
      <c r="H36" s="455"/>
      <c r="I36" s="242"/>
      <c r="J36" s="242"/>
      <c r="K36" s="242"/>
      <c r="L36" s="1280"/>
      <c r="M36" s="242"/>
      <c r="N36" s="238"/>
      <c r="P36" s="238"/>
      <c r="T36" s="238"/>
      <c r="V36" s="393" t="s">
        <v>16331</v>
      </c>
      <c r="W36" s="455"/>
      <c r="X36" s="455"/>
      <c r="Y36" s="455"/>
      <c r="Z36" s="455"/>
    </row>
    <row r="37" spans="1:27" ht="15.75" customHeight="1" thickTop="1">
      <c r="A37" s="242"/>
      <c r="B37" s="451" t="s">
        <v>16332</v>
      </c>
      <c r="C37" s="277" t="s">
        <v>16333</v>
      </c>
      <c r="D37" s="277">
        <v>2</v>
      </c>
      <c r="E37" s="2433">
        <v>137.11000000000001</v>
      </c>
      <c r="F37" s="1967"/>
      <c r="G37" s="2434"/>
      <c r="H37" s="83"/>
      <c r="I37" s="242"/>
      <c r="J37" s="1040" t="s">
        <v>16334</v>
      </c>
      <c r="K37" s="242"/>
      <c r="L37" s="1290"/>
      <c r="M37" s="242"/>
      <c r="N37" s="238"/>
      <c r="O37" s="1232">
        <f t="shared" ref="O37:O38" si="7">IF( SUM( Q37:S37 ) = 0, 0, $Q$5 )</f>
        <v>0</v>
      </c>
      <c r="P37" s="238"/>
      <c r="Q37" s="285">
        <f t="shared" ref="Q37:Q38" si="8" xml:space="preserve"> IF( ISNUMBER(E37 ), 0, 1 )</f>
        <v>0</v>
      </c>
      <c r="T37" s="238"/>
      <c r="V37" s="451" t="s">
        <v>16335</v>
      </c>
      <c r="W37" s="2433" t="s">
        <v>16336</v>
      </c>
      <c r="X37" s="2437"/>
      <c r="Y37" s="2438"/>
      <c r="Z37" s="383"/>
    </row>
    <row r="38" spans="1:27" ht="15.75" customHeight="1" thickBot="1">
      <c r="A38" s="242"/>
      <c r="B38" s="463" t="s">
        <v>16337</v>
      </c>
      <c r="C38" s="355" t="s">
        <v>16333</v>
      </c>
      <c r="D38" s="355">
        <v>2</v>
      </c>
      <c r="E38" s="2435">
        <v>166.93</v>
      </c>
      <c r="F38" s="1969"/>
      <c r="G38" s="2436"/>
      <c r="H38" s="83"/>
      <c r="I38" s="242"/>
      <c r="J38" s="1043" t="s">
        <v>16338</v>
      </c>
      <c r="K38" s="242"/>
      <c r="L38" s="1294"/>
      <c r="M38" s="242"/>
      <c r="N38" s="238"/>
      <c r="O38" s="1232">
        <f t="shared" si="7"/>
        <v>0</v>
      </c>
      <c r="P38" s="238"/>
      <c r="Q38" s="285">
        <f t="shared" si="8"/>
        <v>0</v>
      </c>
      <c r="T38" s="238"/>
      <c r="V38" s="463" t="s">
        <v>16339</v>
      </c>
      <c r="W38" s="2435" t="s">
        <v>16340</v>
      </c>
      <c r="X38" s="2439"/>
      <c r="Y38" s="2440"/>
      <c r="Z38" s="383"/>
    </row>
    <row r="39" spans="1:27" ht="15.75" thickTop="1">
      <c r="A39" s="242"/>
      <c r="B39" s="242"/>
      <c r="C39" s="242"/>
      <c r="D39" s="242"/>
      <c r="E39" s="242"/>
      <c r="F39" s="242"/>
      <c r="G39" s="242"/>
      <c r="H39" s="242"/>
      <c r="I39" s="242"/>
      <c r="J39" s="242"/>
      <c r="K39" s="242"/>
      <c r="L39" s="1280"/>
      <c r="M39" s="242"/>
    </row>
    <row r="40" spans="1:27" ht="15">
      <c r="A40" s="242"/>
      <c r="B40" s="242"/>
      <c r="C40" s="242"/>
      <c r="D40" s="242"/>
      <c r="E40" s="242"/>
      <c r="F40" s="242"/>
      <c r="G40" s="242"/>
      <c r="H40" s="242"/>
      <c r="I40" s="242"/>
      <c r="J40" s="242"/>
      <c r="K40" s="242"/>
      <c r="L40" s="1280"/>
      <c r="M40" s="242"/>
    </row>
    <row r="41" spans="1:27" ht="15">
      <c r="A41" s="242"/>
      <c r="B41" s="242"/>
      <c r="C41" s="242"/>
      <c r="D41" s="242"/>
      <c r="E41" s="242"/>
      <c r="F41" s="242"/>
      <c r="G41" s="242"/>
      <c r="H41" s="242"/>
      <c r="I41" s="242"/>
      <c r="J41" s="242"/>
      <c r="K41" s="242"/>
      <c r="L41" s="1280"/>
      <c r="M41" s="242"/>
    </row>
    <row r="42" spans="1:27" ht="15">
      <c r="A42" s="242"/>
      <c r="B42" s="242"/>
      <c r="C42" s="242"/>
      <c r="D42" s="242"/>
      <c r="E42" s="242"/>
      <c r="F42" s="242"/>
      <c r="G42" s="242"/>
      <c r="H42" s="242"/>
      <c r="I42" s="242"/>
      <c r="J42" s="242"/>
      <c r="K42" s="242"/>
      <c r="L42" s="1280"/>
      <c r="M42" s="242"/>
    </row>
    <row r="43" spans="1:27" ht="15">
      <c r="A43" s="242"/>
      <c r="B43" s="242"/>
      <c r="C43" s="242"/>
      <c r="D43" s="242"/>
      <c r="E43" s="242"/>
      <c r="F43" s="242"/>
      <c r="G43" s="242"/>
      <c r="H43" s="242"/>
      <c r="I43" s="242"/>
      <c r="J43" s="242"/>
      <c r="K43" s="242"/>
      <c r="L43" s="1280"/>
      <c r="M43" s="242"/>
    </row>
    <row r="44" spans="1:27" ht="1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rgb="FF00B050"/>
    <pageSetUpPr fitToPage="1"/>
  </sheetPr>
  <dimension ref="B1:CJ76"/>
  <sheetViews>
    <sheetView showGridLines="0" showWhiteSpace="0" zoomScale="60" zoomScaleNormal="60" zoomScaleSheetLayoutView="100" workbookViewId="0">
      <selection activeCell="Y12" sqref="Y12"/>
    </sheetView>
  </sheetViews>
  <sheetFormatPr defaultColWidth="9" defaultRowHeight="14.25"/>
  <cols>
    <col min="1" max="1" width="9" style="1297"/>
    <col min="2" max="2" width="19.625" style="1297" bestFit="1" customWidth="1"/>
    <col min="3" max="3" width="31.875" style="1297" customWidth="1"/>
    <col min="4" max="4" width="12.625" style="1297" bestFit="1" customWidth="1"/>
    <col min="5" max="32" width="10.25" style="1297" customWidth="1"/>
    <col min="33" max="33" width="14" style="1297" customWidth="1"/>
    <col min="34" max="34" width="10.25" style="1297" customWidth="1"/>
    <col min="35" max="35" width="16" style="1297" customWidth="1"/>
    <col min="36" max="36" width="10.25" style="1297"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97" hidden="1" customWidth="1"/>
    <col min="88" max="88" width="1.25" style="1297" customWidth="1"/>
    <col min="89" max="16384" width="9" style="1297"/>
  </cols>
  <sheetData>
    <row r="1" spans="2:88" ht="22.5" customHeight="1">
      <c r="B1" s="989" t="s">
        <v>16341</v>
      </c>
      <c r="C1" s="1229"/>
      <c r="D1" s="1229"/>
      <c r="E1" s="1229"/>
      <c r="F1" s="1229"/>
      <c r="G1" s="1229"/>
      <c r="H1" s="1229"/>
      <c r="I1" s="1229"/>
      <c r="J1" s="307"/>
      <c r="K1" s="307"/>
      <c r="L1" s="307"/>
      <c r="M1" s="307"/>
      <c r="N1" s="307"/>
      <c r="AK1" s="238"/>
      <c r="AM1" s="238"/>
      <c r="BP1" s="238"/>
    </row>
    <row r="2" spans="2:88" ht="22.5" customHeight="1">
      <c r="B2" s="2879" t="str">
        <f>SelectCompany!B4</f>
        <v>Northumbrian Water</v>
      </c>
      <c r="C2" s="2879"/>
      <c r="D2" s="1229"/>
      <c r="E2" s="1298"/>
      <c r="F2" s="1298"/>
      <c r="G2" s="1298"/>
      <c r="H2" s="307"/>
      <c r="I2" s="307"/>
      <c r="J2" s="307"/>
      <c r="K2" s="307"/>
      <c r="L2" s="307"/>
      <c r="M2" s="307"/>
      <c r="N2" s="307"/>
      <c r="AK2" s="238"/>
      <c r="AM2" s="238"/>
      <c r="BP2" s="238"/>
    </row>
    <row r="3" spans="2:88" ht="19.350000000000001" customHeight="1">
      <c r="B3" s="2807" t="s">
        <v>16342</v>
      </c>
      <c r="C3" s="2807"/>
      <c r="D3" s="2807"/>
      <c r="E3" s="2807"/>
      <c r="F3" s="2807"/>
      <c r="G3" s="2807"/>
      <c r="H3" s="2807"/>
      <c r="I3" s="2807"/>
      <c r="J3" s="2807"/>
      <c r="K3" s="2807"/>
      <c r="L3" s="2807"/>
      <c r="M3" s="2807"/>
      <c r="N3" s="2807"/>
      <c r="O3" s="2807"/>
      <c r="P3" s="2807"/>
      <c r="Q3" s="2807"/>
      <c r="R3" s="2807"/>
      <c r="S3" s="2807"/>
      <c r="T3" s="2807"/>
      <c r="U3" s="2807"/>
      <c r="V3" s="2807"/>
      <c r="W3" s="2807"/>
      <c r="X3" s="2807"/>
      <c r="Y3" s="2807"/>
      <c r="Z3" s="2807"/>
      <c r="AA3" s="2807"/>
      <c r="AB3" s="2807"/>
      <c r="AC3" s="2807"/>
      <c r="AD3" s="2807"/>
      <c r="AE3" s="2807"/>
      <c r="AF3" s="2807"/>
      <c r="AG3" s="2807"/>
      <c r="AH3" s="2807"/>
      <c r="AI3" s="2807"/>
      <c r="AJ3" s="480"/>
      <c r="AK3" s="238"/>
      <c r="AL3" s="1240" t="s">
        <v>7222</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5" thickBot="1">
      <c r="AK4" s="238"/>
      <c r="AM4" s="238"/>
      <c r="AN4" s="2895" t="s">
        <v>7223</v>
      </c>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38"/>
    </row>
    <row r="5" spans="2:88" ht="15.6" customHeight="1" thickTop="1">
      <c r="B5" s="2896" t="s">
        <v>16343</v>
      </c>
      <c r="C5" s="2898" t="s">
        <v>16344</v>
      </c>
      <c r="D5" s="2900" t="s">
        <v>16345</v>
      </c>
      <c r="E5" s="74"/>
      <c r="F5" s="2896" t="s">
        <v>7721</v>
      </c>
      <c r="G5" s="2898"/>
      <c r="H5" s="2898"/>
      <c r="I5" s="2898"/>
      <c r="J5" s="2898"/>
      <c r="K5" s="2900"/>
      <c r="L5" s="74"/>
      <c r="M5" s="2896" t="s">
        <v>16346</v>
      </c>
      <c r="N5" s="2898"/>
      <c r="O5" s="2898"/>
      <c r="P5" s="2898"/>
      <c r="Q5" s="2898"/>
      <c r="R5" s="2900"/>
      <c r="S5" s="74"/>
      <c r="T5" s="2896" t="s">
        <v>16347</v>
      </c>
      <c r="U5" s="2898"/>
      <c r="V5" s="2898"/>
      <c r="W5" s="2898"/>
      <c r="X5" s="2898"/>
      <c r="Y5" s="2900"/>
      <c r="Z5" s="74"/>
      <c r="AA5" s="2896" t="s">
        <v>16348</v>
      </c>
      <c r="AB5" s="2898"/>
      <c r="AC5" s="2898"/>
      <c r="AD5" s="2898"/>
      <c r="AE5" s="2900"/>
      <c r="AF5" s="74"/>
      <c r="AG5" s="2902" t="s">
        <v>7229</v>
      </c>
      <c r="AH5" s="74"/>
      <c r="AI5" s="2902" t="s">
        <v>16349</v>
      </c>
      <c r="AJ5" s="1300"/>
      <c r="AK5" s="238"/>
      <c r="AM5" s="238"/>
      <c r="AN5" s="269" t="s">
        <v>7231</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897"/>
      <c r="C6" s="2899"/>
      <c r="D6" s="2901"/>
      <c r="E6" s="74"/>
      <c r="F6" s="2184" t="s">
        <v>7137</v>
      </c>
      <c r="G6" s="2185" t="s">
        <v>3639</v>
      </c>
      <c r="H6" s="2185" t="s">
        <v>7181</v>
      </c>
      <c r="I6" s="2185" t="s">
        <v>16350</v>
      </c>
      <c r="J6" s="2185" t="s">
        <v>16351</v>
      </c>
      <c r="K6" s="2186" t="s">
        <v>16352</v>
      </c>
      <c r="L6" s="74"/>
      <c r="M6" s="2184" t="s">
        <v>7137</v>
      </c>
      <c r="N6" s="2185" t="s">
        <v>3639</v>
      </c>
      <c r="O6" s="2185" t="s">
        <v>7181</v>
      </c>
      <c r="P6" s="2185" t="s">
        <v>16350</v>
      </c>
      <c r="Q6" s="2185" t="s">
        <v>16351</v>
      </c>
      <c r="R6" s="2186" t="s">
        <v>16352</v>
      </c>
      <c r="S6" s="74"/>
      <c r="T6" s="2184" t="s">
        <v>7137</v>
      </c>
      <c r="U6" s="2185" t="s">
        <v>3639</v>
      </c>
      <c r="V6" s="2185" t="s">
        <v>7181</v>
      </c>
      <c r="W6" s="2185" t="s">
        <v>16350</v>
      </c>
      <c r="X6" s="2185" t="s">
        <v>16351</v>
      </c>
      <c r="Y6" s="2186" t="s">
        <v>16352</v>
      </c>
      <c r="Z6" s="74"/>
      <c r="AA6" s="2187" t="s">
        <v>16353</v>
      </c>
      <c r="AB6" s="2182" t="s">
        <v>16354</v>
      </c>
      <c r="AC6" s="2182" t="s">
        <v>16355</v>
      </c>
      <c r="AD6" s="2182" t="s">
        <v>16356</v>
      </c>
      <c r="AE6" s="2183" t="s">
        <v>16357</v>
      </c>
      <c r="AF6" s="74"/>
      <c r="AG6" s="2903"/>
      <c r="AH6" s="74"/>
      <c r="AI6" s="2903"/>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7225</v>
      </c>
      <c r="C7" s="2182" t="s">
        <v>9911</v>
      </c>
      <c r="D7" s="2183" t="s">
        <v>16358</v>
      </c>
      <c r="E7" s="74"/>
      <c r="F7" s="2187" t="s">
        <v>681</v>
      </c>
      <c r="G7" s="2182" t="s">
        <v>681</v>
      </c>
      <c r="H7" s="2182" t="s">
        <v>681</v>
      </c>
      <c r="I7" s="2182" t="s">
        <v>681</v>
      </c>
      <c r="J7" s="2182" t="s">
        <v>681</v>
      </c>
      <c r="K7" s="2183" t="s">
        <v>681</v>
      </c>
      <c r="L7" s="74"/>
      <c r="M7" s="2187" t="s">
        <v>681</v>
      </c>
      <c r="N7" s="2182" t="s">
        <v>681</v>
      </c>
      <c r="O7" s="2182" t="s">
        <v>681</v>
      </c>
      <c r="P7" s="2182" t="s">
        <v>681</v>
      </c>
      <c r="Q7" s="2182" t="s">
        <v>681</v>
      </c>
      <c r="R7" s="2183" t="s">
        <v>681</v>
      </c>
      <c r="S7" s="74"/>
      <c r="T7" s="2187" t="s">
        <v>3132</v>
      </c>
      <c r="U7" s="2182" t="s">
        <v>3132</v>
      </c>
      <c r="V7" s="2182" t="s">
        <v>3132</v>
      </c>
      <c r="W7" s="2182" t="s">
        <v>3132</v>
      </c>
      <c r="X7" s="2182" t="s">
        <v>3132</v>
      </c>
      <c r="Y7" s="2183" t="s">
        <v>3132</v>
      </c>
      <c r="Z7" s="74"/>
      <c r="AA7" s="2187" t="s">
        <v>3217</v>
      </c>
      <c r="AB7" s="2182" t="s">
        <v>16359</v>
      </c>
      <c r="AC7" s="2182" t="s">
        <v>9911</v>
      </c>
      <c r="AD7" s="2182" t="s">
        <v>15645</v>
      </c>
      <c r="AE7" s="2183" t="s">
        <v>3623</v>
      </c>
      <c r="AF7" s="74"/>
      <c r="AG7" s="2903"/>
      <c r="AH7" s="74"/>
      <c r="AI7" s="2903"/>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5.75" thickBot="1">
      <c r="B8" s="2167" t="s">
        <v>670</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904"/>
      <c r="AH8" s="74"/>
      <c r="AI8" s="2904"/>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16360</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66.599999999999994" customHeight="1" thickTop="1">
      <c r="B12" s="2171" t="s">
        <v>16361</v>
      </c>
      <c r="C12" s="2173" t="s">
        <v>49</v>
      </c>
      <c r="D12" s="2104" t="s">
        <v>16362</v>
      </c>
      <c r="E12" s="1712"/>
      <c r="F12" s="2102">
        <v>0</v>
      </c>
      <c r="G12" s="2103">
        <v>0</v>
      </c>
      <c r="H12" s="2103">
        <v>0</v>
      </c>
      <c r="I12" s="2103">
        <v>0</v>
      </c>
      <c r="J12" s="2103">
        <v>0</v>
      </c>
      <c r="K12" s="2104">
        <v>0</v>
      </c>
      <c r="L12" s="1712"/>
      <c r="M12" s="2102">
        <v>0.58699999999999997</v>
      </c>
      <c r="N12" s="2103">
        <v>1.077</v>
      </c>
      <c r="O12" s="2103">
        <v>1.119</v>
      </c>
      <c r="P12" s="2103">
        <v>1.643</v>
      </c>
      <c r="Q12" s="2103">
        <v>1.643</v>
      </c>
      <c r="R12" s="2617">
        <v>0</v>
      </c>
      <c r="S12" s="1712"/>
      <c r="T12" s="2188">
        <v>0.33</v>
      </c>
      <c r="U12" s="2189">
        <v>1.01</v>
      </c>
      <c r="V12" s="2189">
        <v>2.2999999999999998</v>
      </c>
      <c r="W12" s="2189">
        <v>3.91</v>
      </c>
      <c r="X12" s="2189">
        <v>5.52</v>
      </c>
      <c r="Y12" s="2618">
        <v>0</v>
      </c>
      <c r="Z12" s="1712"/>
      <c r="AA12" s="2196">
        <v>0</v>
      </c>
      <c r="AB12" s="2197">
        <v>0</v>
      </c>
      <c r="AC12" s="2202" t="s">
        <v>16362</v>
      </c>
      <c r="AD12" s="2202" t="s">
        <v>16362</v>
      </c>
      <c r="AE12" s="2104" t="s">
        <v>16362</v>
      </c>
      <c r="AF12" s="74"/>
      <c r="AG12" s="95" t="s">
        <v>16363</v>
      </c>
      <c r="AH12" s="74"/>
      <c r="AI12" s="78"/>
      <c r="AJ12" s="1302"/>
      <c r="AK12" s="238"/>
      <c r="AL12" s="1232"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0</v>
      </c>
      <c r="BL12" s="285">
        <f t="shared" ref="BL12:BL61" si="19" xml:space="preserve"> IF( OR(ISNUMBER(AB12 ),$C12=""), 0, 1 )</f>
        <v>0</v>
      </c>
      <c r="BN12" s="285">
        <f t="shared" ref="BN12:BN61" si="20" xml:space="preserve"> IF( OR(ISNUMBER(AD12 ),$C12=""), 0, 1 )</f>
        <v>1</v>
      </c>
      <c r="BO12" s="285">
        <f t="shared" ref="BO12:BO61" si="21" xml:space="preserve"> IF( OR(ISNUMBER(AE12 ),$C12=""), 0, 1 )</f>
        <v>1</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 customHeight="1">
      <c r="B13" s="2172" t="s">
        <v>16364</v>
      </c>
      <c r="C13" s="2174"/>
      <c r="D13" s="2107"/>
      <c r="E13" s="1712"/>
      <c r="F13" s="2105"/>
      <c r="G13" s="2106"/>
      <c r="H13" s="2106"/>
      <c r="I13" s="2106"/>
      <c r="J13" s="2106"/>
      <c r="K13" s="2107"/>
      <c r="L13" s="1712"/>
      <c r="M13" s="2105"/>
      <c r="N13" s="2106"/>
      <c r="O13" s="2106"/>
      <c r="P13" s="2106"/>
      <c r="Q13" s="2106"/>
      <c r="R13" s="2107"/>
      <c r="S13" s="1712"/>
      <c r="T13" s="2190"/>
      <c r="U13" s="2191"/>
      <c r="V13" s="2191"/>
      <c r="W13" s="2191"/>
      <c r="X13" s="2191"/>
      <c r="Y13" s="2192"/>
      <c r="Z13" s="1712"/>
      <c r="AA13" s="2198"/>
      <c r="AB13" s="2199"/>
      <c r="AC13" s="2203"/>
      <c r="AD13" s="2203"/>
      <c r="AE13" s="2107"/>
      <c r="AF13" s="74"/>
      <c r="AG13" s="98" t="s">
        <v>16365</v>
      </c>
      <c r="AH13" s="74"/>
      <c r="AI13" s="79"/>
      <c r="AJ13" s="1303"/>
      <c r="AK13" s="238"/>
      <c r="AL13" s="1232">
        <f t="shared" ref="AL13:AL61" si="22">IF( SUM( AN13:BO13 ) = 0, 0, $AN$5 )</f>
        <v>0</v>
      </c>
      <c r="AM13" s="238"/>
      <c r="AN13" s="285">
        <f t="shared" ref="AN13:AN61" si="23" xml:space="preserve"> IF( OR(ISNUMBER(D13 ),$C13=""), 0, 1 )</f>
        <v>0</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0</v>
      </c>
      <c r="BL13" s="285">
        <f t="shared" si="19"/>
        <v>0</v>
      </c>
      <c r="BN13" s="285">
        <f t="shared" si="20"/>
        <v>0</v>
      </c>
      <c r="BO13" s="285">
        <f t="shared" si="21"/>
        <v>0</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16366</v>
      </c>
      <c r="C14" s="2174"/>
      <c r="D14" s="2107"/>
      <c r="E14" s="1712"/>
      <c r="F14" s="2105"/>
      <c r="G14" s="2106"/>
      <c r="H14" s="2106"/>
      <c r="I14" s="2106"/>
      <c r="J14" s="2106"/>
      <c r="K14" s="2107"/>
      <c r="L14" s="1712"/>
      <c r="M14" s="2105"/>
      <c r="N14" s="2106"/>
      <c r="O14" s="2106"/>
      <c r="P14" s="2106"/>
      <c r="Q14" s="2106"/>
      <c r="R14" s="2107"/>
      <c r="S14" s="1712"/>
      <c r="T14" s="2190"/>
      <c r="U14" s="2191"/>
      <c r="V14" s="2191"/>
      <c r="W14" s="2191"/>
      <c r="X14" s="2191"/>
      <c r="Y14" s="2192"/>
      <c r="Z14" s="1712"/>
      <c r="AA14" s="2198"/>
      <c r="AB14" s="2199"/>
      <c r="AC14" s="2203"/>
      <c r="AD14" s="2203"/>
      <c r="AE14" s="2107"/>
      <c r="AF14" s="74"/>
      <c r="AG14" s="98" t="s">
        <v>16367</v>
      </c>
      <c r="AH14" s="74"/>
      <c r="AI14" s="79"/>
      <c r="AJ14" s="1303"/>
      <c r="AK14" s="238"/>
      <c r="AL14" s="1232">
        <f t="shared" si="22"/>
        <v>0</v>
      </c>
      <c r="AM14" s="238"/>
      <c r="AN14" s="285">
        <f t="shared" si="23"/>
        <v>0</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0</v>
      </c>
      <c r="BL14" s="285">
        <f t="shared" si="19"/>
        <v>0</v>
      </c>
      <c r="BN14" s="285">
        <f t="shared" si="20"/>
        <v>0</v>
      </c>
      <c r="BO14" s="285">
        <f t="shared" si="21"/>
        <v>0</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16368</v>
      </c>
      <c r="C15" s="2174"/>
      <c r="D15" s="2107"/>
      <c r="E15" s="1712"/>
      <c r="F15" s="2105"/>
      <c r="G15" s="2106"/>
      <c r="H15" s="2106"/>
      <c r="I15" s="2106"/>
      <c r="J15" s="2106"/>
      <c r="K15" s="2107"/>
      <c r="L15" s="1712"/>
      <c r="M15" s="2105"/>
      <c r="N15" s="2106"/>
      <c r="O15" s="2106"/>
      <c r="P15" s="2106"/>
      <c r="Q15" s="2106"/>
      <c r="R15" s="2107"/>
      <c r="S15" s="1712"/>
      <c r="T15" s="2190"/>
      <c r="U15" s="2191"/>
      <c r="V15" s="2191"/>
      <c r="W15" s="2191"/>
      <c r="X15" s="2191"/>
      <c r="Y15" s="2192"/>
      <c r="Z15" s="1712"/>
      <c r="AA15" s="2198"/>
      <c r="AB15" s="2199"/>
      <c r="AC15" s="2203"/>
      <c r="AD15" s="2203"/>
      <c r="AE15" s="2107"/>
      <c r="AF15" s="74"/>
      <c r="AG15" s="98" t="s">
        <v>16369</v>
      </c>
      <c r="AH15" s="74"/>
      <c r="AI15" s="79"/>
      <c r="AJ15" s="1303"/>
      <c r="AK15" s="238"/>
      <c r="AL15" s="1232">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16370</v>
      </c>
      <c r="C16" s="2174"/>
      <c r="D16" s="2107"/>
      <c r="E16" s="1712"/>
      <c r="F16" s="2105"/>
      <c r="G16" s="2106"/>
      <c r="H16" s="2106"/>
      <c r="I16" s="2106"/>
      <c r="J16" s="2106"/>
      <c r="K16" s="2107"/>
      <c r="L16" s="1712"/>
      <c r="M16" s="2105"/>
      <c r="N16" s="2106"/>
      <c r="O16" s="2106"/>
      <c r="P16" s="2106"/>
      <c r="Q16" s="2106"/>
      <c r="R16" s="2107"/>
      <c r="S16" s="1712"/>
      <c r="T16" s="2190"/>
      <c r="U16" s="2191"/>
      <c r="V16" s="2191"/>
      <c r="W16" s="2191"/>
      <c r="X16" s="2191"/>
      <c r="Y16" s="2192"/>
      <c r="Z16" s="1712"/>
      <c r="AA16" s="2198"/>
      <c r="AB16" s="2199"/>
      <c r="AC16" s="2203"/>
      <c r="AD16" s="2203"/>
      <c r="AE16" s="2107"/>
      <c r="AF16" s="74"/>
      <c r="AG16" s="98" t="s">
        <v>16371</v>
      </c>
      <c r="AH16" s="74"/>
      <c r="AI16" s="79"/>
      <c r="AJ16" s="1303"/>
      <c r="AK16" s="238"/>
      <c r="AL16" s="1232">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16372</v>
      </c>
      <c r="C17" s="2174"/>
      <c r="D17" s="2107"/>
      <c r="E17" s="1712"/>
      <c r="F17" s="2105"/>
      <c r="G17" s="2106"/>
      <c r="H17" s="2106"/>
      <c r="I17" s="2106"/>
      <c r="J17" s="2106"/>
      <c r="K17" s="2107"/>
      <c r="L17" s="1712"/>
      <c r="M17" s="2105"/>
      <c r="N17" s="2106"/>
      <c r="O17" s="2106"/>
      <c r="P17" s="2106"/>
      <c r="Q17" s="2106"/>
      <c r="R17" s="2107"/>
      <c r="S17" s="1712"/>
      <c r="T17" s="2190"/>
      <c r="U17" s="2191"/>
      <c r="V17" s="2191"/>
      <c r="W17" s="2191"/>
      <c r="X17" s="2191"/>
      <c r="Y17" s="2192"/>
      <c r="Z17" s="1712"/>
      <c r="AA17" s="2198"/>
      <c r="AB17" s="2199"/>
      <c r="AC17" s="2203"/>
      <c r="AD17" s="2203"/>
      <c r="AE17" s="2107"/>
      <c r="AF17" s="74"/>
      <c r="AG17" s="98" t="s">
        <v>16373</v>
      </c>
      <c r="AH17" s="74"/>
      <c r="AI17" s="79"/>
      <c r="AJ17" s="1303"/>
      <c r="AK17" s="238"/>
      <c r="AL17" s="1232">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16374</v>
      </c>
      <c r="C18" s="2174"/>
      <c r="D18" s="2107"/>
      <c r="E18" s="1712"/>
      <c r="F18" s="2105"/>
      <c r="G18" s="2106"/>
      <c r="H18" s="2106"/>
      <c r="I18" s="2106"/>
      <c r="J18" s="2106"/>
      <c r="K18" s="2107"/>
      <c r="L18" s="1712"/>
      <c r="M18" s="2105"/>
      <c r="N18" s="2106"/>
      <c r="O18" s="2106"/>
      <c r="P18" s="2106"/>
      <c r="Q18" s="2106"/>
      <c r="R18" s="2107"/>
      <c r="S18" s="1712"/>
      <c r="T18" s="2190"/>
      <c r="U18" s="2191"/>
      <c r="V18" s="2191"/>
      <c r="W18" s="2191"/>
      <c r="X18" s="2191"/>
      <c r="Y18" s="2192"/>
      <c r="Z18" s="1712"/>
      <c r="AA18" s="2198"/>
      <c r="AB18" s="2199"/>
      <c r="AC18" s="2203"/>
      <c r="AD18" s="2203"/>
      <c r="AE18" s="2107"/>
      <c r="AF18" s="74"/>
      <c r="AG18" s="98" t="s">
        <v>16375</v>
      </c>
      <c r="AH18" s="74"/>
      <c r="AI18" s="79"/>
      <c r="AJ18" s="1303"/>
      <c r="AK18" s="238"/>
      <c r="AL18" s="1232">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16376</v>
      </c>
      <c r="C19" s="2174"/>
      <c r="D19" s="2107"/>
      <c r="E19" s="1712"/>
      <c r="F19" s="2105"/>
      <c r="G19" s="2106"/>
      <c r="H19" s="2106"/>
      <c r="I19" s="2106"/>
      <c r="J19" s="2106"/>
      <c r="K19" s="2107"/>
      <c r="L19" s="1712"/>
      <c r="M19" s="2105"/>
      <c r="N19" s="2106"/>
      <c r="O19" s="2106"/>
      <c r="P19" s="2106"/>
      <c r="Q19" s="2106"/>
      <c r="R19" s="2107"/>
      <c r="S19" s="1712"/>
      <c r="T19" s="2190"/>
      <c r="U19" s="2191"/>
      <c r="V19" s="2191"/>
      <c r="W19" s="2191"/>
      <c r="X19" s="2191"/>
      <c r="Y19" s="2192"/>
      <c r="Z19" s="1712"/>
      <c r="AA19" s="2198"/>
      <c r="AB19" s="2199"/>
      <c r="AC19" s="2203"/>
      <c r="AD19" s="2203"/>
      <c r="AE19" s="2107"/>
      <c r="AF19" s="74"/>
      <c r="AG19" s="98" t="s">
        <v>16377</v>
      </c>
      <c r="AH19" s="74"/>
      <c r="AI19" s="79"/>
      <c r="AJ19" s="1303"/>
      <c r="AK19" s="238"/>
      <c r="AL19" s="1232">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16378</v>
      </c>
      <c r="C20" s="2174"/>
      <c r="D20" s="2107"/>
      <c r="E20" s="1712"/>
      <c r="F20" s="2105"/>
      <c r="G20" s="2106"/>
      <c r="H20" s="2106"/>
      <c r="I20" s="2106"/>
      <c r="J20" s="2106"/>
      <c r="K20" s="2107"/>
      <c r="L20" s="1712"/>
      <c r="M20" s="2105"/>
      <c r="N20" s="2106"/>
      <c r="O20" s="2106"/>
      <c r="P20" s="2106"/>
      <c r="Q20" s="2106"/>
      <c r="R20" s="2107"/>
      <c r="S20" s="1712"/>
      <c r="T20" s="2190"/>
      <c r="U20" s="2191"/>
      <c r="V20" s="2191"/>
      <c r="W20" s="2191"/>
      <c r="X20" s="2191"/>
      <c r="Y20" s="2192"/>
      <c r="Z20" s="1712"/>
      <c r="AA20" s="2198"/>
      <c r="AB20" s="2199"/>
      <c r="AC20" s="2203"/>
      <c r="AD20" s="2203"/>
      <c r="AE20" s="2107"/>
      <c r="AF20" s="74"/>
      <c r="AG20" s="98" t="s">
        <v>16379</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16380</v>
      </c>
      <c r="C21" s="2174"/>
      <c r="D21" s="2107"/>
      <c r="E21" s="1712"/>
      <c r="F21" s="2105"/>
      <c r="G21" s="2106"/>
      <c r="H21" s="2106"/>
      <c r="I21" s="2106"/>
      <c r="J21" s="2106"/>
      <c r="K21" s="2107"/>
      <c r="L21" s="1712"/>
      <c r="M21" s="2105"/>
      <c r="N21" s="2106"/>
      <c r="O21" s="2106"/>
      <c r="P21" s="2106"/>
      <c r="Q21" s="2106"/>
      <c r="R21" s="2107"/>
      <c r="S21" s="1712"/>
      <c r="T21" s="2190"/>
      <c r="U21" s="2191"/>
      <c r="V21" s="2191"/>
      <c r="W21" s="2191"/>
      <c r="X21" s="2191"/>
      <c r="Y21" s="2192"/>
      <c r="Z21" s="1712"/>
      <c r="AA21" s="2198"/>
      <c r="AB21" s="2199"/>
      <c r="AC21" s="2203"/>
      <c r="AD21" s="2203"/>
      <c r="AE21" s="2107"/>
      <c r="AF21" s="74"/>
      <c r="AG21" s="98" t="s">
        <v>16381</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16382</v>
      </c>
      <c r="C22" s="2174"/>
      <c r="D22" s="2107"/>
      <c r="E22" s="1712"/>
      <c r="F22" s="2105"/>
      <c r="G22" s="2106"/>
      <c r="H22" s="2106"/>
      <c r="I22" s="2106"/>
      <c r="J22" s="2106"/>
      <c r="K22" s="2107"/>
      <c r="L22" s="1712"/>
      <c r="M22" s="2105"/>
      <c r="N22" s="2106"/>
      <c r="O22" s="2106"/>
      <c r="P22" s="2106"/>
      <c r="Q22" s="2106"/>
      <c r="R22" s="2107"/>
      <c r="S22" s="1712"/>
      <c r="T22" s="2190"/>
      <c r="U22" s="2191"/>
      <c r="V22" s="2191"/>
      <c r="W22" s="2191"/>
      <c r="X22" s="2191"/>
      <c r="Y22" s="2192"/>
      <c r="Z22" s="1712"/>
      <c r="AA22" s="2198"/>
      <c r="AB22" s="2199"/>
      <c r="AC22" s="2203"/>
      <c r="AD22" s="2203"/>
      <c r="AE22" s="2107"/>
      <c r="AF22" s="74"/>
      <c r="AG22" s="98" t="s">
        <v>16383</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16384</v>
      </c>
      <c r="C23" s="2174"/>
      <c r="D23" s="2107"/>
      <c r="E23" s="1712"/>
      <c r="F23" s="2105"/>
      <c r="G23" s="2106"/>
      <c r="H23" s="2106"/>
      <c r="I23" s="2106"/>
      <c r="J23" s="2106"/>
      <c r="K23" s="2107"/>
      <c r="L23" s="1712"/>
      <c r="M23" s="2105"/>
      <c r="N23" s="2106"/>
      <c r="O23" s="2106"/>
      <c r="P23" s="2106"/>
      <c r="Q23" s="2106"/>
      <c r="R23" s="2107"/>
      <c r="S23" s="1712"/>
      <c r="T23" s="2190"/>
      <c r="U23" s="2191"/>
      <c r="V23" s="2191"/>
      <c r="W23" s="2191"/>
      <c r="X23" s="2191"/>
      <c r="Y23" s="2192"/>
      <c r="Z23" s="1712"/>
      <c r="AA23" s="2198"/>
      <c r="AB23" s="2199"/>
      <c r="AC23" s="2203"/>
      <c r="AD23" s="2203"/>
      <c r="AE23" s="2107"/>
      <c r="AF23" s="74"/>
      <c r="AG23" s="98" t="s">
        <v>16385</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16386</v>
      </c>
      <c r="C24" s="2174"/>
      <c r="D24" s="2107"/>
      <c r="E24" s="1712"/>
      <c r="F24" s="2105"/>
      <c r="G24" s="2106"/>
      <c r="H24" s="2106"/>
      <c r="I24" s="2106"/>
      <c r="J24" s="2106"/>
      <c r="K24" s="2107"/>
      <c r="L24" s="1712"/>
      <c r="M24" s="2105"/>
      <c r="N24" s="2106"/>
      <c r="O24" s="2106"/>
      <c r="P24" s="2106"/>
      <c r="Q24" s="2106"/>
      <c r="R24" s="2107"/>
      <c r="S24" s="1712"/>
      <c r="T24" s="2190"/>
      <c r="U24" s="2191"/>
      <c r="V24" s="2191"/>
      <c r="W24" s="2191"/>
      <c r="X24" s="2191"/>
      <c r="Y24" s="2192"/>
      <c r="Z24" s="1712"/>
      <c r="AA24" s="2198"/>
      <c r="AB24" s="2199"/>
      <c r="AC24" s="2203"/>
      <c r="AD24" s="2203"/>
      <c r="AE24" s="2107"/>
      <c r="AF24" s="74"/>
      <c r="AG24" s="98" t="s">
        <v>16387</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16388</v>
      </c>
      <c r="C25" s="2174"/>
      <c r="D25" s="2107"/>
      <c r="E25" s="1712"/>
      <c r="F25" s="2105"/>
      <c r="G25" s="2106"/>
      <c r="H25" s="2106"/>
      <c r="I25" s="2106"/>
      <c r="J25" s="2106"/>
      <c r="K25" s="2107"/>
      <c r="L25" s="1712"/>
      <c r="M25" s="2105"/>
      <c r="N25" s="2106"/>
      <c r="O25" s="2106"/>
      <c r="P25" s="2106"/>
      <c r="Q25" s="2106"/>
      <c r="R25" s="2107"/>
      <c r="S25" s="1712"/>
      <c r="T25" s="2190"/>
      <c r="U25" s="2191"/>
      <c r="V25" s="2191"/>
      <c r="W25" s="2191"/>
      <c r="X25" s="2191"/>
      <c r="Y25" s="2192"/>
      <c r="Z25" s="1712"/>
      <c r="AA25" s="2198"/>
      <c r="AB25" s="2199"/>
      <c r="AC25" s="2203"/>
      <c r="AD25" s="2203"/>
      <c r="AE25" s="2107"/>
      <c r="AF25" s="74"/>
      <c r="AG25" s="98" t="s">
        <v>16389</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16390</v>
      </c>
      <c r="C26" s="2174"/>
      <c r="D26" s="2107"/>
      <c r="E26" s="1712"/>
      <c r="F26" s="2105"/>
      <c r="G26" s="2106"/>
      <c r="H26" s="2106"/>
      <c r="I26" s="2106"/>
      <c r="J26" s="2106"/>
      <c r="K26" s="2107"/>
      <c r="L26" s="1712"/>
      <c r="M26" s="2105"/>
      <c r="N26" s="2106"/>
      <c r="O26" s="2106"/>
      <c r="P26" s="2106"/>
      <c r="Q26" s="2106"/>
      <c r="R26" s="2107"/>
      <c r="S26" s="1712"/>
      <c r="T26" s="2190"/>
      <c r="U26" s="2191"/>
      <c r="V26" s="2191"/>
      <c r="W26" s="2191"/>
      <c r="X26" s="2191"/>
      <c r="Y26" s="2192"/>
      <c r="Z26" s="1712"/>
      <c r="AA26" s="2198"/>
      <c r="AB26" s="2199"/>
      <c r="AC26" s="2203"/>
      <c r="AD26" s="2203"/>
      <c r="AE26" s="2107"/>
      <c r="AF26" s="74"/>
      <c r="AG26" s="98" t="s">
        <v>16391</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16392</v>
      </c>
      <c r="C27" s="2174"/>
      <c r="D27" s="2107"/>
      <c r="E27" s="1712"/>
      <c r="F27" s="2105"/>
      <c r="G27" s="2106"/>
      <c r="H27" s="2106"/>
      <c r="I27" s="2106"/>
      <c r="J27" s="2106"/>
      <c r="K27" s="2107"/>
      <c r="L27" s="1712"/>
      <c r="M27" s="2105"/>
      <c r="N27" s="2106"/>
      <c r="O27" s="2106"/>
      <c r="P27" s="2106"/>
      <c r="Q27" s="2106"/>
      <c r="R27" s="2107"/>
      <c r="S27" s="1712"/>
      <c r="T27" s="2190"/>
      <c r="U27" s="2191"/>
      <c r="V27" s="2191"/>
      <c r="W27" s="2191"/>
      <c r="X27" s="2191"/>
      <c r="Y27" s="2192"/>
      <c r="Z27" s="1712"/>
      <c r="AA27" s="2198"/>
      <c r="AB27" s="2199"/>
      <c r="AC27" s="2203"/>
      <c r="AD27" s="2203"/>
      <c r="AE27" s="2107"/>
      <c r="AF27" s="74"/>
      <c r="AG27" s="98" t="s">
        <v>16393</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16394</v>
      </c>
      <c r="C28" s="2174"/>
      <c r="D28" s="2107"/>
      <c r="E28" s="1712"/>
      <c r="F28" s="2105"/>
      <c r="G28" s="2106"/>
      <c r="H28" s="2106"/>
      <c r="I28" s="2106"/>
      <c r="J28" s="2106"/>
      <c r="K28" s="2107"/>
      <c r="L28" s="1712"/>
      <c r="M28" s="2105"/>
      <c r="N28" s="2106"/>
      <c r="O28" s="2106"/>
      <c r="P28" s="2106"/>
      <c r="Q28" s="2106"/>
      <c r="R28" s="2107"/>
      <c r="S28" s="1712"/>
      <c r="T28" s="2190"/>
      <c r="U28" s="2191"/>
      <c r="V28" s="2191"/>
      <c r="W28" s="2191"/>
      <c r="X28" s="2191"/>
      <c r="Y28" s="2192"/>
      <c r="Z28" s="1712"/>
      <c r="AA28" s="2198"/>
      <c r="AB28" s="2199"/>
      <c r="AC28" s="2203"/>
      <c r="AD28" s="2203"/>
      <c r="AE28" s="2107"/>
      <c r="AF28" s="74"/>
      <c r="AG28" s="98" t="s">
        <v>16395</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16396</v>
      </c>
      <c r="C29" s="2174"/>
      <c r="D29" s="2107"/>
      <c r="E29" s="1712"/>
      <c r="F29" s="2105"/>
      <c r="G29" s="2106"/>
      <c r="H29" s="2106"/>
      <c r="I29" s="2106"/>
      <c r="J29" s="2106"/>
      <c r="K29" s="2107"/>
      <c r="L29" s="1712"/>
      <c r="M29" s="2105"/>
      <c r="N29" s="2106"/>
      <c r="O29" s="2106"/>
      <c r="P29" s="2106"/>
      <c r="Q29" s="2106"/>
      <c r="R29" s="2107"/>
      <c r="S29" s="1712"/>
      <c r="T29" s="2190"/>
      <c r="U29" s="2191"/>
      <c r="V29" s="2191"/>
      <c r="W29" s="2191"/>
      <c r="X29" s="2191"/>
      <c r="Y29" s="2192"/>
      <c r="Z29" s="1712"/>
      <c r="AA29" s="2198"/>
      <c r="AB29" s="2199"/>
      <c r="AC29" s="2203"/>
      <c r="AD29" s="2203"/>
      <c r="AE29" s="2107"/>
      <c r="AF29" s="74"/>
      <c r="AG29" s="98" t="s">
        <v>16397</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16398</v>
      </c>
      <c r="C30" s="2174"/>
      <c r="D30" s="2107"/>
      <c r="E30" s="1712"/>
      <c r="F30" s="2105"/>
      <c r="G30" s="2106"/>
      <c r="H30" s="2106"/>
      <c r="I30" s="2106"/>
      <c r="J30" s="2106"/>
      <c r="K30" s="2107"/>
      <c r="L30" s="1712"/>
      <c r="M30" s="2105"/>
      <c r="N30" s="2106"/>
      <c r="O30" s="2106"/>
      <c r="P30" s="2106"/>
      <c r="Q30" s="2106"/>
      <c r="R30" s="2107"/>
      <c r="S30" s="1712"/>
      <c r="T30" s="2190"/>
      <c r="U30" s="2191"/>
      <c r="V30" s="2191"/>
      <c r="W30" s="2191"/>
      <c r="X30" s="2191"/>
      <c r="Y30" s="2192"/>
      <c r="Z30" s="1712"/>
      <c r="AA30" s="2198"/>
      <c r="AB30" s="2199"/>
      <c r="AC30" s="2203"/>
      <c r="AD30" s="2203"/>
      <c r="AE30" s="2107"/>
      <c r="AF30" s="74"/>
      <c r="AG30" s="98" t="s">
        <v>16399</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16400</v>
      </c>
      <c r="C31" s="2174"/>
      <c r="D31" s="2107"/>
      <c r="E31" s="1712"/>
      <c r="F31" s="2105"/>
      <c r="G31" s="2106"/>
      <c r="H31" s="2106"/>
      <c r="I31" s="2106"/>
      <c r="J31" s="2106"/>
      <c r="K31" s="2107"/>
      <c r="L31" s="1712"/>
      <c r="M31" s="2105"/>
      <c r="N31" s="2106"/>
      <c r="O31" s="2106"/>
      <c r="P31" s="2106"/>
      <c r="Q31" s="2106"/>
      <c r="R31" s="2107"/>
      <c r="S31" s="1712"/>
      <c r="T31" s="2190"/>
      <c r="U31" s="2191"/>
      <c r="V31" s="2191"/>
      <c r="W31" s="2191"/>
      <c r="X31" s="2191"/>
      <c r="Y31" s="2192"/>
      <c r="Z31" s="1712"/>
      <c r="AA31" s="2198"/>
      <c r="AB31" s="2199"/>
      <c r="AC31" s="2203"/>
      <c r="AD31" s="2203"/>
      <c r="AE31" s="2107"/>
      <c r="AF31" s="74"/>
      <c r="AG31" s="98" t="s">
        <v>16401</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16402</v>
      </c>
      <c r="C32" s="2174"/>
      <c r="D32" s="2107"/>
      <c r="E32" s="1712"/>
      <c r="F32" s="2105"/>
      <c r="G32" s="2106"/>
      <c r="H32" s="2106"/>
      <c r="I32" s="2106"/>
      <c r="J32" s="2106"/>
      <c r="K32" s="2107"/>
      <c r="L32" s="1712"/>
      <c r="M32" s="2105"/>
      <c r="N32" s="2106"/>
      <c r="O32" s="2106"/>
      <c r="P32" s="2106"/>
      <c r="Q32" s="2106"/>
      <c r="R32" s="2107"/>
      <c r="S32" s="1712"/>
      <c r="T32" s="2190"/>
      <c r="U32" s="2191"/>
      <c r="V32" s="2191"/>
      <c r="W32" s="2191"/>
      <c r="X32" s="2191"/>
      <c r="Y32" s="2192"/>
      <c r="Z32" s="1712"/>
      <c r="AA32" s="2198"/>
      <c r="AB32" s="2199"/>
      <c r="AC32" s="2203"/>
      <c r="AD32" s="2203"/>
      <c r="AE32" s="2107"/>
      <c r="AF32" s="74"/>
      <c r="AG32" s="98" t="s">
        <v>16403</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16404</v>
      </c>
      <c r="C33" s="2174"/>
      <c r="D33" s="2107"/>
      <c r="E33" s="1712"/>
      <c r="F33" s="2105"/>
      <c r="G33" s="2106"/>
      <c r="H33" s="2106"/>
      <c r="I33" s="2106"/>
      <c r="J33" s="2106"/>
      <c r="K33" s="2107"/>
      <c r="L33" s="1712"/>
      <c r="M33" s="2105"/>
      <c r="N33" s="2106"/>
      <c r="O33" s="2106"/>
      <c r="P33" s="2106"/>
      <c r="Q33" s="2106"/>
      <c r="R33" s="2107"/>
      <c r="S33" s="1712"/>
      <c r="T33" s="2190"/>
      <c r="U33" s="2191"/>
      <c r="V33" s="2191"/>
      <c r="W33" s="2191"/>
      <c r="X33" s="2191"/>
      <c r="Y33" s="2192"/>
      <c r="Z33" s="1712"/>
      <c r="AA33" s="2198"/>
      <c r="AB33" s="2199"/>
      <c r="AC33" s="2203"/>
      <c r="AD33" s="2203"/>
      <c r="AE33" s="2107"/>
      <c r="AF33" s="74"/>
      <c r="AG33" s="98" t="s">
        <v>16405</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16406</v>
      </c>
      <c r="C34" s="2174"/>
      <c r="D34" s="2107"/>
      <c r="E34" s="1712"/>
      <c r="F34" s="2105"/>
      <c r="G34" s="2106"/>
      <c r="H34" s="2106"/>
      <c r="I34" s="2106"/>
      <c r="J34" s="2106"/>
      <c r="K34" s="2107"/>
      <c r="L34" s="1712"/>
      <c r="M34" s="2105"/>
      <c r="N34" s="2106"/>
      <c r="O34" s="2106"/>
      <c r="P34" s="2106"/>
      <c r="Q34" s="2106"/>
      <c r="R34" s="2107"/>
      <c r="S34" s="1712"/>
      <c r="T34" s="2190"/>
      <c r="U34" s="2191"/>
      <c r="V34" s="2191"/>
      <c r="W34" s="2191"/>
      <c r="X34" s="2191"/>
      <c r="Y34" s="2192"/>
      <c r="Z34" s="1712"/>
      <c r="AA34" s="2198"/>
      <c r="AB34" s="2199"/>
      <c r="AC34" s="2203"/>
      <c r="AD34" s="2203"/>
      <c r="AE34" s="2107"/>
      <c r="AF34" s="74"/>
      <c r="AG34" s="98" t="s">
        <v>16407</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16408</v>
      </c>
      <c r="C35" s="2174"/>
      <c r="D35" s="2107"/>
      <c r="E35" s="1712"/>
      <c r="F35" s="2105"/>
      <c r="G35" s="2106"/>
      <c r="H35" s="2106"/>
      <c r="I35" s="2106"/>
      <c r="J35" s="2106"/>
      <c r="K35" s="2107"/>
      <c r="L35" s="1712"/>
      <c r="M35" s="2105"/>
      <c r="N35" s="2106"/>
      <c r="O35" s="2106"/>
      <c r="P35" s="2106"/>
      <c r="Q35" s="2106"/>
      <c r="R35" s="2107"/>
      <c r="S35" s="1712"/>
      <c r="T35" s="2190"/>
      <c r="U35" s="2191"/>
      <c r="V35" s="2191"/>
      <c r="W35" s="2191"/>
      <c r="X35" s="2191"/>
      <c r="Y35" s="2192"/>
      <c r="Z35" s="1712"/>
      <c r="AA35" s="2198"/>
      <c r="AB35" s="2199"/>
      <c r="AC35" s="2203"/>
      <c r="AD35" s="2203"/>
      <c r="AE35" s="2107"/>
      <c r="AF35" s="74"/>
      <c r="AG35" s="98" t="s">
        <v>16409</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16410</v>
      </c>
      <c r="C36" s="2174"/>
      <c r="D36" s="2107"/>
      <c r="E36" s="1712"/>
      <c r="F36" s="2105"/>
      <c r="G36" s="2106"/>
      <c r="H36" s="2106"/>
      <c r="I36" s="2106"/>
      <c r="J36" s="2106"/>
      <c r="K36" s="2107"/>
      <c r="L36" s="1712"/>
      <c r="M36" s="2105"/>
      <c r="N36" s="2106"/>
      <c r="O36" s="2106"/>
      <c r="P36" s="2106"/>
      <c r="Q36" s="2106"/>
      <c r="R36" s="2107"/>
      <c r="S36" s="1712"/>
      <c r="T36" s="2190"/>
      <c r="U36" s="2191"/>
      <c r="V36" s="2191"/>
      <c r="W36" s="2191"/>
      <c r="X36" s="2191"/>
      <c r="Y36" s="2192"/>
      <c r="Z36" s="1712"/>
      <c r="AA36" s="2198"/>
      <c r="AB36" s="2199"/>
      <c r="AC36" s="2203"/>
      <c r="AD36" s="2203"/>
      <c r="AE36" s="2107"/>
      <c r="AF36" s="74"/>
      <c r="AG36" s="98" t="s">
        <v>16411</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16412</v>
      </c>
      <c r="C37" s="2174"/>
      <c r="D37" s="2107"/>
      <c r="E37" s="1712"/>
      <c r="F37" s="2105"/>
      <c r="G37" s="2106"/>
      <c r="H37" s="2106"/>
      <c r="I37" s="2106"/>
      <c r="J37" s="2106"/>
      <c r="K37" s="2107"/>
      <c r="L37" s="1712"/>
      <c r="M37" s="2105"/>
      <c r="N37" s="2106"/>
      <c r="O37" s="2106"/>
      <c r="P37" s="2106"/>
      <c r="Q37" s="2106"/>
      <c r="R37" s="2107"/>
      <c r="S37" s="1712"/>
      <c r="T37" s="2190"/>
      <c r="U37" s="2191"/>
      <c r="V37" s="2191"/>
      <c r="W37" s="2191"/>
      <c r="X37" s="2191"/>
      <c r="Y37" s="2192"/>
      <c r="Z37" s="1712"/>
      <c r="AA37" s="2198"/>
      <c r="AB37" s="2199"/>
      <c r="AC37" s="2203"/>
      <c r="AD37" s="2203"/>
      <c r="AE37" s="2107"/>
      <c r="AF37" s="74"/>
      <c r="AG37" s="98" t="s">
        <v>16413</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16414</v>
      </c>
      <c r="C38" s="2174"/>
      <c r="D38" s="2107"/>
      <c r="E38" s="1712"/>
      <c r="F38" s="2105"/>
      <c r="G38" s="2106"/>
      <c r="H38" s="2106"/>
      <c r="I38" s="2106"/>
      <c r="J38" s="2106"/>
      <c r="K38" s="2107"/>
      <c r="L38" s="1712"/>
      <c r="M38" s="2105"/>
      <c r="N38" s="2106"/>
      <c r="O38" s="2106"/>
      <c r="P38" s="2106"/>
      <c r="Q38" s="2106"/>
      <c r="R38" s="2107"/>
      <c r="S38" s="1712"/>
      <c r="T38" s="2190"/>
      <c r="U38" s="2191"/>
      <c r="V38" s="2191"/>
      <c r="W38" s="2191"/>
      <c r="X38" s="2191"/>
      <c r="Y38" s="2192"/>
      <c r="Z38" s="1712"/>
      <c r="AA38" s="2198"/>
      <c r="AB38" s="2199"/>
      <c r="AC38" s="2203"/>
      <c r="AD38" s="2203"/>
      <c r="AE38" s="2107"/>
      <c r="AF38" s="74"/>
      <c r="AG38" s="98" t="s">
        <v>16415</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16416</v>
      </c>
      <c r="C39" s="2174"/>
      <c r="D39" s="2107"/>
      <c r="E39" s="1712"/>
      <c r="F39" s="2105"/>
      <c r="G39" s="2106"/>
      <c r="H39" s="2106"/>
      <c r="I39" s="2106"/>
      <c r="J39" s="2106"/>
      <c r="K39" s="2107"/>
      <c r="L39" s="1712"/>
      <c r="M39" s="2105"/>
      <c r="N39" s="2106"/>
      <c r="O39" s="2106"/>
      <c r="P39" s="2106"/>
      <c r="Q39" s="2106"/>
      <c r="R39" s="2107"/>
      <c r="S39" s="1712"/>
      <c r="T39" s="2190"/>
      <c r="U39" s="2191"/>
      <c r="V39" s="2191"/>
      <c r="W39" s="2191"/>
      <c r="X39" s="2191"/>
      <c r="Y39" s="2192"/>
      <c r="Z39" s="1712"/>
      <c r="AA39" s="2198"/>
      <c r="AB39" s="2199"/>
      <c r="AC39" s="2203"/>
      <c r="AD39" s="2203"/>
      <c r="AE39" s="2107"/>
      <c r="AF39" s="74"/>
      <c r="AG39" s="98" t="s">
        <v>16417</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16418</v>
      </c>
      <c r="C40" s="2174"/>
      <c r="D40" s="2107"/>
      <c r="E40" s="1712"/>
      <c r="F40" s="2105"/>
      <c r="G40" s="2106"/>
      <c r="H40" s="2106"/>
      <c r="I40" s="2106"/>
      <c r="J40" s="2106"/>
      <c r="K40" s="2107"/>
      <c r="L40" s="1712"/>
      <c r="M40" s="2105"/>
      <c r="N40" s="2106"/>
      <c r="O40" s="2106"/>
      <c r="P40" s="2106"/>
      <c r="Q40" s="2106"/>
      <c r="R40" s="2107"/>
      <c r="S40" s="1712"/>
      <c r="T40" s="2190"/>
      <c r="U40" s="2191"/>
      <c r="V40" s="2191"/>
      <c r="W40" s="2191"/>
      <c r="X40" s="2191"/>
      <c r="Y40" s="2192"/>
      <c r="Z40" s="1712"/>
      <c r="AA40" s="2198"/>
      <c r="AB40" s="2199"/>
      <c r="AC40" s="2203"/>
      <c r="AD40" s="2203"/>
      <c r="AE40" s="2107"/>
      <c r="AF40" s="74"/>
      <c r="AG40" s="98" t="s">
        <v>16419</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16420</v>
      </c>
      <c r="C41" s="2174"/>
      <c r="D41" s="2107"/>
      <c r="E41" s="1712"/>
      <c r="F41" s="2105"/>
      <c r="G41" s="2106"/>
      <c r="H41" s="2106"/>
      <c r="I41" s="2106"/>
      <c r="J41" s="2106"/>
      <c r="K41" s="2107"/>
      <c r="L41" s="1712"/>
      <c r="M41" s="2105"/>
      <c r="N41" s="2106"/>
      <c r="O41" s="2106"/>
      <c r="P41" s="2106"/>
      <c r="Q41" s="2106"/>
      <c r="R41" s="2107"/>
      <c r="S41" s="1712"/>
      <c r="T41" s="2190"/>
      <c r="U41" s="2191"/>
      <c r="V41" s="2191"/>
      <c r="W41" s="2191"/>
      <c r="X41" s="2191"/>
      <c r="Y41" s="2192"/>
      <c r="Z41" s="1712"/>
      <c r="AA41" s="2198"/>
      <c r="AB41" s="2199"/>
      <c r="AC41" s="2203"/>
      <c r="AD41" s="2203"/>
      <c r="AE41" s="2107"/>
      <c r="AF41" s="74"/>
      <c r="AG41" s="98" t="s">
        <v>16421</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16422</v>
      </c>
      <c r="C42" s="2174"/>
      <c r="D42" s="2107"/>
      <c r="E42" s="1712"/>
      <c r="F42" s="2105"/>
      <c r="G42" s="2106"/>
      <c r="H42" s="2106"/>
      <c r="I42" s="2106"/>
      <c r="J42" s="2106"/>
      <c r="K42" s="2107"/>
      <c r="L42" s="1712"/>
      <c r="M42" s="2105"/>
      <c r="N42" s="2106"/>
      <c r="O42" s="2106"/>
      <c r="P42" s="2106"/>
      <c r="Q42" s="2106"/>
      <c r="R42" s="2107"/>
      <c r="S42" s="1712"/>
      <c r="T42" s="2190"/>
      <c r="U42" s="2191"/>
      <c r="V42" s="2191"/>
      <c r="W42" s="2191"/>
      <c r="X42" s="2191"/>
      <c r="Y42" s="2192"/>
      <c r="Z42" s="1712"/>
      <c r="AA42" s="2198"/>
      <c r="AB42" s="2199"/>
      <c r="AC42" s="2203"/>
      <c r="AD42" s="2203"/>
      <c r="AE42" s="2107"/>
      <c r="AF42" s="74"/>
      <c r="AG42" s="98" t="s">
        <v>16423</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16424</v>
      </c>
      <c r="C43" s="2174"/>
      <c r="D43" s="2107"/>
      <c r="E43" s="1712"/>
      <c r="F43" s="2105"/>
      <c r="G43" s="2106"/>
      <c r="H43" s="2106"/>
      <c r="I43" s="2106"/>
      <c r="J43" s="2106"/>
      <c r="K43" s="2107"/>
      <c r="L43" s="1712"/>
      <c r="M43" s="2105"/>
      <c r="N43" s="2106"/>
      <c r="O43" s="2106"/>
      <c r="P43" s="2106"/>
      <c r="Q43" s="2106"/>
      <c r="R43" s="2107"/>
      <c r="S43" s="1712"/>
      <c r="T43" s="2190"/>
      <c r="U43" s="2191"/>
      <c r="V43" s="2191"/>
      <c r="W43" s="2191"/>
      <c r="X43" s="2191"/>
      <c r="Y43" s="2192"/>
      <c r="Z43" s="1712"/>
      <c r="AA43" s="2198"/>
      <c r="AB43" s="2199"/>
      <c r="AC43" s="2203"/>
      <c r="AD43" s="2203"/>
      <c r="AE43" s="2107"/>
      <c r="AF43" s="74"/>
      <c r="AG43" s="98" t="s">
        <v>16425</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16426</v>
      </c>
      <c r="C44" s="2174"/>
      <c r="D44" s="2107"/>
      <c r="E44" s="1712"/>
      <c r="F44" s="2105"/>
      <c r="G44" s="2106"/>
      <c r="H44" s="2106"/>
      <c r="I44" s="2106"/>
      <c r="J44" s="2106"/>
      <c r="K44" s="2107"/>
      <c r="L44" s="1712"/>
      <c r="M44" s="2105"/>
      <c r="N44" s="2106"/>
      <c r="O44" s="2106"/>
      <c r="P44" s="2106"/>
      <c r="Q44" s="2106"/>
      <c r="R44" s="2107"/>
      <c r="S44" s="1712"/>
      <c r="T44" s="2190"/>
      <c r="U44" s="2191"/>
      <c r="V44" s="2191"/>
      <c r="W44" s="2191"/>
      <c r="X44" s="2191"/>
      <c r="Y44" s="2192"/>
      <c r="Z44" s="1712"/>
      <c r="AA44" s="2198"/>
      <c r="AB44" s="2199"/>
      <c r="AC44" s="2203"/>
      <c r="AD44" s="2203"/>
      <c r="AE44" s="2107"/>
      <c r="AF44" s="74"/>
      <c r="AG44" s="98" t="s">
        <v>16427</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16428</v>
      </c>
      <c r="C45" s="2174"/>
      <c r="D45" s="2107"/>
      <c r="E45" s="1712"/>
      <c r="F45" s="2105"/>
      <c r="G45" s="2106"/>
      <c r="H45" s="2106"/>
      <c r="I45" s="2106"/>
      <c r="J45" s="2106"/>
      <c r="K45" s="2107"/>
      <c r="L45" s="1712"/>
      <c r="M45" s="2105"/>
      <c r="N45" s="2106"/>
      <c r="O45" s="2106"/>
      <c r="P45" s="2106"/>
      <c r="Q45" s="2106"/>
      <c r="R45" s="2107"/>
      <c r="S45" s="1712"/>
      <c r="T45" s="2190"/>
      <c r="U45" s="2191"/>
      <c r="V45" s="2191"/>
      <c r="W45" s="2191"/>
      <c r="X45" s="2191"/>
      <c r="Y45" s="2192"/>
      <c r="Z45" s="1712"/>
      <c r="AA45" s="2198"/>
      <c r="AB45" s="2199"/>
      <c r="AC45" s="2203"/>
      <c r="AD45" s="2203"/>
      <c r="AE45" s="2107"/>
      <c r="AF45" s="74"/>
      <c r="AG45" s="98" t="s">
        <v>16429</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16430</v>
      </c>
      <c r="C46" s="2174"/>
      <c r="D46" s="2107"/>
      <c r="E46" s="1712"/>
      <c r="F46" s="2105"/>
      <c r="G46" s="2106"/>
      <c r="H46" s="2106"/>
      <c r="I46" s="2106"/>
      <c r="J46" s="2106"/>
      <c r="K46" s="2107"/>
      <c r="L46" s="1712"/>
      <c r="M46" s="2105"/>
      <c r="N46" s="2106"/>
      <c r="O46" s="2106"/>
      <c r="P46" s="2106"/>
      <c r="Q46" s="2106"/>
      <c r="R46" s="2107"/>
      <c r="S46" s="1712"/>
      <c r="T46" s="2190"/>
      <c r="U46" s="2191"/>
      <c r="V46" s="2191"/>
      <c r="W46" s="2191"/>
      <c r="X46" s="2191"/>
      <c r="Y46" s="2192"/>
      <c r="Z46" s="1712"/>
      <c r="AA46" s="2198"/>
      <c r="AB46" s="2199"/>
      <c r="AC46" s="2203"/>
      <c r="AD46" s="2203"/>
      <c r="AE46" s="2107"/>
      <c r="AF46" s="74"/>
      <c r="AG46" s="98" t="s">
        <v>16431</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16432</v>
      </c>
      <c r="C47" s="2174"/>
      <c r="D47" s="2107"/>
      <c r="E47" s="1712"/>
      <c r="F47" s="2105"/>
      <c r="G47" s="2106"/>
      <c r="H47" s="2106"/>
      <c r="I47" s="2106"/>
      <c r="J47" s="2106"/>
      <c r="K47" s="2107"/>
      <c r="L47" s="1712"/>
      <c r="M47" s="2105"/>
      <c r="N47" s="2106"/>
      <c r="O47" s="2106"/>
      <c r="P47" s="2106"/>
      <c r="Q47" s="2106"/>
      <c r="R47" s="2107"/>
      <c r="S47" s="1712"/>
      <c r="T47" s="2190"/>
      <c r="U47" s="2191"/>
      <c r="V47" s="2191"/>
      <c r="W47" s="2191"/>
      <c r="X47" s="2191"/>
      <c r="Y47" s="2192"/>
      <c r="Z47" s="1712"/>
      <c r="AA47" s="2198"/>
      <c r="AB47" s="2199"/>
      <c r="AC47" s="2203"/>
      <c r="AD47" s="2203"/>
      <c r="AE47" s="2107"/>
      <c r="AF47" s="74"/>
      <c r="AG47" s="98" t="s">
        <v>16433</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16434</v>
      </c>
      <c r="C48" s="2174"/>
      <c r="D48" s="2107"/>
      <c r="E48" s="1712"/>
      <c r="F48" s="2105"/>
      <c r="G48" s="2106"/>
      <c r="H48" s="2106"/>
      <c r="I48" s="2106"/>
      <c r="J48" s="2106"/>
      <c r="K48" s="2107"/>
      <c r="L48" s="1712"/>
      <c r="M48" s="2105"/>
      <c r="N48" s="2106"/>
      <c r="O48" s="2106"/>
      <c r="P48" s="2106"/>
      <c r="Q48" s="2106"/>
      <c r="R48" s="2107"/>
      <c r="S48" s="1712"/>
      <c r="T48" s="2190"/>
      <c r="U48" s="2191"/>
      <c r="V48" s="2191"/>
      <c r="W48" s="2191"/>
      <c r="X48" s="2191"/>
      <c r="Y48" s="2192"/>
      <c r="Z48" s="1712"/>
      <c r="AA48" s="2198"/>
      <c r="AB48" s="2199"/>
      <c r="AC48" s="2203"/>
      <c r="AD48" s="2203"/>
      <c r="AE48" s="2107"/>
      <c r="AF48" s="74"/>
      <c r="AG48" s="98" t="s">
        <v>16435</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16436</v>
      </c>
      <c r="C49" s="2174"/>
      <c r="D49" s="2107"/>
      <c r="E49" s="1712"/>
      <c r="F49" s="2105"/>
      <c r="G49" s="2106"/>
      <c r="H49" s="2106"/>
      <c r="I49" s="2106"/>
      <c r="J49" s="2106"/>
      <c r="K49" s="2107"/>
      <c r="L49" s="1712"/>
      <c r="M49" s="2105"/>
      <c r="N49" s="2106"/>
      <c r="O49" s="2106"/>
      <c r="P49" s="2106"/>
      <c r="Q49" s="2106"/>
      <c r="R49" s="2107"/>
      <c r="S49" s="1712"/>
      <c r="T49" s="2190"/>
      <c r="U49" s="2191"/>
      <c r="V49" s="2191"/>
      <c r="W49" s="2191"/>
      <c r="X49" s="2191"/>
      <c r="Y49" s="2192"/>
      <c r="Z49" s="1712"/>
      <c r="AA49" s="2198"/>
      <c r="AB49" s="2199"/>
      <c r="AC49" s="2203"/>
      <c r="AD49" s="2203"/>
      <c r="AE49" s="2107"/>
      <c r="AF49" s="74"/>
      <c r="AG49" s="98" t="s">
        <v>16437</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16438</v>
      </c>
      <c r="C50" s="2174"/>
      <c r="D50" s="2107"/>
      <c r="E50" s="1712"/>
      <c r="F50" s="2105"/>
      <c r="G50" s="2106"/>
      <c r="H50" s="2106"/>
      <c r="I50" s="2106"/>
      <c r="J50" s="2106"/>
      <c r="K50" s="2107"/>
      <c r="L50" s="1712"/>
      <c r="M50" s="2105"/>
      <c r="N50" s="2106"/>
      <c r="O50" s="2106"/>
      <c r="P50" s="2106"/>
      <c r="Q50" s="2106"/>
      <c r="R50" s="2107"/>
      <c r="S50" s="1712"/>
      <c r="T50" s="2190"/>
      <c r="U50" s="2191"/>
      <c r="V50" s="2191"/>
      <c r="W50" s="2191"/>
      <c r="X50" s="2191"/>
      <c r="Y50" s="2192"/>
      <c r="Z50" s="1712"/>
      <c r="AA50" s="2198"/>
      <c r="AB50" s="2199"/>
      <c r="AC50" s="2203"/>
      <c r="AD50" s="2203"/>
      <c r="AE50" s="2107"/>
      <c r="AF50" s="74"/>
      <c r="AG50" s="98" t="s">
        <v>16439</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16440</v>
      </c>
      <c r="C51" s="2174"/>
      <c r="D51" s="2107"/>
      <c r="E51" s="1712"/>
      <c r="F51" s="2105"/>
      <c r="G51" s="2106"/>
      <c r="H51" s="2106"/>
      <c r="I51" s="2106"/>
      <c r="J51" s="2106"/>
      <c r="K51" s="2107"/>
      <c r="L51" s="1712"/>
      <c r="M51" s="2105"/>
      <c r="N51" s="2106"/>
      <c r="O51" s="2106"/>
      <c r="P51" s="2106"/>
      <c r="Q51" s="2106"/>
      <c r="R51" s="2107"/>
      <c r="S51" s="1712"/>
      <c r="T51" s="2190"/>
      <c r="U51" s="2191"/>
      <c r="V51" s="2191"/>
      <c r="W51" s="2191"/>
      <c r="X51" s="2191"/>
      <c r="Y51" s="2192"/>
      <c r="Z51" s="1712"/>
      <c r="AA51" s="2198"/>
      <c r="AB51" s="2199"/>
      <c r="AC51" s="2203"/>
      <c r="AD51" s="2203"/>
      <c r="AE51" s="2107"/>
      <c r="AF51" s="74"/>
      <c r="AG51" s="98" t="s">
        <v>16441</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16442</v>
      </c>
      <c r="C52" s="2174"/>
      <c r="D52" s="2107"/>
      <c r="E52" s="1712"/>
      <c r="F52" s="2105"/>
      <c r="G52" s="2106"/>
      <c r="H52" s="2106"/>
      <c r="I52" s="2106"/>
      <c r="J52" s="2106"/>
      <c r="K52" s="2107"/>
      <c r="L52" s="1712"/>
      <c r="M52" s="2105"/>
      <c r="N52" s="2106"/>
      <c r="O52" s="2106"/>
      <c r="P52" s="2106"/>
      <c r="Q52" s="2106"/>
      <c r="R52" s="2107"/>
      <c r="S52" s="1712"/>
      <c r="T52" s="2190"/>
      <c r="U52" s="2191"/>
      <c r="V52" s="2191"/>
      <c r="W52" s="2191"/>
      <c r="X52" s="2191"/>
      <c r="Y52" s="2192"/>
      <c r="Z52" s="1712"/>
      <c r="AA52" s="2198"/>
      <c r="AB52" s="2199"/>
      <c r="AC52" s="2203"/>
      <c r="AD52" s="2203"/>
      <c r="AE52" s="2107"/>
      <c r="AF52" s="74"/>
      <c r="AG52" s="98" t="s">
        <v>16443</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16444</v>
      </c>
      <c r="C53" s="2174"/>
      <c r="D53" s="2107"/>
      <c r="E53" s="1712"/>
      <c r="F53" s="2105"/>
      <c r="G53" s="2106"/>
      <c r="H53" s="2106"/>
      <c r="I53" s="2106"/>
      <c r="J53" s="2106"/>
      <c r="K53" s="2107"/>
      <c r="L53" s="1712"/>
      <c r="M53" s="2105"/>
      <c r="N53" s="2106"/>
      <c r="O53" s="2106"/>
      <c r="P53" s="2106"/>
      <c r="Q53" s="2106"/>
      <c r="R53" s="2107"/>
      <c r="S53" s="1712"/>
      <c r="T53" s="2190"/>
      <c r="U53" s="2191"/>
      <c r="V53" s="2191"/>
      <c r="W53" s="2191"/>
      <c r="X53" s="2191"/>
      <c r="Y53" s="2192"/>
      <c r="Z53" s="1712"/>
      <c r="AA53" s="2198"/>
      <c r="AB53" s="2199"/>
      <c r="AC53" s="2203"/>
      <c r="AD53" s="2203"/>
      <c r="AE53" s="2107"/>
      <c r="AF53" s="74"/>
      <c r="AG53" s="98" t="s">
        <v>16445</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16446</v>
      </c>
      <c r="C54" s="2174"/>
      <c r="D54" s="2107"/>
      <c r="E54" s="1712"/>
      <c r="F54" s="2105"/>
      <c r="G54" s="2106"/>
      <c r="H54" s="2106"/>
      <c r="I54" s="2106"/>
      <c r="J54" s="2106"/>
      <c r="K54" s="2107"/>
      <c r="L54" s="1712"/>
      <c r="M54" s="2105"/>
      <c r="N54" s="2106"/>
      <c r="O54" s="2106"/>
      <c r="P54" s="2106"/>
      <c r="Q54" s="2106"/>
      <c r="R54" s="2107"/>
      <c r="S54" s="1712"/>
      <c r="T54" s="2190"/>
      <c r="U54" s="2191"/>
      <c r="V54" s="2191"/>
      <c r="W54" s="2191"/>
      <c r="X54" s="2191"/>
      <c r="Y54" s="2192"/>
      <c r="Z54" s="1712"/>
      <c r="AA54" s="2198"/>
      <c r="AB54" s="2199"/>
      <c r="AC54" s="2203"/>
      <c r="AD54" s="2203"/>
      <c r="AE54" s="2107"/>
      <c r="AF54" s="74"/>
      <c r="AG54" s="98" t="s">
        <v>16447</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16448</v>
      </c>
      <c r="C55" s="2174"/>
      <c r="D55" s="2107"/>
      <c r="E55" s="1712"/>
      <c r="F55" s="2105"/>
      <c r="G55" s="2106"/>
      <c r="H55" s="2106"/>
      <c r="I55" s="2106"/>
      <c r="J55" s="2106"/>
      <c r="K55" s="2107"/>
      <c r="L55" s="1712"/>
      <c r="M55" s="2105"/>
      <c r="N55" s="2106"/>
      <c r="O55" s="2106"/>
      <c r="P55" s="2106"/>
      <c r="Q55" s="2106"/>
      <c r="R55" s="2107"/>
      <c r="S55" s="1712"/>
      <c r="T55" s="2190"/>
      <c r="U55" s="2191"/>
      <c r="V55" s="2191"/>
      <c r="W55" s="2191"/>
      <c r="X55" s="2191"/>
      <c r="Y55" s="2192"/>
      <c r="Z55" s="1712"/>
      <c r="AA55" s="2198"/>
      <c r="AB55" s="2199"/>
      <c r="AC55" s="2203"/>
      <c r="AD55" s="2203"/>
      <c r="AE55" s="2107"/>
      <c r="AF55" s="74"/>
      <c r="AG55" s="98" t="s">
        <v>16449</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16450</v>
      </c>
      <c r="C56" s="2174"/>
      <c r="D56" s="2107"/>
      <c r="E56" s="1712"/>
      <c r="F56" s="2105"/>
      <c r="G56" s="2106"/>
      <c r="H56" s="2106"/>
      <c r="I56" s="2106"/>
      <c r="J56" s="2106"/>
      <c r="K56" s="2107"/>
      <c r="L56" s="1712"/>
      <c r="M56" s="2105"/>
      <c r="N56" s="2106"/>
      <c r="O56" s="2106"/>
      <c r="P56" s="2106"/>
      <c r="Q56" s="2106"/>
      <c r="R56" s="2107"/>
      <c r="S56" s="1712"/>
      <c r="T56" s="2190"/>
      <c r="U56" s="2191"/>
      <c r="V56" s="2191"/>
      <c r="W56" s="2191"/>
      <c r="X56" s="2191"/>
      <c r="Y56" s="2192"/>
      <c r="Z56" s="1712"/>
      <c r="AA56" s="2198"/>
      <c r="AB56" s="2199"/>
      <c r="AC56" s="2203"/>
      <c r="AD56" s="2203"/>
      <c r="AE56" s="2107"/>
      <c r="AF56" s="74"/>
      <c r="AG56" s="98" t="s">
        <v>16451</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16452</v>
      </c>
      <c r="C57" s="2174"/>
      <c r="D57" s="2107"/>
      <c r="E57" s="1712"/>
      <c r="F57" s="2105"/>
      <c r="G57" s="2106"/>
      <c r="H57" s="2106"/>
      <c r="I57" s="2106"/>
      <c r="J57" s="2106"/>
      <c r="K57" s="2107"/>
      <c r="L57" s="1712"/>
      <c r="M57" s="2105"/>
      <c r="N57" s="2106"/>
      <c r="O57" s="2106"/>
      <c r="P57" s="2106"/>
      <c r="Q57" s="2106"/>
      <c r="R57" s="2107"/>
      <c r="S57" s="1712"/>
      <c r="T57" s="2190"/>
      <c r="U57" s="2191"/>
      <c r="V57" s="2191"/>
      <c r="W57" s="2191"/>
      <c r="X57" s="2191"/>
      <c r="Y57" s="2192"/>
      <c r="Z57" s="1712"/>
      <c r="AA57" s="2198"/>
      <c r="AB57" s="2199"/>
      <c r="AC57" s="2203"/>
      <c r="AD57" s="2203"/>
      <c r="AE57" s="2107"/>
      <c r="AF57" s="74"/>
      <c r="AG57" s="98" t="s">
        <v>16453</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16454</v>
      </c>
      <c r="C58" s="2174"/>
      <c r="D58" s="2107"/>
      <c r="E58" s="1712"/>
      <c r="F58" s="2105"/>
      <c r="G58" s="2106"/>
      <c r="H58" s="2106"/>
      <c r="I58" s="2106"/>
      <c r="J58" s="2106"/>
      <c r="K58" s="2107"/>
      <c r="L58" s="1712"/>
      <c r="M58" s="2105"/>
      <c r="N58" s="2106"/>
      <c r="O58" s="2106"/>
      <c r="P58" s="2106"/>
      <c r="Q58" s="2106"/>
      <c r="R58" s="2107"/>
      <c r="S58" s="1712"/>
      <c r="T58" s="2190"/>
      <c r="U58" s="2191"/>
      <c r="V58" s="2191"/>
      <c r="W58" s="2191"/>
      <c r="X58" s="2191"/>
      <c r="Y58" s="2192"/>
      <c r="Z58" s="1712"/>
      <c r="AA58" s="2198"/>
      <c r="AB58" s="2199"/>
      <c r="AC58" s="2203"/>
      <c r="AD58" s="2203"/>
      <c r="AE58" s="2107"/>
      <c r="AF58" s="74"/>
      <c r="AG58" s="98" t="s">
        <v>16455</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16456</v>
      </c>
      <c r="C59" s="2174"/>
      <c r="D59" s="2107"/>
      <c r="E59" s="1712"/>
      <c r="F59" s="2105"/>
      <c r="G59" s="2106"/>
      <c r="H59" s="2106"/>
      <c r="I59" s="2106"/>
      <c r="J59" s="2106"/>
      <c r="K59" s="2107"/>
      <c r="L59" s="1712"/>
      <c r="M59" s="2105"/>
      <c r="N59" s="2106"/>
      <c r="O59" s="2106"/>
      <c r="P59" s="2106"/>
      <c r="Q59" s="2106"/>
      <c r="R59" s="2107"/>
      <c r="S59" s="1712"/>
      <c r="T59" s="2190"/>
      <c r="U59" s="2191"/>
      <c r="V59" s="2191"/>
      <c r="W59" s="2191"/>
      <c r="X59" s="2191"/>
      <c r="Y59" s="2192"/>
      <c r="Z59" s="1712"/>
      <c r="AA59" s="2198"/>
      <c r="AB59" s="2199"/>
      <c r="AC59" s="2203"/>
      <c r="AD59" s="2203"/>
      <c r="AE59" s="2107"/>
      <c r="AF59" s="74"/>
      <c r="AG59" s="98" t="s">
        <v>16457</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16458</v>
      </c>
      <c r="C60" s="2174"/>
      <c r="D60" s="2107"/>
      <c r="E60" s="1712"/>
      <c r="F60" s="2105"/>
      <c r="G60" s="2106"/>
      <c r="H60" s="2106"/>
      <c r="I60" s="2106"/>
      <c r="J60" s="2106"/>
      <c r="K60" s="2107"/>
      <c r="L60" s="1712"/>
      <c r="M60" s="2105"/>
      <c r="N60" s="2106"/>
      <c r="O60" s="2106"/>
      <c r="P60" s="2106"/>
      <c r="Q60" s="2106"/>
      <c r="R60" s="2107"/>
      <c r="S60" s="1712"/>
      <c r="T60" s="2190"/>
      <c r="U60" s="2191"/>
      <c r="V60" s="2191"/>
      <c r="W60" s="2191"/>
      <c r="X60" s="2191"/>
      <c r="Y60" s="2192"/>
      <c r="Z60" s="1712"/>
      <c r="AA60" s="2198"/>
      <c r="AB60" s="2199"/>
      <c r="AC60" s="2203"/>
      <c r="AD60" s="2203"/>
      <c r="AE60" s="2107"/>
      <c r="AF60" s="74"/>
      <c r="AG60" s="98" t="s">
        <v>16459</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16460</v>
      </c>
      <c r="C61" s="2174"/>
      <c r="D61" s="2107"/>
      <c r="E61" s="1712"/>
      <c r="F61" s="2105"/>
      <c r="G61" s="2106"/>
      <c r="H61" s="2106"/>
      <c r="I61" s="2106"/>
      <c r="J61" s="2106"/>
      <c r="K61" s="2107"/>
      <c r="L61" s="1712"/>
      <c r="M61" s="2105"/>
      <c r="N61" s="2106"/>
      <c r="O61" s="2106"/>
      <c r="P61" s="2106"/>
      <c r="Q61" s="2106"/>
      <c r="R61" s="2107"/>
      <c r="S61" s="1712"/>
      <c r="T61" s="2190"/>
      <c r="U61" s="2191"/>
      <c r="V61" s="2191"/>
      <c r="W61" s="2191"/>
      <c r="X61" s="2191"/>
      <c r="Y61" s="2192"/>
      <c r="Z61" s="1712"/>
      <c r="AA61" s="2198"/>
      <c r="AB61" s="2199"/>
      <c r="AC61" s="2203"/>
      <c r="AD61" s="2203"/>
      <c r="AE61" s="2107"/>
      <c r="AF61" s="74"/>
      <c r="AG61" s="98" t="s">
        <v>16461</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7445</v>
      </c>
      <c r="C62" s="2175"/>
      <c r="D62" s="1713"/>
      <c r="E62" s="1712"/>
      <c r="F62" s="1714">
        <f>IFERROR(SUM(F12:F61),0)</f>
        <v>0</v>
      </c>
      <c r="G62" s="1715">
        <f t="shared" ref="G62:K62" si="24">IFERROR(SUM(G12:G61),0)</f>
        <v>0</v>
      </c>
      <c r="H62" s="1715">
        <f t="shared" si="24"/>
        <v>0</v>
      </c>
      <c r="I62" s="1715">
        <f t="shared" si="24"/>
        <v>0</v>
      </c>
      <c r="J62" s="1715">
        <f t="shared" si="24"/>
        <v>0</v>
      </c>
      <c r="K62" s="1716">
        <f t="shared" si="24"/>
        <v>0</v>
      </c>
      <c r="L62" s="1712"/>
      <c r="M62" s="1714">
        <f t="shared" ref="M62:R62" si="25">IFERROR(SUM(M12:M61),0)</f>
        <v>0.58699999999999997</v>
      </c>
      <c r="N62" s="1715">
        <f t="shared" si="25"/>
        <v>1.077</v>
      </c>
      <c r="O62" s="1715">
        <f t="shared" si="25"/>
        <v>1.119</v>
      </c>
      <c r="P62" s="1715">
        <f t="shared" si="25"/>
        <v>1.643</v>
      </c>
      <c r="Q62" s="1715">
        <f t="shared" si="25"/>
        <v>1.643</v>
      </c>
      <c r="R62" s="1716">
        <f t="shared" si="25"/>
        <v>0</v>
      </c>
      <c r="S62" s="1712"/>
      <c r="T62" s="2193">
        <f>IFERROR(SUM(T12:T61),0)</f>
        <v>0.33</v>
      </c>
      <c r="U62" s="2194">
        <f t="shared" ref="U62:Y62" si="26">IFERROR(SUM(U12:U61),0)</f>
        <v>1.01</v>
      </c>
      <c r="V62" s="2194">
        <f t="shared" si="26"/>
        <v>2.2999999999999998</v>
      </c>
      <c r="W62" s="2194">
        <f t="shared" si="26"/>
        <v>3.91</v>
      </c>
      <c r="X62" s="2194">
        <f t="shared" si="26"/>
        <v>5.52</v>
      </c>
      <c r="Y62" s="2195">
        <f t="shared" si="26"/>
        <v>0</v>
      </c>
      <c r="Z62" s="1712"/>
      <c r="AA62" s="2200">
        <f>IFERROR(SUM(AA12:AA61),0)</f>
        <v>0</v>
      </c>
      <c r="AB62" s="2201"/>
      <c r="AC62" s="2204"/>
      <c r="AD62" s="2205">
        <f>IFERROR(SUM(AD12:AD61),0)</f>
        <v>0</v>
      </c>
      <c r="AE62" s="1716">
        <f>IFERROR(SUM(AE12:AE61),0)</f>
        <v>0</v>
      </c>
      <c r="AF62" s="74"/>
      <c r="AG62" s="98" t="s">
        <v>16462</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5"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tabColor rgb="FF00B050"/>
    <pageSetUpPr fitToPage="1"/>
  </sheetPr>
  <dimension ref="A1:T30"/>
  <sheetViews>
    <sheetView showGridLines="0" zoomScale="70" zoomScaleNormal="70" zoomScaleSheetLayoutView="100" workbookViewId="0">
      <selection activeCell="D38" sqref="D38"/>
    </sheetView>
  </sheetViews>
  <sheetFormatPr defaultColWidth="9" defaultRowHeight="15.75"/>
  <cols>
    <col min="1" max="1" width="1.625" style="224" customWidth="1"/>
    <col min="2" max="2" width="75.75" style="224" bestFit="1" customWidth="1"/>
    <col min="3" max="3" width="5.5" style="224" bestFit="1" customWidth="1"/>
    <col min="4" max="4" width="4.5" style="224" customWidth="1"/>
    <col min="5" max="5" width="11.875" style="1312" customWidth="1"/>
    <col min="6" max="6" width="1.625" style="224" customWidth="1"/>
    <col min="7" max="7" width="10.25" style="224" bestFit="1" customWidth="1"/>
    <col min="8" max="8" width="1.625" style="260" customWidth="1"/>
    <col min="9" max="9" width="31.125" style="260" bestFit="1" customWidth="1"/>
    <col min="10" max="10" width="1.625" style="260"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89" customFormat="1" ht="30" customHeight="1">
      <c r="B1" s="1229" t="s">
        <v>16463</v>
      </c>
      <c r="C1" s="1229"/>
      <c r="D1" s="1229"/>
      <c r="E1" s="1229"/>
      <c r="F1" s="1229"/>
      <c r="G1" s="1229"/>
      <c r="H1" s="582"/>
      <c r="I1" s="582"/>
      <c r="J1" s="582"/>
      <c r="K1" s="238"/>
      <c r="L1" s="219"/>
      <c r="M1" s="238"/>
      <c r="N1" s="219"/>
      <c r="O1" s="238"/>
      <c r="Q1" s="1229" t="s">
        <v>7220</v>
      </c>
      <c r="R1" s="1229"/>
      <c r="T1" s="219"/>
    </row>
    <row r="2" spans="2:20" s="389" customFormat="1" ht="30" customHeight="1">
      <c r="B2" s="1229" t="str">
        <f>SelectCompany!B4</f>
        <v>Northumbrian Water</v>
      </c>
      <c r="C2" s="529"/>
      <c r="D2" s="529"/>
      <c r="E2" s="529"/>
      <c r="F2" s="529"/>
      <c r="G2" s="1306"/>
      <c r="H2" s="582"/>
      <c r="I2" s="582"/>
      <c r="J2" s="582"/>
      <c r="K2" s="238"/>
      <c r="L2" s="219"/>
      <c r="M2" s="238"/>
      <c r="N2" s="219"/>
      <c r="O2" s="238"/>
      <c r="Q2" s="1229"/>
      <c r="R2" s="529"/>
      <c r="T2" s="219"/>
    </row>
    <row r="3" spans="2:20" ht="45" customHeight="1">
      <c r="B3" s="2807" t="s">
        <v>16464</v>
      </c>
      <c r="C3" s="2807"/>
      <c r="D3" s="2807"/>
      <c r="E3" s="2807"/>
      <c r="F3" s="2807"/>
      <c r="G3" s="2807"/>
      <c r="H3" s="2807"/>
      <c r="I3" s="2807"/>
      <c r="K3" s="238"/>
      <c r="L3" s="1240" t="s">
        <v>7222</v>
      </c>
      <c r="M3" s="238"/>
      <c r="O3" s="238"/>
      <c r="Q3" s="2807" t="s">
        <v>16464</v>
      </c>
      <c r="R3" s="2807"/>
      <c r="T3" s="219"/>
    </row>
    <row r="4" spans="2:20" ht="15" customHeight="1" thickBot="1">
      <c r="B4" s="690"/>
      <c r="C4" s="690"/>
      <c r="D4" s="690"/>
      <c r="E4" s="690"/>
      <c r="F4" s="908"/>
      <c r="G4" s="1307"/>
      <c r="K4" s="238"/>
      <c r="M4" s="238"/>
      <c r="N4" s="240" t="s">
        <v>7223</v>
      </c>
      <c r="O4" s="238"/>
      <c r="Q4" s="690"/>
      <c r="R4" s="690"/>
      <c r="T4" s="219"/>
    </row>
    <row r="5" spans="2:20" s="197" customFormat="1" ht="46.5" thickTop="1" thickBot="1">
      <c r="B5" s="445" t="s">
        <v>7224</v>
      </c>
      <c r="C5" s="446" t="s">
        <v>7225</v>
      </c>
      <c r="D5" s="446" t="s">
        <v>670</v>
      </c>
      <c r="E5" s="447" t="s">
        <v>16465</v>
      </c>
      <c r="F5" s="731"/>
      <c r="G5" s="449" t="s">
        <v>7229</v>
      </c>
      <c r="I5" s="449" t="s">
        <v>7230</v>
      </c>
      <c r="K5" s="238"/>
      <c r="L5" s="219"/>
      <c r="M5" s="238"/>
      <c r="N5" s="269" t="s">
        <v>7231</v>
      </c>
      <c r="O5" s="238"/>
      <c r="Q5" s="445" t="s">
        <v>7224</v>
      </c>
      <c r="R5" s="447" t="s">
        <v>16465</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16466</v>
      </c>
      <c r="C7" s="242"/>
      <c r="D7" s="242"/>
      <c r="E7" s="482"/>
      <c r="F7" s="106"/>
      <c r="G7" s="582"/>
      <c r="K7" s="238"/>
      <c r="L7" s="219"/>
      <c r="M7" s="238"/>
      <c r="N7" s="219"/>
      <c r="O7" s="238"/>
      <c r="Q7" s="393" t="s">
        <v>16466</v>
      </c>
      <c r="R7" s="482"/>
      <c r="T7" s="219"/>
    </row>
    <row r="8" spans="2:20" s="197" customFormat="1" ht="15.75" customHeight="1" thickTop="1">
      <c r="B8" s="451" t="s">
        <v>16467</v>
      </c>
      <c r="C8" s="277" t="s">
        <v>3222</v>
      </c>
      <c r="D8" s="277">
        <v>3</v>
      </c>
      <c r="E8" s="717">
        <v>1892.4680000000001</v>
      </c>
      <c r="F8" s="106"/>
      <c r="G8" s="1040" t="s">
        <v>16468</v>
      </c>
      <c r="I8" s="283"/>
      <c r="K8" s="238"/>
      <c r="L8" s="1232">
        <f t="shared" ref="L8:L13" si="0">IF( SUM( N8:N8 ) = 0, 0, $N$5 )</f>
        <v>0</v>
      </c>
      <c r="M8" s="238"/>
      <c r="N8" s="285">
        <f xml:space="preserve"> IF( ISNUMBER(E8 ), 0, 1 )</f>
        <v>0</v>
      </c>
      <c r="O8" s="238"/>
      <c r="Q8" s="451" t="s">
        <v>16467</v>
      </c>
      <c r="R8" s="717" t="s">
        <v>16469</v>
      </c>
      <c r="T8" s="219"/>
    </row>
    <row r="9" spans="2:20" s="197" customFormat="1" ht="15.75" customHeight="1">
      <c r="B9" s="460" t="s">
        <v>16470</v>
      </c>
      <c r="C9" s="286" t="s">
        <v>3222</v>
      </c>
      <c r="D9" s="286">
        <v>3</v>
      </c>
      <c r="E9" s="405">
        <v>630.90800000000002</v>
      </c>
      <c r="F9" s="106"/>
      <c r="G9" s="1041" t="s">
        <v>16471</v>
      </c>
      <c r="I9" s="291"/>
      <c r="K9" s="238"/>
      <c r="L9" s="1232">
        <f t="shared" si="0"/>
        <v>0</v>
      </c>
      <c r="M9" s="238"/>
      <c r="N9" s="285">
        <f t="shared" ref="N9:N13" si="1" xml:space="preserve"> IF( ISNUMBER(E9 ), 0, 1 )</f>
        <v>0</v>
      </c>
      <c r="O9" s="238"/>
      <c r="Q9" s="460" t="s">
        <v>16470</v>
      </c>
      <c r="R9" s="405" t="s">
        <v>16472</v>
      </c>
      <c r="T9" s="219"/>
    </row>
    <row r="10" spans="2:20" s="197" customFormat="1" ht="15.75" customHeight="1">
      <c r="B10" s="460" t="s">
        <v>16473</v>
      </c>
      <c r="C10" s="286" t="s">
        <v>3222</v>
      </c>
      <c r="D10" s="286">
        <v>3</v>
      </c>
      <c r="E10" s="405">
        <v>2417.5720000000001</v>
      </c>
      <c r="F10" s="106"/>
      <c r="G10" s="1041" t="s">
        <v>16474</v>
      </c>
      <c r="I10" s="291"/>
      <c r="K10" s="238"/>
      <c r="L10" s="1232">
        <f t="shared" si="0"/>
        <v>0</v>
      </c>
      <c r="M10" s="238"/>
      <c r="N10" s="285">
        <f t="shared" si="1"/>
        <v>0</v>
      </c>
      <c r="O10" s="238"/>
      <c r="Q10" s="460" t="s">
        <v>16473</v>
      </c>
      <c r="R10" s="405" t="s">
        <v>16475</v>
      </c>
      <c r="T10" s="219"/>
    </row>
    <row r="11" spans="2:20" s="197" customFormat="1" ht="15.75" customHeight="1">
      <c r="B11" s="460" t="s">
        <v>16476</v>
      </c>
      <c r="C11" s="286" t="s">
        <v>3222</v>
      </c>
      <c r="D11" s="286">
        <v>3</v>
      </c>
      <c r="E11" s="405">
        <v>4320.1610000000001</v>
      </c>
      <c r="F11" s="106"/>
      <c r="G11" s="1041" t="s">
        <v>16477</v>
      </c>
      <c r="I11" s="291"/>
      <c r="K11" s="238"/>
      <c r="L11" s="1232">
        <f t="shared" si="0"/>
        <v>0</v>
      </c>
      <c r="M11" s="238"/>
      <c r="N11" s="285">
        <f t="shared" si="1"/>
        <v>0</v>
      </c>
      <c r="O11" s="238"/>
      <c r="Q11" s="460" t="s">
        <v>16476</v>
      </c>
      <c r="R11" s="405" t="s">
        <v>16478</v>
      </c>
      <c r="T11" s="219"/>
    </row>
    <row r="12" spans="2:20" s="197" customFormat="1" ht="15.75" customHeight="1">
      <c r="B12" s="460" t="s">
        <v>16479</v>
      </c>
      <c r="C12" s="286" t="s">
        <v>3222</v>
      </c>
      <c r="D12" s="286">
        <v>3</v>
      </c>
      <c r="E12" s="405">
        <v>4300.66</v>
      </c>
      <c r="F12" s="106"/>
      <c r="G12" s="1041" t="s">
        <v>16480</v>
      </c>
      <c r="I12" s="291"/>
      <c r="K12" s="238"/>
      <c r="L12" s="1232">
        <f t="shared" si="0"/>
        <v>0</v>
      </c>
      <c r="M12" s="238"/>
      <c r="N12" s="285">
        <f t="shared" si="1"/>
        <v>0</v>
      </c>
      <c r="O12" s="238"/>
      <c r="Q12" s="460" t="s">
        <v>16479</v>
      </c>
      <c r="R12" s="405" t="s">
        <v>16481</v>
      </c>
      <c r="T12" s="219"/>
    </row>
    <row r="13" spans="2:20" s="197" customFormat="1" ht="15.75" customHeight="1">
      <c r="B13" s="460" t="s">
        <v>16482</v>
      </c>
      <c r="C13" s="286" t="s">
        <v>3222</v>
      </c>
      <c r="D13" s="286">
        <v>3</v>
      </c>
      <c r="E13" s="405">
        <v>1890.4490000000001</v>
      </c>
      <c r="F13" s="106"/>
      <c r="G13" s="1041" t="s">
        <v>16483</v>
      </c>
      <c r="I13" s="291"/>
      <c r="K13" s="238"/>
      <c r="L13" s="1232">
        <f t="shared" si="0"/>
        <v>0</v>
      </c>
      <c r="M13" s="238"/>
      <c r="N13" s="285">
        <f t="shared" si="1"/>
        <v>0</v>
      </c>
      <c r="O13" s="238"/>
      <c r="Q13" s="460" t="s">
        <v>16482</v>
      </c>
      <c r="R13" s="405" t="s">
        <v>16484</v>
      </c>
      <c r="T13" s="219"/>
    </row>
    <row r="14" spans="2:20" s="197" customFormat="1" ht="15.75" customHeight="1" thickBot="1">
      <c r="B14" s="463" t="s">
        <v>16485</v>
      </c>
      <c r="C14" s="355" t="s">
        <v>3222</v>
      </c>
      <c r="D14" s="355">
        <v>3</v>
      </c>
      <c r="E14" s="299">
        <f>IFERROR(SUM(E8:E13),0)</f>
        <v>15452.218000000001</v>
      </c>
      <c r="F14" s="106"/>
      <c r="G14" s="1043" t="s">
        <v>16486</v>
      </c>
      <c r="I14" s="302"/>
      <c r="K14" s="238"/>
      <c r="L14" s="219"/>
      <c r="M14" s="238"/>
      <c r="N14" s="219"/>
      <c r="O14" s="238"/>
      <c r="Q14" s="463" t="s">
        <v>16487</v>
      </c>
      <c r="R14" s="299" t="s">
        <v>16488</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16489</v>
      </c>
      <c r="C16" s="1309"/>
      <c r="D16" s="1309"/>
      <c r="E16" s="316"/>
      <c r="F16" s="106"/>
      <c r="G16" s="582"/>
      <c r="K16" s="238"/>
      <c r="L16" s="219"/>
      <c r="M16" s="238"/>
      <c r="N16" s="219"/>
      <c r="O16" s="238"/>
      <c r="Q16" s="393" t="s">
        <v>16489</v>
      </c>
      <c r="R16" s="316"/>
      <c r="T16" s="219"/>
    </row>
    <row r="17" spans="1:20" s="197" customFormat="1" ht="15.75" customHeight="1" thickTop="1">
      <c r="B17" s="451" t="s">
        <v>16490</v>
      </c>
      <c r="C17" s="277" t="s">
        <v>3222</v>
      </c>
      <c r="D17" s="277">
        <v>3</v>
      </c>
      <c r="E17" s="1310">
        <f>IFERROR('7B'!CG22,0)</f>
        <v>533</v>
      </c>
      <c r="F17" s="106"/>
      <c r="G17" s="1040" t="s">
        <v>16491</v>
      </c>
      <c r="I17" s="283"/>
      <c r="K17" s="238"/>
      <c r="L17" s="219"/>
      <c r="M17" s="238"/>
      <c r="N17" s="219"/>
      <c r="O17" s="238"/>
      <c r="Q17" s="451" t="s">
        <v>16490</v>
      </c>
      <c r="R17" s="1310" t="s">
        <v>16492</v>
      </c>
      <c r="T17" s="219"/>
    </row>
    <row r="18" spans="1:20" s="197" customFormat="1" ht="15.75" customHeight="1">
      <c r="B18" s="460" t="s">
        <v>16493</v>
      </c>
      <c r="C18" s="286" t="s">
        <v>3222</v>
      </c>
      <c r="D18" s="286">
        <v>3</v>
      </c>
      <c r="E18" s="400">
        <f>IFERROR('7B'!CG23,0)</f>
        <v>5788</v>
      </c>
      <c r="F18" s="106"/>
      <c r="G18" s="1041" t="s">
        <v>16494</v>
      </c>
      <c r="I18" s="291"/>
      <c r="K18" s="238"/>
      <c r="L18" s="219"/>
      <c r="M18" s="238"/>
      <c r="N18" s="219"/>
      <c r="O18" s="238"/>
      <c r="Q18" s="460" t="s">
        <v>16493</v>
      </c>
      <c r="R18" s="400" t="s">
        <v>16495</v>
      </c>
      <c r="T18" s="219"/>
    </row>
    <row r="19" spans="1:20" s="197" customFormat="1" ht="15.75" customHeight="1">
      <c r="B19" s="460" t="s">
        <v>16496</v>
      </c>
      <c r="C19" s="286" t="s">
        <v>3222</v>
      </c>
      <c r="D19" s="286">
        <v>3</v>
      </c>
      <c r="E19" s="400">
        <f>IFERROR('7B'!CG24,0)</f>
        <v>29595.018</v>
      </c>
      <c r="F19" s="106"/>
      <c r="G19" s="1041" t="s">
        <v>16497</v>
      </c>
      <c r="I19" s="291"/>
      <c r="K19" s="238"/>
      <c r="L19" s="219"/>
      <c r="M19" s="238"/>
      <c r="N19" s="219"/>
      <c r="O19" s="238"/>
      <c r="Q19" s="460" t="s">
        <v>16496</v>
      </c>
      <c r="R19" s="400" t="s">
        <v>16498</v>
      </c>
      <c r="T19" s="219"/>
    </row>
    <row r="20" spans="1:20" s="197" customFormat="1" ht="15.75" customHeight="1">
      <c r="B20" s="460" t="s">
        <v>16499</v>
      </c>
      <c r="C20" s="286" t="s">
        <v>3222</v>
      </c>
      <c r="D20" s="286">
        <v>3</v>
      </c>
      <c r="E20" s="400">
        <f>IFERROR('7B'!CG25,0)</f>
        <v>35916.018000000004</v>
      </c>
      <c r="F20" s="106"/>
      <c r="G20" s="1041" t="s">
        <v>16500</v>
      </c>
      <c r="I20" s="291"/>
      <c r="K20" s="238"/>
      <c r="L20" s="219"/>
      <c r="M20" s="238"/>
      <c r="N20" s="219"/>
      <c r="O20" s="238"/>
      <c r="Q20" s="460" t="s">
        <v>16499</v>
      </c>
      <c r="R20" s="400" t="s">
        <v>16501</v>
      </c>
      <c r="T20" s="219"/>
    </row>
    <row r="21" spans="1:20" s="197" customFormat="1" ht="15.75" customHeight="1">
      <c r="B21" s="460" t="s">
        <v>16502</v>
      </c>
      <c r="C21" s="286" t="s">
        <v>3222</v>
      </c>
      <c r="D21" s="286">
        <v>3</v>
      </c>
      <c r="E21" s="400">
        <f>IFERROR('7B'!CG26,0)</f>
        <v>5021.366</v>
      </c>
      <c r="F21" s="106"/>
      <c r="G21" s="1041" t="s">
        <v>16503</v>
      </c>
      <c r="I21" s="291"/>
      <c r="K21" s="238"/>
      <c r="L21" s="219"/>
      <c r="M21" s="238"/>
      <c r="N21" s="219"/>
      <c r="O21" s="238"/>
      <c r="Q21" s="460" t="s">
        <v>16502</v>
      </c>
      <c r="R21" s="400" t="s">
        <v>16504</v>
      </c>
      <c r="T21" s="219"/>
    </row>
    <row r="22" spans="1:20" s="197" customFormat="1" ht="15.75" customHeight="1" thickBot="1">
      <c r="B22" s="463" t="s">
        <v>16505</v>
      </c>
      <c r="C22" s="355" t="s">
        <v>3222</v>
      </c>
      <c r="D22" s="355">
        <v>3</v>
      </c>
      <c r="E22" s="1311">
        <f>IFERROR('7B'!CG27,0)</f>
        <v>40937.383999999998</v>
      </c>
      <c r="F22" s="106"/>
      <c r="G22" s="1043" t="s">
        <v>16506</v>
      </c>
      <c r="I22" s="302"/>
      <c r="K22" s="238"/>
      <c r="L22" s="219"/>
      <c r="M22" s="238"/>
      <c r="N22" s="219"/>
      <c r="O22" s="238"/>
      <c r="Q22" s="463" t="s">
        <v>16507</v>
      </c>
      <c r="R22" s="1311" t="s">
        <v>16508</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16509</v>
      </c>
      <c r="C24" s="242"/>
      <c r="D24" s="242"/>
      <c r="E24" s="316"/>
      <c r="F24" s="106"/>
      <c r="G24" s="582"/>
      <c r="K24" s="238"/>
      <c r="L24" s="219"/>
      <c r="M24" s="238"/>
      <c r="N24" s="219"/>
      <c r="O24" s="238"/>
      <c r="Q24" s="393" t="s">
        <v>16510</v>
      </c>
      <c r="R24" s="316"/>
    </row>
    <row r="25" spans="1:20" ht="15.75" customHeight="1" thickTop="1" thickBot="1">
      <c r="A25" s="197"/>
      <c r="B25" s="469" t="s">
        <v>16511</v>
      </c>
      <c r="C25" s="371" t="s">
        <v>3222</v>
      </c>
      <c r="D25" s="371">
        <v>3</v>
      </c>
      <c r="E25" s="471">
        <f>IFERROR(E14+E22,0)</f>
        <v>56389.601999999999</v>
      </c>
      <c r="F25" s="106"/>
      <c r="G25" s="1048" t="s">
        <v>16512</v>
      </c>
      <c r="H25" s="197"/>
      <c r="I25" s="375"/>
      <c r="J25" s="197"/>
      <c r="K25" s="238"/>
      <c r="M25" s="238"/>
      <c r="O25" s="238"/>
      <c r="Q25" s="469" t="s">
        <v>16513</v>
      </c>
      <c r="R25" s="471" t="s">
        <v>16514</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7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tabColor rgb="FF00B050"/>
    <pageSetUpPr fitToPage="1"/>
  </sheetPr>
  <dimension ref="A1:FU49"/>
  <sheetViews>
    <sheetView showGridLines="0" zoomScale="50" zoomScaleNormal="50" zoomScaleSheetLayoutView="100" workbookViewId="0">
      <selection activeCell="D25" sqref="D25"/>
    </sheetView>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60"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59" customFormat="1" ht="30" customHeight="1">
      <c r="B1" s="1229" t="s">
        <v>16515</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SelectCompany!B4</f>
        <v>Northumbrian Water</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08" t="s">
        <v>16516</v>
      </c>
      <c r="C3" s="2908"/>
      <c r="D3" s="2908"/>
      <c r="E3" s="2908"/>
      <c r="F3" s="2908"/>
      <c r="G3" s="2908"/>
      <c r="H3" s="2908"/>
      <c r="I3" s="2908"/>
      <c r="J3" s="2908"/>
      <c r="K3" s="2908"/>
      <c r="L3" s="2908"/>
      <c r="M3" s="2908"/>
      <c r="N3" s="2908"/>
      <c r="O3" s="2908"/>
      <c r="P3" s="2908"/>
      <c r="Q3" s="2908"/>
      <c r="R3" s="2908"/>
      <c r="S3" s="2908"/>
      <c r="T3" s="2908"/>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7222</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25"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5" thickTop="1" thickBot="1">
      <c r="B5" s="445" t="s">
        <v>7224</v>
      </c>
      <c r="C5" s="446" t="s">
        <v>7225</v>
      </c>
      <c r="D5" s="446" t="s">
        <v>670</v>
      </c>
      <c r="E5" s="446" t="s">
        <v>21</v>
      </c>
      <c r="F5" s="446" t="s">
        <v>37</v>
      </c>
      <c r="G5" s="446" t="s">
        <v>52</v>
      </c>
      <c r="H5" s="446" t="s">
        <v>68</v>
      </c>
      <c r="I5" s="446" t="s">
        <v>83</v>
      </c>
      <c r="J5" s="446" t="s">
        <v>98</v>
      </c>
      <c r="K5" s="446" t="s">
        <v>112</v>
      </c>
      <c r="L5" s="446" t="s">
        <v>127</v>
      </c>
      <c r="M5" s="446" t="s">
        <v>141</v>
      </c>
      <c r="N5" s="446" t="s">
        <v>155</v>
      </c>
      <c r="O5" s="446" t="s">
        <v>169</v>
      </c>
      <c r="P5" s="446" t="s">
        <v>183</v>
      </c>
      <c r="Q5" s="446" t="s">
        <v>197</v>
      </c>
      <c r="R5" s="446" t="s">
        <v>210</v>
      </c>
      <c r="S5" s="446" t="s">
        <v>224</v>
      </c>
      <c r="T5" s="446" t="s">
        <v>237</v>
      </c>
      <c r="U5" s="446" t="s">
        <v>250</v>
      </c>
      <c r="V5" s="446" t="s">
        <v>263</v>
      </c>
      <c r="W5" s="446" t="s">
        <v>276</v>
      </c>
      <c r="X5" s="446" t="s">
        <v>289</v>
      </c>
      <c r="Y5" s="446" t="s">
        <v>300</v>
      </c>
      <c r="Z5" s="446" t="s">
        <v>310</v>
      </c>
      <c r="AA5" s="446" t="s">
        <v>320</v>
      </c>
      <c r="AB5" s="446" t="s">
        <v>331</v>
      </c>
      <c r="AC5" s="446" t="s">
        <v>341</v>
      </c>
      <c r="AD5" s="446" t="s">
        <v>352</v>
      </c>
      <c r="AE5" s="446" t="s">
        <v>362</v>
      </c>
      <c r="AF5" s="446" t="s">
        <v>372</v>
      </c>
      <c r="AG5" s="446" t="s">
        <v>381</v>
      </c>
      <c r="AH5" s="446" t="s">
        <v>389</v>
      </c>
      <c r="AI5" s="446" t="s">
        <v>396</v>
      </c>
      <c r="AJ5" s="446" t="s">
        <v>403</v>
      </c>
      <c r="AK5" s="446" t="s">
        <v>410</v>
      </c>
      <c r="AL5" s="446" t="s">
        <v>417</v>
      </c>
      <c r="AM5" s="446" t="s">
        <v>424</v>
      </c>
      <c r="AN5" s="446" t="s">
        <v>431</v>
      </c>
      <c r="AO5" s="446" t="s">
        <v>438</v>
      </c>
      <c r="AP5" s="446" t="s">
        <v>445</v>
      </c>
      <c r="AQ5" s="446" t="s">
        <v>452</v>
      </c>
      <c r="AR5" s="446" t="s">
        <v>459</v>
      </c>
      <c r="AS5" s="446" t="s">
        <v>466</v>
      </c>
      <c r="AT5" s="446" t="s">
        <v>473</v>
      </c>
      <c r="AU5" s="446" t="s">
        <v>480</v>
      </c>
      <c r="AV5" s="446" t="s">
        <v>486</v>
      </c>
      <c r="AW5" s="446" t="s">
        <v>492</v>
      </c>
      <c r="AX5" s="446" t="s">
        <v>498</v>
      </c>
      <c r="AY5" s="446" t="s">
        <v>504</v>
      </c>
      <c r="AZ5" s="446" t="s">
        <v>510</v>
      </c>
      <c r="BA5" s="446" t="s">
        <v>516</v>
      </c>
      <c r="BB5" s="446" t="s">
        <v>522</v>
      </c>
      <c r="BC5" s="446" t="s">
        <v>527</v>
      </c>
      <c r="BD5" s="446" t="s">
        <v>532</v>
      </c>
      <c r="BE5" s="446" t="s">
        <v>537</v>
      </c>
      <c r="BF5" s="446" t="s">
        <v>542</v>
      </c>
      <c r="BG5" s="446" t="s">
        <v>547</v>
      </c>
      <c r="BH5" s="446" t="s">
        <v>552</v>
      </c>
      <c r="BI5" s="446" t="s">
        <v>557</v>
      </c>
      <c r="BJ5" s="446" t="s">
        <v>561</v>
      </c>
      <c r="BK5" s="446" t="s">
        <v>564</v>
      </c>
      <c r="BL5" s="446" t="s">
        <v>567</v>
      </c>
      <c r="BM5" s="446" t="s">
        <v>570</v>
      </c>
      <c r="BN5" s="446" t="s">
        <v>573</v>
      </c>
      <c r="BO5" s="446" t="s">
        <v>576</v>
      </c>
      <c r="BP5" s="446" t="s">
        <v>579</v>
      </c>
      <c r="BQ5" s="446" t="s">
        <v>582</v>
      </c>
      <c r="BR5" s="446" t="s">
        <v>585</v>
      </c>
      <c r="BS5" s="446" t="s">
        <v>588</v>
      </c>
      <c r="BT5" s="446" t="s">
        <v>590</v>
      </c>
      <c r="BU5" s="446" t="s">
        <v>592</v>
      </c>
      <c r="BV5" s="446" t="s">
        <v>594</v>
      </c>
      <c r="BW5" s="446" t="s">
        <v>596</v>
      </c>
      <c r="BX5" s="446" t="s">
        <v>598</v>
      </c>
      <c r="BY5" s="446" t="s">
        <v>600</v>
      </c>
      <c r="BZ5" s="446" t="s">
        <v>602</v>
      </c>
      <c r="CA5" s="446" t="s">
        <v>604</v>
      </c>
      <c r="CB5" s="446" t="s">
        <v>606</v>
      </c>
      <c r="CC5" s="446" t="s">
        <v>608</v>
      </c>
      <c r="CD5" s="446" t="s">
        <v>609</v>
      </c>
      <c r="CE5" s="446" t="s">
        <v>610</v>
      </c>
      <c r="CF5" s="446" t="s">
        <v>611</v>
      </c>
      <c r="CG5" s="447" t="s">
        <v>7445</v>
      </c>
      <c r="CH5" s="1316"/>
      <c r="CI5" s="449" t="s">
        <v>7229</v>
      </c>
      <c r="CK5" s="449" t="s">
        <v>7230</v>
      </c>
      <c r="CM5" s="238"/>
      <c r="CN5" s="219"/>
      <c r="CO5" s="238"/>
      <c r="CP5" s="2895" t="s">
        <v>7223</v>
      </c>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38"/>
      <c r="FT5" s="447" t="s">
        <v>7445</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7231</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16517</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35.450000000000003" customHeight="1" thickTop="1">
      <c r="B8" s="451" t="s">
        <v>16518</v>
      </c>
      <c r="C8" s="277" t="s">
        <v>16519</v>
      </c>
      <c r="D8" s="277">
        <v>0</v>
      </c>
      <c r="E8" s="1728" t="s">
        <v>16520</v>
      </c>
      <c r="F8" s="1728" t="s">
        <v>16521</v>
      </c>
      <c r="G8" s="1728" t="s">
        <v>16522</v>
      </c>
      <c r="H8" s="1728" t="s">
        <v>16523</v>
      </c>
      <c r="I8" s="1728" t="s">
        <v>16524</v>
      </c>
      <c r="J8" s="1728" t="s">
        <v>16525</v>
      </c>
      <c r="K8" s="1728" t="s">
        <v>16526</v>
      </c>
      <c r="L8" s="1728" t="s">
        <v>16527</v>
      </c>
      <c r="M8" s="1728" t="s">
        <v>16528</v>
      </c>
      <c r="N8" s="1728" t="s">
        <v>16529</v>
      </c>
      <c r="O8" s="1728" t="s">
        <v>16530</v>
      </c>
      <c r="P8" s="1728" t="s">
        <v>16531</v>
      </c>
      <c r="Q8" s="1728" t="s">
        <v>16532</v>
      </c>
      <c r="R8" s="1728" t="s">
        <v>16533</v>
      </c>
      <c r="S8" s="1728" t="s">
        <v>16534</v>
      </c>
      <c r="T8" s="1728" t="s">
        <v>16535</v>
      </c>
      <c r="U8" s="1728" t="s">
        <v>16536</v>
      </c>
      <c r="V8" s="1728" t="s">
        <v>16537</v>
      </c>
      <c r="W8" s="1728" t="s">
        <v>16538</v>
      </c>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05" t="s">
        <v>16539</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16540</v>
      </c>
      <c r="C9" s="1846" t="s">
        <v>16519</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06"/>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15.75" customHeight="1">
      <c r="B10" s="1845" t="s">
        <v>16541</v>
      </c>
      <c r="C10" s="1846" t="s">
        <v>16519</v>
      </c>
      <c r="D10" s="1846">
        <v>0</v>
      </c>
      <c r="E10" s="2040" t="str">
        <f>IFERROR(IF(IF(E8="Other (Specify Below)",E9,E8)=0,"",IF(E8="Other (Specify Below)",E9,E8)),"")</f>
        <v>Aycliffe</v>
      </c>
      <c r="F10" s="2040" t="str">
        <f t="shared" ref="F10:BQ10" si="0">IFERROR(IF(IF(F8="Other (Specify Below)",F9,F8)=0,"",IF(F8="Other (Specify Below)",F9,F8)),"")</f>
        <v>Barkers Haugh</v>
      </c>
      <c r="G10" s="2040" t="str">
        <f t="shared" si="0"/>
        <v>Bishop Auckland</v>
      </c>
      <c r="H10" s="2040" t="str">
        <f t="shared" si="0"/>
        <v>Blyth</v>
      </c>
      <c r="I10" s="2040" t="str">
        <f t="shared" si="0"/>
        <v>Bran Sands Municipal</v>
      </c>
      <c r="J10" s="2040" t="str">
        <f t="shared" si="0"/>
        <v>Cambois</v>
      </c>
      <c r="K10" s="2040" t="str">
        <f t="shared" si="0"/>
        <v>Chester le St</v>
      </c>
      <c r="L10" s="2040" t="str">
        <f t="shared" si="0"/>
        <v>Consett</v>
      </c>
      <c r="M10" s="2040" t="str">
        <f t="shared" si="0"/>
        <v>Cramlington</v>
      </c>
      <c r="N10" s="2040" t="str">
        <f t="shared" si="0"/>
        <v>Hendon</v>
      </c>
      <c r="O10" s="2040" t="str">
        <f t="shared" si="0"/>
        <v>Horden</v>
      </c>
      <c r="P10" s="2040" t="str">
        <f t="shared" si="0"/>
        <v>Howdon</v>
      </c>
      <c r="Q10" s="2040" t="str">
        <f t="shared" si="0"/>
        <v>Marske</v>
      </c>
      <c r="R10" s="2040" t="str">
        <f t="shared" si="0"/>
        <v>Newbiggin</v>
      </c>
      <c r="S10" s="2040" t="str">
        <f t="shared" si="0"/>
        <v>Seaham</v>
      </c>
      <c r="T10" s="2040" t="str">
        <f t="shared" si="0"/>
        <v>Seaton Carew</v>
      </c>
      <c r="U10" s="2040" t="str">
        <f t="shared" si="0"/>
        <v>Sedgeletch</v>
      </c>
      <c r="V10" s="2040" t="str">
        <f t="shared" si="0"/>
        <v>Stressholme</v>
      </c>
      <c r="W10" s="2040" t="str">
        <f t="shared" si="0"/>
        <v>Washington</v>
      </c>
      <c r="X10" s="2040" t="str">
        <f t="shared" si="0"/>
        <v/>
      </c>
      <c r="Y10" s="2040" t="str">
        <f t="shared" si="0"/>
        <v/>
      </c>
      <c r="Z10" s="2040" t="str">
        <f t="shared" si="0"/>
        <v/>
      </c>
      <c r="AA10" s="2040" t="str">
        <f t="shared" si="0"/>
        <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07"/>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16519</v>
      </c>
      <c r="D11" s="286">
        <v>0</v>
      </c>
      <c r="E11" s="1717" t="s">
        <v>16542</v>
      </c>
      <c r="F11" s="1717" t="s">
        <v>16543</v>
      </c>
      <c r="G11" s="1717" t="s">
        <v>16543</v>
      </c>
      <c r="H11" s="1717" t="s">
        <v>16544</v>
      </c>
      <c r="I11" s="1717" t="s">
        <v>16542</v>
      </c>
      <c r="J11" s="1717" t="s">
        <v>16544</v>
      </c>
      <c r="K11" s="1717" t="s">
        <v>16543</v>
      </c>
      <c r="L11" s="1717" t="s">
        <v>16543</v>
      </c>
      <c r="M11" s="1717" t="s">
        <v>16544</v>
      </c>
      <c r="N11" s="1717" t="s">
        <v>16542</v>
      </c>
      <c r="O11" s="1717" t="s">
        <v>16544</v>
      </c>
      <c r="P11" s="1717" t="s">
        <v>16542</v>
      </c>
      <c r="Q11" s="1717" t="s">
        <v>16542</v>
      </c>
      <c r="R11" s="1717" t="s">
        <v>16544</v>
      </c>
      <c r="S11" s="1717" t="s">
        <v>16544</v>
      </c>
      <c r="T11" s="1717" t="s">
        <v>16542</v>
      </c>
      <c r="U11" s="1717" t="s">
        <v>16542</v>
      </c>
      <c r="V11" s="1717" t="s">
        <v>16545</v>
      </c>
      <c r="W11" s="1717" t="s">
        <v>16544</v>
      </c>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16546</v>
      </c>
      <c r="CK11" s="842"/>
      <c r="CM11" s="238"/>
      <c r="CN11" s="1232" t="str">
        <f t="shared" ref="CN11:CN17" si="2">IF( SUM( CP11:FR11 ) = 0, 0, $CP$6 )</f>
        <v>Please complete all cells in row</v>
      </c>
      <c r="CO11" s="238"/>
      <c r="CP11" s="285">
        <f xml:space="preserve"> IF( OR(ISNUMBER(E11 ),E$8=""), 0, 1 )</f>
        <v>1</v>
      </c>
      <c r="CQ11" s="285">
        <f t="shared" ref="CQ11" si="3" xml:space="preserve"> IF( OR(ISNUMBER(F11 ),F$8=""), 0, 1 )</f>
        <v>1</v>
      </c>
      <c r="CR11" s="285">
        <f t="shared" ref="CR11" si="4" xml:space="preserve"> IF( OR(ISNUMBER(G11 ),G$8=""), 0, 1 )</f>
        <v>1</v>
      </c>
      <c r="CS11" s="285">
        <f t="shared" ref="CS11" si="5" xml:space="preserve"> IF( OR(ISNUMBER(H11 ),H$8=""), 0, 1 )</f>
        <v>1</v>
      </c>
      <c r="CT11" s="285">
        <f t="shared" ref="CT11" si="6" xml:space="preserve"> IF( OR(ISNUMBER(I11 ),I$8=""), 0, 1 )</f>
        <v>1</v>
      </c>
      <c r="CU11" s="285">
        <f t="shared" ref="CU11" si="7" xml:space="preserve"> IF( OR(ISNUMBER(J11 ),J$8=""), 0, 1 )</f>
        <v>1</v>
      </c>
      <c r="CV11" s="285">
        <f t="shared" ref="CV11" si="8" xml:space="preserve"> IF( OR(ISNUMBER(K11 ),K$8=""), 0, 1 )</f>
        <v>1</v>
      </c>
      <c r="CW11" s="285">
        <f t="shared" ref="CW11" si="9" xml:space="preserve"> IF( OR(ISNUMBER(L11 ),L$8=""), 0, 1 )</f>
        <v>1</v>
      </c>
      <c r="CX11" s="285">
        <f t="shared" ref="CX11" si="10" xml:space="preserve"> IF( OR(ISNUMBER(M11 ),M$8=""), 0, 1 )</f>
        <v>1</v>
      </c>
      <c r="CY11" s="285">
        <f t="shared" ref="CY11" si="11" xml:space="preserve"> IF( OR(ISNUMBER(N11 ),N$8=""), 0, 1 )</f>
        <v>1</v>
      </c>
      <c r="CZ11" s="285">
        <f t="shared" ref="CZ11" si="12" xml:space="preserve"> IF( OR(ISNUMBER(O11 ),O$8=""), 0, 1 )</f>
        <v>1</v>
      </c>
      <c r="DA11" s="285">
        <f t="shared" ref="DA11" si="13" xml:space="preserve"> IF( OR(ISNUMBER(P11 ),P$8=""), 0, 1 )</f>
        <v>1</v>
      </c>
      <c r="DB11" s="285">
        <f t="shared" ref="DB11" si="14" xml:space="preserve"> IF( OR(ISNUMBER(Q11 ),Q$8=""), 0, 1 )</f>
        <v>1</v>
      </c>
      <c r="DC11" s="285">
        <f t="shared" ref="DC11" si="15" xml:space="preserve"> IF( OR(ISNUMBER(R11 ),R$8=""), 0, 1 )</f>
        <v>1</v>
      </c>
      <c r="DD11" s="285">
        <f t="shared" ref="DD11" si="16" xml:space="preserve"> IF( OR(ISNUMBER(S11 ),S$8=""), 0, 1 )</f>
        <v>1</v>
      </c>
      <c r="DE11" s="285">
        <f t="shared" ref="DE11" si="17" xml:space="preserve"> IF( OR(ISNUMBER(T11 ),T$8=""), 0, 1 )</f>
        <v>1</v>
      </c>
      <c r="DF11" s="285">
        <f t="shared" ref="DF11" si="18" xml:space="preserve"> IF( OR(ISNUMBER(U11 ),U$8=""), 0, 1 )</f>
        <v>1</v>
      </c>
      <c r="DG11" s="285">
        <f t="shared" ref="DG11" si="19" xml:space="preserve"> IF( OR(ISNUMBER(V11 ),V$8=""), 0, 1 )</f>
        <v>1</v>
      </c>
      <c r="DH11" s="285">
        <f t="shared" ref="DH11" si="20" xml:space="preserve"> IF( OR(ISNUMBER(W11 ),W$8=""), 0, 1 )</f>
        <v>1</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16547</v>
      </c>
      <c r="C12" s="286" t="s">
        <v>3222</v>
      </c>
      <c r="D12" s="286">
        <v>2</v>
      </c>
      <c r="E12" s="1730">
        <v>39.31</v>
      </c>
      <c r="F12" s="1730">
        <v>39.020000000000003</v>
      </c>
      <c r="G12" s="1730">
        <v>26.86</v>
      </c>
      <c r="H12" s="1730">
        <v>39.56</v>
      </c>
      <c r="I12" s="1730">
        <v>580.85</v>
      </c>
      <c r="J12" s="1730">
        <v>26.69</v>
      </c>
      <c r="K12" s="1730">
        <v>27.46</v>
      </c>
      <c r="L12" s="1730">
        <v>34.94</v>
      </c>
      <c r="M12" s="1730">
        <v>25.5</v>
      </c>
      <c r="N12" s="1730">
        <v>293.64</v>
      </c>
      <c r="O12" s="1730">
        <v>65.05</v>
      </c>
      <c r="P12" s="1730">
        <v>832.32</v>
      </c>
      <c r="Q12" s="1730">
        <v>81.78</v>
      </c>
      <c r="R12" s="1730">
        <v>40.99</v>
      </c>
      <c r="S12" s="1730">
        <v>43.43</v>
      </c>
      <c r="T12" s="1730">
        <v>148.87</v>
      </c>
      <c r="U12" s="1730">
        <v>36.369999999999997</v>
      </c>
      <c r="V12" s="1730">
        <v>76.72</v>
      </c>
      <c r="W12" s="1730">
        <v>69.989999999999995</v>
      </c>
      <c r="X12" s="1730"/>
      <c r="Y12" s="1730"/>
      <c r="Z12" s="1730"/>
      <c r="AA12" s="1730"/>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16548</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16549</v>
      </c>
      <c r="C13" s="286" t="s">
        <v>16550</v>
      </c>
      <c r="D13" s="286">
        <v>0</v>
      </c>
      <c r="E13" s="1717">
        <v>40</v>
      </c>
      <c r="F13" s="1717">
        <v>75</v>
      </c>
      <c r="G13" s="1717">
        <v>60</v>
      </c>
      <c r="H13" s="1717">
        <v>30</v>
      </c>
      <c r="I13" s="1717">
        <v>60</v>
      </c>
      <c r="J13" s="1717">
        <v>250</v>
      </c>
      <c r="K13" s="1717">
        <v>35</v>
      </c>
      <c r="L13" s="1717">
        <v>50</v>
      </c>
      <c r="M13" s="1717">
        <v>80</v>
      </c>
      <c r="N13" s="1717">
        <v>60</v>
      </c>
      <c r="O13" s="1717">
        <v>250</v>
      </c>
      <c r="P13" s="1717">
        <v>60</v>
      </c>
      <c r="Q13" s="1717">
        <v>60</v>
      </c>
      <c r="R13" s="1717">
        <v>250</v>
      </c>
      <c r="S13" s="1717">
        <v>250</v>
      </c>
      <c r="T13" s="1717">
        <v>60</v>
      </c>
      <c r="U13" s="1717">
        <v>75</v>
      </c>
      <c r="V13" s="1717">
        <v>50</v>
      </c>
      <c r="W13" s="1717">
        <v>60</v>
      </c>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16551</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16552</v>
      </c>
      <c r="C14" s="286" t="s">
        <v>16550</v>
      </c>
      <c r="D14" s="286">
        <v>0</v>
      </c>
      <c r="E14" s="1717">
        <v>25</v>
      </c>
      <c r="F14" s="1717">
        <v>25</v>
      </c>
      <c r="G14" s="1717">
        <v>25</v>
      </c>
      <c r="H14" s="1717">
        <v>20</v>
      </c>
      <c r="I14" s="1717">
        <v>25</v>
      </c>
      <c r="J14" s="1717">
        <v>25</v>
      </c>
      <c r="K14" s="1717">
        <v>23</v>
      </c>
      <c r="L14" s="1717">
        <v>15</v>
      </c>
      <c r="M14" s="1717">
        <v>25</v>
      </c>
      <c r="N14" s="1717">
        <v>25</v>
      </c>
      <c r="O14" s="1717">
        <v>25</v>
      </c>
      <c r="P14" s="1717">
        <v>25</v>
      </c>
      <c r="Q14" s="1717">
        <v>25</v>
      </c>
      <c r="R14" s="1717">
        <v>25</v>
      </c>
      <c r="S14" s="1717">
        <v>25</v>
      </c>
      <c r="T14" s="1717">
        <v>25</v>
      </c>
      <c r="U14" s="1717">
        <v>10</v>
      </c>
      <c r="V14" s="1717">
        <v>25</v>
      </c>
      <c r="W14" s="1717">
        <v>25</v>
      </c>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16553</v>
      </c>
      <c r="CK14" s="842"/>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16554</v>
      </c>
      <c r="C15" s="286" t="s">
        <v>16550</v>
      </c>
      <c r="D15" s="286">
        <v>0</v>
      </c>
      <c r="E15" s="1717">
        <v>3</v>
      </c>
      <c r="F15" s="1717">
        <v>15</v>
      </c>
      <c r="G15" s="1717">
        <v>10</v>
      </c>
      <c r="H15" s="1717">
        <v>10</v>
      </c>
      <c r="I15" s="1717">
        <v>40</v>
      </c>
      <c r="J15" s="1717">
        <v>0</v>
      </c>
      <c r="K15" s="1717">
        <v>10</v>
      </c>
      <c r="L15" s="1717">
        <v>5</v>
      </c>
      <c r="M15" s="1717">
        <v>0</v>
      </c>
      <c r="N15" s="1717">
        <v>0</v>
      </c>
      <c r="O15" s="1717">
        <v>0</v>
      </c>
      <c r="P15" s="1717">
        <v>0</v>
      </c>
      <c r="Q15" s="1717">
        <v>0</v>
      </c>
      <c r="R15" s="1717">
        <v>0</v>
      </c>
      <c r="S15" s="1717">
        <v>0</v>
      </c>
      <c r="T15" s="1717">
        <v>0</v>
      </c>
      <c r="U15" s="1717">
        <v>5</v>
      </c>
      <c r="V15" s="1717">
        <v>15</v>
      </c>
      <c r="W15" s="1717">
        <v>0</v>
      </c>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16555</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16556</v>
      </c>
      <c r="C16" s="286" t="s">
        <v>16550</v>
      </c>
      <c r="D16" s="286">
        <v>2</v>
      </c>
      <c r="E16" s="1730">
        <v>2</v>
      </c>
      <c r="F16" s="1730">
        <v>2</v>
      </c>
      <c r="G16" s="1730">
        <v>2</v>
      </c>
      <c r="H16" s="1730">
        <v>0</v>
      </c>
      <c r="I16" s="1730">
        <v>0</v>
      </c>
      <c r="J16" s="1730">
        <v>0</v>
      </c>
      <c r="K16" s="1730">
        <v>2</v>
      </c>
      <c r="L16" s="1730">
        <v>2</v>
      </c>
      <c r="M16" s="1730">
        <v>0</v>
      </c>
      <c r="N16" s="1730">
        <v>0</v>
      </c>
      <c r="O16" s="1730">
        <v>0</v>
      </c>
      <c r="P16" s="1730">
        <v>0</v>
      </c>
      <c r="Q16" s="1730">
        <v>0</v>
      </c>
      <c r="R16" s="1730">
        <v>0</v>
      </c>
      <c r="S16" s="1730">
        <v>0</v>
      </c>
      <c r="T16" s="1730">
        <v>0</v>
      </c>
      <c r="U16" s="1730">
        <v>1</v>
      </c>
      <c r="V16" s="1730">
        <v>0</v>
      </c>
      <c r="W16" s="1730">
        <v>0</v>
      </c>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16557</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16558</v>
      </c>
      <c r="C17" s="286" t="s">
        <v>16559</v>
      </c>
      <c r="D17" s="286">
        <v>0</v>
      </c>
      <c r="E17" s="1717">
        <v>0</v>
      </c>
      <c r="F17" s="1717">
        <v>0</v>
      </c>
      <c r="G17" s="1717">
        <v>0</v>
      </c>
      <c r="H17" s="1717">
        <v>0</v>
      </c>
      <c r="I17" s="1717">
        <v>59</v>
      </c>
      <c r="J17" s="1717">
        <v>0</v>
      </c>
      <c r="K17" s="1717">
        <v>0</v>
      </c>
      <c r="L17" s="1717">
        <v>0</v>
      </c>
      <c r="M17" s="1717" t="s">
        <v>9921</v>
      </c>
      <c r="N17" s="1717">
        <v>37</v>
      </c>
      <c r="O17" s="1717">
        <v>0</v>
      </c>
      <c r="P17" s="1717">
        <v>63</v>
      </c>
      <c r="Q17" s="1717">
        <v>38</v>
      </c>
      <c r="R17" s="1717" t="s">
        <v>9921</v>
      </c>
      <c r="S17" s="1717" t="s">
        <v>9921</v>
      </c>
      <c r="T17" s="1717">
        <v>24</v>
      </c>
      <c r="U17" s="1717">
        <v>0</v>
      </c>
      <c r="V17" s="1717">
        <v>0</v>
      </c>
      <c r="W17" s="1717">
        <v>0</v>
      </c>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16560</v>
      </c>
      <c r="CK17" s="842"/>
      <c r="CM17" s="238"/>
      <c r="CN17" s="1232" t="str">
        <f t="shared" si="2"/>
        <v>Please complete all cells in row</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1</v>
      </c>
      <c r="CY17" s="285">
        <f t="shared" si="90"/>
        <v>0</v>
      </c>
      <c r="CZ17" s="285">
        <f t="shared" si="91"/>
        <v>0</v>
      </c>
      <c r="DA17" s="285">
        <f t="shared" si="92"/>
        <v>0</v>
      </c>
      <c r="DB17" s="285">
        <f t="shared" si="93"/>
        <v>0</v>
      </c>
      <c r="DC17" s="285">
        <f t="shared" si="94"/>
        <v>1</v>
      </c>
      <c r="DD17" s="285">
        <f t="shared" si="95"/>
        <v>1</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16561</v>
      </c>
      <c r="C18" s="286" t="s">
        <v>16562</v>
      </c>
      <c r="D18" s="286">
        <v>0</v>
      </c>
      <c r="E18" s="1721">
        <f>IFERROR(E12*0.06*1000,0)</f>
        <v>2358.6</v>
      </c>
      <c r="F18" s="1721">
        <f t="shared" ref="F18:BQ18" si="162">IFERROR(F12*0.06*1000,0)</f>
        <v>2341.2000000000003</v>
      </c>
      <c r="G18" s="1721">
        <f t="shared" si="162"/>
        <v>1611.6</v>
      </c>
      <c r="H18" s="1721">
        <f t="shared" si="162"/>
        <v>2373.6000000000004</v>
      </c>
      <c r="I18" s="1721">
        <f t="shared" si="162"/>
        <v>34851</v>
      </c>
      <c r="J18" s="1721">
        <f t="shared" si="162"/>
        <v>1601.3999999999999</v>
      </c>
      <c r="K18" s="1721">
        <f t="shared" si="162"/>
        <v>1647.6</v>
      </c>
      <c r="L18" s="1721">
        <f t="shared" si="162"/>
        <v>2096.3999999999996</v>
      </c>
      <c r="M18" s="1721">
        <f t="shared" si="162"/>
        <v>1530</v>
      </c>
      <c r="N18" s="1721">
        <f t="shared" si="162"/>
        <v>17618.399999999998</v>
      </c>
      <c r="O18" s="1721">
        <f t="shared" si="162"/>
        <v>3902.9999999999995</v>
      </c>
      <c r="P18" s="1721">
        <f t="shared" si="162"/>
        <v>49939.199999999997</v>
      </c>
      <c r="Q18" s="1721">
        <f t="shared" si="162"/>
        <v>4906.7999999999993</v>
      </c>
      <c r="R18" s="1721">
        <f t="shared" si="162"/>
        <v>2459.4</v>
      </c>
      <c r="S18" s="1721">
        <f t="shared" si="162"/>
        <v>2605.7999999999997</v>
      </c>
      <c r="T18" s="1721">
        <f t="shared" si="162"/>
        <v>8932.2000000000007</v>
      </c>
      <c r="U18" s="1721">
        <f t="shared" si="162"/>
        <v>2182.1999999999998</v>
      </c>
      <c r="V18" s="1721">
        <f t="shared" si="162"/>
        <v>4603.2</v>
      </c>
      <c r="W18" s="1721">
        <f t="shared" si="162"/>
        <v>4199.3999999999996</v>
      </c>
      <c r="X18" s="1721">
        <f t="shared" si="162"/>
        <v>0</v>
      </c>
      <c r="Y18" s="1721">
        <f t="shared" si="162"/>
        <v>0</v>
      </c>
      <c r="Z18" s="1721">
        <f t="shared" si="162"/>
        <v>0</v>
      </c>
      <c r="AA18" s="1721">
        <f t="shared" si="162"/>
        <v>0</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16563</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16564</v>
      </c>
      <c r="C19" s="355" t="s">
        <v>16565</v>
      </c>
      <c r="D19" s="355">
        <v>0</v>
      </c>
      <c r="E19" s="1722">
        <v>11753</v>
      </c>
      <c r="F19" s="1722">
        <v>9037</v>
      </c>
      <c r="G19" s="1722">
        <v>14065</v>
      </c>
      <c r="H19" s="1722">
        <v>12486</v>
      </c>
      <c r="I19" s="1722">
        <v>125222</v>
      </c>
      <c r="J19" s="1722">
        <v>8868</v>
      </c>
      <c r="K19" s="1722">
        <v>7875</v>
      </c>
      <c r="L19" s="1722">
        <v>11719</v>
      </c>
      <c r="M19" s="1722">
        <v>7461</v>
      </c>
      <c r="N19" s="1722">
        <v>59664</v>
      </c>
      <c r="O19" s="1722">
        <v>20471</v>
      </c>
      <c r="P19" s="1722">
        <v>273698</v>
      </c>
      <c r="Q19" s="1722">
        <v>27944</v>
      </c>
      <c r="R19" s="1722">
        <v>12940</v>
      </c>
      <c r="S19" s="1722">
        <v>10887</v>
      </c>
      <c r="T19" s="1722">
        <v>29222</v>
      </c>
      <c r="U19" s="1722">
        <v>13168</v>
      </c>
      <c r="V19" s="1722">
        <v>31186</v>
      </c>
      <c r="W19" s="1722">
        <v>17592</v>
      </c>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16566</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16567</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16568</v>
      </c>
      <c r="C22" s="277" t="s">
        <v>16569</v>
      </c>
      <c r="D22" s="277">
        <v>0</v>
      </c>
      <c r="E22" s="1728">
        <v>19</v>
      </c>
      <c r="F22" s="1728">
        <v>19</v>
      </c>
      <c r="G22" s="1728">
        <v>19</v>
      </c>
      <c r="H22" s="1728">
        <v>10</v>
      </c>
      <c r="I22" s="1728">
        <v>60</v>
      </c>
      <c r="J22" s="1728">
        <v>19</v>
      </c>
      <c r="K22" s="1728">
        <v>20</v>
      </c>
      <c r="L22" s="1728">
        <v>19</v>
      </c>
      <c r="M22" s="1728">
        <v>20</v>
      </c>
      <c r="N22" s="1728">
        <v>57</v>
      </c>
      <c r="O22" s="1728">
        <v>33</v>
      </c>
      <c r="P22" s="1728">
        <v>60</v>
      </c>
      <c r="Q22" s="1728">
        <v>33</v>
      </c>
      <c r="R22" s="1728">
        <v>20</v>
      </c>
      <c r="S22" s="1728">
        <v>19</v>
      </c>
      <c r="T22" s="1728">
        <v>33</v>
      </c>
      <c r="U22" s="1728">
        <v>20</v>
      </c>
      <c r="V22" s="1728">
        <v>33</v>
      </c>
      <c r="W22" s="1728">
        <v>20</v>
      </c>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533</v>
      </c>
      <c r="CH22" s="83"/>
      <c r="CI22" s="1040" t="s">
        <v>16570</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16492</v>
      </c>
    </row>
    <row r="23" spans="1:176" s="197" customFormat="1" ht="15.75" customHeight="1">
      <c r="B23" s="460" t="s">
        <v>16571</v>
      </c>
      <c r="C23" s="286" t="s">
        <v>16569</v>
      </c>
      <c r="D23" s="286">
        <v>0</v>
      </c>
      <c r="E23" s="1717">
        <v>0</v>
      </c>
      <c r="F23" s="1717">
        <v>167</v>
      </c>
      <c r="G23" s="1717">
        <v>0</v>
      </c>
      <c r="H23" s="1717">
        <v>121</v>
      </c>
      <c r="I23" s="1717">
        <v>5002</v>
      </c>
      <c r="J23" s="1717">
        <v>0</v>
      </c>
      <c r="K23" s="1717">
        <v>0</v>
      </c>
      <c r="L23" s="1717">
        <v>0</v>
      </c>
      <c r="M23" s="1717">
        <v>0</v>
      </c>
      <c r="N23" s="1717">
        <v>0</v>
      </c>
      <c r="O23" s="1717">
        <v>288</v>
      </c>
      <c r="P23" s="1717">
        <v>0</v>
      </c>
      <c r="Q23" s="1717">
        <v>0</v>
      </c>
      <c r="R23" s="1717">
        <v>0</v>
      </c>
      <c r="S23" s="1717">
        <v>0</v>
      </c>
      <c r="T23" s="1717">
        <v>0</v>
      </c>
      <c r="U23" s="1717">
        <v>0</v>
      </c>
      <c r="V23" s="1717">
        <v>210</v>
      </c>
      <c r="W23" s="1717">
        <v>0</v>
      </c>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5788</v>
      </c>
      <c r="CH23" s="83"/>
      <c r="CI23" s="1041" t="s">
        <v>16572</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16495</v>
      </c>
    </row>
    <row r="24" spans="1:176" s="197" customFormat="1" ht="15.75" customHeight="1">
      <c r="B24" s="460" t="s">
        <v>16573</v>
      </c>
      <c r="C24" s="286" t="s">
        <v>16569</v>
      </c>
      <c r="D24" s="286">
        <v>0</v>
      </c>
      <c r="E24" s="1717">
        <v>1339</v>
      </c>
      <c r="F24" s="1717">
        <v>473</v>
      </c>
      <c r="G24" s="1717">
        <v>245</v>
      </c>
      <c r="H24" s="1717">
        <v>544</v>
      </c>
      <c r="I24" s="1717">
        <v>6283.183</v>
      </c>
      <c r="J24" s="1717">
        <v>503</v>
      </c>
      <c r="K24" s="1717">
        <v>455</v>
      </c>
      <c r="L24" s="1717">
        <v>1380</v>
      </c>
      <c r="M24" s="1717">
        <v>895</v>
      </c>
      <c r="N24" s="1717">
        <v>1804.6320000000001</v>
      </c>
      <c r="O24" s="1717">
        <v>420</v>
      </c>
      <c r="P24" s="1717">
        <v>10638.558000000001</v>
      </c>
      <c r="Q24" s="1717">
        <v>504</v>
      </c>
      <c r="R24" s="1717">
        <v>543</v>
      </c>
      <c r="S24" s="1717">
        <v>1046</v>
      </c>
      <c r="T24" s="1717">
        <v>988</v>
      </c>
      <c r="U24" s="1717">
        <v>636</v>
      </c>
      <c r="V24" s="1717">
        <v>573.64499999999998</v>
      </c>
      <c r="W24" s="1717">
        <v>324</v>
      </c>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29595.018</v>
      </c>
      <c r="CH24" s="83"/>
      <c r="CI24" s="1041" t="s">
        <v>16574</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16498</v>
      </c>
    </row>
    <row r="25" spans="1:176" s="197" customFormat="1" ht="15.75" customHeight="1">
      <c r="B25" s="460" t="s">
        <v>16575</v>
      </c>
      <c r="C25" s="286" t="s">
        <v>16569</v>
      </c>
      <c r="D25" s="286">
        <v>0</v>
      </c>
      <c r="E25" s="1721">
        <f t="shared" ref="E25:BP25" si="326">IFERROR(SUM(E22:E24),0)</f>
        <v>1358</v>
      </c>
      <c r="F25" s="1721">
        <f t="shared" si="326"/>
        <v>659</v>
      </c>
      <c r="G25" s="1721">
        <f t="shared" si="326"/>
        <v>264</v>
      </c>
      <c r="H25" s="1721">
        <f t="shared" si="326"/>
        <v>675</v>
      </c>
      <c r="I25" s="1721">
        <f t="shared" si="326"/>
        <v>11345.183000000001</v>
      </c>
      <c r="J25" s="1721">
        <f t="shared" si="326"/>
        <v>522</v>
      </c>
      <c r="K25" s="1721">
        <f t="shared" si="326"/>
        <v>475</v>
      </c>
      <c r="L25" s="1721">
        <f t="shared" si="326"/>
        <v>1399</v>
      </c>
      <c r="M25" s="1721">
        <f t="shared" si="326"/>
        <v>915</v>
      </c>
      <c r="N25" s="1721">
        <f t="shared" si="326"/>
        <v>1861.6320000000001</v>
      </c>
      <c r="O25" s="1721">
        <f t="shared" si="326"/>
        <v>741</v>
      </c>
      <c r="P25" s="1721">
        <f t="shared" si="326"/>
        <v>10698.558000000001</v>
      </c>
      <c r="Q25" s="1721">
        <f t="shared" si="326"/>
        <v>537</v>
      </c>
      <c r="R25" s="1721">
        <f t="shared" si="326"/>
        <v>563</v>
      </c>
      <c r="S25" s="1721">
        <f t="shared" si="326"/>
        <v>1065</v>
      </c>
      <c r="T25" s="1721">
        <f t="shared" si="326"/>
        <v>1021</v>
      </c>
      <c r="U25" s="1721">
        <f t="shared" si="326"/>
        <v>656</v>
      </c>
      <c r="V25" s="1721">
        <f t="shared" si="326"/>
        <v>816.64499999999998</v>
      </c>
      <c r="W25" s="1721">
        <f t="shared" si="326"/>
        <v>344</v>
      </c>
      <c r="X25" s="1721">
        <f t="shared" si="326"/>
        <v>0</v>
      </c>
      <c r="Y25" s="1721">
        <f t="shared" si="326"/>
        <v>0</v>
      </c>
      <c r="Z25" s="1721">
        <f t="shared" si="326"/>
        <v>0</v>
      </c>
      <c r="AA25" s="1721">
        <f t="shared" si="326"/>
        <v>0</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35916.018000000004</v>
      </c>
      <c r="CH25" s="83"/>
      <c r="CI25" s="1041" t="s">
        <v>16576</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16501</v>
      </c>
    </row>
    <row r="26" spans="1:176" s="197" customFormat="1" ht="15.75" customHeight="1">
      <c r="B26" s="460" t="s">
        <v>16577</v>
      </c>
      <c r="C26" s="286" t="s">
        <v>16569</v>
      </c>
      <c r="D26" s="286">
        <v>0</v>
      </c>
      <c r="E26" s="1717">
        <v>189</v>
      </c>
      <c r="F26" s="1717">
        <v>92</v>
      </c>
      <c r="G26" s="1717">
        <v>37</v>
      </c>
      <c r="H26" s="1717">
        <v>94</v>
      </c>
      <c r="I26" s="1717">
        <v>1585.752</v>
      </c>
      <c r="J26" s="1717">
        <v>73</v>
      </c>
      <c r="K26" s="1717">
        <v>66</v>
      </c>
      <c r="L26" s="1717">
        <v>195</v>
      </c>
      <c r="M26" s="1717">
        <v>127</v>
      </c>
      <c r="N26" s="1717">
        <v>261.95</v>
      </c>
      <c r="O26" s="1717">
        <v>103</v>
      </c>
      <c r="P26" s="1717">
        <v>1501.94</v>
      </c>
      <c r="Q26" s="1717">
        <v>75</v>
      </c>
      <c r="R26" s="1717">
        <v>78</v>
      </c>
      <c r="S26" s="1717">
        <v>148</v>
      </c>
      <c r="T26" s="1717">
        <v>142</v>
      </c>
      <c r="U26" s="1717">
        <v>91</v>
      </c>
      <c r="V26" s="1717">
        <v>113.724</v>
      </c>
      <c r="W26" s="1717">
        <v>48</v>
      </c>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5021.366</v>
      </c>
      <c r="CH26" s="83"/>
      <c r="CI26" s="1041" t="s">
        <v>16578</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16504</v>
      </c>
    </row>
    <row r="27" spans="1:176" s="197" customFormat="1" ht="15.75" customHeight="1" thickBot="1">
      <c r="B27" s="463" t="s">
        <v>16579</v>
      </c>
      <c r="C27" s="355" t="s">
        <v>16569</v>
      </c>
      <c r="D27" s="355">
        <v>0</v>
      </c>
      <c r="E27" s="1729">
        <f t="shared" ref="E27:BP27" si="408">IFERROR(SUM(E25:E26),0)</f>
        <v>1547</v>
      </c>
      <c r="F27" s="1729">
        <f t="shared" si="408"/>
        <v>751</v>
      </c>
      <c r="G27" s="1729">
        <f t="shared" si="408"/>
        <v>301</v>
      </c>
      <c r="H27" s="1729">
        <f t="shared" si="408"/>
        <v>769</v>
      </c>
      <c r="I27" s="1729">
        <f t="shared" si="408"/>
        <v>12930.935000000001</v>
      </c>
      <c r="J27" s="1729">
        <f t="shared" si="408"/>
        <v>595</v>
      </c>
      <c r="K27" s="1729">
        <f t="shared" si="408"/>
        <v>541</v>
      </c>
      <c r="L27" s="1729">
        <f t="shared" si="408"/>
        <v>1594</v>
      </c>
      <c r="M27" s="1729">
        <f t="shared" si="408"/>
        <v>1042</v>
      </c>
      <c r="N27" s="1729">
        <f t="shared" si="408"/>
        <v>2123.5819999999999</v>
      </c>
      <c r="O27" s="1729">
        <f t="shared" si="408"/>
        <v>844</v>
      </c>
      <c r="P27" s="1729">
        <f t="shared" si="408"/>
        <v>12200.498000000001</v>
      </c>
      <c r="Q27" s="1729">
        <f t="shared" si="408"/>
        <v>612</v>
      </c>
      <c r="R27" s="1729">
        <f t="shared" si="408"/>
        <v>641</v>
      </c>
      <c r="S27" s="1729">
        <f t="shared" si="408"/>
        <v>1213</v>
      </c>
      <c r="T27" s="1729">
        <f t="shared" si="408"/>
        <v>1163</v>
      </c>
      <c r="U27" s="1729">
        <f t="shared" si="408"/>
        <v>747</v>
      </c>
      <c r="V27" s="1729">
        <f t="shared" si="408"/>
        <v>930.36900000000003</v>
      </c>
      <c r="W27" s="1729">
        <f t="shared" si="408"/>
        <v>392</v>
      </c>
      <c r="X27" s="1729">
        <f t="shared" si="408"/>
        <v>0</v>
      </c>
      <c r="Y27" s="1729">
        <f t="shared" si="408"/>
        <v>0</v>
      </c>
      <c r="Z27" s="1729">
        <f t="shared" si="408"/>
        <v>0</v>
      </c>
      <c r="AA27" s="1729">
        <f t="shared" si="408"/>
        <v>0</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40937.383999999998</v>
      </c>
      <c r="CH27" s="83"/>
      <c r="CI27" s="1043" t="s">
        <v>16580</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16508</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tabColor rgb="FF00B050"/>
    <pageSetUpPr fitToPage="1"/>
  </sheetPr>
  <dimension ref="A1:R36"/>
  <sheetViews>
    <sheetView showGridLines="0" topLeftCell="A4" zoomScale="50" zoomScaleNormal="50" zoomScaleSheetLayoutView="100" workbookViewId="0">
      <selection activeCell="D29" sqref="D29"/>
    </sheetView>
  </sheetViews>
  <sheetFormatPr defaultColWidth="9" defaultRowHeight="14.25"/>
  <cols>
    <col min="1" max="1" width="1.625" style="219" customWidth="1"/>
    <col min="2" max="2" width="72.6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B1" s="1229" t="s">
        <v>16581</v>
      </c>
      <c r="C1" s="1229"/>
      <c r="D1" s="1229"/>
      <c r="E1" s="1229"/>
      <c r="F1" s="1229"/>
      <c r="G1" s="260"/>
      <c r="K1" s="238"/>
      <c r="M1" s="238"/>
      <c r="O1" s="238"/>
      <c r="Q1" s="1229" t="s">
        <v>7220</v>
      </c>
      <c r="R1" s="1229"/>
    </row>
    <row r="2" spans="1:18" ht="30" customHeight="1">
      <c r="B2" s="1229" t="str">
        <f>SelectCompany!B4</f>
        <v>Northumbrian Water</v>
      </c>
      <c r="C2" s="529"/>
      <c r="D2" s="529"/>
      <c r="E2" s="529"/>
      <c r="F2" s="529"/>
      <c r="G2" s="260"/>
      <c r="K2" s="238"/>
      <c r="M2" s="238"/>
      <c r="O2" s="238"/>
      <c r="Q2" s="1229"/>
      <c r="R2" s="529"/>
    </row>
    <row r="3" spans="1:18" ht="45" customHeight="1">
      <c r="B3" s="2807" t="s">
        <v>16582</v>
      </c>
      <c r="C3" s="2807"/>
      <c r="D3" s="2807"/>
      <c r="E3" s="2807"/>
      <c r="F3" s="2807"/>
      <c r="G3" s="2807"/>
      <c r="H3" s="2807"/>
      <c r="I3" s="2807"/>
      <c r="K3" s="238"/>
      <c r="L3" s="1240" t="s">
        <v>7222</v>
      </c>
      <c r="M3" s="238"/>
      <c r="O3" s="238"/>
      <c r="Q3" s="2807" t="s">
        <v>16582</v>
      </c>
      <c r="R3" s="2807"/>
    </row>
    <row r="4" spans="1:18" ht="18" customHeight="1" thickBot="1">
      <c r="B4" s="690"/>
      <c r="C4" s="690"/>
      <c r="D4" s="690"/>
      <c r="E4" s="690"/>
      <c r="F4" s="827"/>
      <c r="G4" s="260"/>
      <c r="K4" s="238"/>
      <c r="M4" s="238"/>
      <c r="N4" s="240" t="s">
        <v>7223</v>
      </c>
      <c r="O4" s="238"/>
      <c r="Q4" s="690"/>
      <c r="R4" s="690"/>
    </row>
    <row r="5" spans="1:18" ht="56.25" customHeight="1" thickTop="1" thickBot="1">
      <c r="A5" s="242"/>
      <c r="B5" s="445" t="s">
        <v>7224</v>
      </c>
      <c r="C5" s="446" t="s">
        <v>7225</v>
      </c>
      <c r="D5" s="446" t="s">
        <v>670</v>
      </c>
      <c r="E5" s="447" t="s">
        <v>15581</v>
      </c>
      <c r="F5" s="731"/>
      <c r="G5" s="449" t="s">
        <v>7229</v>
      </c>
      <c r="H5" s="242"/>
      <c r="I5" s="449" t="s">
        <v>7230</v>
      </c>
      <c r="J5" s="242"/>
      <c r="K5" s="238"/>
      <c r="M5" s="238"/>
      <c r="N5" s="269" t="s">
        <v>7231</v>
      </c>
      <c r="O5" s="238"/>
      <c r="Q5" s="445" t="s">
        <v>7224</v>
      </c>
      <c r="R5" s="447" t="s">
        <v>15581</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16583</v>
      </c>
      <c r="C7" s="482"/>
      <c r="D7" s="482"/>
      <c r="E7" s="482"/>
      <c r="F7" s="1242"/>
      <c r="G7" s="565"/>
      <c r="H7" s="242"/>
      <c r="I7" s="242"/>
      <c r="J7" s="242"/>
      <c r="K7" s="238"/>
      <c r="M7" s="238"/>
      <c r="O7" s="238"/>
      <c r="Q7" s="393" t="s">
        <v>16583</v>
      </c>
      <c r="R7" s="482"/>
    </row>
    <row r="8" spans="1:18" ht="15.75" customHeight="1" thickTop="1">
      <c r="A8" s="242"/>
      <c r="B8" s="451" t="s">
        <v>16584</v>
      </c>
      <c r="C8" s="277" t="s">
        <v>1523</v>
      </c>
      <c r="D8" s="277">
        <v>0</v>
      </c>
      <c r="E8" s="1732">
        <v>0</v>
      </c>
      <c r="F8" s="1242"/>
      <c r="G8" s="281" t="s">
        <v>16585</v>
      </c>
      <c r="H8" s="242"/>
      <c r="I8" s="1231"/>
      <c r="J8" s="242"/>
      <c r="K8" s="238"/>
      <c r="L8" s="1232">
        <f>IF( SUM( N8:N8 ) = 0, 0, $N$5 )</f>
        <v>0</v>
      </c>
      <c r="M8" s="238"/>
      <c r="N8" s="285">
        <f xml:space="preserve"> IF( ISNUMBER(E8 ), 0, 1 )</f>
        <v>0</v>
      </c>
      <c r="O8" s="238"/>
      <c r="Q8" s="451" t="s">
        <v>16584</v>
      </c>
      <c r="R8" s="960" t="s">
        <v>16586</v>
      </c>
    </row>
    <row r="9" spans="1:18" ht="15.75" customHeight="1">
      <c r="A9" s="242"/>
      <c r="B9" s="460" t="s">
        <v>16587</v>
      </c>
      <c r="C9" s="286" t="s">
        <v>1523</v>
      </c>
      <c r="D9" s="286">
        <v>0</v>
      </c>
      <c r="E9" s="1328">
        <v>0</v>
      </c>
      <c r="F9" s="1242"/>
      <c r="G9" s="290" t="s">
        <v>16588</v>
      </c>
      <c r="H9" s="242"/>
      <c r="I9" s="1233"/>
      <c r="J9" s="242"/>
      <c r="K9" s="238"/>
      <c r="L9" s="1232">
        <f t="shared" ref="L9:L27" si="0">IF( SUM( N9:N9 ) = 0, 0, $N$5 )</f>
        <v>0</v>
      </c>
      <c r="M9" s="238"/>
      <c r="N9" s="285">
        <f t="shared" ref="N9:N27" si="1" xml:space="preserve"> IF( ISNUMBER(E9 ), 0, 1 )</f>
        <v>0</v>
      </c>
      <c r="O9" s="238"/>
      <c r="Q9" s="460" t="s">
        <v>16589</v>
      </c>
      <c r="R9" s="964" t="s">
        <v>16590</v>
      </c>
    </row>
    <row r="10" spans="1:18" ht="15.75" customHeight="1">
      <c r="A10" s="242"/>
      <c r="B10" s="460" t="s">
        <v>16591</v>
      </c>
      <c r="C10" s="286" t="s">
        <v>15645</v>
      </c>
      <c r="D10" s="286">
        <v>0</v>
      </c>
      <c r="E10" s="1328">
        <v>44981</v>
      </c>
      <c r="F10" s="1242"/>
      <c r="G10" s="290" t="s">
        <v>16592</v>
      </c>
      <c r="H10" s="242"/>
      <c r="I10" s="1233"/>
      <c r="J10" s="242"/>
      <c r="K10" s="238"/>
      <c r="L10" s="1232">
        <f t="shared" si="0"/>
        <v>0</v>
      </c>
      <c r="M10" s="238"/>
      <c r="N10" s="285">
        <f t="shared" si="1"/>
        <v>0</v>
      </c>
      <c r="O10" s="238"/>
      <c r="Q10" s="460" t="s">
        <v>16591</v>
      </c>
      <c r="R10" s="964" t="s">
        <v>16593</v>
      </c>
    </row>
    <row r="11" spans="1:18" ht="15.75" customHeight="1">
      <c r="A11" s="242"/>
      <c r="B11" s="460" t="s">
        <v>16594</v>
      </c>
      <c r="C11" s="286" t="s">
        <v>1523</v>
      </c>
      <c r="D11" s="286">
        <v>0</v>
      </c>
      <c r="E11" s="1328">
        <v>966</v>
      </c>
      <c r="F11" s="1242"/>
      <c r="G11" s="290" t="s">
        <v>16595</v>
      </c>
      <c r="H11" s="242"/>
      <c r="I11" s="1327"/>
      <c r="J11" s="242"/>
      <c r="K11" s="238"/>
      <c r="L11" s="1232">
        <f t="shared" si="0"/>
        <v>0</v>
      </c>
      <c r="M11" s="238"/>
      <c r="N11" s="285">
        <f t="shared" si="1"/>
        <v>0</v>
      </c>
      <c r="O11" s="238"/>
      <c r="Q11" s="460" t="s">
        <v>16594</v>
      </c>
      <c r="R11" s="964" t="s">
        <v>16596</v>
      </c>
    </row>
    <row r="12" spans="1:18" ht="15.75" customHeight="1">
      <c r="A12" s="242"/>
      <c r="B12" s="460" t="s">
        <v>6889</v>
      </c>
      <c r="C12" s="286" t="s">
        <v>1523</v>
      </c>
      <c r="D12" s="286">
        <v>0</v>
      </c>
      <c r="E12" s="1328">
        <v>10949</v>
      </c>
      <c r="F12" s="1242"/>
      <c r="G12" s="290" t="s">
        <v>16597</v>
      </c>
      <c r="H12" s="242"/>
      <c r="I12" s="1233"/>
      <c r="J12" s="242"/>
      <c r="K12" s="238"/>
      <c r="L12" s="1232">
        <f t="shared" si="0"/>
        <v>0</v>
      </c>
      <c r="M12" s="238"/>
      <c r="N12" s="285">
        <f t="shared" si="1"/>
        <v>0</v>
      </c>
      <c r="O12" s="238"/>
      <c r="Q12" s="460" t="s">
        <v>6889</v>
      </c>
      <c r="R12" s="1328" t="s">
        <v>16598</v>
      </c>
    </row>
    <row r="13" spans="1:18" ht="15.75" customHeight="1">
      <c r="A13" s="242"/>
      <c r="B13" s="460" t="s">
        <v>6890</v>
      </c>
      <c r="C13" s="286" t="s">
        <v>1523</v>
      </c>
      <c r="D13" s="286">
        <v>0</v>
      </c>
      <c r="E13" s="1328">
        <v>251</v>
      </c>
      <c r="F13" s="1242"/>
      <c r="G13" s="290" t="s">
        <v>16599</v>
      </c>
      <c r="H13" s="242"/>
      <c r="I13" s="1233"/>
      <c r="J13" s="242"/>
      <c r="K13" s="238"/>
      <c r="L13" s="1232">
        <f t="shared" si="0"/>
        <v>0</v>
      </c>
      <c r="M13" s="238"/>
      <c r="N13" s="285">
        <f t="shared" si="1"/>
        <v>0</v>
      </c>
      <c r="O13" s="238"/>
      <c r="Q13" s="460" t="s">
        <v>6890</v>
      </c>
      <c r="R13" s="964" t="s">
        <v>16600</v>
      </c>
    </row>
    <row r="14" spans="1:18" ht="15.75" customHeight="1">
      <c r="A14" s="242"/>
      <c r="B14" s="460" t="s">
        <v>16601</v>
      </c>
      <c r="C14" s="286" t="s">
        <v>1523</v>
      </c>
      <c r="D14" s="286">
        <v>0</v>
      </c>
      <c r="E14" s="1328">
        <v>30</v>
      </c>
      <c r="F14" s="1242"/>
      <c r="G14" s="290" t="s">
        <v>16602</v>
      </c>
      <c r="H14" s="242"/>
      <c r="I14" s="1233"/>
      <c r="J14" s="242"/>
      <c r="K14" s="238"/>
      <c r="L14" s="1232">
        <f t="shared" si="0"/>
        <v>0</v>
      </c>
      <c r="M14" s="238"/>
      <c r="N14" s="285">
        <f t="shared" si="1"/>
        <v>0</v>
      </c>
      <c r="O14" s="238"/>
      <c r="Q14" s="460" t="s">
        <v>16601</v>
      </c>
      <c r="R14" s="964" t="s">
        <v>16603</v>
      </c>
    </row>
    <row r="15" spans="1:18" ht="15.75" customHeight="1">
      <c r="A15" s="242"/>
      <c r="B15" s="460" t="s">
        <v>16604</v>
      </c>
      <c r="C15" s="286" t="s">
        <v>1523</v>
      </c>
      <c r="D15" s="286">
        <v>0</v>
      </c>
      <c r="E15" s="1328">
        <v>1442</v>
      </c>
      <c r="F15" s="1242"/>
      <c r="G15" s="290" t="s">
        <v>16605</v>
      </c>
      <c r="H15" s="242"/>
      <c r="I15" s="1329"/>
      <c r="J15" s="242"/>
      <c r="K15" s="238"/>
      <c r="L15" s="1232">
        <f t="shared" si="0"/>
        <v>0</v>
      </c>
      <c r="M15" s="238"/>
      <c r="N15" s="285">
        <f t="shared" si="1"/>
        <v>0</v>
      </c>
      <c r="O15" s="238"/>
      <c r="Q15" s="460" t="s">
        <v>16604</v>
      </c>
      <c r="R15" s="964" t="s">
        <v>16606</v>
      </c>
    </row>
    <row r="16" spans="1:18" ht="15.75" customHeight="1">
      <c r="A16" s="242"/>
      <c r="B16" s="460" t="s">
        <v>16607</v>
      </c>
      <c r="C16" s="286" t="s">
        <v>1523</v>
      </c>
      <c r="D16" s="286">
        <v>0</v>
      </c>
      <c r="E16" s="1328">
        <v>248</v>
      </c>
      <c r="F16" s="1242"/>
      <c r="G16" s="290" t="s">
        <v>16608</v>
      </c>
      <c r="H16" s="242"/>
      <c r="I16" s="1233"/>
      <c r="J16" s="242"/>
      <c r="K16" s="238"/>
      <c r="L16" s="1232">
        <f t="shared" si="0"/>
        <v>0</v>
      </c>
      <c r="M16" s="238"/>
      <c r="N16" s="285">
        <f t="shared" si="1"/>
        <v>0</v>
      </c>
      <c r="O16" s="238"/>
      <c r="Q16" s="460" t="s">
        <v>16607</v>
      </c>
      <c r="R16" s="964" t="s">
        <v>16609</v>
      </c>
    </row>
    <row r="17" spans="1:18" ht="15.75" customHeight="1">
      <c r="A17" s="242"/>
      <c r="B17" s="460" t="s">
        <v>16610</v>
      </c>
      <c r="C17" s="286" t="s">
        <v>1523</v>
      </c>
      <c r="D17" s="286">
        <v>0</v>
      </c>
      <c r="E17" s="1328">
        <v>122</v>
      </c>
      <c r="F17" s="1242"/>
      <c r="G17" s="290" t="s">
        <v>16611</v>
      </c>
      <c r="H17" s="242"/>
      <c r="I17" s="1233"/>
      <c r="J17" s="242"/>
      <c r="K17" s="238"/>
      <c r="L17" s="1232">
        <f t="shared" si="0"/>
        <v>0</v>
      </c>
      <c r="M17" s="238"/>
      <c r="N17" s="285">
        <f t="shared" si="1"/>
        <v>0</v>
      </c>
      <c r="O17" s="238"/>
      <c r="Q17" s="460" t="s">
        <v>16610</v>
      </c>
      <c r="R17" s="964" t="s">
        <v>16612</v>
      </c>
    </row>
    <row r="18" spans="1:18" ht="15.75" customHeight="1">
      <c r="A18" s="242"/>
      <c r="B18" s="460" t="s">
        <v>16613</v>
      </c>
      <c r="C18" s="286" t="s">
        <v>3217</v>
      </c>
      <c r="D18" s="286">
        <v>0</v>
      </c>
      <c r="E18" s="1328">
        <v>992</v>
      </c>
      <c r="F18" s="1242"/>
      <c r="G18" s="290" t="s">
        <v>16614</v>
      </c>
      <c r="H18" s="242"/>
      <c r="I18" s="1233"/>
      <c r="J18" s="242"/>
      <c r="K18" s="238"/>
      <c r="L18" s="1232">
        <f t="shared" si="0"/>
        <v>0</v>
      </c>
      <c r="M18" s="238"/>
      <c r="N18" s="285">
        <f t="shared" si="1"/>
        <v>0</v>
      </c>
      <c r="O18" s="238"/>
      <c r="Q18" s="460" t="s">
        <v>16613</v>
      </c>
      <c r="R18" s="1330" t="s">
        <v>16615</v>
      </c>
    </row>
    <row r="19" spans="1:18" ht="15.75" customHeight="1">
      <c r="A19" s="242"/>
      <c r="B19" s="460" t="s">
        <v>16616</v>
      </c>
      <c r="C19" s="286" t="s">
        <v>16617</v>
      </c>
      <c r="D19" s="286">
        <v>2</v>
      </c>
      <c r="E19" s="1331">
        <v>6117.45</v>
      </c>
      <c r="F19" s="1242"/>
      <c r="G19" s="290" t="s">
        <v>16618</v>
      </c>
      <c r="H19" s="242"/>
      <c r="I19" s="1233"/>
      <c r="J19" s="242"/>
      <c r="K19" s="238"/>
      <c r="L19" s="1232">
        <f t="shared" si="0"/>
        <v>0</v>
      </c>
      <c r="M19" s="238"/>
      <c r="N19" s="285">
        <f t="shared" si="1"/>
        <v>0</v>
      </c>
      <c r="O19" s="238"/>
      <c r="Q19" s="460" t="s">
        <v>16616</v>
      </c>
      <c r="R19" s="964" t="s">
        <v>16619</v>
      </c>
    </row>
    <row r="20" spans="1:18" ht="15.75" customHeight="1">
      <c r="A20" s="242"/>
      <c r="B20" s="460" t="s">
        <v>16620</v>
      </c>
      <c r="C20" s="286" t="s">
        <v>16617</v>
      </c>
      <c r="D20" s="286">
        <v>2</v>
      </c>
      <c r="E20" s="1331">
        <v>311532.63</v>
      </c>
      <c r="F20" s="1242"/>
      <c r="G20" s="290" t="s">
        <v>16621</v>
      </c>
      <c r="H20" s="242"/>
      <c r="I20" s="1327"/>
      <c r="J20" s="242"/>
      <c r="K20" s="238"/>
      <c r="L20" s="1232">
        <f t="shared" si="0"/>
        <v>0</v>
      </c>
      <c r="M20" s="238"/>
      <c r="N20" s="285">
        <f t="shared" si="1"/>
        <v>0</v>
      </c>
      <c r="O20" s="238"/>
      <c r="Q20" s="460" t="s">
        <v>16620</v>
      </c>
      <c r="R20" s="1331" t="s">
        <v>16622</v>
      </c>
    </row>
    <row r="21" spans="1:18" ht="15.75" customHeight="1">
      <c r="A21" s="242"/>
      <c r="B21" s="460" t="s">
        <v>16623</v>
      </c>
      <c r="C21" s="286" t="s">
        <v>3217</v>
      </c>
      <c r="D21" s="286">
        <v>0</v>
      </c>
      <c r="E21" s="1328">
        <v>25</v>
      </c>
      <c r="F21" s="1242"/>
      <c r="G21" s="290" t="s">
        <v>16624</v>
      </c>
      <c r="H21" s="242"/>
      <c r="I21" s="1233"/>
      <c r="J21" s="242"/>
      <c r="K21" s="238"/>
      <c r="L21" s="1232">
        <f t="shared" si="0"/>
        <v>0</v>
      </c>
      <c r="M21" s="238"/>
      <c r="N21" s="285">
        <f t="shared" si="1"/>
        <v>0</v>
      </c>
      <c r="O21" s="238"/>
      <c r="Q21" s="460" t="s">
        <v>16623</v>
      </c>
      <c r="R21" s="964" t="s">
        <v>16625</v>
      </c>
    </row>
    <row r="22" spans="1:18" ht="15.75" customHeight="1">
      <c r="A22" s="242"/>
      <c r="B22" s="460" t="s">
        <v>16626</v>
      </c>
      <c r="C22" s="286" t="s">
        <v>3217</v>
      </c>
      <c r="D22" s="286">
        <v>0</v>
      </c>
      <c r="E22" s="1328">
        <v>1</v>
      </c>
      <c r="F22" s="1242"/>
      <c r="G22" s="290" t="s">
        <v>16627</v>
      </c>
      <c r="H22" s="242"/>
      <c r="I22" s="1233"/>
      <c r="J22" s="242"/>
      <c r="K22" s="238"/>
      <c r="L22" s="1232">
        <f t="shared" si="0"/>
        <v>0</v>
      </c>
      <c r="M22" s="238"/>
      <c r="N22" s="285">
        <f t="shared" si="1"/>
        <v>0</v>
      </c>
      <c r="O22" s="238"/>
      <c r="Q22" s="460" t="s">
        <v>16626</v>
      </c>
      <c r="R22" s="964" t="s">
        <v>16628</v>
      </c>
    </row>
    <row r="23" spans="1:18" ht="15.75" customHeight="1">
      <c r="A23" s="242"/>
      <c r="B23" s="460" t="s">
        <v>16629</v>
      </c>
      <c r="C23" s="286" t="s">
        <v>3217</v>
      </c>
      <c r="D23" s="286">
        <v>0</v>
      </c>
      <c r="E23" s="1328">
        <v>3123</v>
      </c>
      <c r="F23" s="1242"/>
      <c r="G23" s="290" t="s">
        <v>16630</v>
      </c>
      <c r="H23" s="242"/>
      <c r="I23" s="1233"/>
      <c r="J23" s="242"/>
      <c r="K23" s="238"/>
      <c r="L23" s="1232">
        <f t="shared" si="0"/>
        <v>0</v>
      </c>
      <c r="M23" s="238"/>
      <c r="N23" s="285">
        <f t="shared" si="1"/>
        <v>0</v>
      </c>
      <c r="O23" s="238"/>
      <c r="Q23" s="460" t="s">
        <v>16629</v>
      </c>
      <c r="R23" s="1330" t="s">
        <v>16631</v>
      </c>
    </row>
    <row r="24" spans="1:18" ht="15.75" customHeight="1">
      <c r="A24" s="242"/>
      <c r="B24" s="460" t="s">
        <v>16632</v>
      </c>
      <c r="C24" s="286" t="s">
        <v>3217</v>
      </c>
      <c r="D24" s="286">
        <v>0</v>
      </c>
      <c r="E24" s="1328">
        <v>4560</v>
      </c>
      <c r="F24" s="1242"/>
      <c r="G24" s="290" t="s">
        <v>16633</v>
      </c>
      <c r="H24" s="242"/>
      <c r="I24" s="1233"/>
      <c r="J24" s="242"/>
      <c r="K24" s="238"/>
      <c r="L24" s="1232">
        <f t="shared" si="0"/>
        <v>0</v>
      </c>
      <c r="M24" s="238"/>
      <c r="N24" s="285">
        <f t="shared" si="1"/>
        <v>0</v>
      </c>
      <c r="O24" s="238"/>
      <c r="Q24" s="460" t="s">
        <v>16632</v>
      </c>
      <c r="R24" s="1330" t="s">
        <v>16634</v>
      </c>
    </row>
    <row r="25" spans="1:18" ht="15.75" customHeight="1">
      <c r="A25" s="242"/>
      <c r="B25" s="460" t="s">
        <v>16635</v>
      </c>
      <c r="C25" s="286" t="s">
        <v>3217</v>
      </c>
      <c r="D25" s="286">
        <v>0</v>
      </c>
      <c r="E25" s="1328">
        <v>8408</v>
      </c>
      <c r="F25" s="1242"/>
      <c r="G25" s="290" t="s">
        <v>16636</v>
      </c>
      <c r="H25" s="242"/>
      <c r="I25" s="1233"/>
      <c r="J25" s="242"/>
      <c r="K25" s="238"/>
      <c r="L25" s="1232">
        <f t="shared" si="0"/>
        <v>0</v>
      </c>
      <c r="M25" s="238"/>
      <c r="N25" s="285">
        <f t="shared" si="1"/>
        <v>0</v>
      </c>
      <c r="O25" s="238"/>
      <c r="Q25" s="460" t="s">
        <v>16635</v>
      </c>
      <c r="R25" s="1330" t="s">
        <v>16637</v>
      </c>
    </row>
    <row r="26" spans="1:18" ht="15.75" customHeight="1">
      <c r="A26" s="242"/>
      <c r="B26" s="460" t="s">
        <v>16638</v>
      </c>
      <c r="C26" s="286" t="s">
        <v>3217</v>
      </c>
      <c r="D26" s="286">
        <v>0</v>
      </c>
      <c r="E26" s="1328">
        <v>437</v>
      </c>
      <c r="F26" s="1242"/>
      <c r="G26" s="290" t="s">
        <v>16639</v>
      </c>
      <c r="H26" s="242"/>
      <c r="I26" s="1233"/>
      <c r="J26" s="242"/>
      <c r="K26" s="238"/>
      <c r="L26" s="1232">
        <f t="shared" si="0"/>
        <v>0</v>
      </c>
      <c r="M26" s="238"/>
      <c r="N26" s="285">
        <f t="shared" si="1"/>
        <v>0</v>
      </c>
      <c r="O26" s="238"/>
      <c r="Q26" s="460" t="s">
        <v>16638</v>
      </c>
      <c r="R26" s="1330" t="s">
        <v>16640</v>
      </c>
    </row>
    <row r="27" spans="1:18" ht="15.75" customHeight="1">
      <c r="A27" s="242"/>
      <c r="B27" s="460" t="s">
        <v>16641</v>
      </c>
      <c r="C27" s="286" t="s">
        <v>3217</v>
      </c>
      <c r="D27" s="286">
        <v>0</v>
      </c>
      <c r="E27" s="1328">
        <v>199</v>
      </c>
      <c r="F27" s="1242"/>
      <c r="G27" s="290" t="s">
        <v>16642</v>
      </c>
      <c r="H27" s="242"/>
      <c r="I27" s="1233"/>
      <c r="J27" s="242"/>
      <c r="K27" s="238"/>
      <c r="L27" s="1232">
        <f t="shared" si="0"/>
        <v>0</v>
      </c>
      <c r="M27" s="238"/>
      <c r="N27" s="285">
        <f t="shared" si="1"/>
        <v>0</v>
      </c>
      <c r="O27" s="238"/>
      <c r="Q27" s="460" t="s">
        <v>16641</v>
      </c>
      <c r="R27" s="1330" t="s">
        <v>16643</v>
      </c>
    </row>
    <row r="28" spans="1:18" ht="15.75" customHeight="1">
      <c r="A28" s="242"/>
      <c r="B28" s="460" t="s">
        <v>16644</v>
      </c>
      <c r="C28" s="286" t="s">
        <v>3217</v>
      </c>
      <c r="D28" s="286">
        <v>0</v>
      </c>
      <c r="E28" s="1733">
        <f>IFERROR(SUM(E23:E27),0)</f>
        <v>16727</v>
      </c>
      <c r="F28" s="1242"/>
      <c r="G28" s="290" t="s">
        <v>16645</v>
      </c>
      <c r="H28" s="242"/>
      <c r="I28" s="1233"/>
      <c r="J28" s="242"/>
      <c r="K28" s="238"/>
      <c r="M28" s="238"/>
      <c r="O28" s="238"/>
      <c r="Q28" s="460" t="s">
        <v>16644</v>
      </c>
      <c r="R28" s="1332" t="s">
        <v>16646</v>
      </c>
    </row>
    <row r="29" spans="1:18" ht="15.75" customHeight="1" thickBot="1">
      <c r="A29" s="242"/>
      <c r="B29" s="463" t="s">
        <v>16647</v>
      </c>
      <c r="C29" s="355" t="s">
        <v>3217</v>
      </c>
      <c r="D29" s="355">
        <v>0</v>
      </c>
      <c r="E29" s="1734">
        <v>13510</v>
      </c>
      <c r="F29" s="1242"/>
      <c r="G29" s="356" t="s">
        <v>16648</v>
      </c>
      <c r="H29" s="242"/>
      <c r="I29" s="1237"/>
      <c r="J29" s="242"/>
      <c r="K29" s="238"/>
      <c r="L29" s="1232">
        <f>IF( SUM( N29:N29 ) = 0, 0, $N$5 )</f>
        <v>0</v>
      </c>
      <c r="M29" s="238"/>
      <c r="N29" s="285">
        <f xml:space="preserve"> IF( ISNUMBER(E29 ), 0, 1 )</f>
        <v>0</v>
      </c>
      <c r="O29" s="238"/>
      <c r="Q29" s="463" t="s">
        <v>16647</v>
      </c>
      <c r="R29" s="1333" t="s">
        <v>16649</v>
      </c>
    </row>
    <row r="30" spans="1:18" ht="16.5" thickTop="1">
      <c r="A30" s="242"/>
      <c r="B30" s="1272"/>
      <c r="C30" s="1334"/>
      <c r="D30" s="1334"/>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tabColor rgb="FF00B050"/>
    <pageSetUpPr fitToPage="1"/>
  </sheetPr>
  <dimension ref="A1:CO42"/>
  <sheetViews>
    <sheetView showGridLines="0" topLeftCell="A2" zoomScale="70" zoomScaleNormal="70" zoomScaleSheetLayoutView="100" workbookViewId="0">
      <selection activeCell="D37" sqref="D37"/>
    </sheetView>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11.375" style="219" bestFit="1" customWidth="1"/>
    <col min="6" max="6" width="9.75" style="219" bestFit="1" customWidth="1"/>
    <col min="7" max="7" width="10.25" style="219" bestFit="1" customWidth="1"/>
    <col min="8" max="8" width="3.625" style="219" bestFit="1" customWidth="1"/>
    <col min="9" max="9" width="9.125" style="219" bestFit="1" customWidth="1"/>
    <col min="10" max="10" width="7" style="219" bestFit="1" customWidth="1"/>
    <col min="11" max="11" width="7.875" style="219" bestFit="1" customWidth="1"/>
    <col min="12" max="12" width="10.75" style="219" customWidth="1"/>
    <col min="13" max="13" width="1.625" style="219" customWidth="1"/>
    <col min="14" max="14" width="10.125" style="219" bestFit="1" customWidth="1"/>
    <col min="15" max="15" width="15.125" style="219" bestFit="1" customWidth="1"/>
    <col min="16" max="16" width="7.87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B1" s="1229" t="s">
        <v>16650</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7220</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SelectCompany!B4</f>
        <v>Northumbrian Water</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09" t="s">
        <v>16651</v>
      </c>
      <c r="C3" s="2909"/>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J3" s="238"/>
      <c r="AK3" s="1240" t="s">
        <v>7222</v>
      </c>
      <c r="AL3" s="238"/>
      <c r="BL3" s="238"/>
      <c r="BN3" s="2909" t="s">
        <v>16651</v>
      </c>
      <c r="BO3" s="2909"/>
      <c r="BP3" s="2909"/>
      <c r="BQ3" s="2909"/>
      <c r="BR3" s="2909"/>
      <c r="BS3" s="2909"/>
      <c r="BT3" s="2909"/>
      <c r="BU3" s="2909"/>
      <c r="BV3" s="2909"/>
      <c r="BW3" s="2909"/>
      <c r="BX3" s="2909"/>
      <c r="BY3" s="2909"/>
      <c r="BZ3" s="2909"/>
      <c r="CA3" s="2909"/>
      <c r="CB3" s="2909"/>
      <c r="CC3" s="2909"/>
      <c r="CD3" s="2909"/>
      <c r="CE3" s="2909"/>
      <c r="CF3" s="2909"/>
      <c r="CG3" s="2909"/>
      <c r="CH3" s="2909"/>
      <c r="CI3" s="2909"/>
      <c r="CJ3" s="2909"/>
      <c r="CK3" s="2909"/>
      <c r="CL3" s="2909"/>
      <c r="CM3" s="2909"/>
      <c r="CN3" s="2909"/>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895" t="s">
        <v>7223</v>
      </c>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11" t="s">
        <v>7224</v>
      </c>
      <c r="C5" s="2673" t="s">
        <v>7225</v>
      </c>
      <c r="D5" s="2673" t="s">
        <v>670</v>
      </c>
      <c r="E5" s="2673" t="s">
        <v>16652</v>
      </c>
      <c r="F5" s="2673"/>
      <c r="G5" s="2673"/>
      <c r="H5" s="2673"/>
      <c r="I5" s="2673"/>
      <c r="J5" s="2673"/>
      <c r="K5" s="2673"/>
      <c r="L5" s="2675"/>
      <c r="M5" s="1336"/>
      <c r="N5" s="2711" t="s">
        <v>16653</v>
      </c>
      <c r="O5" s="2673"/>
      <c r="P5" s="2673"/>
      <c r="Q5" s="2673"/>
      <c r="R5" s="2673"/>
      <c r="S5" s="2673"/>
      <c r="T5" s="2673"/>
      <c r="U5" s="2673"/>
      <c r="V5" s="2673"/>
      <c r="W5" s="2673"/>
      <c r="X5" s="2673"/>
      <c r="Y5" s="2673"/>
      <c r="Z5" s="2673"/>
      <c r="AA5" s="2673"/>
      <c r="AB5" s="2673"/>
      <c r="AC5" s="2673"/>
      <c r="AD5" s="2675"/>
      <c r="AE5" s="242"/>
      <c r="AF5" s="2790" t="s">
        <v>7229</v>
      </c>
      <c r="AG5" s="242"/>
      <c r="AH5" s="2790" t="s">
        <v>7230</v>
      </c>
      <c r="AI5" s="242"/>
      <c r="AJ5" s="238"/>
      <c r="AL5" s="238"/>
      <c r="AM5" s="269" t="s">
        <v>7231</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11"/>
      <c r="BO5" s="2673" t="s">
        <v>16652</v>
      </c>
      <c r="BP5" s="2673"/>
      <c r="BQ5" s="2673"/>
      <c r="BR5" s="2673"/>
      <c r="BS5" s="2673"/>
      <c r="BT5" s="2673"/>
      <c r="BU5" s="2673"/>
      <c r="BV5" s="2675"/>
      <c r="BW5" s="1336"/>
      <c r="BX5" s="2711" t="s">
        <v>16653</v>
      </c>
      <c r="BY5" s="2673"/>
      <c r="BZ5" s="2673"/>
      <c r="CA5" s="2673"/>
      <c r="CB5" s="2673"/>
      <c r="CC5" s="2673"/>
      <c r="CD5" s="2673"/>
      <c r="CE5" s="2673"/>
      <c r="CF5" s="2673"/>
      <c r="CG5" s="2673"/>
      <c r="CH5" s="2673"/>
      <c r="CI5" s="2673"/>
      <c r="CJ5" s="2673"/>
      <c r="CK5" s="2673"/>
      <c r="CL5" s="2673"/>
      <c r="CM5" s="2673"/>
      <c r="CN5" s="2675"/>
    </row>
    <row r="6" spans="1:93" ht="15" customHeight="1">
      <c r="A6" s="242"/>
      <c r="B6" s="2795"/>
      <c r="C6" s="2796"/>
      <c r="D6" s="2796"/>
      <c r="E6" s="2796" t="s">
        <v>16654</v>
      </c>
      <c r="F6" s="2796" t="s">
        <v>16655</v>
      </c>
      <c r="G6" s="2796"/>
      <c r="H6" s="2796" t="s">
        <v>16656</v>
      </c>
      <c r="I6" s="2796"/>
      <c r="J6" s="2796"/>
      <c r="K6" s="2796"/>
      <c r="L6" s="2837" t="s">
        <v>7445</v>
      </c>
      <c r="M6" s="1336"/>
      <c r="N6" s="2795" t="s">
        <v>16657</v>
      </c>
      <c r="O6" s="2796"/>
      <c r="P6" s="2796"/>
      <c r="Q6" s="2796"/>
      <c r="R6" s="2796"/>
      <c r="S6" s="2857" t="s">
        <v>16658</v>
      </c>
      <c r="T6" s="2796"/>
      <c r="U6" s="2796"/>
      <c r="V6" s="2796"/>
      <c r="W6" s="2796"/>
      <c r="X6" s="2796"/>
      <c r="Y6" s="2796" t="s">
        <v>16659</v>
      </c>
      <c r="Z6" s="2796"/>
      <c r="AA6" s="2796"/>
      <c r="AB6" s="2796"/>
      <c r="AC6" s="2796"/>
      <c r="AD6" s="2837"/>
      <c r="AE6" s="242"/>
      <c r="AF6" s="2791"/>
      <c r="AG6" s="242"/>
      <c r="AH6" s="2791"/>
      <c r="AI6" s="242"/>
      <c r="AJ6" s="238"/>
      <c r="AL6" s="238"/>
      <c r="BL6" s="238"/>
      <c r="BN6" s="2795"/>
      <c r="BO6" s="2796" t="s">
        <v>16654</v>
      </c>
      <c r="BP6" s="2796" t="s">
        <v>16655</v>
      </c>
      <c r="BQ6" s="2796"/>
      <c r="BR6" s="2796" t="s">
        <v>16656</v>
      </c>
      <c r="BS6" s="2796"/>
      <c r="BT6" s="2796"/>
      <c r="BU6" s="2796"/>
      <c r="BV6" s="2837" t="s">
        <v>7445</v>
      </c>
      <c r="BW6" s="1336"/>
      <c r="BX6" s="2795" t="s">
        <v>16657</v>
      </c>
      <c r="BY6" s="2796"/>
      <c r="BZ6" s="2796"/>
      <c r="CA6" s="2796"/>
      <c r="CB6" s="2796"/>
      <c r="CC6" s="2857" t="s">
        <v>16658</v>
      </c>
      <c r="CD6" s="2796"/>
      <c r="CE6" s="2796"/>
      <c r="CF6" s="2796"/>
      <c r="CG6" s="2796"/>
      <c r="CH6" s="2796"/>
      <c r="CI6" s="2796" t="s">
        <v>16659</v>
      </c>
      <c r="CJ6" s="2796"/>
      <c r="CK6" s="2796"/>
      <c r="CL6" s="2796"/>
      <c r="CM6" s="2796"/>
      <c r="CN6" s="2837"/>
    </row>
    <row r="7" spans="1:93" ht="105" customHeight="1" thickBot="1">
      <c r="A7" s="242"/>
      <c r="B7" s="2712"/>
      <c r="C7" s="2674"/>
      <c r="D7" s="2674"/>
      <c r="E7" s="2674"/>
      <c r="F7" s="271" t="s">
        <v>16660</v>
      </c>
      <c r="G7" s="271" t="s">
        <v>16661</v>
      </c>
      <c r="H7" s="271" t="s">
        <v>16662</v>
      </c>
      <c r="I7" s="271" t="s">
        <v>16663</v>
      </c>
      <c r="J7" s="271" t="s">
        <v>16664</v>
      </c>
      <c r="K7" s="271" t="s">
        <v>16665</v>
      </c>
      <c r="L7" s="2676"/>
      <c r="M7" s="1337"/>
      <c r="N7" s="430" t="s">
        <v>16666</v>
      </c>
      <c r="O7" s="271" t="s">
        <v>16667</v>
      </c>
      <c r="P7" s="271" t="s">
        <v>16668</v>
      </c>
      <c r="Q7" s="271" t="s">
        <v>16669</v>
      </c>
      <c r="R7" s="271" t="s">
        <v>7445</v>
      </c>
      <c r="S7" s="271" t="s">
        <v>16670</v>
      </c>
      <c r="T7" s="271" t="s">
        <v>16671</v>
      </c>
      <c r="U7" s="271" t="s">
        <v>16672</v>
      </c>
      <c r="V7" s="271" t="s">
        <v>16673</v>
      </c>
      <c r="W7" s="271" t="s">
        <v>16669</v>
      </c>
      <c r="X7" s="271" t="s">
        <v>7445</v>
      </c>
      <c r="Y7" s="271" t="s">
        <v>16674</v>
      </c>
      <c r="Z7" s="271" t="s">
        <v>16675</v>
      </c>
      <c r="AA7" s="271" t="s">
        <v>16676</v>
      </c>
      <c r="AB7" s="271" t="s">
        <v>16677</v>
      </c>
      <c r="AC7" s="271" t="s">
        <v>16669</v>
      </c>
      <c r="AD7" s="672" t="s">
        <v>7445</v>
      </c>
      <c r="AE7" s="242"/>
      <c r="AF7" s="2792"/>
      <c r="AG7" s="242"/>
      <c r="AH7" s="2792"/>
      <c r="AI7" s="242"/>
      <c r="AJ7" s="238"/>
      <c r="AL7" s="238"/>
      <c r="BL7" s="238"/>
      <c r="BN7" s="2712"/>
      <c r="BO7" s="2674"/>
      <c r="BP7" s="271" t="s">
        <v>16660</v>
      </c>
      <c r="BQ7" s="271" t="s">
        <v>16661</v>
      </c>
      <c r="BR7" s="271" t="s">
        <v>16662</v>
      </c>
      <c r="BS7" s="271" t="s">
        <v>16663</v>
      </c>
      <c r="BT7" s="271" t="s">
        <v>16664</v>
      </c>
      <c r="BU7" s="271" t="s">
        <v>16665</v>
      </c>
      <c r="BV7" s="2676"/>
      <c r="BW7" s="1337"/>
      <c r="BX7" s="430" t="s">
        <v>16666</v>
      </c>
      <c r="BY7" s="271" t="s">
        <v>16667</v>
      </c>
      <c r="BZ7" s="271" t="s">
        <v>16668</v>
      </c>
      <c r="CA7" s="271" t="s">
        <v>16669</v>
      </c>
      <c r="CB7" s="271" t="s">
        <v>7445</v>
      </c>
      <c r="CC7" s="271" t="s">
        <v>16670</v>
      </c>
      <c r="CD7" s="271" t="s">
        <v>16671</v>
      </c>
      <c r="CE7" s="271" t="s">
        <v>16672</v>
      </c>
      <c r="CF7" s="271" t="s">
        <v>16673</v>
      </c>
      <c r="CG7" s="271" t="s">
        <v>16669</v>
      </c>
      <c r="CH7" s="271" t="s">
        <v>7445</v>
      </c>
      <c r="CI7" s="271" t="s">
        <v>16674</v>
      </c>
      <c r="CJ7" s="271" t="s">
        <v>16675</v>
      </c>
      <c r="CK7" s="271" t="s">
        <v>16676</v>
      </c>
      <c r="CL7" s="271" t="s">
        <v>16677</v>
      </c>
      <c r="CM7" s="271" t="s">
        <v>16669</v>
      </c>
      <c r="CN7" s="672" t="s">
        <v>7445</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16678</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16678</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16679</v>
      </c>
      <c r="C10" s="277" t="s">
        <v>16680</v>
      </c>
      <c r="D10" s="277">
        <v>0</v>
      </c>
      <c r="E10" s="1728">
        <v>127</v>
      </c>
      <c r="F10" s="1728">
        <v>58</v>
      </c>
      <c r="G10" s="1728">
        <v>744</v>
      </c>
      <c r="H10" s="1728">
        <v>0</v>
      </c>
      <c r="I10" s="1728">
        <v>0</v>
      </c>
      <c r="J10" s="1728">
        <v>22</v>
      </c>
      <c r="K10" s="1728">
        <v>0</v>
      </c>
      <c r="L10" s="1735">
        <f>IFERROR(SUM(E10:K10),0)</f>
        <v>951</v>
      </c>
      <c r="M10" s="1736"/>
      <c r="N10" s="1737">
        <v>0</v>
      </c>
      <c r="O10" s="1728">
        <v>0</v>
      </c>
      <c r="P10" s="1728">
        <v>0</v>
      </c>
      <c r="Q10" s="1728">
        <v>951</v>
      </c>
      <c r="R10" s="1738">
        <f>IFERROR(SUM(N10:Q10),0)</f>
        <v>951</v>
      </c>
      <c r="S10" s="1728">
        <v>0</v>
      </c>
      <c r="T10" s="1728">
        <v>0</v>
      </c>
      <c r="U10" s="1728">
        <v>17</v>
      </c>
      <c r="V10" s="1728">
        <v>228</v>
      </c>
      <c r="W10" s="1728">
        <v>706</v>
      </c>
      <c r="X10" s="1738">
        <f>IFERROR(SUM(S10:W10),0)</f>
        <v>951</v>
      </c>
      <c r="Y10" s="1728">
        <v>0</v>
      </c>
      <c r="Z10" s="1728">
        <v>0</v>
      </c>
      <c r="AA10" s="1728">
        <v>0</v>
      </c>
      <c r="AB10" s="1728">
        <v>72</v>
      </c>
      <c r="AC10" s="1728">
        <v>879</v>
      </c>
      <c r="AD10" s="1735">
        <f t="shared" ref="AD10:AD15" si="0">IFERROR(SUM(Y10:AC10),0)</f>
        <v>951</v>
      </c>
      <c r="AE10" s="242"/>
      <c r="AF10" s="281" t="s">
        <v>16681</v>
      </c>
      <c r="AG10" s="242"/>
      <c r="AH10" s="1231"/>
      <c r="AI10" s="242"/>
      <c r="AJ10" s="238"/>
      <c r="AK10" s="1232">
        <f t="shared" ref="AK10:AK17" si="1">IF( SUM( AM10:BK10 ) = 0, 0, $AM$5 )</f>
        <v>0</v>
      </c>
      <c r="AL10" s="238"/>
      <c r="AM10" s="285">
        <f t="shared" ref="AM10" si="2" xml:space="preserve"> IF( ISNUMBER(E10 ), 0, 1 )</f>
        <v>0</v>
      </c>
      <c r="AN10" s="285">
        <f t="shared" ref="AN10" si="3" xml:space="preserve"> IF( ISNUMBER(F10 ), 0, 1 )</f>
        <v>0</v>
      </c>
      <c r="AO10" s="285">
        <f t="shared" ref="AO10" si="4" xml:space="preserve"> IF( ISNUMBER(G10 ), 0, 1 )</f>
        <v>0</v>
      </c>
      <c r="AP10" s="285">
        <f t="shared" ref="AP10" si="5" xml:space="preserve"> IF( ISNUMBER(H10 ), 0, 1 )</f>
        <v>0</v>
      </c>
      <c r="AQ10" s="285">
        <f t="shared" ref="AQ10" si="6" xml:space="preserve"> IF( ISNUMBER(I10 ), 0, 1 )</f>
        <v>0</v>
      </c>
      <c r="AR10" s="285">
        <f t="shared" ref="AR10" si="7" xml:space="preserve"> IF( ISNUMBER(J10 ), 0, 1 )</f>
        <v>0</v>
      </c>
      <c r="AS10" s="285">
        <f t="shared" ref="AS10:AV10" si="8" xml:space="preserve"> IF( ISNUMBER(K10 ), 0, 1 )</f>
        <v>0</v>
      </c>
      <c r="AV10" s="285">
        <f t="shared" si="8"/>
        <v>0</v>
      </c>
      <c r="AW10" s="285">
        <f t="shared" ref="AW10" si="9" xml:space="preserve"> IF( ISNUMBER(O10 ), 0, 1 )</f>
        <v>0</v>
      </c>
      <c r="AX10" s="285">
        <f t="shared" ref="AX10" si="10" xml:space="preserve"> IF( ISNUMBER(P10 ), 0, 1 )</f>
        <v>0</v>
      </c>
      <c r="AY10" s="285">
        <f t="shared" ref="AY10" si="11" xml:space="preserve"> IF( ISNUMBER(Q10 ), 0, 1 )</f>
        <v>0</v>
      </c>
      <c r="BA10" s="285">
        <f t="shared" ref="BA10" si="12" xml:space="preserve"> IF( ISNUMBER(S10 ), 0, 1 )</f>
        <v>0</v>
      </c>
      <c r="BB10" s="285">
        <f t="shared" ref="BB10" si="13" xml:space="preserve"> IF( ISNUMBER(T10 ), 0, 1 )</f>
        <v>0</v>
      </c>
      <c r="BC10" s="285">
        <f t="shared" ref="BC10" si="14" xml:space="preserve"> IF( ISNUMBER(U10 ), 0, 1 )</f>
        <v>0</v>
      </c>
      <c r="BD10" s="285">
        <f t="shared" ref="BD10" si="15" xml:space="preserve"> IF( ISNUMBER(V10 ), 0, 1 )</f>
        <v>0</v>
      </c>
      <c r="BE10" s="285">
        <f t="shared" ref="BE10" si="16" xml:space="preserve"> IF( ISNUMBER(W10 ), 0, 1 )</f>
        <v>0</v>
      </c>
      <c r="BG10" s="285">
        <f t="shared" ref="BG10" si="17" xml:space="preserve"> IF( ISNUMBER(Y10 ), 0, 1 )</f>
        <v>0</v>
      </c>
      <c r="BH10" s="285">
        <f t="shared" ref="BH10" si="18" xml:space="preserve"> IF( ISNUMBER(Z10 ), 0, 1 )</f>
        <v>0</v>
      </c>
      <c r="BI10" s="285">
        <f t="shared" ref="BI10" si="19" xml:space="preserve"> IF( ISNUMBER(AA10 ), 0, 1 )</f>
        <v>0</v>
      </c>
      <c r="BJ10" s="285">
        <f t="shared" ref="BJ10" si="20" xml:space="preserve"> IF( ISNUMBER(AB10 ), 0, 1 )</f>
        <v>0</v>
      </c>
      <c r="BK10" s="285">
        <f t="shared" ref="BK10" si="21" xml:space="preserve"> IF( ISNUMBER(AC10 ), 0, 1 )</f>
        <v>0</v>
      </c>
      <c r="BL10" s="238"/>
      <c r="BN10" s="451" t="s">
        <v>16679</v>
      </c>
      <c r="BO10" s="1159" t="s">
        <v>16682</v>
      </c>
      <c r="BP10" s="1159" t="s">
        <v>16683</v>
      </c>
      <c r="BQ10" s="1159" t="s">
        <v>16684</v>
      </c>
      <c r="BR10" s="1159" t="s">
        <v>16685</v>
      </c>
      <c r="BS10" s="1159" t="s">
        <v>16686</v>
      </c>
      <c r="BT10" s="1159" t="s">
        <v>16687</v>
      </c>
      <c r="BU10" s="1159" t="s">
        <v>16688</v>
      </c>
      <c r="BV10" s="1341" t="s">
        <v>16689</v>
      </c>
      <c r="BW10" s="114"/>
      <c r="BX10" s="1342" t="s">
        <v>16690</v>
      </c>
      <c r="BY10" s="1159" t="s">
        <v>16691</v>
      </c>
      <c r="BZ10" s="1159" t="s">
        <v>16692</v>
      </c>
      <c r="CA10" s="1159" t="s">
        <v>16693</v>
      </c>
      <c r="CB10" s="1343" t="s">
        <v>16694</v>
      </c>
      <c r="CC10" s="1159" t="s">
        <v>16695</v>
      </c>
      <c r="CD10" s="1159" t="s">
        <v>16696</v>
      </c>
      <c r="CE10" s="1159" t="s">
        <v>16697</v>
      </c>
      <c r="CF10" s="1159" t="s">
        <v>16698</v>
      </c>
      <c r="CG10" s="1159" t="s">
        <v>16699</v>
      </c>
      <c r="CH10" s="1343" t="s">
        <v>16700</v>
      </c>
      <c r="CI10" s="1159" t="s">
        <v>16701</v>
      </c>
      <c r="CJ10" s="1159" t="s">
        <v>16702</v>
      </c>
      <c r="CK10" s="1159" t="s">
        <v>16703</v>
      </c>
      <c r="CL10" s="1159" t="s">
        <v>16704</v>
      </c>
      <c r="CM10" s="1159" t="s">
        <v>16705</v>
      </c>
      <c r="CN10" s="1341" t="s">
        <v>16706</v>
      </c>
    </row>
    <row r="11" spans="1:93" ht="15.75" customHeight="1">
      <c r="A11" s="242"/>
      <c r="B11" s="460" t="s">
        <v>16707</v>
      </c>
      <c r="C11" s="286" t="s">
        <v>16680</v>
      </c>
      <c r="D11" s="286">
        <v>0</v>
      </c>
      <c r="E11" s="1717">
        <v>0</v>
      </c>
      <c r="F11" s="1717">
        <v>0</v>
      </c>
      <c r="G11" s="1717">
        <v>403</v>
      </c>
      <c r="H11" s="1717">
        <v>0</v>
      </c>
      <c r="I11" s="1717">
        <v>0</v>
      </c>
      <c r="J11" s="1717">
        <v>0</v>
      </c>
      <c r="K11" s="1717">
        <v>56</v>
      </c>
      <c r="L11" s="1733">
        <f t="shared" ref="L11:L16" si="22">IFERROR(SUM(E11:K11),0)</f>
        <v>459</v>
      </c>
      <c r="M11" s="1736"/>
      <c r="N11" s="1739">
        <v>0</v>
      </c>
      <c r="O11" s="1717">
        <v>0</v>
      </c>
      <c r="P11" s="1717">
        <v>0</v>
      </c>
      <c r="Q11" s="1717">
        <v>459</v>
      </c>
      <c r="R11" s="1721">
        <f t="shared" ref="R11:R15" si="23">IFERROR(SUM(N11:Q11),0)</f>
        <v>459</v>
      </c>
      <c r="S11" s="1717">
        <v>0</v>
      </c>
      <c r="T11" s="1717">
        <v>0</v>
      </c>
      <c r="U11" s="1717">
        <v>46</v>
      </c>
      <c r="V11" s="1717">
        <v>375</v>
      </c>
      <c r="W11" s="1717">
        <v>37</v>
      </c>
      <c r="X11" s="1721">
        <f t="shared" ref="X11:X16" si="24">IFERROR(SUM(S11:W11),0)</f>
        <v>458</v>
      </c>
      <c r="Y11" s="1717">
        <v>0</v>
      </c>
      <c r="Z11" s="1717">
        <v>0</v>
      </c>
      <c r="AA11" s="1717">
        <v>22</v>
      </c>
      <c r="AB11" s="1717">
        <v>138</v>
      </c>
      <c r="AC11" s="1717">
        <v>298</v>
      </c>
      <c r="AD11" s="1733">
        <f t="shared" si="0"/>
        <v>458</v>
      </c>
      <c r="AE11" s="242"/>
      <c r="AF11" s="290" t="s">
        <v>16708</v>
      </c>
      <c r="AG11" s="242"/>
      <c r="AH11" s="1233"/>
      <c r="AI11" s="242"/>
      <c r="AJ11" s="238"/>
      <c r="AK11" s="1232">
        <f t="shared" si="1"/>
        <v>0</v>
      </c>
      <c r="AL11" s="238"/>
      <c r="AM11" s="285">
        <f t="shared" ref="AM11:AM15" si="25" xml:space="preserve"> IF( ISNUMBER(E11 ), 0, 1 )</f>
        <v>0</v>
      </c>
      <c r="AN11" s="285">
        <f t="shared" ref="AN11:AN15" si="26" xml:space="preserve"> IF( ISNUMBER(F11 ), 0, 1 )</f>
        <v>0</v>
      </c>
      <c r="AO11" s="285">
        <f t="shared" ref="AO11:AO15" si="27" xml:space="preserve"> IF( ISNUMBER(G11 ), 0, 1 )</f>
        <v>0</v>
      </c>
      <c r="AP11" s="285">
        <f t="shared" ref="AP11:AP15" si="28" xml:space="preserve"> IF( ISNUMBER(H11 ), 0, 1 )</f>
        <v>0</v>
      </c>
      <c r="AQ11" s="285">
        <f t="shared" ref="AQ11:AQ15" si="29" xml:space="preserve"> IF( ISNUMBER(I11 ), 0, 1 )</f>
        <v>0</v>
      </c>
      <c r="AR11" s="285">
        <f t="shared" ref="AR11:AR15" si="30" xml:space="preserve"> IF( ISNUMBER(J11 ), 0, 1 )</f>
        <v>0</v>
      </c>
      <c r="AS11" s="285">
        <f t="shared" ref="AS11:AT17" si="31" xml:space="preserve"> IF( ISNUMBER(K11 ), 0, 1 )</f>
        <v>0</v>
      </c>
      <c r="AV11" s="285">
        <f t="shared" ref="AV11:AV15" si="32" xml:space="preserve"> IF( ISNUMBER(N11 ), 0, 1 )</f>
        <v>0</v>
      </c>
      <c r="AW11" s="285">
        <f t="shared" ref="AW11:AW15" si="33" xml:space="preserve"> IF( ISNUMBER(O11 ), 0, 1 )</f>
        <v>0</v>
      </c>
      <c r="AX11" s="285">
        <f t="shared" ref="AX11:AX15" si="34" xml:space="preserve"> IF( ISNUMBER(P11 ), 0, 1 )</f>
        <v>0</v>
      </c>
      <c r="AY11" s="285">
        <f t="shared" ref="AY11:AY15" si="35" xml:space="preserve"> IF( ISNUMBER(Q11 ), 0, 1 )</f>
        <v>0</v>
      </c>
      <c r="BA11" s="285">
        <f t="shared" ref="BA11:BA15" si="36" xml:space="preserve"> IF( ISNUMBER(S11 ), 0, 1 )</f>
        <v>0</v>
      </c>
      <c r="BB11" s="285">
        <f t="shared" ref="BB11:BB15" si="37" xml:space="preserve"> IF( ISNUMBER(T11 ), 0, 1 )</f>
        <v>0</v>
      </c>
      <c r="BC11" s="285">
        <f t="shared" ref="BC11:BC15" si="38" xml:space="preserve"> IF( ISNUMBER(U11 ), 0, 1 )</f>
        <v>0</v>
      </c>
      <c r="BD11" s="285">
        <f t="shared" ref="BD11:BD15" si="39" xml:space="preserve"> IF( ISNUMBER(V11 ), 0, 1 )</f>
        <v>0</v>
      </c>
      <c r="BE11" s="285">
        <f t="shared" ref="BE11:BE15" si="40" xml:space="preserve"> IF( ISNUMBER(W11 ), 0, 1 )</f>
        <v>0</v>
      </c>
      <c r="BG11" s="285">
        <f t="shared" ref="BG11:BG15" si="41" xml:space="preserve"> IF( ISNUMBER(Y11 ), 0, 1 )</f>
        <v>0</v>
      </c>
      <c r="BH11" s="285">
        <f t="shared" ref="BH11:BH15" si="42" xml:space="preserve"> IF( ISNUMBER(Z11 ), 0, 1 )</f>
        <v>0</v>
      </c>
      <c r="BI11" s="285">
        <f t="shared" ref="BI11:BI15" si="43" xml:space="preserve"> IF( ISNUMBER(AA11 ), 0, 1 )</f>
        <v>0</v>
      </c>
      <c r="BJ11" s="285">
        <f t="shared" ref="BJ11:BJ15" si="44" xml:space="preserve"> IF( ISNUMBER(AB11 ), 0, 1 )</f>
        <v>0</v>
      </c>
      <c r="BK11" s="285">
        <f t="shared" ref="BK11:BK15" si="45" xml:space="preserve"> IF( ISNUMBER(AC11 ), 0, 1 )</f>
        <v>0</v>
      </c>
      <c r="BL11" s="238"/>
      <c r="BN11" s="460" t="s">
        <v>16707</v>
      </c>
      <c r="BO11" s="1323" t="s">
        <v>16709</v>
      </c>
      <c r="BP11" s="1323" t="s">
        <v>16710</v>
      </c>
      <c r="BQ11" s="1323" t="s">
        <v>16711</v>
      </c>
      <c r="BR11" s="1323" t="s">
        <v>16712</v>
      </c>
      <c r="BS11" s="1323" t="s">
        <v>16713</v>
      </c>
      <c r="BT11" s="1323" t="s">
        <v>16714</v>
      </c>
      <c r="BU11" s="1323" t="s">
        <v>16715</v>
      </c>
      <c r="BV11" s="1332" t="s">
        <v>16716</v>
      </c>
      <c r="BW11" s="114"/>
      <c r="BX11" s="1344" t="s">
        <v>16717</v>
      </c>
      <c r="BY11" s="1323" t="s">
        <v>16718</v>
      </c>
      <c r="BZ11" s="1323" t="s">
        <v>16719</v>
      </c>
      <c r="CA11" s="1323" t="s">
        <v>16720</v>
      </c>
      <c r="CB11" s="1318" t="s">
        <v>16721</v>
      </c>
      <c r="CC11" s="1323" t="s">
        <v>16722</v>
      </c>
      <c r="CD11" s="1323" t="s">
        <v>16723</v>
      </c>
      <c r="CE11" s="1323" t="s">
        <v>16724</v>
      </c>
      <c r="CF11" s="1323" t="s">
        <v>16725</v>
      </c>
      <c r="CG11" s="1323" t="s">
        <v>16726</v>
      </c>
      <c r="CH11" s="1318" t="s">
        <v>16727</v>
      </c>
      <c r="CI11" s="1323" t="s">
        <v>16728</v>
      </c>
      <c r="CJ11" s="1323" t="s">
        <v>16729</v>
      </c>
      <c r="CK11" s="1323" t="s">
        <v>16730</v>
      </c>
      <c r="CL11" s="1323" t="s">
        <v>16731</v>
      </c>
      <c r="CM11" s="1323" t="s">
        <v>16732</v>
      </c>
      <c r="CN11" s="1332" t="s">
        <v>16733</v>
      </c>
    </row>
    <row r="12" spans="1:93" ht="15.75" customHeight="1">
      <c r="A12" s="242"/>
      <c r="B12" s="460" t="s">
        <v>16734</v>
      </c>
      <c r="C12" s="286" t="s">
        <v>16680</v>
      </c>
      <c r="D12" s="286">
        <v>0</v>
      </c>
      <c r="E12" s="1717">
        <v>0</v>
      </c>
      <c r="F12" s="1717">
        <v>114</v>
      </c>
      <c r="G12" s="1717">
        <v>3090</v>
      </c>
      <c r="H12" s="1717">
        <v>0</v>
      </c>
      <c r="I12" s="1717">
        <v>0</v>
      </c>
      <c r="J12" s="1717">
        <v>0</v>
      </c>
      <c r="K12" s="1717">
        <v>407</v>
      </c>
      <c r="L12" s="1733">
        <f t="shared" si="22"/>
        <v>3611</v>
      </c>
      <c r="M12" s="1736"/>
      <c r="N12" s="1739">
        <v>0</v>
      </c>
      <c r="O12" s="1717">
        <v>285</v>
      </c>
      <c r="P12" s="1717">
        <v>80</v>
      </c>
      <c r="Q12" s="1717">
        <v>3247</v>
      </c>
      <c r="R12" s="1721">
        <f t="shared" si="23"/>
        <v>3612</v>
      </c>
      <c r="S12" s="1717">
        <v>0</v>
      </c>
      <c r="T12" s="1717">
        <v>0</v>
      </c>
      <c r="U12" s="1717">
        <v>596</v>
      </c>
      <c r="V12" s="1717">
        <v>2890</v>
      </c>
      <c r="W12" s="1717">
        <v>125</v>
      </c>
      <c r="X12" s="1721">
        <f t="shared" si="24"/>
        <v>3611</v>
      </c>
      <c r="Y12" s="1717">
        <v>0</v>
      </c>
      <c r="Z12" s="1717">
        <v>0</v>
      </c>
      <c r="AA12" s="1717">
        <v>905</v>
      </c>
      <c r="AB12" s="1717">
        <v>1559</v>
      </c>
      <c r="AC12" s="1717">
        <v>1147</v>
      </c>
      <c r="AD12" s="1733">
        <f t="shared" si="0"/>
        <v>3611</v>
      </c>
      <c r="AE12" s="242"/>
      <c r="AF12" s="290" t="s">
        <v>16735</v>
      </c>
      <c r="AG12" s="242"/>
      <c r="AH12" s="1233"/>
      <c r="AI12" s="242"/>
      <c r="AJ12" s="238"/>
      <c r="AK12" s="1232">
        <f t="shared" si="1"/>
        <v>0</v>
      </c>
      <c r="AL12" s="238"/>
      <c r="AM12" s="285">
        <f t="shared" si="25"/>
        <v>0</v>
      </c>
      <c r="AN12" s="285">
        <f t="shared" si="26"/>
        <v>0</v>
      </c>
      <c r="AO12" s="285">
        <f t="shared" si="27"/>
        <v>0</v>
      </c>
      <c r="AP12" s="285">
        <f t="shared" si="28"/>
        <v>0</v>
      </c>
      <c r="AQ12" s="285">
        <f t="shared" si="29"/>
        <v>0</v>
      </c>
      <c r="AR12" s="285">
        <f t="shared" si="30"/>
        <v>0</v>
      </c>
      <c r="AS12" s="285">
        <f t="shared" si="31"/>
        <v>0</v>
      </c>
      <c r="AV12" s="285">
        <f t="shared" si="32"/>
        <v>0</v>
      </c>
      <c r="AW12" s="285">
        <f t="shared" si="33"/>
        <v>0</v>
      </c>
      <c r="AX12" s="285">
        <f t="shared" si="34"/>
        <v>0</v>
      </c>
      <c r="AY12" s="285">
        <f t="shared" si="35"/>
        <v>0</v>
      </c>
      <c r="BA12" s="285">
        <f t="shared" si="36"/>
        <v>0</v>
      </c>
      <c r="BB12" s="285">
        <f t="shared" si="37"/>
        <v>0</v>
      </c>
      <c r="BC12" s="285">
        <f t="shared" si="38"/>
        <v>0</v>
      </c>
      <c r="BD12" s="285">
        <f t="shared" si="39"/>
        <v>0</v>
      </c>
      <c r="BE12" s="285">
        <f t="shared" si="40"/>
        <v>0</v>
      </c>
      <c r="BG12" s="285">
        <f t="shared" si="41"/>
        <v>0</v>
      </c>
      <c r="BH12" s="285">
        <f t="shared" si="42"/>
        <v>0</v>
      </c>
      <c r="BI12" s="285">
        <f t="shared" si="43"/>
        <v>0</v>
      </c>
      <c r="BJ12" s="285">
        <f t="shared" si="44"/>
        <v>0</v>
      </c>
      <c r="BK12" s="285">
        <f t="shared" si="45"/>
        <v>0</v>
      </c>
      <c r="BL12" s="238"/>
      <c r="BN12" s="460" t="s">
        <v>16734</v>
      </c>
      <c r="BO12" s="1323" t="s">
        <v>16736</v>
      </c>
      <c r="BP12" s="1323" t="s">
        <v>16737</v>
      </c>
      <c r="BQ12" s="1323" t="s">
        <v>16738</v>
      </c>
      <c r="BR12" s="1323" t="s">
        <v>16739</v>
      </c>
      <c r="BS12" s="1323" t="s">
        <v>16740</v>
      </c>
      <c r="BT12" s="1323" t="s">
        <v>16741</v>
      </c>
      <c r="BU12" s="1323" t="s">
        <v>16742</v>
      </c>
      <c r="BV12" s="1332" t="s">
        <v>16743</v>
      </c>
      <c r="BW12" s="114"/>
      <c r="BX12" s="1344" t="s">
        <v>16744</v>
      </c>
      <c r="BY12" s="1323" t="s">
        <v>16745</v>
      </c>
      <c r="BZ12" s="1323" t="s">
        <v>16746</v>
      </c>
      <c r="CA12" s="1323" t="s">
        <v>16747</v>
      </c>
      <c r="CB12" s="1318" t="s">
        <v>16748</v>
      </c>
      <c r="CC12" s="1323" t="s">
        <v>16749</v>
      </c>
      <c r="CD12" s="1323" t="s">
        <v>16750</v>
      </c>
      <c r="CE12" s="1323" t="s">
        <v>16751</v>
      </c>
      <c r="CF12" s="1323" t="s">
        <v>16752</v>
      </c>
      <c r="CG12" s="1323" t="s">
        <v>16753</v>
      </c>
      <c r="CH12" s="1318" t="s">
        <v>16754</v>
      </c>
      <c r="CI12" s="1323" t="s">
        <v>16755</v>
      </c>
      <c r="CJ12" s="1323" t="s">
        <v>16756</v>
      </c>
      <c r="CK12" s="1323" t="s">
        <v>16757</v>
      </c>
      <c r="CL12" s="1323" t="s">
        <v>16758</v>
      </c>
      <c r="CM12" s="1323" t="s">
        <v>16759</v>
      </c>
      <c r="CN12" s="1332" t="s">
        <v>16760</v>
      </c>
    </row>
    <row r="13" spans="1:93" ht="15.75" customHeight="1">
      <c r="A13" s="242"/>
      <c r="B13" s="460" t="s">
        <v>16761</v>
      </c>
      <c r="C13" s="286" t="s">
        <v>16680</v>
      </c>
      <c r="D13" s="286">
        <v>0</v>
      </c>
      <c r="E13" s="1717">
        <v>0</v>
      </c>
      <c r="F13" s="1717">
        <v>2028</v>
      </c>
      <c r="G13" s="1717">
        <v>3882</v>
      </c>
      <c r="H13" s="1717">
        <v>0</v>
      </c>
      <c r="I13" s="1717">
        <v>0</v>
      </c>
      <c r="J13" s="1717">
        <v>2167</v>
      </c>
      <c r="K13" s="1717">
        <v>1917</v>
      </c>
      <c r="L13" s="1733">
        <f t="shared" si="22"/>
        <v>9994</v>
      </c>
      <c r="M13" s="1740"/>
      <c r="N13" s="1739">
        <v>0</v>
      </c>
      <c r="O13" s="1717">
        <v>600</v>
      </c>
      <c r="P13" s="1717">
        <v>1074</v>
      </c>
      <c r="Q13" s="1717">
        <v>8320</v>
      </c>
      <c r="R13" s="1721">
        <f t="shared" si="23"/>
        <v>9994</v>
      </c>
      <c r="S13" s="1717">
        <v>0</v>
      </c>
      <c r="T13" s="1717">
        <v>1664</v>
      </c>
      <c r="U13" s="1717">
        <v>2461</v>
      </c>
      <c r="V13" s="1717">
        <v>5868</v>
      </c>
      <c r="W13" s="1717">
        <v>0</v>
      </c>
      <c r="X13" s="1721">
        <f t="shared" si="24"/>
        <v>9993</v>
      </c>
      <c r="Y13" s="1717">
        <v>0</v>
      </c>
      <c r="Z13" s="1717">
        <v>579</v>
      </c>
      <c r="AA13" s="1717">
        <v>3996</v>
      </c>
      <c r="AB13" s="1717">
        <v>2403</v>
      </c>
      <c r="AC13" s="1717">
        <v>3016</v>
      </c>
      <c r="AD13" s="1733">
        <f t="shared" si="0"/>
        <v>9994</v>
      </c>
      <c r="AE13" s="242"/>
      <c r="AF13" s="290" t="s">
        <v>16762</v>
      </c>
      <c r="AG13" s="242"/>
      <c r="AH13" s="1233"/>
      <c r="AI13" s="242"/>
      <c r="AJ13" s="238"/>
      <c r="AK13" s="1232">
        <f t="shared" si="1"/>
        <v>0</v>
      </c>
      <c r="AL13" s="238"/>
      <c r="AM13" s="285">
        <f t="shared" si="25"/>
        <v>0</v>
      </c>
      <c r="AN13" s="285">
        <f t="shared" si="26"/>
        <v>0</v>
      </c>
      <c r="AO13" s="285">
        <f t="shared" si="27"/>
        <v>0</v>
      </c>
      <c r="AP13" s="285">
        <f t="shared" si="28"/>
        <v>0</v>
      </c>
      <c r="AQ13" s="285">
        <f t="shared" si="29"/>
        <v>0</v>
      </c>
      <c r="AR13" s="285">
        <f t="shared" si="30"/>
        <v>0</v>
      </c>
      <c r="AS13" s="285">
        <f t="shared" si="31"/>
        <v>0</v>
      </c>
      <c r="AV13" s="285">
        <f t="shared" si="32"/>
        <v>0</v>
      </c>
      <c r="AW13" s="285">
        <f t="shared" si="33"/>
        <v>0</v>
      </c>
      <c r="AX13" s="285">
        <f t="shared" si="34"/>
        <v>0</v>
      </c>
      <c r="AY13" s="285">
        <f t="shared" si="35"/>
        <v>0</v>
      </c>
      <c r="BA13" s="285">
        <f t="shared" si="36"/>
        <v>0</v>
      </c>
      <c r="BB13" s="285">
        <f t="shared" si="37"/>
        <v>0</v>
      </c>
      <c r="BC13" s="285">
        <f t="shared" si="38"/>
        <v>0</v>
      </c>
      <c r="BD13" s="285">
        <f t="shared" si="39"/>
        <v>0</v>
      </c>
      <c r="BE13" s="285">
        <f t="shared" si="40"/>
        <v>0</v>
      </c>
      <c r="BG13" s="285">
        <f t="shared" si="41"/>
        <v>0</v>
      </c>
      <c r="BH13" s="285">
        <f t="shared" si="42"/>
        <v>0</v>
      </c>
      <c r="BI13" s="285">
        <f t="shared" si="43"/>
        <v>0</v>
      </c>
      <c r="BJ13" s="285">
        <f t="shared" si="44"/>
        <v>0</v>
      </c>
      <c r="BK13" s="285">
        <f t="shared" si="45"/>
        <v>0</v>
      </c>
      <c r="BL13" s="238"/>
      <c r="BN13" s="460" t="s">
        <v>16761</v>
      </c>
      <c r="BO13" s="1323" t="s">
        <v>16763</v>
      </c>
      <c r="BP13" s="1323" t="s">
        <v>16764</v>
      </c>
      <c r="BQ13" s="1323" t="s">
        <v>16765</v>
      </c>
      <c r="BR13" s="1323" t="s">
        <v>16766</v>
      </c>
      <c r="BS13" s="1323" t="s">
        <v>16767</v>
      </c>
      <c r="BT13" s="1323" t="s">
        <v>16768</v>
      </c>
      <c r="BU13" s="1323" t="s">
        <v>16769</v>
      </c>
      <c r="BV13" s="1332" t="s">
        <v>16770</v>
      </c>
      <c r="BW13" s="432"/>
      <c r="BX13" s="1344" t="s">
        <v>16771</v>
      </c>
      <c r="BY13" s="1323" t="s">
        <v>16772</v>
      </c>
      <c r="BZ13" s="1323" t="s">
        <v>16773</v>
      </c>
      <c r="CA13" s="1323" t="s">
        <v>16774</v>
      </c>
      <c r="CB13" s="1318" t="s">
        <v>16775</v>
      </c>
      <c r="CC13" s="1323" t="s">
        <v>16776</v>
      </c>
      <c r="CD13" s="1323" t="s">
        <v>16777</v>
      </c>
      <c r="CE13" s="1323" t="s">
        <v>16778</v>
      </c>
      <c r="CF13" s="1323" t="s">
        <v>16779</v>
      </c>
      <c r="CG13" s="1323" t="s">
        <v>16780</v>
      </c>
      <c r="CH13" s="1318" t="s">
        <v>16781</v>
      </c>
      <c r="CI13" s="1323" t="s">
        <v>16782</v>
      </c>
      <c r="CJ13" s="1323" t="s">
        <v>16783</v>
      </c>
      <c r="CK13" s="1323" t="s">
        <v>16784</v>
      </c>
      <c r="CL13" s="1323" t="s">
        <v>16785</v>
      </c>
      <c r="CM13" s="1323" t="s">
        <v>16786</v>
      </c>
      <c r="CN13" s="1332" t="s">
        <v>16787</v>
      </c>
    </row>
    <row r="14" spans="1:93" ht="15.75" customHeight="1">
      <c r="A14" s="242"/>
      <c r="B14" s="460" t="s">
        <v>16788</v>
      </c>
      <c r="C14" s="286" t="s">
        <v>16680</v>
      </c>
      <c r="D14" s="286">
        <v>0</v>
      </c>
      <c r="E14" s="1717">
        <v>0</v>
      </c>
      <c r="F14" s="1717">
        <v>1152</v>
      </c>
      <c r="G14" s="1717">
        <v>0</v>
      </c>
      <c r="H14" s="1717">
        <v>0</v>
      </c>
      <c r="I14" s="1717">
        <v>3730</v>
      </c>
      <c r="J14" s="1717">
        <v>1498</v>
      </c>
      <c r="K14" s="1717">
        <v>5482</v>
      </c>
      <c r="L14" s="1733">
        <f t="shared" si="22"/>
        <v>11862</v>
      </c>
      <c r="M14" s="1736"/>
      <c r="N14" s="1739">
        <v>0</v>
      </c>
      <c r="O14" s="1717">
        <v>2083</v>
      </c>
      <c r="P14" s="1717">
        <v>5750</v>
      </c>
      <c r="Q14" s="1717">
        <v>4028</v>
      </c>
      <c r="R14" s="1721">
        <f t="shared" si="23"/>
        <v>11861</v>
      </c>
      <c r="S14" s="1717">
        <v>0</v>
      </c>
      <c r="T14" s="1717">
        <v>1966</v>
      </c>
      <c r="U14" s="1717">
        <v>2469</v>
      </c>
      <c r="V14" s="1717">
        <v>7427</v>
      </c>
      <c r="W14" s="1717">
        <v>0</v>
      </c>
      <c r="X14" s="1721">
        <f t="shared" si="24"/>
        <v>11862</v>
      </c>
      <c r="Y14" s="1717">
        <v>0</v>
      </c>
      <c r="Z14" s="1717">
        <v>2083</v>
      </c>
      <c r="AA14" s="1717">
        <v>1752</v>
      </c>
      <c r="AB14" s="1717">
        <v>4841</v>
      </c>
      <c r="AC14" s="1717">
        <v>3186</v>
      </c>
      <c r="AD14" s="1733">
        <f t="shared" si="0"/>
        <v>11862</v>
      </c>
      <c r="AE14" s="242"/>
      <c r="AF14" s="290" t="s">
        <v>16789</v>
      </c>
      <c r="AG14" s="242"/>
      <c r="AH14" s="1233"/>
      <c r="AI14" s="242"/>
      <c r="AJ14" s="238"/>
      <c r="AK14" s="1232">
        <f t="shared" si="1"/>
        <v>0</v>
      </c>
      <c r="AL14" s="238"/>
      <c r="AM14" s="285">
        <f t="shared" si="25"/>
        <v>0</v>
      </c>
      <c r="AN14" s="285">
        <f t="shared" si="26"/>
        <v>0</v>
      </c>
      <c r="AO14" s="285">
        <f t="shared" si="27"/>
        <v>0</v>
      </c>
      <c r="AP14" s="285">
        <f t="shared" si="28"/>
        <v>0</v>
      </c>
      <c r="AQ14" s="285">
        <f t="shared" si="29"/>
        <v>0</v>
      </c>
      <c r="AR14" s="285">
        <f t="shared" si="30"/>
        <v>0</v>
      </c>
      <c r="AS14" s="285">
        <f t="shared" si="31"/>
        <v>0</v>
      </c>
      <c r="AV14" s="285">
        <f t="shared" si="32"/>
        <v>0</v>
      </c>
      <c r="AW14" s="285">
        <f t="shared" si="33"/>
        <v>0</v>
      </c>
      <c r="AX14" s="285">
        <f t="shared" si="34"/>
        <v>0</v>
      </c>
      <c r="AY14" s="285">
        <f t="shared" si="35"/>
        <v>0</v>
      </c>
      <c r="BA14" s="285">
        <f t="shared" si="36"/>
        <v>0</v>
      </c>
      <c r="BB14" s="285">
        <f t="shared" si="37"/>
        <v>0</v>
      </c>
      <c r="BC14" s="285">
        <f t="shared" si="38"/>
        <v>0</v>
      </c>
      <c r="BD14" s="285">
        <f t="shared" si="39"/>
        <v>0</v>
      </c>
      <c r="BE14" s="285">
        <f t="shared" si="40"/>
        <v>0</v>
      </c>
      <c r="BG14" s="285">
        <f t="shared" si="41"/>
        <v>0</v>
      </c>
      <c r="BH14" s="285">
        <f t="shared" si="42"/>
        <v>0</v>
      </c>
      <c r="BI14" s="285">
        <f t="shared" si="43"/>
        <v>0</v>
      </c>
      <c r="BJ14" s="285">
        <f t="shared" si="44"/>
        <v>0</v>
      </c>
      <c r="BK14" s="285">
        <f t="shared" si="45"/>
        <v>0</v>
      </c>
      <c r="BL14" s="238"/>
      <c r="BN14" s="460" t="s">
        <v>16788</v>
      </c>
      <c r="BO14" s="1323" t="s">
        <v>16790</v>
      </c>
      <c r="BP14" s="1323" t="s">
        <v>16791</v>
      </c>
      <c r="BQ14" s="1323" t="s">
        <v>16792</v>
      </c>
      <c r="BR14" s="1323" t="s">
        <v>16793</v>
      </c>
      <c r="BS14" s="1323" t="s">
        <v>16794</v>
      </c>
      <c r="BT14" s="1323" t="s">
        <v>16795</v>
      </c>
      <c r="BU14" s="1323" t="s">
        <v>16796</v>
      </c>
      <c r="BV14" s="1332" t="s">
        <v>16797</v>
      </c>
      <c r="BW14" s="114"/>
      <c r="BX14" s="1344" t="s">
        <v>16798</v>
      </c>
      <c r="BY14" s="1323" t="s">
        <v>16799</v>
      </c>
      <c r="BZ14" s="1323" t="s">
        <v>16800</v>
      </c>
      <c r="CA14" s="1323" t="s">
        <v>16801</v>
      </c>
      <c r="CB14" s="1318" t="s">
        <v>16802</v>
      </c>
      <c r="CC14" s="1323" t="s">
        <v>16803</v>
      </c>
      <c r="CD14" s="1323" t="s">
        <v>16804</v>
      </c>
      <c r="CE14" s="1323" t="s">
        <v>16805</v>
      </c>
      <c r="CF14" s="1323" t="s">
        <v>16806</v>
      </c>
      <c r="CG14" s="1323" t="s">
        <v>16807</v>
      </c>
      <c r="CH14" s="1318" t="s">
        <v>16808</v>
      </c>
      <c r="CI14" s="1323" t="s">
        <v>16809</v>
      </c>
      <c r="CJ14" s="1323" t="s">
        <v>16810</v>
      </c>
      <c r="CK14" s="1323" t="s">
        <v>16811</v>
      </c>
      <c r="CL14" s="1323" t="s">
        <v>16812</v>
      </c>
      <c r="CM14" s="1323" t="s">
        <v>16813</v>
      </c>
      <c r="CN14" s="1332" t="s">
        <v>16814</v>
      </c>
    </row>
    <row r="15" spans="1:93" ht="15.75" customHeight="1">
      <c r="A15" s="242"/>
      <c r="B15" s="460" t="s">
        <v>16815</v>
      </c>
      <c r="C15" s="286" t="s">
        <v>16680</v>
      </c>
      <c r="D15" s="286">
        <v>0</v>
      </c>
      <c r="E15" s="1717">
        <v>0</v>
      </c>
      <c r="F15" s="1717">
        <v>18672</v>
      </c>
      <c r="G15" s="1717">
        <v>4603</v>
      </c>
      <c r="H15" s="1717">
        <v>0</v>
      </c>
      <c r="I15" s="1717">
        <v>120788</v>
      </c>
      <c r="J15" s="1717">
        <v>0</v>
      </c>
      <c r="K15" s="1717">
        <v>7697</v>
      </c>
      <c r="L15" s="1733">
        <f t="shared" si="22"/>
        <v>151760</v>
      </c>
      <c r="M15" s="1736"/>
      <c r="N15" s="1739">
        <v>0</v>
      </c>
      <c r="O15" s="1717">
        <v>2182</v>
      </c>
      <c r="P15" s="1717">
        <v>10056</v>
      </c>
      <c r="Q15" s="1717">
        <v>139522</v>
      </c>
      <c r="R15" s="1721">
        <f t="shared" si="23"/>
        <v>151760</v>
      </c>
      <c r="S15" s="1717">
        <v>0</v>
      </c>
      <c r="T15" s="1717">
        <v>2182</v>
      </c>
      <c r="U15" s="1717">
        <v>4470</v>
      </c>
      <c r="V15" s="1717">
        <v>145109</v>
      </c>
      <c r="W15" s="1717">
        <v>0</v>
      </c>
      <c r="X15" s="1721">
        <f>IFERROR(SUM(S15:W15),0)</f>
        <v>151761</v>
      </c>
      <c r="Y15" s="1717">
        <v>0</v>
      </c>
      <c r="Z15" s="1717">
        <v>2359</v>
      </c>
      <c r="AA15" s="1717">
        <v>9911</v>
      </c>
      <c r="AB15" s="1717">
        <v>41796</v>
      </c>
      <c r="AC15" s="1717">
        <v>97695</v>
      </c>
      <c r="AD15" s="1733">
        <f t="shared" si="0"/>
        <v>151761</v>
      </c>
      <c r="AE15" s="242"/>
      <c r="AF15" s="290" t="s">
        <v>16816</v>
      </c>
      <c r="AG15" s="242"/>
      <c r="AH15" s="1233"/>
      <c r="AI15" s="242"/>
      <c r="AJ15" s="238"/>
      <c r="AK15" s="1232">
        <f t="shared" si="1"/>
        <v>0</v>
      </c>
      <c r="AL15" s="238"/>
      <c r="AM15" s="285">
        <f t="shared" si="25"/>
        <v>0</v>
      </c>
      <c r="AN15" s="285">
        <f t="shared" si="26"/>
        <v>0</v>
      </c>
      <c r="AO15" s="285">
        <f t="shared" si="27"/>
        <v>0</v>
      </c>
      <c r="AP15" s="285">
        <f t="shared" si="28"/>
        <v>0</v>
      </c>
      <c r="AQ15" s="285">
        <f t="shared" si="29"/>
        <v>0</v>
      </c>
      <c r="AR15" s="285">
        <f t="shared" si="30"/>
        <v>0</v>
      </c>
      <c r="AS15" s="285">
        <f t="shared" si="31"/>
        <v>0</v>
      </c>
      <c r="AV15" s="285">
        <f t="shared" si="32"/>
        <v>0</v>
      </c>
      <c r="AW15" s="285">
        <f t="shared" si="33"/>
        <v>0</v>
      </c>
      <c r="AX15" s="285">
        <f t="shared" si="34"/>
        <v>0</v>
      </c>
      <c r="AY15" s="285">
        <f t="shared" si="35"/>
        <v>0</v>
      </c>
      <c r="BA15" s="285">
        <f t="shared" si="36"/>
        <v>0</v>
      </c>
      <c r="BB15" s="285">
        <f t="shared" si="37"/>
        <v>0</v>
      </c>
      <c r="BC15" s="285">
        <f t="shared" si="38"/>
        <v>0</v>
      </c>
      <c r="BD15" s="285">
        <f t="shared" si="39"/>
        <v>0</v>
      </c>
      <c r="BE15" s="285">
        <f t="shared" si="40"/>
        <v>0</v>
      </c>
      <c r="BG15" s="285">
        <f t="shared" si="41"/>
        <v>0</v>
      </c>
      <c r="BH15" s="285">
        <f t="shared" si="42"/>
        <v>0</v>
      </c>
      <c r="BI15" s="285">
        <f t="shared" si="43"/>
        <v>0</v>
      </c>
      <c r="BJ15" s="285">
        <f t="shared" si="44"/>
        <v>0</v>
      </c>
      <c r="BK15" s="285">
        <f t="shared" si="45"/>
        <v>0</v>
      </c>
      <c r="BL15" s="238"/>
      <c r="BN15" s="460" t="s">
        <v>16815</v>
      </c>
      <c r="BO15" s="1323" t="s">
        <v>16817</v>
      </c>
      <c r="BP15" s="1323" t="s">
        <v>16818</v>
      </c>
      <c r="BQ15" s="1323" t="s">
        <v>16819</v>
      </c>
      <c r="BR15" s="1323" t="s">
        <v>16820</v>
      </c>
      <c r="BS15" s="1323" t="s">
        <v>16821</v>
      </c>
      <c r="BT15" s="1323" t="s">
        <v>16822</v>
      </c>
      <c r="BU15" s="1323" t="s">
        <v>16823</v>
      </c>
      <c r="BV15" s="1332" t="s">
        <v>16824</v>
      </c>
      <c r="BW15" s="114"/>
      <c r="BX15" s="1344" t="s">
        <v>16825</v>
      </c>
      <c r="BY15" s="1323" t="s">
        <v>16826</v>
      </c>
      <c r="BZ15" s="1323" t="s">
        <v>16827</v>
      </c>
      <c r="CA15" s="1323" t="s">
        <v>16828</v>
      </c>
      <c r="CB15" s="1318" t="s">
        <v>16829</v>
      </c>
      <c r="CC15" s="1323" t="s">
        <v>16830</v>
      </c>
      <c r="CD15" s="1323" t="s">
        <v>16831</v>
      </c>
      <c r="CE15" s="1323" t="s">
        <v>16832</v>
      </c>
      <c r="CF15" s="1323" t="s">
        <v>16833</v>
      </c>
      <c r="CG15" s="1323" t="s">
        <v>16834</v>
      </c>
      <c r="CH15" s="1318" t="s">
        <v>16835</v>
      </c>
      <c r="CI15" s="1323" t="s">
        <v>16836</v>
      </c>
      <c r="CJ15" s="1323" t="s">
        <v>16837</v>
      </c>
      <c r="CK15" s="1323" t="s">
        <v>16838</v>
      </c>
      <c r="CL15" s="1323" t="s">
        <v>16839</v>
      </c>
      <c r="CM15" s="1323" t="s">
        <v>16840</v>
      </c>
      <c r="CN15" s="1332" t="s">
        <v>16841</v>
      </c>
    </row>
    <row r="16" spans="1:93" ht="15.75" customHeight="1">
      <c r="A16" s="242"/>
      <c r="B16" s="460" t="s">
        <v>16842</v>
      </c>
      <c r="C16" s="286" t="s">
        <v>16680</v>
      </c>
      <c r="D16" s="286">
        <v>0</v>
      </c>
      <c r="E16" s="1721">
        <f>IFERROR(SUM(E10:E15),0)</f>
        <v>127</v>
      </c>
      <c r="F16" s="1721">
        <f t="shared" ref="F16:K16" si="46">IFERROR(SUM(F10:F15),0)</f>
        <v>22024</v>
      </c>
      <c r="G16" s="1721">
        <f t="shared" si="46"/>
        <v>12722</v>
      </c>
      <c r="H16" s="1721">
        <f t="shared" si="46"/>
        <v>0</v>
      </c>
      <c r="I16" s="1721">
        <f t="shared" si="46"/>
        <v>124518</v>
      </c>
      <c r="J16" s="1721">
        <f t="shared" si="46"/>
        <v>3687</v>
      </c>
      <c r="K16" s="1721">
        <f t="shared" si="46"/>
        <v>15559</v>
      </c>
      <c r="L16" s="1733">
        <f t="shared" si="22"/>
        <v>178637</v>
      </c>
      <c r="M16" s="1741"/>
      <c r="N16" s="1742">
        <f t="shared" ref="N16:P16" si="47">IFERROR(SUM(N10:N15),0)</f>
        <v>0</v>
      </c>
      <c r="O16" s="1721">
        <f t="shared" si="47"/>
        <v>5150</v>
      </c>
      <c r="P16" s="1721">
        <f t="shared" si="47"/>
        <v>16960</v>
      </c>
      <c r="Q16" s="1721">
        <f>IFERROR(SUM(Q10:Q15),0)</f>
        <v>156527</v>
      </c>
      <c r="R16" s="1721">
        <f>IFERROR(SUM(N16:Q16),0)</f>
        <v>178637</v>
      </c>
      <c r="S16" s="1721">
        <f t="shared" ref="S16:W16" si="48">IFERROR(SUM(S10:S15),0)</f>
        <v>0</v>
      </c>
      <c r="T16" s="1721">
        <f t="shared" si="48"/>
        <v>5812</v>
      </c>
      <c r="U16" s="1721">
        <f t="shared" si="48"/>
        <v>10059</v>
      </c>
      <c r="V16" s="1721">
        <f t="shared" si="48"/>
        <v>161897</v>
      </c>
      <c r="W16" s="1721">
        <f t="shared" si="48"/>
        <v>868</v>
      </c>
      <c r="X16" s="1721">
        <f t="shared" si="24"/>
        <v>178636</v>
      </c>
      <c r="Y16" s="1721">
        <f>IFERROR(SUM(Y10:Y15),0)</f>
        <v>0</v>
      </c>
      <c r="Z16" s="1721">
        <f t="shared" ref="Z16:AC16" si="49">IFERROR(SUM(Z10:Z15),0)</f>
        <v>5021</v>
      </c>
      <c r="AA16" s="1721">
        <f t="shared" si="49"/>
        <v>16586</v>
      </c>
      <c r="AB16" s="1721">
        <f t="shared" si="49"/>
        <v>50809</v>
      </c>
      <c r="AC16" s="1721">
        <f t="shared" si="49"/>
        <v>106221</v>
      </c>
      <c r="AD16" s="1733">
        <f>IFERROR(SUM(Y16:AC16),0)</f>
        <v>178637</v>
      </c>
      <c r="AE16" s="242"/>
      <c r="AF16" s="290" t="s">
        <v>16843</v>
      </c>
      <c r="AG16" s="242"/>
      <c r="AH16" s="1233"/>
      <c r="AI16" s="242"/>
      <c r="AJ16" s="238"/>
      <c r="AL16" s="238"/>
      <c r="BL16" s="238"/>
      <c r="BN16" s="460" t="s">
        <v>16842</v>
      </c>
      <c r="BO16" s="1318" t="s">
        <v>16844</v>
      </c>
      <c r="BP16" s="1318" t="s">
        <v>16845</v>
      </c>
      <c r="BQ16" s="1318" t="s">
        <v>16846</v>
      </c>
      <c r="BR16" s="1318" t="s">
        <v>16847</v>
      </c>
      <c r="BS16" s="1318" t="s">
        <v>16848</v>
      </c>
      <c r="BT16" s="1318" t="s">
        <v>16849</v>
      </c>
      <c r="BU16" s="1318" t="s">
        <v>16850</v>
      </c>
      <c r="BV16" s="1332" t="s">
        <v>16851</v>
      </c>
      <c r="BW16" s="83"/>
      <c r="BX16" s="1345" t="s">
        <v>16852</v>
      </c>
      <c r="BY16" s="1318" t="s">
        <v>16853</v>
      </c>
      <c r="BZ16" s="1318" t="s">
        <v>16854</v>
      </c>
      <c r="CA16" s="1318" t="s">
        <v>16855</v>
      </c>
      <c r="CB16" s="1318" t="s">
        <v>16856</v>
      </c>
      <c r="CC16" s="1318" t="s">
        <v>16857</v>
      </c>
      <c r="CD16" s="1318" t="s">
        <v>16858</v>
      </c>
      <c r="CE16" s="1318" t="s">
        <v>16859</v>
      </c>
      <c r="CF16" s="1318" t="s">
        <v>16860</v>
      </c>
      <c r="CG16" s="1318" t="s">
        <v>16861</v>
      </c>
      <c r="CH16" s="1318" t="s">
        <v>16862</v>
      </c>
      <c r="CI16" s="1318" t="s">
        <v>16863</v>
      </c>
      <c r="CJ16" s="1318" t="s">
        <v>16864</v>
      </c>
      <c r="CK16" s="1318" t="s">
        <v>16865</v>
      </c>
      <c r="CL16" s="1318" t="s">
        <v>16866</v>
      </c>
      <c r="CM16" s="1318" t="s">
        <v>16867</v>
      </c>
      <c r="CN16" s="1332" t="s">
        <v>16868</v>
      </c>
    </row>
    <row r="17" spans="1:92" ht="15.75" customHeight="1" thickBot="1">
      <c r="A17" s="242"/>
      <c r="B17" s="463" t="s">
        <v>16869</v>
      </c>
      <c r="C17" s="355" t="s">
        <v>16680</v>
      </c>
      <c r="D17" s="355">
        <v>0</v>
      </c>
      <c r="E17" s="1743"/>
      <c r="F17" s="1743"/>
      <c r="G17" s="1743"/>
      <c r="H17" s="1743"/>
      <c r="I17" s="1743"/>
      <c r="J17" s="1743"/>
      <c r="K17" s="1743"/>
      <c r="L17" s="1734">
        <v>9070</v>
      </c>
      <c r="M17" s="1744"/>
      <c r="N17" s="1745"/>
      <c r="O17" s="1746"/>
      <c r="P17" s="1746"/>
      <c r="Q17" s="1746"/>
      <c r="R17" s="1746"/>
      <c r="S17" s="1746"/>
      <c r="T17" s="1746"/>
      <c r="U17" s="1746"/>
      <c r="V17" s="1746"/>
      <c r="W17" s="1746"/>
      <c r="X17" s="1746"/>
      <c r="Y17" s="1746"/>
      <c r="Z17" s="1746"/>
      <c r="AA17" s="1747"/>
      <c r="AB17" s="1747"/>
      <c r="AC17" s="1747"/>
      <c r="AD17" s="1748"/>
      <c r="AE17" s="242"/>
      <c r="AF17" s="356" t="s">
        <v>16870</v>
      </c>
      <c r="AG17" s="242"/>
      <c r="AH17" s="1237"/>
      <c r="AI17" s="242"/>
      <c r="AJ17" s="238"/>
      <c r="AK17" s="1232">
        <f t="shared" si="1"/>
        <v>0</v>
      </c>
      <c r="AL17" s="238"/>
      <c r="AT17" s="285">
        <f t="shared" si="31"/>
        <v>0</v>
      </c>
      <c r="BL17" s="238"/>
      <c r="BN17" s="463" t="s">
        <v>16869</v>
      </c>
      <c r="BO17" s="1346"/>
      <c r="BP17" s="1346"/>
      <c r="BQ17" s="1346"/>
      <c r="BR17" s="1346"/>
      <c r="BS17" s="1346"/>
      <c r="BT17" s="1346"/>
      <c r="BU17" s="1346"/>
      <c r="BV17" s="1333" t="s">
        <v>16871</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16872</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16872</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16873</v>
      </c>
      <c r="C20" s="277" t="s">
        <v>1523</v>
      </c>
      <c r="D20" s="277">
        <v>0</v>
      </c>
      <c r="E20" s="1728">
        <v>90</v>
      </c>
      <c r="F20" s="1728">
        <v>10</v>
      </c>
      <c r="G20" s="1728">
        <v>172</v>
      </c>
      <c r="H20" s="1728">
        <v>0</v>
      </c>
      <c r="I20" s="1728">
        <v>0</v>
      </c>
      <c r="J20" s="1728">
        <v>2</v>
      </c>
      <c r="K20" s="1728">
        <v>0</v>
      </c>
      <c r="L20" s="1735">
        <f t="shared" ref="L20:L25" si="50">IFERROR(SUM(E20:K20),0)</f>
        <v>274</v>
      </c>
      <c r="M20" s="1736"/>
      <c r="N20" s="1737">
        <v>0</v>
      </c>
      <c r="O20" s="1728">
        <v>0</v>
      </c>
      <c r="P20" s="1728">
        <v>0</v>
      </c>
      <c r="Q20" s="1728">
        <v>274</v>
      </c>
      <c r="R20" s="1738">
        <f t="shared" ref="R20:R25" si="51">IFERROR(SUM(N20:Q20),0)</f>
        <v>274</v>
      </c>
      <c r="S20" s="1728">
        <v>0</v>
      </c>
      <c r="T20" s="1728">
        <v>0</v>
      </c>
      <c r="U20" s="1728">
        <v>2</v>
      </c>
      <c r="V20" s="1728">
        <v>22</v>
      </c>
      <c r="W20" s="1728">
        <v>250</v>
      </c>
      <c r="X20" s="1738">
        <f t="shared" ref="X20:X26" si="52">IFERROR(SUM(S20:W20),0)</f>
        <v>274</v>
      </c>
      <c r="Y20" s="1728">
        <v>0</v>
      </c>
      <c r="Z20" s="1728">
        <v>0</v>
      </c>
      <c r="AA20" s="1728">
        <v>0</v>
      </c>
      <c r="AB20" s="1728">
        <v>8</v>
      </c>
      <c r="AC20" s="1728">
        <v>266</v>
      </c>
      <c r="AD20" s="1735">
        <f t="shared" ref="AD20:AD26" si="53">IFERROR(SUM(Y20:AC20),0)</f>
        <v>274</v>
      </c>
      <c r="AE20" s="242"/>
      <c r="AF20" s="281" t="s">
        <v>16874</v>
      </c>
      <c r="AG20" s="242"/>
      <c r="AH20" s="1231"/>
      <c r="AI20" s="242"/>
      <c r="AJ20" s="238"/>
      <c r="AK20" s="1232">
        <f t="shared" ref="AK20:AK25" si="54">IF( SUM( AM20:BK20 ) = 0, 0, $AM$5 )</f>
        <v>0</v>
      </c>
      <c r="AL20" s="238"/>
      <c r="AM20" s="285">
        <f t="shared" ref="AM20:AM25" si="55" xml:space="preserve"> IF( ISNUMBER(E20 ), 0, 1 )</f>
        <v>0</v>
      </c>
      <c r="AN20" s="285">
        <f t="shared" ref="AN20:AN25" si="56" xml:space="preserve"> IF( ISNUMBER(F20 ), 0, 1 )</f>
        <v>0</v>
      </c>
      <c r="AO20" s="285">
        <f t="shared" ref="AO20:AO25" si="57" xml:space="preserve"> IF( ISNUMBER(G20 ), 0, 1 )</f>
        <v>0</v>
      </c>
      <c r="AP20" s="285">
        <f t="shared" ref="AP20:AP25" si="58" xml:space="preserve"> IF( ISNUMBER(H20 ), 0, 1 )</f>
        <v>0</v>
      </c>
      <c r="AQ20" s="285">
        <f t="shared" ref="AQ20:AQ25" si="59" xml:space="preserve"> IF( ISNUMBER(I20 ), 0, 1 )</f>
        <v>0</v>
      </c>
      <c r="AR20" s="285">
        <f t="shared" ref="AR20:AR25" si="60" xml:space="preserve"> IF( ISNUMBER(J20 ), 0, 1 )</f>
        <v>0</v>
      </c>
      <c r="AS20" s="285">
        <f t="shared" ref="AS20:AS25" si="61" xml:space="preserve"> IF( ISNUMBER(K20 ), 0, 1 )</f>
        <v>0</v>
      </c>
      <c r="AV20" s="285">
        <f t="shared" ref="AV20:AV25" si="62" xml:space="preserve"> IF( ISNUMBER(N20 ), 0, 1 )</f>
        <v>0</v>
      </c>
      <c r="AW20" s="285">
        <f t="shared" ref="AW20:AW25" si="63" xml:space="preserve"> IF( ISNUMBER(O20 ), 0, 1 )</f>
        <v>0</v>
      </c>
      <c r="AX20" s="285">
        <f t="shared" ref="AX20:AX25" si="64" xml:space="preserve"> IF( ISNUMBER(P20 ), 0, 1 )</f>
        <v>0</v>
      </c>
      <c r="AY20" s="285">
        <f t="shared" ref="AY20:AY25" si="65" xml:space="preserve"> IF( ISNUMBER(Q20 ), 0, 1 )</f>
        <v>0</v>
      </c>
      <c r="BA20" s="285">
        <f t="shared" ref="BA20:BA25" si="66" xml:space="preserve"> IF( ISNUMBER(S20 ), 0, 1 )</f>
        <v>0</v>
      </c>
      <c r="BB20" s="285">
        <f t="shared" ref="BB20:BB25" si="67" xml:space="preserve"> IF( ISNUMBER(T20 ), 0, 1 )</f>
        <v>0</v>
      </c>
      <c r="BC20" s="285">
        <f t="shared" ref="BC20:BC25" si="68" xml:space="preserve"> IF( ISNUMBER(U20 ), 0, 1 )</f>
        <v>0</v>
      </c>
      <c r="BD20" s="285">
        <f t="shared" ref="BD20:BD25" si="69" xml:space="preserve"> IF( ISNUMBER(V20 ), 0, 1 )</f>
        <v>0</v>
      </c>
      <c r="BE20" s="285">
        <f t="shared" ref="BE20:BE25" si="70" xml:space="preserve"> IF( ISNUMBER(W20 ), 0, 1 )</f>
        <v>0</v>
      </c>
      <c r="BG20" s="285">
        <f t="shared" ref="BG20:BG25" si="71" xml:space="preserve"> IF( ISNUMBER(Y20 ), 0, 1 )</f>
        <v>0</v>
      </c>
      <c r="BH20" s="285">
        <f t="shared" ref="BH20:BH25" si="72" xml:space="preserve"> IF( ISNUMBER(Z20 ), 0, 1 )</f>
        <v>0</v>
      </c>
      <c r="BI20" s="285">
        <f t="shared" ref="BI20:BI25" si="73" xml:space="preserve"> IF( ISNUMBER(AA20 ), 0, 1 )</f>
        <v>0</v>
      </c>
      <c r="BJ20" s="285">
        <f t="shared" ref="BJ20:BJ25" si="74" xml:space="preserve"> IF( ISNUMBER(AB20 ), 0, 1 )</f>
        <v>0</v>
      </c>
      <c r="BK20" s="285">
        <f t="shared" ref="BK20:BK25" si="75" xml:space="preserve"> IF( ISNUMBER(AC20 ), 0, 1 )</f>
        <v>0</v>
      </c>
      <c r="BL20" s="238"/>
      <c r="BN20" s="451" t="s">
        <v>16873</v>
      </c>
      <c r="BO20" s="904" t="s">
        <v>16875</v>
      </c>
      <c r="BP20" s="904" t="s">
        <v>16876</v>
      </c>
      <c r="BQ20" s="904" t="s">
        <v>16877</v>
      </c>
      <c r="BR20" s="904" t="s">
        <v>16878</v>
      </c>
      <c r="BS20" s="904" t="s">
        <v>16879</v>
      </c>
      <c r="BT20" s="904" t="s">
        <v>16880</v>
      </c>
      <c r="BU20" s="904" t="s">
        <v>16881</v>
      </c>
      <c r="BV20" s="1341" t="s">
        <v>16882</v>
      </c>
      <c r="BW20" s="114"/>
      <c r="BX20" s="1351" t="s">
        <v>16883</v>
      </c>
      <c r="BY20" s="904" t="s">
        <v>16884</v>
      </c>
      <c r="BZ20" s="904" t="s">
        <v>16885</v>
      </c>
      <c r="CA20" s="904" t="s">
        <v>16886</v>
      </c>
      <c r="CB20" s="1343" t="s">
        <v>16887</v>
      </c>
      <c r="CC20" s="904" t="s">
        <v>16888</v>
      </c>
      <c r="CD20" s="904" t="s">
        <v>16889</v>
      </c>
      <c r="CE20" s="904" t="s">
        <v>16890</v>
      </c>
      <c r="CF20" s="904" t="s">
        <v>16891</v>
      </c>
      <c r="CG20" s="904" t="s">
        <v>16892</v>
      </c>
      <c r="CH20" s="1343" t="s">
        <v>16893</v>
      </c>
      <c r="CI20" s="904" t="s">
        <v>16894</v>
      </c>
      <c r="CJ20" s="904" t="s">
        <v>16895</v>
      </c>
      <c r="CK20" s="904" t="s">
        <v>16896</v>
      </c>
      <c r="CL20" s="904" t="s">
        <v>16897</v>
      </c>
      <c r="CM20" s="904" t="s">
        <v>16898</v>
      </c>
      <c r="CN20" s="1341" t="s">
        <v>16899</v>
      </c>
    </row>
    <row r="21" spans="1:92" ht="15.75" customHeight="1">
      <c r="A21" s="242"/>
      <c r="B21" s="460" t="s">
        <v>16900</v>
      </c>
      <c r="C21" s="286" t="s">
        <v>1523</v>
      </c>
      <c r="D21" s="286">
        <v>0</v>
      </c>
      <c r="E21" s="1717">
        <v>0</v>
      </c>
      <c r="F21" s="1717">
        <v>0</v>
      </c>
      <c r="G21" s="1717">
        <v>20</v>
      </c>
      <c r="H21" s="1717">
        <v>0</v>
      </c>
      <c r="I21" s="1717">
        <v>0</v>
      </c>
      <c r="J21" s="1717">
        <v>0</v>
      </c>
      <c r="K21" s="1717">
        <v>2</v>
      </c>
      <c r="L21" s="1733">
        <f t="shared" si="50"/>
        <v>22</v>
      </c>
      <c r="M21" s="1736"/>
      <c r="N21" s="1739">
        <v>0</v>
      </c>
      <c r="O21" s="1717">
        <v>0</v>
      </c>
      <c r="P21" s="1717">
        <v>0</v>
      </c>
      <c r="Q21" s="1717">
        <v>22</v>
      </c>
      <c r="R21" s="1721">
        <f t="shared" si="51"/>
        <v>22</v>
      </c>
      <c r="S21" s="1717">
        <v>0</v>
      </c>
      <c r="T21" s="1717">
        <v>0</v>
      </c>
      <c r="U21" s="1717">
        <v>2</v>
      </c>
      <c r="V21" s="1717">
        <v>18</v>
      </c>
      <c r="W21" s="1717">
        <v>2</v>
      </c>
      <c r="X21" s="1721">
        <f t="shared" si="52"/>
        <v>22</v>
      </c>
      <c r="Y21" s="1717">
        <v>0</v>
      </c>
      <c r="Z21" s="1717">
        <v>0</v>
      </c>
      <c r="AA21" s="1717">
        <v>1</v>
      </c>
      <c r="AB21" s="1717">
        <v>7</v>
      </c>
      <c r="AC21" s="1717">
        <v>14</v>
      </c>
      <c r="AD21" s="1733">
        <f t="shared" si="53"/>
        <v>22</v>
      </c>
      <c r="AE21" s="242"/>
      <c r="AF21" s="290" t="s">
        <v>16901</v>
      </c>
      <c r="AG21" s="242"/>
      <c r="AH21" s="1233"/>
      <c r="AI21" s="242"/>
      <c r="AJ21" s="238"/>
      <c r="AK21" s="1232">
        <f t="shared" si="54"/>
        <v>0</v>
      </c>
      <c r="AL21" s="238"/>
      <c r="AM21" s="285">
        <f t="shared" si="55"/>
        <v>0</v>
      </c>
      <c r="AN21" s="285">
        <f t="shared" si="56"/>
        <v>0</v>
      </c>
      <c r="AO21" s="285">
        <f t="shared" si="57"/>
        <v>0</v>
      </c>
      <c r="AP21" s="285">
        <f t="shared" si="58"/>
        <v>0</v>
      </c>
      <c r="AQ21" s="285">
        <f t="shared" si="59"/>
        <v>0</v>
      </c>
      <c r="AR21" s="285">
        <f t="shared" si="60"/>
        <v>0</v>
      </c>
      <c r="AS21" s="285">
        <f t="shared" si="61"/>
        <v>0</v>
      </c>
      <c r="AV21" s="285">
        <f t="shared" si="62"/>
        <v>0</v>
      </c>
      <c r="AW21" s="285">
        <f t="shared" si="63"/>
        <v>0</v>
      </c>
      <c r="AX21" s="285">
        <f t="shared" si="64"/>
        <v>0</v>
      </c>
      <c r="AY21" s="285">
        <f t="shared" si="65"/>
        <v>0</v>
      </c>
      <c r="BA21" s="285">
        <f t="shared" si="66"/>
        <v>0</v>
      </c>
      <c r="BB21" s="285">
        <f t="shared" si="67"/>
        <v>0</v>
      </c>
      <c r="BC21" s="285">
        <f t="shared" si="68"/>
        <v>0</v>
      </c>
      <c r="BD21" s="285">
        <f t="shared" si="69"/>
        <v>0</v>
      </c>
      <c r="BE21" s="285">
        <f t="shared" si="70"/>
        <v>0</v>
      </c>
      <c r="BG21" s="285">
        <f t="shared" si="71"/>
        <v>0</v>
      </c>
      <c r="BH21" s="285">
        <f t="shared" si="72"/>
        <v>0</v>
      </c>
      <c r="BI21" s="285">
        <f t="shared" si="73"/>
        <v>0</v>
      </c>
      <c r="BJ21" s="285">
        <f t="shared" si="74"/>
        <v>0</v>
      </c>
      <c r="BK21" s="285">
        <f t="shared" si="75"/>
        <v>0</v>
      </c>
      <c r="BL21" s="238"/>
      <c r="BN21" s="460" t="s">
        <v>16900</v>
      </c>
      <c r="BO21" s="905" t="s">
        <v>16902</v>
      </c>
      <c r="BP21" s="905" t="s">
        <v>16903</v>
      </c>
      <c r="BQ21" s="905" t="s">
        <v>16904</v>
      </c>
      <c r="BR21" s="905" t="s">
        <v>16905</v>
      </c>
      <c r="BS21" s="905" t="s">
        <v>16906</v>
      </c>
      <c r="BT21" s="905" t="s">
        <v>16907</v>
      </c>
      <c r="BU21" s="905" t="s">
        <v>16908</v>
      </c>
      <c r="BV21" s="1332" t="s">
        <v>16909</v>
      </c>
      <c r="BW21" s="114"/>
      <c r="BX21" s="1352" t="s">
        <v>16910</v>
      </c>
      <c r="BY21" s="905" t="s">
        <v>16911</v>
      </c>
      <c r="BZ21" s="905" t="s">
        <v>16912</v>
      </c>
      <c r="CA21" s="905" t="s">
        <v>16913</v>
      </c>
      <c r="CB21" s="1318" t="s">
        <v>16914</v>
      </c>
      <c r="CC21" s="905" t="s">
        <v>16915</v>
      </c>
      <c r="CD21" s="905" t="s">
        <v>16916</v>
      </c>
      <c r="CE21" s="905" t="s">
        <v>16917</v>
      </c>
      <c r="CF21" s="905" t="s">
        <v>16918</v>
      </c>
      <c r="CG21" s="905" t="s">
        <v>16919</v>
      </c>
      <c r="CH21" s="1318" t="s">
        <v>16920</v>
      </c>
      <c r="CI21" s="905" t="s">
        <v>16921</v>
      </c>
      <c r="CJ21" s="905" t="s">
        <v>16922</v>
      </c>
      <c r="CK21" s="905" t="s">
        <v>16923</v>
      </c>
      <c r="CL21" s="905" t="s">
        <v>16924</v>
      </c>
      <c r="CM21" s="905" t="s">
        <v>16925</v>
      </c>
      <c r="CN21" s="1332" t="s">
        <v>16926</v>
      </c>
    </row>
    <row r="22" spans="1:92" ht="15.75" customHeight="1">
      <c r="A22" s="242"/>
      <c r="B22" s="460" t="s">
        <v>16927</v>
      </c>
      <c r="C22" s="286" t="s">
        <v>1523</v>
      </c>
      <c r="D22" s="286">
        <v>0</v>
      </c>
      <c r="E22" s="1717">
        <v>0</v>
      </c>
      <c r="F22" s="1717">
        <v>1</v>
      </c>
      <c r="G22" s="1717">
        <v>48</v>
      </c>
      <c r="H22" s="1717">
        <v>0</v>
      </c>
      <c r="I22" s="1717">
        <v>0</v>
      </c>
      <c r="J22" s="1717">
        <v>0</v>
      </c>
      <c r="K22" s="1717">
        <v>5</v>
      </c>
      <c r="L22" s="1733">
        <f t="shared" si="50"/>
        <v>54</v>
      </c>
      <c r="M22" s="1736"/>
      <c r="N22" s="1739">
        <v>0</v>
      </c>
      <c r="O22" s="1717">
        <v>3</v>
      </c>
      <c r="P22" s="1717">
        <v>1</v>
      </c>
      <c r="Q22" s="1717">
        <v>50</v>
      </c>
      <c r="R22" s="1721">
        <f t="shared" si="51"/>
        <v>54</v>
      </c>
      <c r="S22" s="1717">
        <v>0</v>
      </c>
      <c r="T22" s="1717">
        <v>0</v>
      </c>
      <c r="U22" s="1717">
        <v>9</v>
      </c>
      <c r="V22" s="1717">
        <v>43</v>
      </c>
      <c r="W22" s="1717">
        <v>2</v>
      </c>
      <c r="X22" s="1721">
        <f t="shared" si="52"/>
        <v>54</v>
      </c>
      <c r="Y22" s="1717">
        <v>0</v>
      </c>
      <c r="Z22" s="1717">
        <v>0</v>
      </c>
      <c r="AA22" s="1717">
        <v>16</v>
      </c>
      <c r="AB22" s="1717">
        <v>22</v>
      </c>
      <c r="AC22" s="1717">
        <v>16</v>
      </c>
      <c r="AD22" s="1733">
        <f t="shared" si="53"/>
        <v>54</v>
      </c>
      <c r="AE22" s="242"/>
      <c r="AF22" s="290" t="s">
        <v>16928</v>
      </c>
      <c r="AG22" s="242"/>
      <c r="AH22" s="1233"/>
      <c r="AI22" s="242"/>
      <c r="AJ22" s="238"/>
      <c r="AK22" s="1232">
        <f t="shared" si="54"/>
        <v>0</v>
      </c>
      <c r="AL22" s="238"/>
      <c r="AM22" s="285">
        <f t="shared" si="55"/>
        <v>0</v>
      </c>
      <c r="AN22" s="285">
        <f t="shared" si="56"/>
        <v>0</v>
      </c>
      <c r="AO22" s="285">
        <f t="shared" si="57"/>
        <v>0</v>
      </c>
      <c r="AP22" s="285">
        <f t="shared" si="58"/>
        <v>0</v>
      </c>
      <c r="AQ22" s="285">
        <f t="shared" si="59"/>
        <v>0</v>
      </c>
      <c r="AR22" s="285">
        <f t="shared" si="60"/>
        <v>0</v>
      </c>
      <c r="AS22" s="285">
        <f t="shared" si="61"/>
        <v>0</v>
      </c>
      <c r="AV22" s="285">
        <f t="shared" si="62"/>
        <v>0</v>
      </c>
      <c r="AW22" s="285">
        <f t="shared" si="63"/>
        <v>0</v>
      </c>
      <c r="AX22" s="285">
        <f t="shared" si="64"/>
        <v>0</v>
      </c>
      <c r="AY22" s="285">
        <f t="shared" si="65"/>
        <v>0</v>
      </c>
      <c r="BA22" s="285">
        <f t="shared" si="66"/>
        <v>0</v>
      </c>
      <c r="BB22" s="285">
        <f t="shared" si="67"/>
        <v>0</v>
      </c>
      <c r="BC22" s="285">
        <f t="shared" si="68"/>
        <v>0</v>
      </c>
      <c r="BD22" s="285">
        <f t="shared" si="69"/>
        <v>0</v>
      </c>
      <c r="BE22" s="285">
        <f t="shared" si="70"/>
        <v>0</v>
      </c>
      <c r="BG22" s="285">
        <f t="shared" si="71"/>
        <v>0</v>
      </c>
      <c r="BH22" s="285">
        <f t="shared" si="72"/>
        <v>0</v>
      </c>
      <c r="BI22" s="285">
        <f t="shared" si="73"/>
        <v>0</v>
      </c>
      <c r="BJ22" s="285">
        <f t="shared" si="74"/>
        <v>0</v>
      </c>
      <c r="BK22" s="285">
        <f t="shared" si="75"/>
        <v>0</v>
      </c>
      <c r="BL22" s="238"/>
      <c r="BN22" s="460" t="s">
        <v>16927</v>
      </c>
      <c r="BO22" s="905" t="s">
        <v>16929</v>
      </c>
      <c r="BP22" s="905" t="s">
        <v>16930</v>
      </c>
      <c r="BQ22" s="905" t="s">
        <v>16931</v>
      </c>
      <c r="BR22" s="905" t="s">
        <v>16932</v>
      </c>
      <c r="BS22" s="905" t="s">
        <v>16933</v>
      </c>
      <c r="BT22" s="905" t="s">
        <v>16934</v>
      </c>
      <c r="BU22" s="905" t="s">
        <v>16935</v>
      </c>
      <c r="BV22" s="1332" t="s">
        <v>16936</v>
      </c>
      <c r="BW22" s="114"/>
      <c r="BX22" s="1352" t="s">
        <v>16937</v>
      </c>
      <c r="BY22" s="905" t="s">
        <v>16938</v>
      </c>
      <c r="BZ22" s="905" t="s">
        <v>16939</v>
      </c>
      <c r="CA22" s="905" t="s">
        <v>16940</v>
      </c>
      <c r="CB22" s="1318" t="s">
        <v>16941</v>
      </c>
      <c r="CC22" s="905" t="s">
        <v>16942</v>
      </c>
      <c r="CD22" s="905" t="s">
        <v>16943</v>
      </c>
      <c r="CE22" s="905" t="s">
        <v>16944</v>
      </c>
      <c r="CF22" s="905" t="s">
        <v>16945</v>
      </c>
      <c r="CG22" s="905" t="s">
        <v>16946</v>
      </c>
      <c r="CH22" s="1318" t="s">
        <v>16947</v>
      </c>
      <c r="CI22" s="905" t="s">
        <v>16948</v>
      </c>
      <c r="CJ22" s="905" t="s">
        <v>16949</v>
      </c>
      <c r="CK22" s="905" t="s">
        <v>16950</v>
      </c>
      <c r="CL22" s="905" t="s">
        <v>16951</v>
      </c>
      <c r="CM22" s="905" t="s">
        <v>16952</v>
      </c>
      <c r="CN22" s="1332" t="s">
        <v>16953</v>
      </c>
    </row>
    <row r="23" spans="1:92" ht="15.75" customHeight="1">
      <c r="A23" s="242"/>
      <c r="B23" s="460" t="s">
        <v>16954</v>
      </c>
      <c r="C23" s="286" t="s">
        <v>1523</v>
      </c>
      <c r="D23" s="286">
        <v>0</v>
      </c>
      <c r="E23" s="1717">
        <v>0</v>
      </c>
      <c r="F23" s="1717">
        <v>4</v>
      </c>
      <c r="G23" s="1717">
        <v>13</v>
      </c>
      <c r="H23" s="1717">
        <v>0</v>
      </c>
      <c r="I23" s="1717">
        <v>0</v>
      </c>
      <c r="J23" s="1717">
        <v>9</v>
      </c>
      <c r="K23" s="1717">
        <v>7</v>
      </c>
      <c r="L23" s="1733">
        <f t="shared" si="50"/>
        <v>33</v>
      </c>
      <c r="M23" s="1740"/>
      <c r="N23" s="1739">
        <v>0</v>
      </c>
      <c r="O23" s="1717">
        <v>2</v>
      </c>
      <c r="P23" s="1717">
        <v>3</v>
      </c>
      <c r="Q23" s="1717">
        <v>28</v>
      </c>
      <c r="R23" s="1721">
        <f t="shared" si="51"/>
        <v>33</v>
      </c>
      <c r="S23" s="1717">
        <v>0</v>
      </c>
      <c r="T23" s="1717">
        <v>6</v>
      </c>
      <c r="U23" s="1717">
        <v>9</v>
      </c>
      <c r="V23" s="1717">
        <v>18</v>
      </c>
      <c r="W23" s="1717">
        <v>0</v>
      </c>
      <c r="X23" s="1721">
        <f>IFERROR(SUM(S23:W23),0)</f>
        <v>33</v>
      </c>
      <c r="Y23" s="1717">
        <v>0</v>
      </c>
      <c r="Z23" s="1717">
        <v>2</v>
      </c>
      <c r="AA23" s="1717">
        <v>17</v>
      </c>
      <c r="AB23" s="1717">
        <v>7</v>
      </c>
      <c r="AC23" s="1717">
        <v>7</v>
      </c>
      <c r="AD23" s="1733">
        <f t="shared" si="53"/>
        <v>33</v>
      </c>
      <c r="AE23" s="242"/>
      <c r="AF23" s="290" t="s">
        <v>16955</v>
      </c>
      <c r="AG23" s="242"/>
      <c r="AH23" s="1233"/>
      <c r="AI23" s="242"/>
      <c r="AJ23" s="238"/>
      <c r="AK23" s="1232">
        <f t="shared" si="54"/>
        <v>0</v>
      </c>
      <c r="AL23" s="238"/>
      <c r="AM23" s="285">
        <f t="shared" si="55"/>
        <v>0</v>
      </c>
      <c r="AN23" s="285">
        <f t="shared" si="56"/>
        <v>0</v>
      </c>
      <c r="AO23" s="285">
        <f t="shared" si="57"/>
        <v>0</v>
      </c>
      <c r="AP23" s="285">
        <f t="shared" si="58"/>
        <v>0</v>
      </c>
      <c r="AQ23" s="285">
        <f t="shared" si="59"/>
        <v>0</v>
      </c>
      <c r="AR23" s="285">
        <f t="shared" si="60"/>
        <v>0</v>
      </c>
      <c r="AS23" s="285">
        <f t="shared" si="61"/>
        <v>0</v>
      </c>
      <c r="AV23" s="285">
        <f t="shared" si="62"/>
        <v>0</v>
      </c>
      <c r="AW23" s="285">
        <f t="shared" si="63"/>
        <v>0</v>
      </c>
      <c r="AX23" s="285">
        <f t="shared" si="64"/>
        <v>0</v>
      </c>
      <c r="AY23" s="285">
        <f t="shared" si="65"/>
        <v>0</v>
      </c>
      <c r="BA23" s="285">
        <f t="shared" si="66"/>
        <v>0</v>
      </c>
      <c r="BB23" s="285">
        <f t="shared" si="67"/>
        <v>0</v>
      </c>
      <c r="BC23" s="285">
        <f t="shared" si="68"/>
        <v>0</v>
      </c>
      <c r="BD23" s="285">
        <f t="shared" si="69"/>
        <v>0</v>
      </c>
      <c r="BE23" s="285">
        <f t="shared" si="70"/>
        <v>0</v>
      </c>
      <c r="BG23" s="285">
        <f t="shared" si="71"/>
        <v>0</v>
      </c>
      <c r="BH23" s="285">
        <f t="shared" si="72"/>
        <v>0</v>
      </c>
      <c r="BI23" s="285">
        <f t="shared" si="73"/>
        <v>0</v>
      </c>
      <c r="BJ23" s="285">
        <f t="shared" si="74"/>
        <v>0</v>
      </c>
      <c r="BK23" s="285">
        <f t="shared" si="75"/>
        <v>0</v>
      </c>
      <c r="BL23" s="238"/>
      <c r="BN23" s="460" t="s">
        <v>16954</v>
      </c>
      <c r="BO23" s="905" t="s">
        <v>16956</v>
      </c>
      <c r="BP23" s="905" t="s">
        <v>16957</v>
      </c>
      <c r="BQ23" s="905" t="s">
        <v>16958</v>
      </c>
      <c r="BR23" s="905" t="s">
        <v>16959</v>
      </c>
      <c r="BS23" s="905" t="s">
        <v>16960</v>
      </c>
      <c r="BT23" s="905" t="s">
        <v>16961</v>
      </c>
      <c r="BU23" s="905" t="s">
        <v>16962</v>
      </c>
      <c r="BV23" s="1332" t="s">
        <v>16963</v>
      </c>
      <c r="BW23" s="432"/>
      <c r="BX23" s="1352" t="s">
        <v>16964</v>
      </c>
      <c r="BY23" s="905" t="s">
        <v>16965</v>
      </c>
      <c r="BZ23" s="905" t="s">
        <v>16966</v>
      </c>
      <c r="CA23" s="905" t="s">
        <v>16967</v>
      </c>
      <c r="CB23" s="1318" t="s">
        <v>16968</v>
      </c>
      <c r="CC23" s="905" t="s">
        <v>16969</v>
      </c>
      <c r="CD23" s="905" t="s">
        <v>16970</v>
      </c>
      <c r="CE23" s="905" t="s">
        <v>16971</v>
      </c>
      <c r="CF23" s="905" t="s">
        <v>16972</v>
      </c>
      <c r="CG23" s="905" t="s">
        <v>16973</v>
      </c>
      <c r="CH23" s="1318" t="s">
        <v>16974</v>
      </c>
      <c r="CI23" s="905" t="s">
        <v>16975</v>
      </c>
      <c r="CJ23" s="905" t="s">
        <v>16976</v>
      </c>
      <c r="CK23" s="905" t="s">
        <v>16977</v>
      </c>
      <c r="CL23" s="905" t="s">
        <v>16978</v>
      </c>
      <c r="CM23" s="905" t="s">
        <v>16979</v>
      </c>
      <c r="CN23" s="1332" t="s">
        <v>16980</v>
      </c>
    </row>
    <row r="24" spans="1:92" ht="15.75" customHeight="1">
      <c r="A24" s="242"/>
      <c r="B24" s="460" t="s">
        <v>16981</v>
      </c>
      <c r="C24" s="286" t="s">
        <v>1523</v>
      </c>
      <c r="D24" s="286">
        <v>0</v>
      </c>
      <c r="E24" s="1717">
        <v>0</v>
      </c>
      <c r="F24" s="1717">
        <v>1</v>
      </c>
      <c r="G24" s="1717">
        <v>0</v>
      </c>
      <c r="H24" s="1717">
        <v>0</v>
      </c>
      <c r="I24" s="1717">
        <v>3</v>
      </c>
      <c r="J24" s="1717">
        <v>1</v>
      </c>
      <c r="K24" s="1717">
        <v>6</v>
      </c>
      <c r="L24" s="1733">
        <f t="shared" si="50"/>
        <v>11</v>
      </c>
      <c r="M24" s="1736"/>
      <c r="N24" s="1739">
        <v>0</v>
      </c>
      <c r="O24" s="1717">
        <v>2</v>
      </c>
      <c r="P24" s="1717">
        <v>6</v>
      </c>
      <c r="Q24" s="1717">
        <v>3</v>
      </c>
      <c r="R24" s="1721">
        <f t="shared" si="51"/>
        <v>11</v>
      </c>
      <c r="S24" s="1717">
        <v>0</v>
      </c>
      <c r="T24" s="1717">
        <v>2</v>
      </c>
      <c r="U24" s="1717">
        <v>2</v>
      </c>
      <c r="V24" s="1717">
        <v>7</v>
      </c>
      <c r="W24" s="1717">
        <v>0</v>
      </c>
      <c r="X24" s="1721">
        <f t="shared" si="52"/>
        <v>11</v>
      </c>
      <c r="Y24" s="1717">
        <v>0</v>
      </c>
      <c r="Z24" s="1717">
        <v>2</v>
      </c>
      <c r="AA24" s="1717">
        <v>2</v>
      </c>
      <c r="AB24" s="1717">
        <v>4</v>
      </c>
      <c r="AC24" s="1717">
        <v>3</v>
      </c>
      <c r="AD24" s="1733">
        <f t="shared" si="53"/>
        <v>11</v>
      </c>
      <c r="AE24" s="242"/>
      <c r="AF24" s="290" t="s">
        <v>16982</v>
      </c>
      <c r="AG24" s="242"/>
      <c r="AH24" s="1233"/>
      <c r="AI24" s="242"/>
      <c r="AJ24" s="238"/>
      <c r="AK24" s="1232">
        <f t="shared" si="54"/>
        <v>0</v>
      </c>
      <c r="AL24" s="238"/>
      <c r="AM24" s="285">
        <f t="shared" si="55"/>
        <v>0</v>
      </c>
      <c r="AN24" s="285">
        <f t="shared" si="56"/>
        <v>0</v>
      </c>
      <c r="AO24" s="285">
        <f t="shared" si="57"/>
        <v>0</v>
      </c>
      <c r="AP24" s="285">
        <f t="shared" si="58"/>
        <v>0</v>
      </c>
      <c r="AQ24" s="285">
        <f t="shared" si="59"/>
        <v>0</v>
      </c>
      <c r="AR24" s="285">
        <f t="shared" si="60"/>
        <v>0</v>
      </c>
      <c r="AS24" s="285">
        <f t="shared" si="61"/>
        <v>0</v>
      </c>
      <c r="AV24" s="285">
        <f t="shared" si="62"/>
        <v>0</v>
      </c>
      <c r="AW24" s="285">
        <f t="shared" si="63"/>
        <v>0</v>
      </c>
      <c r="AX24" s="285">
        <f t="shared" si="64"/>
        <v>0</v>
      </c>
      <c r="AY24" s="285">
        <f t="shared" si="65"/>
        <v>0</v>
      </c>
      <c r="BA24" s="285">
        <f t="shared" si="66"/>
        <v>0</v>
      </c>
      <c r="BB24" s="285">
        <f t="shared" si="67"/>
        <v>0</v>
      </c>
      <c r="BC24" s="285">
        <f t="shared" si="68"/>
        <v>0</v>
      </c>
      <c r="BD24" s="285">
        <f t="shared" si="69"/>
        <v>0</v>
      </c>
      <c r="BE24" s="285">
        <f t="shared" si="70"/>
        <v>0</v>
      </c>
      <c r="BG24" s="285">
        <f t="shared" si="71"/>
        <v>0</v>
      </c>
      <c r="BH24" s="285">
        <f t="shared" si="72"/>
        <v>0</v>
      </c>
      <c r="BI24" s="285">
        <f t="shared" si="73"/>
        <v>0</v>
      </c>
      <c r="BJ24" s="285">
        <f t="shared" si="74"/>
        <v>0</v>
      </c>
      <c r="BK24" s="285">
        <f t="shared" si="75"/>
        <v>0</v>
      </c>
      <c r="BL24" s="238"/>
      <c r="BN24" s="460" t="s">
        <v>16981</v>
      </c>
      <c r="BO24" s="905" t="s">
        <v>16983</v>
      </c>
      <c r="BP24" s="905" t="s">
        <v>16984</v>
      </c>
      <c r="BQ24" s="905" t="s">
        <v>16985</v>
      </c>
      <c r="BR24" s="905" t="s">
        <v>16986</v>
      </c>
      <c r="BS24" s="905" t="s">
        <v>16987</v>
      </c>
      <c r="BT24" s="905" t="s">
        <v>16988</v>
      </c>
      <c r="BU24" s="905" t="s">
        <v>16989</v>
      </c>
      <c r="BV24" s="1332" t="s">
        <v>16990</v>
      </c>
      <c r="BW24" s="114"/>
      <c r="BX24" s="1352" t="s">
        <v>16991</v>
      </c>
      <c r="BY24" s="905" t="s">
        <v>16992</v>
      </c>
      <c r="BZ24" s="905" t="s">
        <v>16993</v>
      </c>
      <c r="CA24" s="905" t="s">
        <v>16994</v>
      </c>
      <c r="CB24" s="1318" t="s">
        <v>16995</v>
      </c>
      <c r="CC24" s="905" t="s">
        <v>16996</v>
      </c>
      <c r="CD24" s="905" t="s">
        <v>16997</v>
      </c>
      <c r="CE24" s="905" t="s">
        <v>16998</v>
      </c>
      <c r="CF24" s="905" t="s">
        <v>16999</v>
      </c>
      <c r="CG24" s="905" t="s">
        <v>17000</v>
      </c>
      <c r="CH24" s="1318" t="s">
        <v>17001</v>
      </c>
      <c r="CI24" s="905" t="s">
        <v>17002</v>
      </c>
      <c r="CJ24" s="905" t="s">
        <v>17003</v>
      </c>
      <c r="CK24" s="905" t="s">
        <v>17004</v>
      </c>
      <c r="CL24" s="905" t="s">
        <v>17005</v>
      </c>
      <c r="CM24" s="905" t="s">
        <v>17006</v>
      </c>
      <c r="CN24" s="1332" t="s">
        <v>17007</v>
      </c>
    </row>
    <row r="25" spans="1:92" ht="15.75" customHeight="1">
      <c r="A25" s="242"/>
      <c r="B25" s="460" t="s">
        <v>17008</v>
      </c>
      <c r="C25" s="286" t="s">
        <v>1523</v>
      </c>
      <c r="D25" s="286">
        <v>0</v>
      </c>
      <c r="E25" s="1717">
        <v>0</v>
      </c>
      <c r="F25" s="1717">
        <v>7</v>
      </c>
      <c r="G25" s="1717">
        <v>1</v>
      </c>
      <c r="H25" s="1717">
        <v>0</v>
      </c>
      <c r="I25" s="1717">
        <v>7</v>
      </c>
      <c r="J25" s="1717">
        <v>0</v>
      </c>
      <c r="K25" s="1717">
        <v>4</v>
      </c>
      <c r="L25" s="1733">
        <f t="shared" si="50"/>
        <v>19</v>
      </c>
      <c r="M25" s="1736"/>
      <c r="N25" s="1739">
        <v>0</v>
      </c>
      <c r="O25" s="1717">
        <v>1</v>
      </c>
      <c r="P25" s="1717">
        <v>5</v>
      </c>
      <c r="Q25" s="1717">
        <v>13</v>
      </c>
      <c r="R25" s="1721">
        <f t="shared" si="51"/>
        <v>19</v>
      </c>
      <c r="S25" s="1717">
        <v>0</v>
      </c>
      <c r="T25" s="1717">
        <v>1</v>
      </c>
      <c r="U25" s="1717">
        <v>2</v>
      </c>
      <c r="V25" s="1717">
        <v>16</v>
      </c>
      <c r="W25" s="1717">
        <v>0</v>
      </c>
      <c r="X25" s="1721">
        <f t="shared" si="52"/>
        <v>19</v>
      </c>
      <c r="Y25" s="1717">
        <v>0</v>
      </c>
      <c r="Z25" s="1717">
        <v>1</v>
      </c>
      <c r="AA25" s="1717">
        <v>5</v>
      </c>
      <c r="AB25" s="1717">
        <v>3</v>
      </c>
      <c r="AC25" s="1717">
        <v>10</v>
      </c>
      <c r="AD25" s="1733">
        <f t="shared" si="53"/>
        <v>19</v>
      </c>
      <c r="AE25" s="242"/>
      <c r="AF25" s="290" t="s">
        <v>17009</v>
      </c>
      <c r="AG25" s="242"/>
      <c r="AH25" s="1233"/>
      <c r="AI25" s="242"/>
      <c r="AJ25" s="238"/>
      <c r="AK25" s="1232">
        <f t="shared" si="54"/>
        <v>0</v>
      </c>
      <c r="AL25" s="238"/>
      <c r="AM25" s="285">
        <f t="shared" si="55"/>
        <v>0</v>
      </c>
      <c r="AN25" s="285">
        <f t="shared" si="56"/>
        <v>0</v>
      </c>
      <c r="AO25" s="285">
        <f t="shared" si="57"/>
        <v>0</v>
      </c>
      <c r="AP25" s="285">
        <f t="shared" si="58"/>
        <v>0</v>
      </c>
      <c r="AQ25" s="285">
        <f t="shared" si="59"/>
        <v>0</v>
      </c>
      <c r="AR25" s="285">
        <f t="shared" si="60"/>
        <v>0</v>
      </c>
      <c r="AS25" s="285">
        <f t="shared" si="61"/>
        <v>0</v>
      </c>
      <c r="AV25" s="285">
        <f t="shared" si="62"/>
        <v>0</v>
      </c>
      <c r="AW25" s="285">
        <f t="shared" si="63"/>
        <v>0</v>
      </c>
      <c r="AX25" s="285">
        <f t="shared" si="64"/>
        <v>0</v>
      </c>
      <c r="AY25" s="285">
        <f t="shared" si="65"/>
        <v>0</v>
      </c>
      <c r="BA25" s="285">
        <f t="shared" si="66"/>
        <v>0</v>
      </c>
      <c r="BB25" s="285">
        <f t="shared" si="67"/>
        <v>0</v>
      </c>
      <c r="BC25" s="285">
        <f t="shared" si="68"/>
        <v>0</v>
      </c>
      <c r="BD25" s="285">
        <f t="shared" si="69"/>
        <v>0</v>
      </c>
      <c r="BE25" s="285">
        <f t="shared" si="70"/>
        <v>0</v>
      </c>
      <c r="BG25" s="285">
        <f t="shared" si="71"/>
        <v>0</v>
      </c>
      <c r="BH25" s="285">
        <f t="shared" si="72"/>
        <v>0</v>
      </c>
      <c r="BI25" s="285">
        <f t="shared" si="73"/>
        <v>0</v>
      </c>
      <c r="BJ25" s="285">
        <f t="shared" si="74"/>
        <v>0</v>
      </c>
      <c r="BK25" s="285">
        <f t="shared" si="75"/>
        <v>0</v>
      </c>
      <c r="BL25" s="238"/>
      <c r="BN25" s="460" t="s">
        <v>17008</v>
      </c>
      <c r="BO25" s="905" t="s">
        <v>17010</v>
      </c>
      <c r="BP25" s="905" t="s">
        <v>17011</v>
      </c>
      <c r="BQ25" s="905" t="s">
        <v>17012</v>
      </c>
      <c r="BR25" s="905" t="s">
        <v>17013</v>
      </c>
      <c r="BS25" s="905" t="s">
        <v>17014</v>
      </c>
      <c r="BT25" s="905" t="s">
        <v>17015</v>
      </c>
      <c r="BU25" s="905" t="s">
        <v>17016</v>
      </c>
      <c r="BV25" s="1332" t="s">
        <v>17017</v>
      </c>
      <c r="BW25" s="114"/>
      <c r="BX25" s="1352" t="s">
        <v>17018</v>
      </c>
      <c r="BY25" s="905" t="s">
        <v>17019</v>
      </c>
      <c r="BZ25" s="905" t="s">
        <v>17020</v>
      </c>
      <c r="CA25" s="905" t="s">
        <v>17021</v>
      </c>
      <c r="CB25" s="1318" t="s">
        <v>17022</v>
      </c>
      <c r="CC25" s="905" t="s">
        <v>17023</v>
      </c>
      <c r="CD25" s="905" t="s">
        <v>17024</v>
      </c>
      <c r="CE25" s="905" t="s">
        <v>17025</v>
      </c>
      <c r="CF25" s="905" t="s">
        <v>17026</v>
      </c>
      <c r="CG25" s="905" t="s">
        <v>17027</v>
      </c>
      <c r="CH25" s="1318" t="s">
        <v>17028</v>
      </c>
      <c r="CI25" s="905" t="s">
        <v>17029</v>
      </c>
      <c r="CJ25" s="905" t="s">
        <v>17030</v>
      </c>
      <c r="CK25" s="905" t="s">
        <v>17031</v>
      </c>
      <c r="CL25" s="905" t="s">
        <v>17032</v>
      </c>
      <c r="CM25" s="905" t="s">
        <v>17033</v>
      </c>
      <c r="CN25" s="1332" t="s">
        <v>17034</v>
      </c>
    </row>
    <row r="26" spans="1:92" ht="15.75" customHeight="1" thickBot="1">
      <c r="A26" s="242"/>
      <c r="B26" s="463" t="s">
        <v>17035</v>
      </c>
      <c r="C26" s="355" t="s">
        <v>1523</v>
      </c>
      <c r="D26" s="355">
        <v>0</v>
      </c>
      <c r="E26" s="1729">
        <f t="shared" ref="E26:J26" si="76">IFERROR(SUM(E20:E25),0)</f>
        <v>90</v>
      </c>
      <c r="F26" s="1729">
        <f t="shared" si="76"/>
        <v>23</v>
      </c>
      <c r="G26" s="1729">
        <f t="shared" si="76"/>
        <v>254</v>
      </c>
      <c r="H26" s="1729">
        <f t="shared" si="76"/>
        <v>0</v>
      </c>
      <c r="I26" s="1729">
        <f t="shared" si="76"/>
        <v>10</v>
      </c>
      <c r="J26" s="1729">
        <f t="shared" si="76"/>
        <v>12</v>
      </c>
      <c r="K26" s="1729">
        <f>IFERROR(SUM(K20:K25),0)</f>
        <v>24</v>
      </c>
      <c r="L26" s="1751">
        <f>IFERROR(SUM(E26:K26),0)</f>
        <v>413</v>
      </c>
      <c r="M26" s="1741"/>
      <c r="N26" s="1752">
        <f t="shared" ref="N26:P26" si="77">IFERROR(SUM(N20:N25),0)</f>
        <v>0</v>
      </c>
      <c r="O26" s="1729">
        <f t="shared" si="77"/>
        <v>8</v>
      </c>
      <c r="P26" s="1729">
        <f t="shared" si="77"/>
        <v>15</v>
      </c>
      <c r="Q26" s="1729">
        <f>IFERROR(SUM(Q20:Q25),0)</f>
        <v>390</v>
      </c>
      <c r="R26" s="1729">
        <f>IFERROR(SUM(N26:Q26),0)</f>
        <v>413</v>
      </c>
      <c r="S26" s="1729">
        <f t="shared" ref="S26:W26" si="78">IFERROR(SUM(S20:S25),0)</f>
        <v>0</v>
      </c>
      <c r="T26" s="1729">
        <f t="shared" si="78"/>
        <v>9</v>
      </c>
      <c r="U26" s="1729">
        <f t="shared" si="78"/>
        <v>26</v>
      </c>
      <c r="V26" s="1729">
        <f t="shared" si="78"/>
        <v>124</v>
      </c>
      <c r="W26" s="1729">
        <f t="shared" si="78"/>
        <v>254</v>
      </c>
      <c r="X26" s="1729">
        <f t="shared" si="52"/>
        <v>413</v>
      </c>
      <c r="Y26" s="1729">
        <f t="shared" ref="Y26:AB26" si="79">IFERROR(SUM(Y20:Y25),0)</f>
        <v>0</v>
      </c>
      <c r="Z26" s="1729">
        <f t="shared" si="79"/>
        <v>5</v>
      </c>
      <c r="AA26" s="1729">
        <f t="shared" si="79"/>
        <v>41</v>
      </c>
      <c r="AB26" s="1729">
        <f t="shared" si="79"/>
        <v>51</v>
      </c>
      <c r="AC26" s="1729">
        <f>IFERROR(SUM(AC20:AC25),0)</f>
        <v>316</v>
      </c>
      <c r="AD26" s="1751">
        <f t="shared" si="53"/>
        <v>413</v>
      </c>
      <c r="AE26" s="242"/>
      <c r="AF26" s="356" t="s">
        <v>17036</v>
      </c>
      <c r="AG26" s="242"/>
      <c r="AH26" s="1237"/>
      <c r="AI26" s="242"/>
      <c r="AJ26" s="238"/>
      <c r="AL26" s="238"/>
      <c r="BL26" s="238"/>
      <c r="BN26" s="463" t="s">
        <v>17035</v>
      </c>
      <c r="BO26" s="1324" t="s">
        <v>17037</v>
      </c>
      <c r="BP26" s="1324" t="s">
        <v>17038</v>
      </c>
      <c r="BQ26" s="1324" t="s">
        <v>17039</v>
      </c>
      <c r="BR26" s="1324" t="s">
        <v>17040</v>
      </c>
      <c r="BS26" s="1324" t="s">
        <v>17041</v>
      </c>
      <c r="BT26" s="1324" t="s">
        <v>17042</v>
      </c>
      <c r="BU26" s="1324" t="s">
        <v>17043</v>
      </c>
      <c r="BV26" s="1353" t="s">
        <v>17044</v>
      </c>
      <c r="BW26" s="83"/>
      <c r="BX26" s="1354" t="s">
        <v>17045</v>
      </c>
      <c r="BY26" s="1324" t="s">
        <v>17046</v>
      </c>
      <c r="BZ26" s="1324" t="s">
        <v>17047</v>
      </c>
      <c r="CA26" s="1324" t="s">
        <v>17048</v>
      </c>
      <c r="CB26" s="1324" t="s">
        <v>17049</v>
      </c>
      <c r="CC26" s="1324" t="s">
        <v>17050</v>
      </c>
      <c r="CD26" s="1324" t="s">
        <v>17051</v>
      </c>
      <c r="CE26" s="1324" t="s">
        <v>17052</v>
      </c>
      <c r="CF26" s="1324" t="s">
        <v>17053</v>
      </c>
      <c r="CG26" s="1324" t="s">
        <v>17054</v>
      </c>
      <c r="CH26" s="1324" t="s">
        <v>17055</v>
      </c>
      <c r="CI26" s="1324" t="s">
        <v>17056</v>
      </c>
      <c r="CJ26" s="1324" t="s">
        <v>17057</v>
      </c>
      <c r="CK26" s="1324" t="s">
        <v>17058</v>
      </c>
      <c r="CL26" s="1324" t="s">
        <v>17059</v>
      </c>
      <c r="CM26" s="1324" t="s">
        <v>17060</v>
      </c>
      <c r="CN26" s="1353" t="s">
        <v>17061</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17062</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17062</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17063</v>
      </c>
      <c r="C29" s="277" t="s">
        <v>3222</v>
      </c>
      <c r="D29" s="277">
        <v>3</v>
      </c>
      <c r="E29" s="694">
        <v>3079.75</v>
      </c>
      <c r="F29" s="2442"/>
      <c r="G29" s="2442"/>
      <c r="H29" s="2442"/>
      <c r="I29" s="2442"/>
      <c r="J29" s="2442"/>
      <c r="K29" s="2442"/>
      <c r="L29" s="2443"/>
      <c r="M29" s="114"/>
      <c r="N29" s="2441"/>
      <c r="O29" s="2442"/>
      <c r="P29" s="2442"/>
      <c r="Q29" s="2442"/>
      <c r="R29" s="2442"/>
      <c r="S29" s="2442"/>
      <c r="T29" s="2442"/>
      <c r="U29" s="2442"/>
      <c r="V29" s="2442"/>
      <c r="W29" s="2442"/>
      <c r="X29" s="2442"/>
      <c r="Y29" s="2442"/>
      <c r="Z29" s="2442"/>
      <c r="AA29" s="2450"/>
      <c r="AB29" s="2450"/>
      <c r="AC29" s="2450"/>
      <c r="AD29" s="2451"/>
      <c r="AE29" s="242"/>
      <c r="AF29" s="281" t="s">
        <v>17064</v>
      </c>
      <c r="AG29" s="242"/>
      <c r="AH29" s="1231"/>
      <c r="AI29" s="242"/>
      <c r="AJ29" s="238"/>
      <c r="AK29" s="1232">
        <f t="shared" ref="AK29:AK35" si="80">IF( SUM( AM29:BK29 ) = 0, 0, $AM$5 )</f>
        <v>0</v>
      </c>
      <c r="AL29" s="238"/>
      <c r="AM29" s="285">
        <f t="shared" ref="AM29:AM35" si="81" xml:space="preserve"> IF( ISNUMBER(E29 ), 0, 1 )</f>
        <v>0</v>
      </c>
      <c r="BL29" s="238"/>
      <c r="BN29" s="451" t="s">
        <v>17063</v>
      </c>
      <c r="BO29" s="694" t="s">
        <v>17065</v>
      </c>
      <c r="BP29" s="2442"/>
      <c r="BQ29" s="2442"/>
      <c r="BR29" s="2442"/>
      <c r="BS29" s="2442"/>
      <c r="BT29" s="2442"/>
      <c r="BU29" s="2442"/>
      <c r="BV29" s="2443"/>
      <c r="BW29" s="114"/>
      <c r="BX29" s="2441"/>
      <c r="BY29" s="2442"/>
      <c r="BZ29" s="2442"/>
      <c r="CA29" s="2442"/>
      <c r="CB29" s="2442"/>
      <c r="CC29" s="2442"/>
      <c r="CD29" s="2442"/>
      <c r="CE29" s="2442"/>
      <c r="CF29" s="2442"/>
      <c r="CG29" s="2442"/>
      <c r="CH29" s="2442"/>
      <c r="CI29" s="2442"/>
      <c r="CJ29" s="2442"/>
      <c r="CK29" s="2450"/>
      <c r="CL29" s="2450"/>
      <c r="CM29" s="2450"/>
      <c r="CN29" s="2451"/>
    </row>
    <row r="30" spans="1:92" ht="15.75" customHeight="1">
      <c r="A30" s="242"/>
      <c r="B30" s="460" t="s">
        <v>17066</v>
      </c>
      <c r="C30" s="286" t="s">
        <v>3222</v>
      </c>
      <c r="D30" s="286">
        <v>3</v>
      </c>
      <c r="E30" s="697">
        <v>0</v>
      </c>
      <c r="F30" s="2445"/>
      <c r="G30" s="2445"/>
      <c r="H30" s="2445"/>
      <c r="I30" s="2445"/>
      <c r="J30" s="2445"/>
      <c r="K30" s="2445"/>
      <c r="L30" s="2446"/>
      <c r="M30" s="114"/>
      <c r="N30" s="2444"/>
      <c r="O30" s="2445"/>
      <c r="P30" s="2445"/>
      <c r="Q30" s="2445"/>
      <c r="R30" s="2445"/>
      <c r="S30" s="2445"/>
      <c r="T30" s="2445"/>
      <c r="U30" s="2445"/>
      <c r="V30" s="2445"/>
      <c r="W30" s="2445"/>
      <c r="X30" s="2445"/>
      <c r="Y30" s="2445"/>
      <c r="Z30" s="2445"/>
      <c r="AA30" s="2452"/>
      <c r="AB30" s="2452"/>
      <c r="AC30" s="2452"/>
      <c r="AD30" s="2453"/>
      <c r="AE30" s="242"/>
      <c r="AF30" s="290" t="s">
        <v>17067</v>
      </c>
      <c r="AG30" s="242"/>
      <c r="AH30" s="1233"/>
      <c r="AI30" s="242"/>
      <c r="AJ30" s="238"/>
      <c r="AK30" s="1232">
        <f t="shared" si="80"/>
        <v>0</v>
      </c>
      <c r="AL30" s="238"/>
      <c r="AM30" s="285">
        <f t="shared" si="81"/>
        <v>0</v>
      </c>
      <c r="BL30" s="238"/>
      <c r="BN30" s="460" t="s">
        <v>17068</v>
      </c>
      <c r="BO30" s="697" t="s">
        <v>17069</v>
      </c>
      <c r="BP30" s="2445"/>
      <c r="BQ30" s="2445"/>
      <c r="BR30" s="2445"/>
      <c r="BS30" s="2445"/>
      <c r="BT30" s="2445"/>
      <c r="BU30" s="2445"/>
      <c r="BV30" s="2446"/>
      <c r="BW30" s="114"/>
      <c r="BX30" s="2444"/>
      <c r="BY30" s="2445"/>
      <c r="BZ30" s="2445"/>
      <c r="CA30" s="2445"/>
      <c r="CB30" s="2445"/>
      <c r="CC30" s="2445"/>
      <c r="CD30" s="2445"/>
      <c r="CE30" s="2445"/>
      <c r="CF30" s="2445"/>
      <c r="CG30" s="2445"/>
      <c r="CH30" s="2445"/>
      <c r="CI30" s="2445"/>
      <c r="CJ30" s="2445"/>
      <c r="CK30" s="2452"/>
      <c r="CL30" s="2452"/>
      <c r="CM30" s="2452"/>
      <c r="CN30" s="2453"/>
    </row>
    <row r="31" spans="1:92" ht="15.75" customHeight="1">
      <c r="A31" s="242"/>
      <c r="B31" s="460" t="s">
        <v>17070</v>
      </c>
      <c r="C31" s="286" t="s">
        <v>3222</v>
      </c>
      <c r="D31" s="286">
        <v>3</v>
      </c>
      <c r="E31" s="697">
        <v>0</v>
      </c>
      <c r="F31" s="2445"/>
      <c r="G31" s="2445"/>
      <c r="H31" s="2445"/>
      <c r="I31" s="2445"/>
      <c r="J31" s="2445"/>
      <c r="K31" s="2445"/>
      <c r="L31" s="2446"/>
      <c r="M31" s="114"/>
      <c r="N31" s="2444"/>
      <c r="O31" s="2445"/>
      <c r="P31" s="2445"/>
      <c r="Q31" s="2445"/>
      <c r="R31" s="2445"/>
      <c r="S31" s="2445"/>
      <c r="T31" s="2445"/>
      <c r="U31" s="2445"/>
      <c r="V31" s="2445"/>
      <c r="W31" s="2445"/>
      <c r="X31" s="2445"/>
      <c r="Y31" s="2445"/>
      <c r="Z31" s="2445"/>
      <c r="AA31" s="2452"/>
      <c r="AB31" s="2452"/>
      <c r="AC31" s="2452"/>
      <c r="AD31" s="2453"/>
      <c r="AE31" s="242"/>
      <c r="AF31" s="290" t="s">
        <v>17071</v>
      </c>
      <c r="AG31" s="242"/>
      <c r="AH31" s="1233"/>
      <c r="AI31" s="242"/>
      <c r="AJ31" s="238"/>
      <c r="AK31" s="1232">
        <f t="shared" si="80"/>
        <v>0</v>
      </c>
      <c r="AL31" s="238"/>
      <c r="AM31" s="285">
        <f t="shared" si="81"/>
        <v>0</v>
      </c>
      <c r="BL31" s="238"/>
      <c r="BN31" s="460" t="s">
        <v>17070</v>
      </c>
      <c r="BO31" s="697" t="s">
        <v>17072</v>
      </c>
      <c r="BP31" s="2445"/>
      <c r="BQ31" s="2445"/>
      <c r="BR31" s="2445"/>
      <c r="BS31" s="2445"/>
      <c r="BT31" s="2445"/>
      <c r="BU31" s="2445"/>
      <c r="BV31" s="2446"/>
      <c r="BW31" s="114"/>
      <c r="BX31" s="2444"/>
      <c r="BY31" s="2445"/>
      <c r="BZ31" s="2445"/>
      <c r="CA31" s="2445"/>
      <c r="CB31" s="2445"/>
      <c r="CC31" s="2445"/>
      <c r="CD31" s="2445"/>
      <c r="CE31" s="2445"/>
      <c r="CF31" s="2445"/>
      <c r="CG31" s="2445"/>
      <c r="CH31" s="2445"/>
      <c r="CI31" s="2445"/>
      <c r="CJ31" s="2445"/>
      <c r="CK31" s="2452"/>
      <c r="CL31" s="2452"/>
      <c r="CM31" s="2452"/>
      <c r="CN31" s="2453"/>
    </row>
    <row r="32" spans="1:92" ht="15.75" customHeight="1">
      <c r="A32" s="242"/>
      <c r="B32" s="460" t="s">
        <v>17073</v>
      </c>
      <c r="C32" s="286" t="s">
        <v>3222</v>
      </c>
      <c r="D32" s="286">
        <v>3</v>
      </c>
      <c r="E32" s="697">
        <v>0</v>
      </c>
      <c r="F32" s="2445"/>
      <c r="G32" s="2445"/>
      <c r="H32" s="2445"/>
      <c r="I32" s="2445"/>
      <c r="J32" s="2445"/>
      <c r="K32" s="2445"/>
      <c r="L32" s="2446"/>
      <c r="M32" s="114"/>
      <c r="N32" s="2444"/>
      <c r="O32" s="2445"/>
      <c r="P32" s="2445"/>
      <c r="Q32" s="2445"/>
      <c r="R32" s="2445"/>
      <c r="S32" s="2445"/>
      <c r="T32" s="2445"/>
      <c r="U32" s="2445"/>
      <c r="V32" s="2445"/>
      <c r="W32" s="2445"/>
      <c r="X32" s="2445"/>
      <c r="Y32" s="2445"/>
      <c r="Z32" s="2445"/>
      <c r="AA32" s="2452"/>
      <c r="AB32" s="2452"/>
      <c r="AC32" s="2452"/>
      <c r="AD32" s="2453"/>
      <c r="AE32" s="242"/>
      <c r="AF32" s="290" t="s">
        <v>17074</v>
      </c>
      <c r="AG32" s="242"/>
      <c r="AH32" s="1233"/>
      <c r="AI32" s="242"/>
      <c r="AJ32" s="238"/>
      <c r="AK32" s="1232">
        <f t="shared" si="80"/>
        <v>0</v>
      </c>
      <c r="AL32" s="238"/>
      <c r="AM32" s="285">
        <f xml:space="preserve"> IF( ISNUMBER(E32 ), 0, 1 )</f>
        <v>0</v>
      </c>
      <c r="BL32" s="238"/>
      <c r="BN32" s="460" t="s">
        <v>17073</v>
      </c>
      <c r="BO32" s="697" t="s">
        <v>17075</v>
      </c>
      <c r="BP32" s="2445"/>
      <c r="BQ32" s="2445"/>
      <c r="BR32" s="2445"/>
      <c r="BS32" s="2445"/>
      <c r="BT32" s="2445"/>
      <c r="BU32" s="2445"/>
      <c r="BV32" s="2446"/>
      <c r="BW32" s="114"/>
      <c r="BX32" s="2444"/>
      <c r="BY32" s="2445"/>
      <c r="BZ32" s="2445"/>
      <c r="CA32" s="2445"/>
      <c r="CB32" s="2445"/>
      <c r="CC32" s="2445"/>
      <c r="CD32" s="2445"/>
      <c r="CE32" s="2445"/>
      <c r="CF32" s="2445"/>
      <c r="CG32" s="2445"/>
      <c r="CH32" s="2445"/>
      <c r="CI32" s="2445"/>
      <c r="CJ32" s="2445"/>
      <c r="CK32" s="2452"/>
      <c r="CL32" s="2452"/>
      <c r="CM32" s="2452"/>
      <c r="CN32" s="2453"/>
    </row>
    <row r="33" spans="1:92" ht="33" customHeight="1">
      <c r="A33" s="242"/>
      <c r="B33" s="2505" t="s">
        <v>17076</v>
      </c>
      <c r="C33" s="286" t="s">
        <v>3222</v>
      </c>
      <c r="D33" s="286">
        <v>3</v>
      </c>
      <c r="E33" s="697">
        <v>0</v>
      </c>
      <c r="F33" s="2445"/>
      <c r="G33" s="2445"/>
      <c r="H33" s="2445"/>
      <c r="I33" s="2445"/>
      <c r="J33" s="2445"/>
      <c r="K33" s="2445"/>
      <c r="L33" s="2446"/>
      <c r="M33" s="114"/>
      <c r="N33" s="2444"/>
      <c r="O33" s="2445"/>
      <c r="P33" s="2445"/>
      <c r="Q33" s="2445"/>
      <c r="R33" s="2445"/>
      <c r="S33" s="2445"/>
      <c r="T33" s="2445"/>
      <c r="U33" s="2445"/>
      <c r="V33" s="2445"/>
      <c r="W33" s="2445"/>
      <c r="X33" s="2445"/>
      <c r="Y33" s="2445"/>
      <c r="Z33" s="2445"/>
      <c r="AA33" s="2452"/>
      <c r="AB33" s="2452"/>
      <c r="AC33" s="2452"/>
      <c r="AD33" s="2453"/>
      <c r="AE33" s="242"/>
      <c r="AF33" s="290" t="s">
        <v>17077</v>
      </c>
      <c r="AG33" s="242"/>
      <c r="AH33" s="1233"/>
      <c r="AI33" s="242"/>
      <c r="AJ33" s="238"/>
      <c r="AK33" s="1232">
        <f t="shared" si="80"/>
        <v>0</v>
      </c>
      <c r="AL33" s="238"/>
      <c r="AM33" s="285">
        <f t="shared" si="81"/>
        <v>0</v>
      </c>
      <c r="BL33" s="238"/>
      <c r="BN33" s="460" t="s">
        <v>17078</v>
      </c>
      <c r="BO33" s="697" t="s">
        <v>17079</v>
      </c>
      <c r="BP33" s="2445"/>
      <c r="BQ33" s="2445"/>
      <c r="BR33" s="2445"/>
      <c r="BS33" s="2445"/>
      <c r="BT33" s="2445"/>
      <c r="BU33" s="2445"/>
      <c r="BV33" s="2446"/>
      <c r="BW33" s="114"/>
      <c r="BX33" s="2444"/>
      <c r="BY33" s="2445"/>
      <c r="BZ33" s="2445"/>
      <c r="CA33" s="2445"/>
      <c r="CB33" s="2445"/>
      <c r="CC33" s="2445"/>
      <c r="CD33" s="2445"/>
      <c r="CE33" s="2445"/>
      <c r="CF33" s="2445"/>
      <c r="CG33" s="2445"/>
      <c r="CH33" s="2445"/>
      <c r="CI33" s="2445"/>
      <c r="CJ33" s="2445"/>
      <c r="CK33" s="2452"/>
      <c r="CL33" s="2452"/>
      <c r="CM33" s="2452"/>
      <c r="CN33" s="2453"/>
    </row>
    <row r="34" spans="1:92" ht="15.75" customHeight="1">
      <c r="A34" s="242"/>
      <c r="B34" s="460" t="s">
        <v>17080</v>
      </c>
      <c r="C34" s="286" t="s">
        <v>3222</v>
      </c>
      <c r="D34" s="286">
        <v>3</v>
      </c>
      <c r="E34" s="697">
        <v>1.1850000000000001</v>
      </c>
      <c r="F34" s="2445"/>
      <c r="G34" s="2445"/>
      <c r="H34" s="2445"/>
      <c r="I34" s="2445"/>
      <c r="J34" s="2445"/>
      <c r="K34" s="2445"/>
      <c r="L34" s="2446"/>
      <c r="M34" s="114"/>
      <c r="N34" s="2444"/>
      <c r="O34" s="2445"/>
      <c r="P34" s="2445"/>
      <c r="Q34" s="2445"/>
      <c r="R34" s="2445"/>
      <c r="S34" s="2445"/>
      <c r="T34" s="2445"/>
      <c r="U34" s="2445"/>
      <c r="V34" s="2445"/>
      <c r="W34" s="2445"/>
      <c r="X34" s="2445"/>
      <c r="Y34" s="2445"/>
      <c r="Z34" s="2445"/>
      <c r="AA34" s="2452"/>
      <c r="AB34" s="2452"/>
      <c r="AC34" s="2452"/>
      <c r="AD34" s="2453"/>
      <c r="AE34" s="242"/>
      <c r="AF34" s="290" t="s">
        <v>17081</v>
      </c>
      <c r="AG34" s="242"/>
      <c r="AH34" s="1233"/>
      <c r="AI34" s="242"/>
      <c r="AJ34" s="238"/>
      <c r="AK34" s="1232">
        <f t="shared" si="80"/>
        <v>0</v>
      </c>
      <c r="AL34" s="238"/>
      <c r="AM34" s="285">
        <f t="shared" si="81"/>
        <v>0</v>
      </c>
      <c r="BL34" s="238"/>
      <c r="BN34" s="460" t="s">
        <v>17080</v>
      </c>
      <c r="BO34" s="697" t="s">
        <v>17082</v>
      </c>
      <c r="BP34" s="2445"/>
      <c r="BQ34" s="2445"/>
      <c r="BR34" s="2445"/>
      <c r="BS34" s="2445"/>
      <c r="BT34" s="2445"/>
      <c r="BU34" s="2445"/>
      <c r="BV34" s="2446"/>
      <c r="BW34" s="114"/>
      <c r="BX34" s="2444"/>
      <c r="BY34" s="2445"/>
      <c r="BZ34" s="2445"/>
      <c r="CA34" s="2445"/>
      <c r="CB34" s="2445"/>
      <c r="CC34" s="2445"/>
      <c r="CD34" s="2445"/>
      <c r="CE34" s="2445"/>
      <c r="CF34" s="2445"/>
      <c r="CG34" s="2445"/>
      <c r="CH34" s="2445"/>
      <c r="CI34" s="2445"/>
      <c r="CJ34" s="2445"/>
      <c r="CK34" s="2452"/>
      <c r="CL34" s="2452"/>
      <c r="CM34" s="2452"/>
      <c r="CN34" s="2453"/>
    </row>
    <row r="35" spans="1:92" ht="35.25" customHeight="1" thickBot="1">
      <c r="A35" s="242"/>
      <c r="B35" s="2506" t="s">
        <v>17083</v>
      </c>
      <c r="C35" s="355" t="s">
        <v>3222</v>
      </c>
      <c r="D35" s="355">
        <v>3</v>
      </c>
      <c r="E35" s="1640">
        <v>50.64</v>
      </c>
      <c r="F35" s="2448"/>
      <c r="G35" s="2448"/>
      <c r="H35" s="2448"/>
      <c r="I35" s="2448"/>
      <c r="J35" s="2448"/>
      <c r="K35" s="2448"/>
      <c r="L35" s="2449"/>
      <c r="M35" s="114"/>
      <c r="N35" s="2447"/>
      <c r="O35" s="2448"/>
      <c r="P35" s="2448"/>
      <c r="Q35" s="2448"/>
      <c r="R35" s="2448"/>
      <c r="S35" s="2448"/>
      <c r="T35" s="2448"/>
      <c r="U35" s="2448"/>
      <c r="V35" s="2448"/>
      <c r="W35" s="2448"/>
      <c r="X35" s="2448"/>
      <c r="Y35" s="2448"/>
      <c r="Z35" s="2448"/>
      <c r="AA35" s="2454"/>
      <c r="AB35" s="2454"/>
      <c r="AC35" s="2454"/>
      <c r="AD35" s="2455"/>
      <c r="AE35" s="242"/>
      <c r="AF35" s="290" t="s">
        <v>17084</v>
      </c>
      <c r="AG35" s="242"/>
      <c r="AH35" s="1233"/>
      <c r="AI35" s="242"/>
      <c r="AJ35" s="238"/>
      <c r="AK35" s="1232">
        <f t="shared" si="80"/>
        <v>0</v>
      </c>
      <c r="AL35" s="238"/>
      <c r="AM35" s="285">
        <f t="shared" si="81"/>
        <v>0</v>
      </c>
      <c r="BL35" s="238"/>
      <c r="BN35" s="463" t="s">
        <v>17085</v>
      </c>
      <c r="BO35" s="1640" t="s">
        <v>17086</v>
      </c>
      <c r="BP35" s="2448"/>
      <c r="BQ35" s="2448"/>
      <c r="BR35" s="2448"/>
      <c r="BS35" s="2448"/>
      <c r="BT35" s="2448"/>
      <c r="BU35" s="2448"/>
      <c r="BV35" s="2449"/>
      <c r="BW35" s="114"/>
      <c r="BX35" s="2447"/>
      <c r="BY35" s="2448"/>
      <c r="BZ35" s="2448"/>
      <c r="CA35" s="2448"/>
      <c r="CB35" s="2448"/>
      <c r="CC35" s="2448"/>
      <c r="CD35" s="2448"/>
      <c r="CE35" s="2448"/>
      <c r="CF35" s="2448"/>
      <c r="CG35" s="2448"/>
      <c r="CH35" s="2448"/>
      <c r="CI35" s="2448"/>
      <c r="CJ35" s="2448"/>
      <c r="CK35" s="2454"/>
      <c r="CL35" s="2454"/>
      <c r="CM35" s="2454"/>
      <c r="CN35" s="2455"/>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tabColor rgb="FF00B050"/>
    <pageSetUpPr fitToPage="1"/>
  </sheetPr>
  <dimension ref="A1:R37"/>
  <sheetViews>
    <sheetView showGridLines="0" topLeftCell="A10" zoomScale="85" zoomScaleNormal="85" zoomScaleSheetLayoutView="100" workbookViewId="0">
      <selection activeCell="G16" sqref="B16:G16"/>
    </sheetView>
  </sheetViews>
  <sheetFormatPr defaultColWidth="9" defaultRowHeight="14.25"/>
  <cols>
    <col min="1" max="1" width="1.625" style="219" customWidth="1"/>
    <col min="2" max="2" width="63.5" style="219" bestFit="1" customWidth="1"/>
    <col min="3" max="3" width="7" style="219" customWidth="1"/>
    <col min="4" max="4" width="5.125" style="219" customWidth="1"/>
    <col min="5" max="5" width="13" style="219" bestFit="1"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B1" s="1229" t="s">
        <v>17087</v>
      </c>
      <c r="C1" s="1229"/>
      <c r="D1" s="1229"/>
      <c r="E1" s="1229"/>
      <c r="F1" s="1355"/>
      <c r="G1" s="261"/>
      <c r="K1" s="238"/>
      <c r="M1" s="238"/>
      <c r="O1" s="238"/>
      <c r="Q1" s="1229" t="s">
        <v>7220</v>
      </c>
      <c r="R1" s="1229"/>
    </row>
    <row r="2" spans="1:18" ht="30" customHeight="1">
      <c r="B2" s="1229" t="str">
        <f>SelectCompany!B4</f>
        <v>Northumbrian Water</v>
      </c>
      <c r="C2" s="529"/>
      <c r="D2" s="529"/>
      <c r="E2" s="529"/>
      <c r="F2" s="528"/>
      <c r="G2" s="261"/>
      <c r="K2" s="238"/>
      <c r="M2" s="238"/>
      <c r="O2" s="238"/>
      <c r="Q2" s="1229"/>
      <c r="R2" s="529"/>
    </row>
    <row r="3" spans="1:18" ht="44.25" customHeight="1">
      <c r="B3" s="2807" t="s">
        <v>17088</v>
      </c>
      <c r="C3" s="2807"/>
      <c r="D3" s="2807"/>
      <c r="E3" s="2807"/>
      <c r="F3" s="2807"/>
      <c r="G3" s="2807"/>
      <c r="H3" s="2807"/>
      <c r="I3" s="2807"/>
      <c r="K3" s="238"/>
      <c r="L3" s="1240" t="s">
        <v>7222</v>
      </c>
      <c r="M3" s="238"/>
      <c r="O3" s="238"/>
      <c r="Q3" s="2807" t="s">
        <v>17089</v>
      </c>
      <c r="R3" s="2807"/>
    </row>
    <row r="4" spans="1:18" ht="14.25" customHeight="1" thickBot="1">
      <c r="B4" s="690"/>
      <c r="C4" s="690"/>
      <c r="D4" s="690"/>
      <c r="E4" s="690"/>
      <c r="F4" s="827"/>
      <c r="G4" s="261"/>
      <c r="K4" s="238"/>
      <c r="M4" s="238"/>
      <c r="N4" s="240" t="s">
        <v>7223</v>
      </c>
      <c r="O4" s="238"/>
      <c r="Q4" s="690"/>
      <c r="R4" s="690"/>
    </row>
    <row r="5" spans="1:18" ht="56.25" customHeight="1" thickTop="1" thickBot="1">
      <c r="A5" s="242"/>
      <c r="B5" s="445" t="s">
        <v>7224</v>
      </c>
      <c r="C5" s="446" t="s">
        <v>7225</v>
      </c>
      <c r="D5" s="446" t="s">
        <v>670</v>
      </c>
      <c r="E5" s="447" t="s">
        <v>15581</v>
      </c>
      <c r="F5" s="731"/>
      <c r="G5" s="449" t="s">
        <v>7229</v>
      </c>
      <c r="H5" s="242"/>
      <c r="I5" s="449" t="s">
        <v>7230</v>
      </c>
      <c r="J5" s="242"/>
      <c r="K5" s="238"/>
      <c r="M5" s="238"/>
      <c r="N5" s="269" t="s">
        <v>7231</v>
      </c>
      <c r="O5" s="238"/>
      <c r="Q5" s="445" t="s">
        <v>7224</v>
      </c>
      <c r="R5" s="447" t="s">
        <v>15581</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7742</v>
      </c>
      <c r="C7" s="482"/>
      <c r="D7" s="482"/>
      <c r="E7" s="482"/>
      <c r="F7" s="1242"/>
      <c r="G7" s="565"/>
      <c r="H7" s="242"/>
      <c r="I7" s="242"/>
      <c r="J7" s="242"/>
      <c r="K7" s="238"/>
      <c r="M7" s="238"/>
      <c r="O7" s="238"/>
      <c r="Q7" s="393" t="s">
        <v>7742</v>
      </c>
      <c r="R7" s="482"/>
    </row>
    <row r="8" spans="1:18" ht="15.75" customHeight="1" thickTop="1">
      <c r="A8" s="242"/>
      <c r="B8" s="451" t="s">
        <v>17090</v>
      </c>
      <c r="C8" s="277" t="s">
        <v>17091</v>
      </c>
      <c r="D8" s="277">
        <v>0</v>
      </c>
      <c r="E8" s="1732">
        <v>1325</v>
      </c>
      <c r="F8" s="1242"/>
      <c r="G8" s="572" t="s">
        <v>17092</v>
      </c>
      <c r="H8" s="242"/>
      <c r="I8" s="1231"/>
      <c r="J8" s="242"/>
      <c r="K8" s="238"/>
      <c r="L8" s="1232">
        <f>IF( SUM( N8:N8 ) = 0, 0, $N$5 )</f>
        <v>0</v>
      </c>
      <c r="M8" s="238"/>
      <c r="N8" s="285">
        <f xml:space="preserve"> IF( ISNUMBER(E8 ), 0, 1 )</f>
        <v>0</v>
      </c>
      <c r="O8" s="238"/>
      <c r="Q8" s="451" t="s">
        <v>17090</v>
      </c>
      <c r="R8" s="960" t="s">
        <v>17093</v>
      </c>
    </row>
    <row r="9" spans="1:18" ht="15.75" customHeight="1">
      <c r="A9" s="242"/>
      <c r="B9" s="792" t="s">
        <v>17094</v>
      </c>
      <c r="C9" s="286" t="s">
        <v>1523</v>
      </c>
      <c r="D9" s="286">
        <v>0</v>
      </c>
      <c r="E9" s="1328">
        <v>34</v>
      </c>
      <c r="F9" s="1242"/>
      <c r="G9" s="573" t="s">
        <v>17095</v>
      </c>
      <c r="H9" s="242"/>
      <c r="I9" s="1233"/>
      <c r="J9" s="242"/>
      <c r="K9" s="238"/>
      <c r="L9" s="1232">
        <f t="shared" ref="L9:L12" si="0">IF( SUM( N9:N9 ) = 0, 0, $N$5 )</f>
        <v>0</v>
      </c>
      <c r="M9" s="238"/>
      <c r="N9" s="285">
        <f t="shared" ref="N9:N12" si="1" xml:space="preserve"> IF( ISNUMBER(E9 ), 0, 1 )</f>
        <v>0</v>
      </c>
      <c r="O9" s="238"/>
      <c r="Q9" s="460" t="s">
        <v>17096</v>
      </c>
      <c r="R9" s="964" t="s">
        <v>17097</v>
      </c>
    </row>
    <row r="10" spans="1:18" ht="28.5" customHeight="1">
      <c r="A10" s="242"/>
      <c r="B10" s="792" t="s">
        <v>17098</v>
      </c>
      <c r="C10" s="286" t="s">
        <v>1523</v>
      </c>
      <c r="D10" s="286">
        <v>0</v>
      </c>
      <c r="E10" s="1328">
        <v>2</v>
      </c>
      <c r="F10" s="1242"/>
      <c r="G10" s="573" t="s">
        <v>17099</v>
      </c>
      <c r="H10" s="242"/>
      <c r="I10" s="1233"/>
      <c r="J10" s="242"/>
      <c r="K10" s="238"/>
      <c r="L10" s="1232">
        <f t="shared" si="0"/>
        <v>0</v>
      </c>
      <c r="M10" s="238"/>
      <c r="N10" s="285">
        <f t="shared" si="1"/>
        <v>0</v>
      </c>
      <c r="O10" s="238"/>
      <c r="Q10" s="460" t="s">
        <v>17100</v>
      </c>
      <c r="R10" s="964" t="s">
        <v>17101</v>
      </c>
    </row>
    <row r="11" spans="1:18" ht="15.75" customHeight="1">
      <c r="A11" s="242"/>
      <c r="B11" s="792" t="s">
        <v>17102</v>
      </c>
      <c r="C11" s="286" t="s">
        <v>1523</v>
      </c>
      <c r="D11" s="286">
        <v>0</v>
      </c>
      <c r="E11" s="1328">
        <v>17</v>
      </c>
      <c r="F11" s="1242"/>
      <c r="G11" s="573" t="s">
        <v>17103</v>
      </c>
      <c r="H11" s="242"/>
      <c r="I11" s="1233"/>
      <c r="J11" s="242"/>
      <c r="K11" s="238"/>
      <c r="L11" s="1232">
        <f t="shared" si="0"/>
        <v>0</v>
      </c>
      <c r="M11" s="238"/>
      <c r="N11" s="285">
        <f t="shared" si="1"/>
        <v>0</v>
      </c>
      <c r="O11" s="238"/>
      <c r="Q11" s="460" t="s">
        <v>17102</v>
      </c>
      <c r="R11" s="964" t="s">
        <v>17104</v>
      </c>
    </row>
    <row r="12" spans="1:18" ht="15.75" customHeight="1" thickBot="1">
      <c r="A12" s="242"/>
      <c r="B12" s="453" t="s">
        <v>17105</v>
      </c>
      <c r="C12" s="355" t="s">
        <v>1523</v>
      </c>
      <c r="D12" s="355">
        <v>0</v>
      </c>
      <c r="E12" s="1734">
        <v>1467</v>
      </c>
      <c r="F12" s="1242"/>
      <c r="G12" s="576" t="s">
        <v>17106</v>
      </c>
      <c r="H12" s="242"/>
      <c r="I12" s="1237"/>
      <c r="J12" s="242"/>
      <c r="K12" s="238"/>
      <c r="L12" s="1232">
        <f t="shared" si="0"/>
        <v>0</v>
      </c>
      <c r="M12" s="238"/>
      <c r="N12" s="285">
        <f t="shared" si="1"/>
        <v>0</v>
      </c>
      <c r="O12" s="238"/>
      <c r="Q12" s="463" t="s">
        <v>17105</v>
      </c>
      <c r="R12" s="1267" t="s">
        <v>17107</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17108</v>
      </c>
      <c r="C14" s="482"/>
      <c r="D14" s="482"/>
      <c r="E14" s="482"/>
      <c r="F14" s="1242"/>
      <c r="G14" s="482"/>
      <c r="H14" s="242"/>
      <c r="I14" s="242"/>
      <c r="J14" s="242"/>
      <c r="K14" s="238"/>
      <c r="M14" s="238"/>
      <c r="O14" s="238"/>
      <c r="Q14" s="393" t="s">
        <v>17108</v>
      </c>
      <c r="R14" s="482"/>
    </row>
    <row r="15" spans="1:18" ht="15.75" customHeight="1" thickTop="1">
      <c r="A15" s="242"/>
      <c r="B15" s="814" t="s">
        <v>17109</v>
      </c>
      <c r="C15" s="318" t="s">
        <v>3251</v>
      </c>
      <c r="D15" s="318">
        <v>3</v>
      </c>
      <c r="E15" s="1753">
        <v>59781.239000000001</v>
      </c>
      <c r="F15" s="1242"/>
      <c r="G15" s="1356" t="s">
        <v>17110</v>
      </c>
      <c r="H15" s="242"/>
      <c r="I15" s="1231"/>
      <c r="J15" s="242"/>
      <c r="K15" s="238"/>
      <c r="L15" s="1232">
        <f t="shared" ref="L15:L16" si="2">IF( SUM( N15:N15 ) = 0, 0, $N$5 )</f>
        <v>0</v>
      </c>
      <c r="M15" s="238"/>
      <c r="N15" s="285">
        <f t="shared" ref="N15:N16" si="3" xml:space="preserve"> IF( ISNUMBER(E15 ), 0, 1 )</f>
        <v>0</v>
      </c>
      <c r="O15" s="238"/>
      <c r="Q15" s="814" t="s">
        <v>17109</v>
      </c>
      <c r="R15" s="1185" t="s">
        <v>17111</v>
      </c>
    </row>
    <row r="16" spans="1:18" ht="15.75" customHeight="1">
      <c r="A16" s="242"/>
      <c r="B16" s="792" t="s">
        <v>17112</v>
      </c>
      <c r="C16" s="325" t="s">
        <v>3251</v>
      </c>
      <c r="D16" s="325">
        <v>3</v>
      </c>
      <c r="E16" s="794">
        <v>113733.008</v>
      </c>
      <c r="F16" s="1242"/>
      <c r="G16" s="574" t="s">
        <v>17113</v>
      </c>
      <c r="H16" s="242"/>
      <c r="I16" s="1233"/>
      <c r="J16" s="242"/>
      <c r="K16" s="238"/>
      <c r="L16" s="1232">
        <f t="shared" si="2"/>
        <v>0</v>
      </c>
      <c r="M16" s="238"/>
      <c r="N16" s="285">
        <f t="shared" si="3"/>
        <v>0</v>
      </c>
      <c r="O16" s="238"/>
      <c r="Q16" s="792" t="s">
        <v>17112</v>
      </c>
      <c r="R16" s="1357" t="s">
        <v>17114</v>
      </c>
    </row>
    <row r="17" spans="1:18" ht="15.75" customHeight="1" thickBot="1">
      <c r="A17" s="242"/>
      <c r="B17" s="453" t="s">
        <v>17115</v>
      </c>
      <c r="C17" s="332" t="s">
        <v>3251</v>
      </c>
      <c r="D17" s="332">
        <v>3</v>
      </c>
      <c r="E17" s="1665">
        <f>IFERROR(SUM(E15:E16),0)</f>
        <v>173514.247</v>
      </c>
      <c r="F17" s="1242"/>
      <c r="G17" s="813" t="s">
        <v>17116</v>
      </c>
      <c r="H17" s="242"/>
      <c r="I17" s="1237"/>
      <c r="J17" s="242"/>
      <c r="K17" s="238"/>
      <c r="M17" s="238"/>
      <c r="O17" s="238"/>
      <c r="Q17" s="453" t="s">
        <v>17115</v>
      </c>
      <c r="R17" s="807" t="s">
        <v>17117</v>
      </c>
    </row>
    <row r="18" spans="1:18" ht="16.5" thickTop="1" thickBot="1">
      <c r="A18" s="242"/>
      <c r="B18" s="242"/>
      <c r="C18" s="242"/>
      <c r="D18" s="242"/>
      <c r="E18" s="242"/>
      <c r="F18" s="242"/>
      <c r="G18" s="242"/>
      <c r="H18" s="242"/>
      <c r="I18" s="242"/>
      <c r="J18" s="242"/>
    </row>
    <row r="19" spans="1:18" ht="17.25" thickTop="1" thickBot="1">
      <c r="A19" s="242"/>
      <c r="B19" s="393" t="s">
        <v>17118</v>
      </c>
      <c r="C19" s="482"/>
      <c r="D19" s="482"/>
      <c r="E19" s="482"/>
      <c r="F19" s="1242"/>
      <c r="G19" s="482"/>
      <c r="H19" s="242"/>
      <c r="I19" s="242"/>
      <c r="J19" s="242"/>
      <c r="Q19" s="393" t="s">
        <v>17118</v>
      </c>
    </row>
    <row r="20" spans="1:18" ht="30.75" thickTop="1">
      <c r="A20" s="242"/>
      <c r="B20" s="814" t="s">
        <v>17119</v>
      </c>
      <c r="C20" s="318" t="s">
        <v>17120</v>
      </c>
      <c r="D20" s="318">
        <v>3</v>
      </c>
      <c r="E20" s="1753">
        <v>23</v>
      </c>
      <c r="F20" s="1242"/>
      <c r="G20" s="2456" t="s">
        <v>17121</v>
      </c>
      <c r="H20" s="242"/>
      <c r="I20" s="1231"/>
      <c r="J20" s="242"/>
      <c r="L20" s="1232">
        <f t="shared" ref="L20" si="4">IF( SUM( N20:N20 ) = 0, 0, $N$5 )</f>
        <v>0</v>
      </c>
      <c r="M20" s="238"/>
      <c r="N20" s="285">
        <f t="shared" ref="N20" si="5" xml:space="preserve"> IF( ISNUMBER(E20 ), 0, 1 )</f>
        <v>0</v>
      </c>
      <c r="Q20" s="814" t="s">
        <v>17119</v>
      </c>
      <c r="R20" s="1185" t="s">
        <v>17122</v>
      </c>
    </row>
    <row r="21" spans="1:18" ht="30">
      <c r="A21" s="242"/>
      <c r="B21" s="792" t="s">
        <v>17123</v>
      </c>
      <c r="C21" s="325" t="s">
        <v>1523</v>
      </c>
      <c r="D21" s="325">
        <v>0</v>
      </c>
      <c r="E21" s="2600">
        <v>3</v>
      </c>
      <c r="F21" s="1242"/>
      <c r="G21" s="2457" t="s">
        <v>17124</v>
      </c>
      <c r="H21" s="242"/>
      <c r="I21" s="2321"/>
      <c r="J21" s="242"/>
      <c r="L21" s="1232">
        <f>IF( SUM( N21:N21 ) = 0, 0, $N$5 )</f>
        <v>0</v>
      </c>
      <c r="M21" s="238"/>
      <c r="N21" s="285">
        <f xml:space="preserve"> IF( ISNUMBER(E21 ), 0, 1 )</f>
        <v>0</v>
      </c>
      <c r="Q21" s="792" t="s">
        <v>17123</v>
      </c>
      <c r="R21" s="1357" t="s">
        <v>17125</v>
      </c>
    </row>
    <row r="22" spans="1:18" ht="30">
      <c r="A22" s="242"/>
      <c r="B22" s="2593" t="s">
        <v>17126</v>
      </c>
      <c r="C22" s="325" t="s">
        <v>3623</v>
      </c>
      <c r="D22" s="325">
        <v>3</v>
      </c>
      <c r="E22" s="794">
        <v>33.1</v>
      </c>
      <c r="F22" s="1242"/>
      <c r="G22" s="2458" t="s">
        <v>17127</v>
      </c>
      <c r="H22" s="242"/>
      <c r="I22" s="1233"/>
      <c r="J22" s="242"/>
      <c r="L22" s="1232">
        <f t="shared" ref="L22" si="6">IF( SUM( N22:N22 ) = 0, 0, $N$5 )</f>
        <v>0</v>
      </c>
      <c r="M22" s="238"/>
      <c r="N22" s="285">
        <f t="shared" ref="N22" si="7" xml:space="preserve"> IF( ISNUMBER(E22 ), 0, 1 )</f>
        <v>0</v>
      </c>
      <c r="Q22" s="792" t="s">
        <v>3622</v>
      </c>
      <c r="R22" s="1357" t="s">
        <v>17128</v>
      </c>
    </row>
    <row r="23" spans="1:18" ht="30">
      <c r="A23" s="242"/>
      <c r="B23" s="2593" t="s">
        <v>17129</v>
      </c>
      <c r="C23" s="325" t="s">
        <v>3623</v>
      </c>
      <c r="D23" s="325">
        <v>3</v>
      </c>
      <c r="E23" s="794">
        <v>0</v>
      </c>
      <c r="F23" s="1242"/>
      <c r="G23" s="2459" t="s">
        <v>17130</v>
      </c>
      <c r="H23" s="242"/>
      <c r="I23" s="2320"/>
      <c r="J23" s="242"/>
      <c r="L23" s="1232">
        <f t="shared" ref="L23:L31" si="8">IF( SUM( N23:N23 ) = 0, 0, $N$5 )</f>
        <v>0</v>
      </c>
      <c r="M23" s="238"/>
      <c r="N23" s="285">
        <f t="shared" ref="N23:N31" si="9" xml:space="preserve"> IF( ISNUMBER(E23 ), 0, 1 )</f>
        <v>0</v>
      </c>
      <c r="Q23" s="792" t="s">
        <v>3625</v>
      </c>
      <c r="R23" s="1357" t="s">
        <v>17131</v>
      </c>
    </row>
    <row r="24" spans="1:18" ht="30">
      <c r="A24" s="242"/>
      <c r="B24" s="2593" t="s">
        <v>17132</v>
      </c>
      <c r="C24" s="325" t="s">
        <v>3623</v>
      </c>
      <c r="D24" s="325">
        <v>3</v>
      </c>
      <c r="E24" s="794">
        <v>0</v>
      </c>
      <c r="F24" s="1242"/>
      <c r="G24" s="2459" t="s">
        <v>17133</v>
      </c>
      <c r="H24" s="242"/>
      <c r="I24" s="2320"/>
      <c r="J24" s="242"/>
      <c r="L24" s="1232">
        <f t="shared" si="8"/>
        <v>0</v>
      </c>
      <c r="M24" s="238"/>
      <c r="N24" s="285">
        <f t="shared" si="9"/>
        <v>0</v>
      </c>
      <c r="Q24" s="792" t="s">
        <v>17132</v>
      </c>
      <c r="R24" s="1357" t="s">
        <v>17134</v>
      </c>
    </row>
    <row r="25" spans="1:18" ht="30">
      <c r="A25" s="242"/>
      <c r="B25" s="792" t="s">
        <v>3629</v>
      </c>
      <c r="C25" s="325" t="s">
        <v>3623</v>
      </c>
      <c r="D25" s="325">
        <v>3</v>
      </c>
      <c r="E25" s="794">
        <v>0</v>
      </c>
      <c r="F25" s="1242"/>
      <c r="G25" s="2459" t="s">
        <v>17135</v>
      </c>
      <c r="H25" s="242"/>
      <c r="I25" s="2320"/>
      <c r="J25" s="242"/>
      <c r="L25" s="1232">
        <f t="shared" si="8"/>
        <v>0</v>
      </c>
      <c r="M25" s="238"/>
      <c r="N25" s="285">
        <f t="shared" si="9"/>
        <v>0</v>
      </c>
      <c r="Q25" s="792" t="s">
        <v>3629</v>
      </c>
      <c r="R25" s="1357" t="s">
        <v>17136</v>
      </c>
    </row>
    <row r="26" spans="1:18" ht="30">
      <c r="A26" s="242"/>
      <c r="B26" s="792" t="s">
        <v>17137</v>
      </c>
      <c r="C26" s="325" t="s">
        <v>1523</v>
      </c>
      <c r="D26" s="325">
        <v>0</v>
      </c>
      <c r="E26" s="2600">
        <v>1</v>
      </c>
      <c r="F26" s="1242"/>
      <c r="G26" s="2459" t="s">
        <v>17138</v>
      </c>
      <c r="H26" s="242"/>
      <c r="I26" s="2320"/>
      <c r="J26" s="242"/>
      <c r="L26" s="1232">
        <f t="shared" si="8"/>
        <v>0</v>
      </c>
      <c r="M26" s="238"/>
      <c r="N26" s="285">
        <f t="shared" si="9"/>
        <v>0</v>
      </c>
      <c r="Q26" s="792" t="s">
        <v>17137</v>
      </c>
      <c r="R26" s="1357" t="s">
        <v>17139</v>
      </c>
    </row>
    <row r="27" spans="1:18" ht="45">
      <c r="A27" s="242"/>
      <c r="B27" s="792" t="s">
        <v>17140</v>
      </c>
      <c r="C27" s="325" t="s">
        <v>1523</v>
      </c>
      <c r="D27" s="325">
        <v>0</v>
      </c>
      <c r="E27" s="2600">
        <v>0</v>
      </c>
      <c r="F27" s="1242"/>
      <c r="G27" s="2459" t="s">
        <v>17141</v>
      </c>
      <c r="H27" s="242"/>
      <c r="I27" s="2320"/>
      <c r="J27" s="242"/>
      <c r="L27" s="1232">
        <f t="shared" si="8"/>
        <v>0</v>
      </c>
      <c r="M27" s="238"/>
      <c r="N27" s="285">
        <f t="shared" si="9"/>
        <v>0</v>
      </c>
      <c r="Q27" s="792" t="s">
        <v>17140</v>
      </c>
      <c r="R27" s="1357" t="s">
        <v>17142</v>
      </c>
    </row>
    <row r="28" spans="1:18" ht="30">
      <c r="A28" s="242"/>
      <c r="B28" s="792" t="s">
        <v>17143</v>
      </c>
      <c r="C28" s="325" t="s">
        <v>1523</v>
      </c>
      <c r="D28" s="325">
        <v>0</v>
      </c>
      <c r="E28" s="2601">
        <v>0</v>
      </c>
      <c r="F28" s="1242"/>
      <c r="G28" s="2459" t="s">
        <v>17144</v>
      </c>
      <c r="H28" s="242"/>
      <c r="I28" s="2320"/>
      <c r="J28" s="242"/>
      <c r="L28" s="1232">
        <f t="shared" si="8"/>
        <v>0</v>
      </c>
      <c r="M28" s="238"/>
      <c r="N28" s="285">
        <f t="shared" si="9"/>
        <v>0</v>
      </c>
      <c r="Q28" s="792" t="s">
        <v>17143</v>
      </c>
      <c r="R28" s="1357" t="s">
        <v>17145</v>
      </c>
    </row>
    <row r="29" spans="1:18" ht="30">
      <c r="A29" s="242"/>
      <c r="B29" s="792" t="s">
        <v>17146</v>
      </c>
      <c r="C29" s="325" t="s">
        <v>1523</v>
      </c>
      <c r="D29" s="325">
        <v>0</v>
      </c>
      <c r="E29" s="2601">
        <v>0</v>
      </c>
      <c r="F29" s="1242"/>
      <c r="G29" s="2459" t="s">
        <v>17147</v>
      </c>
      <c r="H29" s="242"/>
      <c r="I29" s="2320"/>
      <c r="J29" s="242"/>
      <c r="L29" s="1232">
        <f>IF( SUM( N29:N29 ) = 0, 0, $N$5 )</f>
        <v>0</v>
      </c>
      <c r="M29" s="238"/>
      <c r="N29" s="285">
        <f xml:space="preserve"> IF( ISNUMBER(E29 ), 0, 1 )</f>
        <v>0</v>
      </c>
      <c r="Q29" s="792" t="s">
        <v>17146</v>
      </c>
      <c r="R29" s="1357" t="s">
        <v>17148</v>
      </c>
    </row>
    <row r="30" spans="1:18" ht="45.6" customHeight="1">
      <c r="A30" s="242"/>
      <c r="B30" s="792" t="s">
        <v>17149</v>
      </c>
      <c r="C30" s="325" t="s">
        <v>1523</v>
      </c>
      <c r="D30" s="325">
        <v>0</v>
      </c>
      <c r="E30" s="2601">
        <v>0</v>
      </c>
      <c r="F30" s="1242"/>
      <c r="G30" s="2459" t="s">
        <v>17150</v>
      </c>
      <c r="H30" s="242"/>
      <c r="I30" s="2320"/>
      <c r="J30" s="242"/>
      <c r="L30" s="1232">
        <f t="shared" si="8"/>
        <v>0</v>
      </c>
      <c r="M30" s="238"/>
      <c r="N30" s="285">
        <f t="shared" si="9"/>
        <v>0</v>
      </c>
      <c r="Q30" s="792" t="s">
        <v>17149</v>
      </c>
      <c r="R30" s="1357" t="s">
        <v>17151</v>
      </c>
    </row>
    <row r="31" spans="1:18" ht="30">
      <c r="A31" s="242"/>
      <c r="B31" s="792" t="s">
        <v>17152</v>
      </c>
      <c r="C31" s="325" t="s">
        <v>1523</v>
      </c>
      <c r="D31" s="325">
        <v>0</v>
      </c>
      <c r="E31" s="2601">
        <v>0</v>
      </c>
      <c r="F31" s="1242"/>
      <c r="G31" s="2459" t="s">
        <v>17153</v>
      </c>
      <c r="H31" s="242"/>
      <c r="I31" s="2320"/>
      <c r="J31" s="242"/>
      <c r="L31" s="1232">
        <f t="shared" si="8"/>
        <v>0</v>
      </c>
      <c r="M31" s="238"/>
      <c r="N31" s="285">
        <f t="shared" si="9"/>
        <v>0</v>
      </c>
      <c r="Q31" s="792" t="s">
        <v>17152</v>
      </c>
      <c r="R31" s="1357" t="s">
        <v>17154</v>
      </c>
    </row>
    <row r="32" spans="1:18" ht="15.75">
      <c r="A32" s="242"/>
      <c r="B32" s="792" t="s">
        <v>17155</v>
      </c>
      <c r="C32" s="325" t="s">
        <v>17156</v>
      </c>
      <c r="D32" s="325">
        <v>0</v>
      </c>
      <c r="E32" s="2601">
        <v>0</v>
      </c>
      <c r="F32" s="1242"/>
      <c r="G32" s="2459" t="s">
        <v>17157</v>
      </c>
      <c r="H32" s="242"/>
      <c r="I32" s="2320"/>
      <c r="J32" s="242"/>
      <c r="L32" s="2324">
        <f>IF( SUM( N32:N32 ) = 0, 0, $N$5 )</f>
        <v>0</v>
      </c>
      <c r="M32" s="238"/>
      <c r="N32" s="285">
        <f xml:space="preserve"> IF( ISNUMBER(E32 ), 0, 1 )</f>
        <v>0</v>
      </c>
      <c r="Q32" s="792" t="s">
        <v>17155</v>
      </c>
      <c r="R32" s="1357" t="s">
        <v>17158</v>
      </c>
    </row>
    <row r="33" spans="1:18" ht="30">
      <c r="A33" s="242"/>
      <c r="B33" s="792" t="s">
        <v>17159</v>
      </c>
      <c r="C33" s="325" t="s">
        <v>1523</v>
      </c>
      <c r="D33" s="325">
        <v>0</v>
      </c>
      <c r="E33" s="2601">
        <v>0</v>
      </c>
      <c r="F33" s="1242"/>
      <c r="G33" s="2459" t="s">
        <v>17160</v>
      </c>
      <c r="H33" s="242"/>
      <c r="I33" s="2320"/>
      <c r="J33" s="242"/>
      <c r="L33" s="1232">
        <f>IF( SUM( N33:N33 ) = 0, 0, $N$5 )</f>
        <v>0</v>
      </c>
      <c r="M33" s="238"/>
      <c r="N33" s="285">
        <f xml:space="preserve"> IF( ISNUMBER(E33 ), 0, 1 )</f>
        <v>0</v>
      </c>
      <c r="Q33" s="792" t="s">
        <v>17159</v>
      </c>
      <c r="R33" s="1357" t="s">
        <v>17161</v>
      </c>
    </row>
    <row r="34" spans="1:18" ht="30">
      <c r="A34" s="242"/>
      <c r="B34" s="792" t="s">
        <v>17162</v>
      </c>
      <c r="C34" s="325" t="s">
        <v>1523</v>
      </c>
      <c r="D34" s="325">
        <v>0</v>
      </c>
      <c r="E34" s="2601">
        <v>23</v>
      </c>
      <c r="F34" s="1242"/>
      <c r="G34" s="2459" t="s">
        <v>17163</v>
      </c>
      <c r="H34" s="242"/>
      <c r="I34" s="2320"/>
      <c r="J34" s="242"/>
      <c r="L34" s="1232">
        <f>IF( SUM( N34:N34 ) = 0, 0, $N$5 )</f>
        <v>0</v>
      </c>
      <c r="M34" s="238"/>
      <c r="N34" s="285">
        <f xml:space="preserve"> IF( ISNUMBER(E34 ), 0, 1 )</f>
        <v>0</v>
      </c>
      <c r="Q34" s="792" t="s">
        <v>17162</v>
      </c>
      <c r="R34" s="1357" t="s">
        <v>17164</v>
      </c>
    </row>
    <row r="35" spans="1:18" ht="30">
      <c r="A35" s="242"/>
      <c r="B35" s="792" t="s">
        <v>17165</v>
      </c>
      <c r="C35" s="325" t="s">
        <v>1523</v>
      </c>
      <c r="D35" s="325">
        <v>0</v>
      </c>
      <c r="E35" s="2601">
        <v>22</v>
      </c>
      <c r="F35" s="1242"/>
      <c r="G35" s="2459" t="s">
        <v>17166</v>
      </c>
      <c r="H35" s="242"/>
      <c r="I35" s="2320"/>
      <c r="J35" s="242"/>
      <c r="L35" s="1232">
        <f>IF( SUM( N35:N35 ) = 0, 0, $N$5 )</f>
        <v>0</v>
      </c>
      <c r="M35" s="238"/>
      <c r="N35" s="285">
        <f xml:space="preserve"> IF( ISNUMBER(E35 ), 0, 1 )</f>
        <v>0</v>
      </c>
      <c r="Q35" s="792" t="s">
        <v>17165</v>
      </c>
      <c r="R35" s="1357" t="s">
        <v>3245</v>
      </c>
    </row>
    <row r="36" spans="1:18" ht="30.75" thickBot="1">
      <c r="A36" s="242"/>
      <c r="B36" s="453" t="s">
        <v>17167</v>
      </c>
      <c r="C36" s="332" t="s">
        <v>1523</v>
      </c>
      <c r="D36" s="332">
        <v>0</v>
      </c>
      <c r="E36" s="2602">
        <v>0</v>
      </c>
      <c r="F36" s="1242"/>
      <c r="G36" s="2543" t="s">
        <v>17168</v>
      </c>
      <c r="H36" s="242"/>
      <c r="I36" s="1237"/>
      <c r="J36" s="242"/>
      <c r="L36" s="1232">
        <f>IF( SUM( N36:N36 ) = 0, 0, $N$5 )</f>
        <v>0</v>
      </c>
      <c r="M36" s="238"/>
      <c r="N36" s="285">
        <f xml:space="preserve"> IF( ISNUMBER(E36 ), 0, 1 )</f>
        <v>0</v>
      </c>
      <c r="Q36" s="453" t="s">
        <v>17167</v>
      </c>
      <c r="R36" s="1267" t="s">
        <v>3247</v>
      </c>
    </row>
    <row r="37" spans="1:18" ht="1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C1" s="219" t="str">
        <f>CONCATENATE(Lists!$B$60,"_APR2022_F4")</f>
        <v>NES_APR2022_F4</v>
      </c>
    </row>
    <row r="2" spans="1:6">
      <c r="A2" s="219" t="s">
        <v>3</v>
      </c>
      <c r="B2" s="249" t="s">
        <v>3636</v>
      </c>
      <c r="C2" s="249" t="s">
        <v>3637</v>
      </c>
      <c r="D2" s="249" t="s">
        <v>668</v>
      </c>
      <c r="E2" s="249" t="s">
        <v>3638</v>
      </c>
      <c r="F2" s="251" t="s">
        <v>3639</v>
      </c>
    </row>
    <row r="3" spans="1:6" ht="15">
      <c r="B3" s="239"/>
      <c r="C3" s="250"/>
      <c r="D3" s="249"/>
      <c r="E3" s="249"/>
    </row>
    <row r="4" spans="1:6">
      <c r="B4" s="219" t="str">
        <f>'4C'!AJ9</f>
        <v>B0139FDWR</v>
      </c>
      <c r="C4" s="219" t="s">
        <v>5039</v>
      </c>
      <c r="E4" s="249" t="s">
        <v>3641</v>
      </c>
      <c r="F4" s="255">
        <f>IF(ISBLANK('4C'!E9),"##BLANK",'4C'!E9)</f>
        <v>25.178000000000001</v>
      </c>
    </row>
    <row r="5" spans="1:6">
      <c r="B5" s="219" t="str">
        <f>'4C'!AK9</f>
        <v>B0139FDWNP</v>
      </c>
      <c r="C5" s="219" t="s">
        <v>5040</v>
      </c>
      <c r="E5" s="249" t="s">
        <v>3641</v>
      </c>
      <c r="F5" s="255">
        <f>IF(ISBLANK('4C'!F9),"##BLANK",'4C'!F9)</f>
        <v>284.75700000000001</v>
      </c>
    </row>
    <row r="6" spans="1:6">
      <c r="B6" s="219" t="str">
        <f>'4C'!AL9</f>
        <v>B0139FDWWNP</v>
      </c>
      <c r="C6" s="219" t="s">
        <v>5041</v>
      </c>
      <c r="E6" s="249" t="s">
        <v>3641</v>
      </c>
      <c r="F6" s="255">
        <f>IF(ISBLANK('4C'!G9),"##BLANK",'4C'!G9)</f>
        <v>219.99199999999999</v>
      </c>
    </row>
    <row r="7" spans="1:6">
      <c r="B7" s="219" t="str">
        <f>'4C'!AM9</f>
        <v>B0139FDBIO</v>
      </c>
      <c r="C7" s="219" t="s">
        <v>5042</v>
      </c>
      <c r="E7" s="249" t="s">
        <v>3641</v>
      </c>
      <c r="F7" s="255">
        <f>IF(ISBLANK('4C'!H9),"##BLANK",'4C'!H9)</f>
        <v>18.074999999999999</v>
      </c>
    </row>
    <row r="8" spans="1:6">
      <c r="B8" s="219" t="str">
        <f>'4C'!AN9</f>
        <v>B0139FDTTTH</v>
      </c>
      <c r="C8" s="219" t="s">
        <v>5043</v>
      </c>
      <c r="E8" s="249" t="s">
        <v>3641</v>
      </c>
      <c r="F8" s="255">
        <f>IF(ISBLANK('4C'!I9),"##BLANK",'4C'!I9)</f>
        <v>0</v>
      </c>
    </row>
    <row r="9" spans="1:6">
      <c r="B9" s="219" t="str">
        <f>'4C'!AO9</f>
        <v>B0139FDCWR</v>
      </c>
      <c r="C9" s="219" t="s">
        <v>5044</v>
      </c>
      <c r="E9" s="249" t="s">
        <v>3641</v>
      </c>
      <c r="F9" s="255">
        <f>IF(ISBLANK('4C'!J9),"##BLANK",'4C'!J9)</f>
        <v>74.893000000000001</v>
      </c>
    </row>
    <row r="10" spans="1:6">
      <c r="B10" s="219" t="str">
        <f>'4C'!AP9</f>
        <v>B0139FDCWNP</v>
      </c>
      <c r="C10" s="219" t="s">
        <v>5045</v>
      </c>
      <c r="E10" s="249" t="s">
        <v>3641</v>
      </c>
      <c r="F10" s="255">
        <f>IF(ISBLANK('4C'!K9),"##BLANK",'4C'!K9)</f>
        <v>804.73</v>
      </c>
    </row>
    <row r="11" spans="1:6">
      <c r="B11" s="219" t="str">
        <f>'4C'!AQ9</f>
        <v>B0139FDCWWNP</v>
      </c>
      <c r="C11" s="219" t="s">
        <v>5046</v>
      </c>
      <c r="E11" s="249" t="s">
        <v>3641</v>
      </c>
      <c r="F11" s="255">
        <f>IF(ISBLANK('4C'!L9),"##BLANK",'4C'!L9)</f>
        <v>551.58399999999995</v>
      </c>
    </row>
    <row r="12" spans="1:6">
      <c r="B12" s="219" t="str">
        <f>'4C'!AR9</f>
        <v>B0139FDCBIO</v>
      </c>
      <c r="C12" s="219" t="s">
        <v>5047</v>
      </c>
      <c r="E12" s="249" t="s">
        <v>3641</v>
      </c>
      <c r="F12" s="255">
        <f>IF(ISBLANK('4C'!M9),"##BLANK",'4C'!M9)</f>
        <v>50.978999999999999</v>
      </c>
    </row>
    <row r="13" spans="1:6">
      <c r="B13" s="219" t="str">
        <f>'4C'!AS9</f>
        <v>B0139FDCTTTH</v>
      </c>
      <c r="C13" s="219" t="s">
        <v>5048</v>
      </c>
      <c r="E13" s="249" t="s">
        <v>3641</v>
      </c>
      <c r="F13" s="255">
        <f>IF(ISBLANK('4C'!N9),"##BLANK",'4C'!N9)</f>
        <v>0</v>
      </c>
    </row>
    <row r="14" spans="1:6">
      <c r="B14" s="219" t="str">
        <f>'4C'!AJ10</f>
        <v>B0140ACWR</v>
      </c>
      <c r="C14" s="219" t="s">
        <v>5049</v>
      </c>
      <c r="E14" s="249" t="s">
        <v>3641</v>
      </c>
      <c r="F14" s="255">
        <f>IF(ISBLANK('4C'!E10),"##BLANK",'4C'!E10)</f>
        <v>55.222999999999999</v>
      </c>
    </row>
    <row r="15" spans="1:6">
      <c r="B15" s="219" t="str">
        <f>'4C'!AK10</f>
        <v>B0140ACWNP</v>
      </c>
      <c r="C15" s="219" t="s">
        <v>5050</v>
      </c>
      <c r="E15" s="249" t="s">
        <v>3641</v>
      </c>
      <c r="F15" s="255">
        <f>IF(ISBLANK('4C'!F10),"##BLANK",'4C'!F10)</f>
        <v>297.01100000000002</v>
      </c>
    </row>
    <row r="16" spans="1:6">
      <c r="B16" s="219" t="str">
        <f>'4C'!AL10</f>
        <v>B0140ACWWNP</v>
      </c>
      <c r="C16" s="219" t="s">
        <v>5051</v>
      </c>
      <c r="E16" s="249" t="s">
        <v>3641</v>
      </c>
      <c r="F16" s="255">
        <f>IF(ISBLANK('4C'!G10),"##BLANK",'4C'!G10)</f>
        <v>206.34100000000001</v>
      </c>
    </row>
    <row r="17" spans="2:6">
      <c r="B17" s="219" t="str">
        <f>'4C'!AM10</f>
        <v>B0140ACBIO</v>
      </c>
      <c r="C17" s="219" t="s">
        <v>5052</v>
      </c>
      <c r="E17" s="249" t="s">
        <v>3641</v>
      </c>
      <c r="F17" s="255">
        <f>IF(ISBLANK('4C'!H10),"##BLANK",'4C'!H10)</f>
        <v>2.7440000000000002</v>
      </c>
    </row>
    <row r="18" spans="2:6">
      <c r="B18" s="219" t="str">
        <f>'4C'!AN10</f>
        <v>B0140ACTTTH</v>
      </c>
      <c r="C18" s="219" t="s">
        <v>5053</v>
      </c>
      <c r="E18" s="249" t="s">
        <v>3641</v>
      </c>
      <c r="F18" s="255">
        <f>IF(ISBLANK('4C'!I10),"##BLANK",'4C'!I10)</f>
        <v>0</v>
      </c>
    </row>
    <row r="19" spans="2:6">
      <c r="B19" s="219" t="str">
        <f>'4C'!AO10</f>
        <v>B0140ACCWR</v>
      </c>
      <c r="C19" s="219" t="s">
        <v>5054</v>
      </c>
      <c r="E19" s="249" t="s">
        <v>3641</v>
      </c>
      <c r="F19" s="255">
        <f>IF(ISBLANK('4C'!J10),"##BLANK",'4C'!J10)</f>
        <v>130.51</v>
      </c>
    </row>
    <row r="20" spans="2:6">
      <c r="B20" s="219" t="str">
        <f>'4C'!AP10</f>
        <v>B0140ACCWNP</v>
      </c>
      <c r="C20" s="219" t="s">
        <v>5055</v>
      </c>
      <c r="E20" s="249" t="s">
        <v>3641</v>
      </c>
      <c r="F20" s="255">
        <f>IF(ISBLANK('4C'!K10),"##BLANK",'4C'!K10)</f>
        <v>777.10900000000004</v>
      </c>
    </row>
    <row r="21" spans="2:6">
      <c r="B21" s="219" t="str">
        <f>'4C'!AQ10</f>
        <v>B0140ACCWWNP</v>
      </c>
      <c r="C21" s="219" t="s">
        <v>5056</v>
      </c>
      <c r="E21" s="249" t="s">
        <v>3641</v>
      </c>
      <c r="F21" s="255">
        <f>IF(ISBLANK('4C'!L10),"##BLANK",'4C'!L10)</f>
        <v>561.14099999999996</v>
      </c>
    </row>
    <row r="22" spans="2:6">
      <c r="B22" s="219" t="str">
        <f>'4C'!AR10</f>
        <v>B0140ACCBIO</v>
      </c>
      <c r="C22" s="219" t="s">
        <v>5057</v>
      </c>
      <c r="E22" s="249" t="s">
        <v>3641</v>
      </c>
      <c r="F22" s="255">
        <f>IF(ISBLANK('4C'!M10),"##BLANK",'4C'!M10)</f>
        <v>8.9499999999999993</v>
      </c>
    </row>
    <row r="23" spans="2:6">
      <c r="B23" s="219" t="str">
        <f>'4C'!AS10</f>
        <v>B0140ACCTTTH</v>
      </c>
      <c r="C23" s="219" t="s">
        <v>5058</v>
      </c>
      <c r="E23" s="249" t="s">
        <v>3641</v>
      </c>
      <c r="F23" s="255">
        <f>IF(ISBLANK('4C'!N10),"##BLANK",'4C'!N10)</f>
        <v>0</v>
      </c>
    </row>
    <row r="24" spans="2:6">
      <c r="B24" s="219" t="str">
        <f>'4C'!AJ11</f>
        <v>B0141TEWR</v>
      </c>
      <c r="C24" s="219" t="s">
        <v>5059</v>
      </c>
      <c r="E24" s="249" t="s">
        <v>3641</v>
      </c>
      <c r="F24" s="255">
        <f>IF(ISBLANK('4C'!E11),"##BLANK",'4C'!E11)</f>
        <v>0</v>
      </c>
    </row>
    <row r="25" spans="2:6">
      <c r="B25" s="219" t="str">
        <f>'4C'!AK11</f>
        <v>B0141TEWNP</v>
      </c>
      <c r="C25" s="219" t="s">
        <v>5060</v>
      </c>
      <c r="E25" s="249" t="s">
        <v>3641</v>
      </c>
      <c r="F25" s="255">
        <f>IF(ISBLANK('4C'!F11),"##BLANK",'4C'!F11)</f>
        <v>0</v>
      </c>
    </row>
    <row r="26" spans="2:6">
      <c r="B26" s="219" t="str">
        <f>'4C'!AL11</f>
        <v>B0141TEWWNP</v>
      </c>
      <c r="C26" s="219" t="s">
        <v>5061</v>
      </c>
      <c r="E26" s="249" t="s">
        <v>3641</v>
      </c>
      <c r="F26" s="255">
        <f>IF(ISBLANK('4C'!G11),"##BLANK",'4C'!G11)</f>
        <v>0</v>
      </c>
    </row>
    <row r="27" spans="2:6">
      <c r="B27" s="219" t="str">
        <f>'4C'!AM11</f>
        <v>B0141TEBIO</v>
      </c>
      <c r="C27" s="219" t="s">
        <v>5062</v>
      </c>
      <c r="E27" s="249" t="s">
        <v>3641</v>
      </c>
      <c r="F27" s="255">
        <f>IF(ISBLANK('4C'!H11),"##BLANK",'4C'!H11)</f>
        <v>0</v>
      </c>
    </row>
    <row r="28" spans="2:6">
      <c r="B28" s="219" t="str">
        <f>'4C'!AN11</f>
        <v>B0141TETTTH</v>
      </c>
      <c r="C28" s="219" t="s">
        <v>5063</v>
      </c>
      <c r="E28" s="249" t="s">
        <v>3641</v>
      </c>
      <c r="F28" s="255">
        <f>IF(ISBLANK('4C'!I11),"##BLANK",'4C'!I11)</f>
        <v>0</v>
      </c>
    </row>
    <row r="29" spans="2:6">
      <c r="B29" s="219" t="str">
        <f>'4C'!AO11</f>
        <v>B0141TECWR</v>
      </c>
      <c r="C29" s="219" t="s">
        <v>5064</v>
      </c>
      <c r="E29" s="249" t="s">
        <v>3641</v>
      </c>
      <c r="F29" s="255">
        <f>IF(ISBLANK('4C'!J11),"##BLANK",'4C'!J11)</f>
        <v>0</v>
      </c>
    </row>
    <row r="30" spans="2:6">
      <c r="B30" s="219" t="str">
        <f>'4C'!AP11</f>
        <v>B0141TECWNP</v>
      </c>
      <c r="C30" s="219" t="s">
        <v>5065</v>
      </c>
      <c r="E30" s="249" t="s">
        <v>3641</v>
      </c>
      <c r="F30" s="255">
        <f>IF(ISBLANK('4C'!K11),"##BLANK",'4C'!K11)</f>
        <v>0</v>
      </c>
    </row>
    <row r="31" spans="2:6">
      <c r="B31" s="219" t="str">
        <f>'4C'!AQ11</f>
        <v>B0141TECWWNP</v>
      </c>
      <c r="C31" s="219" t="s">
        <v>5066</v>
      </c>
      <c r="E31" s="249" t="s">
        <v>3641</v>
      </c>
      <c r="F31" s="255">
        <f>IF(ISBLANK('4C'!L11),"##BLANK",'4C'!L11)</f>
        <v>0</v>
      </c>
    </row>
    <row r="32" spans="2:6">
      <c r="B32" s="219" t="str">
        <f>'4C'!AR11</f>
        <v>B0141TECBIO</v>
      </c>
      <c r="C32" s="219" t="s">
        <v>5067</v>
      </c>
      <c r="E32" s="249" t="s">
        <v>3641</v>
      </c>
      <c r="F32" s="255">
        <f>IF(ISBLANK('4C'!M11),"##BLANK",'4C'!M11)</f>
        <v>0</v>
      </c>
    </row>
    <row r="33" spans="2:6">
      <c r="B33" s="219" t="str">
        <f>'4C'!AS11</f>
        <v>B0141TECTTTH</v>
      </c>
      <c r="C33" s="219" t="s">
        <v>5068</v>
      </c>
      <c r="E33" s="249" t="s">
        <v>3641</v>
      </c>
      <c r="F33" s="255">
        <f>IF(ISBLANK('4C'!N11),"##BLANK",'4C'!N11)</f>
        <v>0</v>
      </c>
    </row>
    <row r="34" spans="2:6">
      <c r="B34" s="219" t="str">
        <f>'4C'!AJ12</f>
        <v>B0142DCWR</v>
      </c>
      <c r="C34" s="219" t="s">
        <v>5069</v>
      </c>
      <c r="E34" s="249" t="s">
        <v>3641</v>
      </c>
      <c r="F34" s="255">
        <f>IF(ISBLANK('4C'!E12),"##BLANK",'4C'!E12)</f>
        <v>0</v>
      </c>
    </row>
    <row r="35" spans="2:6">
      <c r="B35" s="219" t="str">
        <f>'4C'!AK12</f>
        <v>B0142DCWNP</v>
      </c>
      <c r="C35" s="219" t="s">
        <v>5070</v>
      </c>
      <c r="E35" s="249" t="s">
        <v>3641</v>
      </c>
      <c r="F35" s="255">
        <f>IF(ISBLANK('4C'!F12),"##BLANK",'4C'!F12)</f>
        <v>0.55300000000000005</v>
      </c>
    </row>
    <row r="36" spans="2:6">
      <c r="B36" s="219" t="str">
        <f>'4C'!AL12</f>
        <v>B0142DCWWNP</v>
      </c>
      <c r="C36" s="219" t="s">
        <v>5071</v>
      </c>
      <c r="E36" s="249" t="s">
        <v>3641</v>
      </c>
      <c r="F36" s="255">
        <f>IF(ISBLANK('4C'!G12),"##BLANK",'4C'!G12)</f>
        <v>3.6999999999999998E-2</v>
      </c>
    </row>
    <row r="37" spans="2:6">
      <c r="B37" s="219" t="str">
        <f>'4C'!AM12</f>
        <v>B0142DCBIO</v>
      </c>
      <c r="C37" s="219" t="s">
        <v>5072</v>
      </c>
      <c r="E37" s="249" t="s">
        <v>3641</v>
      </c>
      <c r="F37" s="255">
        <f>IF(ISBLANK('4C'!H12),"##BLANK",'4C'!H12)</f>
        <v>0</v>
      </c>
    </row>
    <row r="38" spans="2:6">
      <c r="B38" s="219" t="str">
        <f>'4C'!AN12</f>
        <v>B0142DCTTTH</v>
      </c>
      <c r="C38" s="219" t="s">
        <v>5073</v>
      </c>
      <c r="E38" s="249" t="s">
        <v>3641</v>
      </c>
      <c r="F38" s="255">
        <f>IF(ISBLANK('4C'!I12),"##BLANK",'4C'!I12)</f>
        <v>0</v>
      </c>
    </row>
    <row r="39" spans="2:6">
      <c r="B39" s="219" t="str">
        <f>'4C'!AO12</f>
        <v>B0142DCCWR</v>
      </c>
      <c r="C39" s="219" t="s">
        <v>5074</v>
      </c>
      <c r="E39" s="249" t="s">
        <v>3641</v>
      </c>
      <c r="F39" s="255">
        <f>IF(ISBLANK('4C'!J12),"##BLANK",'4C'!J12)</f>
        <v>0.158</v>
      </c>
    </row>
    <row r="40" spans="2:6">
      <c r="B40" s="219" t="str">
        <f>'4C'!AP12</f>
        <v>B0142DCCWNP</v>
      </c>
      <c r="C40" s="219" t="s">
        <v>5075</v>
      </c>
      <c r="E40" s="249" t="s">
        <v>3641</v>
      </c>
      <c r="F40" s="255">
        <f>IF(ISBLANK('4C'!K12),"##BLANK",'4C'!K12)</f>
        <v>4.7409999999999997</v>
      </c>
    </row>
    <row r="41" spans="2:6">
      <c r="B41" s="219" t="str">
        <f>'4C'!AQ12</f>
        <v>B0142DCCWWNP</v>
      </c>
      <c r="C41" s="219" t="s">
        <v>5076</v>
      </c>
      <c r="E41" s="249" t="s">
        <v>3641</v>
      </c>
      <c r="F41" s="255">
        <f>IF(ISBLANK('4C'!L12),"##BLANK",'4C'!L12)</f>
        <v>2.8119999999999998</v>
      </c>
    </row>
    <row r="42" spans="2:6">
      <c r="B42" s="219" t="str">
        <f>'4C'!AR12</f>
        <v>B0142DCCBIO</v>
      </c>
      <c r="C42" s="219" t="s">
        <v>5077</v>
      </c>
      <c r="E42" s="249" t="s">
        <v>3641</v>
      </c>
      <c r="F42" s="255">
        <f>IF(ISBLANK('4C'!M12),"##BLANK",'4C'!M12)</f>
        <v>0.248</v>
      </c>
    </row>
    <row r="43" spans="2:6">
      <c r="B43" s="219" t="str">
        <f>'4C'!AS12</f>
        <v>B0142DCCTTTH</v>
      </c>
      <c r="C43" s="219" t="s">
        <v>5078</v>
      </c>
      <c r="E43" s="249" t="s">
        <v>3641</v>
      </c>
      <c r="F43" s="255">
        <f>IF(ISBLANK('4C'!N12),"##BLANK",'4C'!N12)</f>
        <v>0</v>
      </c>
    </row>
    <row r="44" spans="2:6">
      <c r="B44" s="219" t="str">
        <f>'4C'!AJ13</f>
        <v>B0143TAWR</v>
      </c>
      <c r="C44" s="219" t="s">
        <v>5079</v>
      </c>
      <c r="E44" s="249" t="s">
        <v>3641</v>
      </c>
      <c r="F44" s="255">
        <f>IF(ISBLANK('4C'!E13),"##BLANK",'4C'!E13)</f>
        <v>55.222999999999999</v>
      </c>
    </row>
    <row r="45" spans="2:6">
      <c r="B45" s="219" t="str">
        <f>'4C'!AK13</f>
        <v>B0143TAWNP</v>
      </c>
      <c r="C45" s="219" t="s">
        <v>5080</v>
      </c>
      <c r="E45" s="249" t="s">
        <v>3641</v>
      </c>
      <c r="F45" s="255">
        <f>IF(ISBLANK('4C'!F13),"##BLANK",'4C'!F13)</f>
        <v>296.45800000000003</v>
      </c>
    </row>
    <row r="46" spans="2:6">
      <c r="B46" s="219" t="str">
        <f>'4C'!AL13</f>
        <v>B0143TAWWNP</v>
      </c>
      <c r="C46" s="219" t="s">
        <v>5081</v>
      </c>
      <c r="E46" s="249" t="s">
        <v>3641</v>
      </c>
      <c r="F46" s="255">
        <f>IF(ISBLANK('4C'!G13),"##BLANK",'4C'!G13)</f>
        <v>206.304</v>
      </c>
    </row>
    <row r="47" spans="2:6">
      <c r="B47" s="219" t="str">
        <f>'4C'!AM13</f>
        <v>B0143TABIO</v>
      </c>
      <c r="C47" s="219" t="s">
        <v>5082</v>
      </c>
      <c r="E47" s="249" t="s">
        <v>3641</v>
      </c>
      <c r="F47" s="255">
        <f>IF(ISBLANK('4C'!H13),"##BLANK",'4C'!H13)</f>
        <v>2.7440000000000002</v>
      </c>
    </row>
    <row r="48" spans="2:6">
      <c r="B48" s="219" t="str">
        <f>'4C'!AN13</f>
        <v>B0143TATTTH</v>
      </c>
      <c r="C48" s="219" t="s">
        <v>5083</v>
      </c>
      <c r="E48" s="249" t="s">
        <v>3641</v>
      </c>
      <c r="F48" s="255">
        <f>IF(ISBLANK('4C'!I13),"##BLANK",'4C'!I13)</f>
        <v>0</v>
      </c>
    </row>
    <row r="49" spans="2:6">
      <c r="B49" s="219" t="str">
        <f>'4C'!AO13</f>
        <v>B0143TACWR</v>
      </c>
      <c r="C49" s="219" t="s">
        <v>5084</v>
      </c>
      <c r="E49" s="249" t="s">
        <v>3641</v>
      </c>
      <c r="F49" s="255">
        <f>IF(ISBLANK('4C'!J13),"##BLANK",'4C'!J13)</f>
        <v>130.352</v>
      </c>
    </row>
    <row r="50" spans="2:6">
      <c r="B50" s="219" t="str">
        <f>'4C'!AP13</f>
        <v>B0143TACWNP</v>
      </c>
      <c r="C50" s="219" t="s">
        <v>5085</v>
      </c>
      <c r="E50" s="249" t="s">
        <v>3641</v>
      </c>
      <c r="F50" s="255">
        <f>IF(ISBLANK('4C'!K13),"##BLANK",'4C'!K13)</f>
        <v>772.36800000000005</v>
      </c>
    </row>
    <row r="51" spans="2:6">
      <c r="B51" s="219" t="str">
        <f>'4C'!AQ13</f>
        <v>B0143TACWWNP</v>
      </c>
      <c r="C51" s="219" t="s">
        <v>5086</v>
      </c>
      <c r="E51" s="249" t="s">
        <v>3641</v>
      </c>
      <c r="F51" s="255">
        <f>IF(ISBLANK('4C'!L13),"##BLANK",'4C'!L13)</f>
        <v>558.32899999999995</v>
      </c>
    </row>
    <row r="52" spans="2:6">
      <c r="B52" s="219" t="str">
        <f>'4C'!AR13</f>
        <v>B0143TACBIO</v>
      </c>
      <c r="C52" s="219" t="s">
        <v>5087</v>
      </c>
      <c r="E52" s="249" t="s">
        <v>3641</v>
      </c>
      <c r="F52" s="255">
        <f>IF(ISBLANK('4C'!M13),"##BLANK",'4C'!M13)</f>
        <v>8.702</v>
      </c>
    </row>
    <row r="53" spans="2:6">
      <c r="B53" s="219" t="str">
        <f>'4C'!AS13</f>
        <v>B0143TACTTTH</v>
      </c>
      <c r="C53" s="219" t="s">
        <v>5088</v>
      </c>
      <c r="E53" s="249" t="s">
        <v>3641</v>
      </c>
      <c r="F53" s="255">
        <f>IF(ISBLANK('4C'!N13),"##BLANK",'4C'!N13)</f>
        <v>0</v>
      </c>
    </row>
    <row r="54" spans="2:6">
      <c r="B54" s="219" t="str">
        <f>'4C'!AJ14</f>
        <v>B0144VRWR</v>
      </c>
      <c r="C54" s="219" t="s">
        <v>5089</v>
      </c>
      <c r="E54" s="249" t="s">
        <v>3641</v>
      </c>
      <c r="F54" s="255">
        <f>IF(ISBLANK('4C'!E14),"##BLANK",'4C'!E14)</f>
        <v>30.044999999999998</v>
      </c>
    </row>
    <row r="55" spans="2:6">
      <c r="B55" s="219" t="str">
        <f>'4C'!AK14</f>
        <v>B0144VRWNP</v>
      </c>
      <c r="C55" s="219" t="s">
        <v>5090</v>
      </c>
      <c r="E55" s="249" t="s">
        <v>3641</v>
      </c>
      <c r="F55" s="255">
        <f>IF(ISBLANK('4C'!F14),"##BLANK",'4C'!F14)</f>
        <v>11.701000000000022</v>
      </c>
    </row>
    <row r="56" spans="2:6">
      <c r="B56" s="219" t="str">
        <f>'4C'!AL14</f>
        <v>B0144VRWWNP</v>
      </c>
      <c r="C56" s="219" t="s">
        <v>5091</v>
      </c>
      <c r="E56" s="249" t="s">
        <v>3641</v>
      </c>
      <c r="F56" s="255">
        <f>IF(ISBLANK('4C'!G14),"##BLANK",'4C'!G14)</f>
        <v>-13.687999999999988</v>
      </c>
    </row>
    <row r="57" spans="2:6">
      <c r="B57" s="219" t="str">
        <f>'4C'!AM14</f>
        <v>B0144VRBIO</v>
      </c>
      <c r="C57" s="219" t="s">
        <v>5092</v>
      </c>
      <c r="E57" s="249" t="s">
        <v>3641</v>
      </c>
      <c r="F57" s="255">
        <f>IF(ISBLANK('4C'!H14),"##BLANK",'4C'!H14)</f>
        <v>-15.331</v>
      </c>
    </row>
    <row r="58" spans="2:6">
      <c r="B58" s="219" t="str">
        <f>'4C'!AN14</f>
        <v>B0144VRTTTH</v>
      </c>
      <c r="C58" s="219" t="s">
        <v>5093</v>
      </c>
      <c r="E58" s="249" t="s">
        <v>3641</v>
      </c>
      <c r="F58" s="255">
        <f>IF(ISBLANK('4C'!I14),"##BLANK",'4C'!I14)</f>
        <v>0</v>
      </c>
    </row>
    <row r="59" spans="2:6">
      <c r="B59" s="219" t="str">
        <f>'4C'!AO14</f>
        <v>B0144VRCWR</v>
      </c>
      <c r="C59" s="219" t="s">
        <v>5094</v>
      </c>
      <c r="E59" s="249" t="s">
        <v>3641</v>
      </c>
      <c r="F59" s="255">
        <f>IF(ISBLANK('4C'!J14),"##BLANK",'4C'!J14)</f>
        <v>55.459000000000003</v>
      </c>
    </row>
    <row r="60" spans="2:6">
      <c r="B60" s="219" t="str">
        <f>'4C'!AP14</f>
        <v>B0144VRCWNP</v>
      </c>
      <c r="C60" s="219" t="s">
        <v>5095</v>
      </c>
      <c r="E60" s="249" t="s">
        <v>3641</v>
      </c>
      <c r="F60" s="255">
        <f>IF(ISBLANK('4C'!K14),"##BLANK",'4C'!K14)</f>
        <v>-32.361999999999966</v>
      </c>
    </row>
    <row r="61" spans="2:6">
      <c r="B61" s="219" t="str">
        <f>'4C'!AQ14</f>
        <v>B0144VRCWWNP</v>
      </c>
      <c r="C61" s="219" t="s">
        <v>5096</v>
      </c>
      <c r="E61" s="249" t="s">
        <v>3641</v>
      </c>
      <c r="F61" s="255">
        <f>IF(ISBLANK('4C'!L14),"##BLANK",'4C'!L14)</f>
        <v>6.7450000000000045</v>
      </c>
    </row>
    <row r="62" spans="2:6">
      <c r="B62" s="219" t="str">
        <f>'4C'!AR14</f>
        <v>B0144VRCBIO</v>
      </c>
      <c r="C62" s="219" t="s">
        <v>5097</v>
      </c>
      <c r="E62" s="249" t="s">
        <v>3641</v>
      </c>
      <c r="F62" s="255">
        <f>IF(ISBLANK('4C'!M14),"##BLANK",'4C'!M14)</f>
        <v>-42.277000000000001</v>
      </c>
    </row>
    <row r="63" spans="2:6">
      <c r="B63" s="219" t="str">
        <f>'4C'!AS14</f>
        <v>B0144VRCTTTH</v>
      </c>
      <c r="C63" s="219" t="s">
        <v>5098</v>
      </c>
      <c r="E63" s="249" t="s">
        <v>3641</v>
      </c>
      <c r="F63" s="255">
        <f>IF(ISBLANK('4C'!N14),"##BLANK",'4C'!N14)</f>
        <v>0</v>
      </c>
    </row>
    <row r="64" spans="2:6">
      <c r="B64" s="219" t="str">
        <f>'4C'!AJ15</f>
        <v>B0145VTWR</v>
      </c>
      <c r="C64" s="219" t="s">
        <v>5099</v>
      </c>
      <c r="E64" s="249" t="s">
        <v>3641</v>
      </c>
      <c r="F64" s="255">
        <f>IF(ISBLANK('4C'!E15),"##BLANK",'4C'!E15)</f>
        <v>-19.395</v>
      </c>
    </row>
    <row r="65" spans="2:6">
      <c r="B65" s="219" t="str">
        <f>'4C'!AK15</f>
        <v>B0145VTWNP</v>
      </c>
      <c r="C65" s="219" t="s">
        <v>5100</v>
      </c>
      <c r="E65" s="249" t="s">
        <v>3641</v>
      </c>
      <c r="F65" s="255">
        <f>IF(ISBLANK('4C'!F15),"##BLANK",'4C'!F15)</f>
        <v>-1.675</v>
      </c>
    </row>
    <row r="66" spans="2:6">
      <c r="B66" s="219" t="str">
        <f>'4C'!AL15</f>
        <v>B0145VTWWNP</v>
      </c>
      <c r="C66" s="219" t="s">
        <v>5101</v>
      </c>
      <c r="E66" s="249" t="s">
        <v>3641</v>
      </c>
      <c r="F66" s="255">
        <f>IF(ISBLANK('4C'!G15),"##BLANK",'4C'!G15)</f>
        <v>6.335</v>
      </c>
    </row>
    <row r="67" spans="2:6">
      <c r="B67" s="219" t="str">
        <f>'4C'!AM15</f>
        <v>B0145VTBIO</v>
      </c>
      <c r="C67" s="219" t="s">
        <v>5102</v>
      </c>
      <c r="E67" s="249" t="s">
        <v>3641</v>
      </c>
      <c r="F67" s="255">
        <f>IF(ISBLANK('4C'!H15),"##BLANK",'4C'!H15)</f>
        <v>8.7040000000000006</v>
      </c>
    </row>
    <row r="68" spans="2:6">
      <c r="B68" s="219" t="str">
        <f>'4C'!AN15</f>
        <v>B0145VTTTTH</v>
      </c>
      <c r="C68" s="219" t="s">
        <v>5103</v>
      </c>
      <c r="E68" s="249" t="s">
        <v>3641</v>
      </c>
      <c r="F68" s="255">
        <f>IF(ISBLANK('4C'!I15),"##BLANK",'4C'!I15)</f>
        <v>0</v>
      </c>
    </row>
    <row r="69" spans="2:6">
      <c r="B69" s="219" t="str">
        <f>'4C'!AO15</f>
        <v>B0145VTCWR</v>
      </c>
      <c r="C69" s="219" t="s">
        <v>5104</v>
      </c>
      <c r="E69" s="249" t="s">
        <v>3641</v>
      </c>
      <c r="F69" s="255">
        <f>IF(ISBLANK('4C'!J15),"##BLANK",'4C'!J15)</f>
        <v>0</v>
      </c>
    </row>
    <row r="70" spans="2:6">
      <c r="B70" s="219" t="str">
        <f>'4C'!AP15</f>
        <v>B0145VTCWNP</v>
      </c>
      <c r="C70" s="219" t="s">
        <v>5105</v>
      </c>
      <c r="E70" s="249" t="s">
        <v>3641</v>
      </c>
      <c r="F70" s="255">
        <f>IF(ISBLANK('4C'!K15),"##BLANK",'4C'!K15)</f>
        <v>-48.057000000000002</v>
      </c>
    </row>
    <row r="71" spans="2:6">
      <c r="B71" s="219" t="str">
        <f>'4C'!AQ15</f>
        <v>B0145VTCWWNP</v>
      </c>
      <c r="C71" s="219" t="s">
        <v>5106</v>
      </c>
      <c r="E71" s="249" t="s">
        <v>3641</v>
      </c>
      <c r="F71" s="255">
        <f>IF(ISBLANK('4C'!L15),"##BLANK",'4C'!L15)</f>
        <v>0</v>
      </c>
    </row>
    <row r="72" spans="2:6">
      <c r="B72" s="219" t="str">
        <f>'4C'!AR15</f>
        <v>B0145VTCBIO</v>
      </c>
      <c r="C72" s="219" t="s">
        <v>5107</v>
      </c>
      <c r="E72" s="249" t="s">
        <v>3641</v>
      </c>
      <c r="F72" s="255">
        <f>IF(ISBLANK('4C'!M15),"##BLANK",'4C'!M15)</f>
        <v>0</v>
      </c>
    </row>
    <row r="73" spans="2:6">
      <c r="B73" s="219" t="str">
        <f>'4C'!AS15</f>
        <v>B0145VTCTTTH</v>
      </c>
      <c r="C73" s="219" t="s">
        <v>5108</v>
      </c>
      <c r="E73" s="249" t="s">
        <v>3641</v>
      </c>
      <c r="F73" s="255">
        <f>IF(ISBLANK('4C'!N15),"##BLANK",'4C'!N15)</f>
        <v>0</v>
      </c>
    </row>
    <row r="74" spans="2:6">
      <c r="B74" s="219" t="str">
        <f>'4C'!AJ16</f>
        <v>B0146VDWR</v>
      </c>
      <c r="C74" s="219" t="s">
        <v>5109</v>
      </c>
      <c r="E74" s="249" t="s">
        <v>3641</v>
      </c>
      <c r="F74" s="255">
        <f>IF(ISBLANK('4C'!E16),"##BLANK",'4C'!E16)</f>
        <v>49.44</v>
      </c>
    </row>
    <row r="75" spans="2:6">
      <c r="B75" s="219" t="str">
        <f>'4C'!AK16</f>
        <v>B0146VDWNP</v>
      </c>
      <c r="C75" s="219" t="s">
        <v>5110</v>
      </c>
      <c r="E75" s="249" t="s">
        <v>3641</v>
      </c>
      <c r="F75" s="255">
        <f>IF(ISBLANK('4C'!F16),"##BLANK",'4C'!F16)</f>
        <v>13.376000000000023</v>
      </c>
    </row>
    <row r="76" spans="2:6">
      <c r="B76" s="219" t="str">
        <f>'4C'!AL16</f>
        <v>B0146VDWWNP</v>
      </c>
      <c r="C76" s="219" t="s">
        <v>5111</v>
      </c>
      <c r="E76" s="249" t="s">
        <v>3641</v>
      </c>
      <c r="F76" s="255">
        <f>IF(ISBLANK('4C'!G16),"##BLANK",'4C'!G16)</f>
        <v>-20.022999999999989</v>
      </c>
    </row>
    <row r="77" spans="2:6">
      <c r="B77" s="219" t="str">
        <f>'4C'!AM16</f>
        <v>B0146VDBIO</v>
      </c>
      <c r="C77" s="219" t="s">
        <v>5112</v>
      </c>
      <c r="E77" s="249" t="s">
        <v>3641</v>
      </c>
      <c r="F77" s="255">
        <f>IF(ISBLANK('4C'!H16),"##BLANK",'4C'!H16)</f>
        <v>-24.035</v>
      </c>
    </row>
    <row r="78" spans="2:6">
      <c r="B78" s="219" t="str">
        <f>'4C'!AN16</f>
        <v>B0146VDTTTH</v>
      </c>
      <c r="C78" s="219" t="s">
        <v>5113</v>
      </c>
      <c r="E78" s="249" t="s">
        <v>3641</v>
      </c>
      <c r="F78" s="255">
        <f>IF(ISBLANK('4C'!I16),"##BLANK",'4C'!I16)</f>
        <v>0</v>
      </c>
    </row>
    <row r="79" spans="2:6">
      <c r="B79" s="219" t="str">
        <f>'4C'!AO16</f>
        <v>B0146VDCWR</v>
      </c>
      <c r="C79" s="219" t="s">
        <v>5114</v>
      </c>
      <c r="E79" s="249" t="s">
        <v>3641</v>
      </c>
      <c r="F79" s="255">
        <f>IF(ISBLANK('4C'!J16),"##BLANK",'4C'!J16)</f>
        <v>55.459000000000003</v>
      </c>
    </row>
    <row r="80" spans="2:6">
      <c r="B80" s="219" t="str">
        <f>'4C'!AP16</f>
        <v>B0146VDCWNP</v>
      </c>
      <c r="C80" s="219" t="s">
        <v>5115</v>
      </c>
      <c r="E80" s="249" t="s">
        <v>3641</v>
      </c>
      <c r="F80" s="255">
        <f>IF(ISBLANK('4C'!K16),"##BLANK",'4C'!K16)</f>
        <v>15.695000000000036</v>
      </c>
    </row>
    <row r="81" spans="2:6">
      <c r="B81" s="219" t="str">
        <f>'4C'!AQ16</f>
        <v>B0146VDCWWNP</v>
      </c>
      <c r="C81" s="219" t="s">
        <v>5116</v>
      </c>
      <c r="E81" s="249" t="s">
        <v>3641</v>
      </c>
      <c r="F81" s="255">
        <f>IF(ISBLANK('4C'!L16),"##BLANK",'4C'!L16)</f>
        <v>6.7450000000000045</v>
      </c>
    </row>
    <row r="82" spans="2:6">
      <c r="B82" s="219" t="str">
        <f>'4C'!AR16</f>
        <v>B0146VDCBIO</v>
      </c>
      <c r="C82" s="219" t="s">
        <v>5117</v>
      </c>
      <c r="E82" s="249" t="s">
        <v>3641</v>
      </c>
      <c r="F82" s="255">
        <f>IF(ISBLANK('4C'!M16),"##BLANK",'4C'!M16)</f>
        <v>-42.277000000000001</v>
      </c>
    </row>
    <row r="83" spans="2:6">
      <c r="B83" s="219" t="str">
        <f>'4C'!AS16</f>
        <v>B0146VDCTTTH</v>
      </c>
      <c r="C83" s="219" t="s">
        <v>5118</v>
      </c>
      <c r="E83" s="249" t="s">
        <v>3641</v>
      </c>
      <c r="F83" s="255">
        <f>IF(ISBLANK('4C'!N16),"##BLANK",'4C'!N16)</f>
        <v>0</v>
      </c>
    </row>
    <row r="84" spans="2:6">
      <c r="B84" s="254" t="str">
        <f>'4C'!AJ17</f>
        <v>B0166OWR</v>
      </c>
      <c r="C84" s="219" t="s">
        <v>5119</v>
      </c>
      <c r="E84" s="249" t="s">
        <v>3641</v>
      </c>
      <c r="F84" s="255">
        <f>IF(ISBLANK('4C'!E17),"##BLANK",'4C'!E17)</f>
        <v>0.55000000000000004</v>
      </c>
    </row>
    <row r="85" spans="2:6">
      <c r="B85" s="254" t="str">
        <f>'4C'!AK17</f>
        <v>B0166OWNP</v>
      </c>
      <c r="C85" s="219" t="s">
        <v>5120</v>
      </c>
      <c r="E85" s="249" t="s">
        <v>3641</v>
      </c>
      <c r="F85" s="255">
        <f>IF(ISBLANK('4C'!F17),"##BLANK",'4C'!F17)</f>
        <v>0.55000000000000004</v>
      </c>
    </row>
    <row r="86" spans="2:6">
      <c r="B86" s="254" t="str">
        <f>'4C'!AL17</f>
        <v>B0166OWWNP</v>
      </c>
      <c r="C86" s="219" t="s">
        <v>5121</v>
      </c>
      <c r="E86" s="249" t="s">
        <v>3641</v>
      </c>
      <c r="F86" s="255">
        <f>IF(ISBLANK('4C'!G17),"##BLANK",'4C'!G17)</f>
        <v>0.55000000000000004</v>
      </c>
    </row>
    <row r="87" spans="2:6">
      <c r="B87" s="254" t="str">
        <f>'4C'!AM17</f>
        <v>B0166OBIO</v>
      </c>
      <c r="C87" s="219" t="s">
        <v>5122</v>
      </c>
      <c r="E87" s="249" t="s">
        <v>3641</v>
      </c>
      <c r="F87" s="255">
        <f>IF(ISBLANK('4C'!H17),"##BLANK",'4C'!H17)</f>
        <v>0</v>
      </c>
    </row>
    <row r="88" spans="2:6">
      <c r="B88" s="254" t="str">
        <f>'4C'!AN17</f>
        <v>B0166OTTTH</v>
      </c>
      <c r="C88" s="219" t="s">
        <v>5123</v>
      </c>
      <c r="E88" s="249" t="s">
        <v>3641</v>
      </c>
      <c r="F88" s="255">
        <f>IF(ISBLANK('4C'!I17),"##BLANK",'4C'!I17)</f>
        <v>0</v>
      </c>
    </row>
    <row r="89" spans="2:6">
      <c r="B89" s="254" t="str">
        <f>'4C'!AO17</f>
        <v>B0166OCWR</v>
      </c>
      <c r="C89" s="219" t="s">
        <v>5124</v>
      </c>
      <c r="E89" s="249" t="s">
        <v>3641</v>
      </c>
      <c r="F89" s="255">
        <f>IF(ISBLANK('4C'!J17),"##BLANK",'4C'!J17)</f>
        <v>0.55000000000000004</v>
      </c>
    </row>
    <row r="90" spans="2:6">
      <c r="B90" s="254" t="str">
        <f>'4C'!AP17</f>
        <v>B0166OCWNP</v>
      </c>
      <c r="C90" s="219" t="s">
        <v>5125</v>
      </c>
      <c r="E90" s="249" t="s">
        <v>3641</v>
      </c>
      <c r="F90" s="255">
        <f>IF(ISBLANK('4C'!K17),"##BLANK",'4C'!K17)</f>
        <v>0.55000000000000004</v>
      </c>
    </row>
    <row r="91" spans="2:6">
      <c r="B91" s="254" t="str">
        <f>'4C'!AQ17</f>
        <v>B0166OCWWNP</v>
      </c>
      <c r="C91" s="219" t="s">
        <v>5126</v>
      </c>
      <c r="E91" s="249" t="s">
        <v>3641</v>
      </c>
      <c r="F91" s="255">
        <f>IF(ISBLANK('4C'!L17),"##BLANK",'4C'!L17)</f>
        <v>0.55000000000000004</v>
      </c>
    </row>
    <row r="92" spans="2:6">
      <c r="B92" s="254" t="str">
        <f>'4C'!AR17</f>
        <v>B0166OCBIO</v>
      </c>
      <c r="C92" s="219" t="s">
        <v>5127</v>
      </c>
      <c r="E92" s="249" t="s">
        <v>3641</v>
      </c>
      <c r="F92" s="255">
        <f>IF(ISBLANK('4C'!M17),"##BLANK",'4C'!M17)</f>
        <v>0</v>
      </c>
    </row>
    <row r="93" spans="2:6">
      <c r="B93" s="254" t="str">
        <f>'4C'!AS17</f>
        <v>B0166OCTTTH</v>
      </c>
      <c r="C93" s="219" t="s">
        <v>5128</v>
      </c>
      <c r="E93" s="249" t="s">
        <v>3641</v>
      </c>
      <c r="F93" s="255">
        <f>IF(ISBLANK('4C'!N17),"##BLANK",'4C'!N17)</f>
        <v>0</v>
      </c>
    </row>
    <row r="94" spans="2:6">
      <c r="B94" s="254" t="str">
        <f>'4C'!AJ18</f>
        <v>B0167UWR</v>
      </c>
      <c r="C94" s="219" t="s">
        <v>5129</v>
      </c>
      <c r="E94" s="249" t="s">
        <v>3641</v>
      </c>
      <c r="F94" s="255">
        <f>IF(ISBLANK('4C'!E18),"##BLANK",'4C'!E18)</f>
        <v>0.45</v>
      </c>
    </row>
    <row r="95" spans="2:6">
      <c r="B95" s="254" t="str">
        <f>'4C'!AK18</f>
        <v>B0167UWNP</v>
      </c>
      <c r="C95" s="219" t="s">
        <v>5130</v>
      </c>
      <c r="E95" s="249" t="s">
        <v>3641</v>
      </c>
      <c r="F95" s="255">
        <f>IF(ISBLANK('4C'!F18),"##BLANK",'4C'!F18)</f>
        <v>0.45</v>
      </c>
    </row>
    <row r="96" spans="2:6">
      <c r="B96" s="254" t="str">
        <f>'4C'!AL18</f>
        <v>B0167UWWNP</v>
      </c>
      <c r="C96" s="219" t="s">
        <v>5131</v>
      </c>
      <c r="E96" s="249" t="s">
        <v>3641</v>
      </c>
      <c r="F96" s="255">
        <f>IF(ISBLANK('4C'!G18),"##BLANK",'4C'!G18)</f>
        <v>0.45</v>
      </c>
    </row>
    <row r="97" spans="2:6">
      <c r="B97" s="254" t="str">
        <f>'4C'!AM18</f>
        <v>B0167UBIO</v>
      </c>
      <c r="C97" s="219" t="s">
        <v>5132</v>
      </c>
      <c r="E97" s="249" t="s">
        <v>3641</v>
      </c>
      <c r="F97" s="255">
        <f>IF(ISBLANK('4C'!H18),"##BLANK",'4C'!H18)</f>
        <v>0</v>
      </c>
    </row>
    <row r="98" spans="2:6">
      <c r="B98" s="254" t="str">
        <f>'4C'!AN18</f>
        <v>B0167UTTTH</v>
      </c>
      <c r="C98" s="219" t="s">
        <v>5133</v>
      </c>
      <c r="E98" s="249" t="s">
        <v>3641</v>
      </c>
      <c r="F98" s="255">
        <f>IF(ISBLANK('4C'!I18),"##BLANK",'4C'!I18)</f>
        <v>0</v>
      </c>
    </row>
    <row r="99" spans="2:6">
      <c r="B99" s="254" t="str">
        <f>'4C'!AO18</f>
        <v>B0167UCWR</v>
      </c>
      <c r="C99" s="219" t="s">
        <v>5134</v>
      </c>
      <c r="E99" s="249" t="s">
        <v>3641</v>
      </c>
      <c r="F99" s="255">
        <f>IF(ISBLANK('4C'!J18),"##BLANK",'4C'!J18)</f>
        <v>0.45</v>
      </c>
    </row>
    <row r="100" spans="2:6">
      <c r="B100" s="254" t="str">
        <f>'4C'!AP18</f>
        <v>B0167UCWNP</v>
      </c>
      <c r="C100" s="219" t="s">
        <v>5135</v>
      </c>
      <c r="E100" s="249" t="s">
        <v>3641</v>
      </c>
      <c r="F100" s="255">
        <f>IF(ISBLANK('4C'!K18),"##BLANK",'4C'!K18)</f>
        <v>0.45</v>
      </c>
    </row>
    <row r="101" spans="2:6">
      <c r="B101" s="254" t="str">
        <f>'4C'!AQ18</f>
        <v>B0167UCWWNP</v>
      </c>
      <c r="C101" s="219" t="s">
        <v>5136</v>
      </c>
      <c r="E101" s="249" t="s">
        <v>3641</v>
      </c>
      <c r="F101" s="255">
        <f>IF(ISBLANK('4C'!L18),"##BLANK",'4C'!L18)</f>
        <v>0.45</v>
      </c>
    </row>
    <row r="102" spans="2:6">
      <c r="B102" s="254" t="str">
        <f>'4C'!AR18</f>
        <v>B0167UCBIO</v>
      </c>
      <c r="C102" s="219" t="s">
        <v>5137</v>
      </c>
      <c r="E102" s="249" t="s">
        <v>3641</v>
      </c>
      <c r="F102" s="255">
        <f>IF(ISBLANK('4C'!M18),"##BLANK",'4C'!M18)</f>
        <v>0</v>
      </c>
    </row>
    <row r="103" spans="2:6">
      <c r="B103" s="254" t="str">
        <f>'4C'!AS18</f>
        <v>B0167UCTTTH</v>
      </c>
      <c r="C103" s="219" t="s">
        <v>5138</v>
      </c>
      <c r="E103" s="249" t="s">
        <v>3641</v>
      </c>
      <c r="F103" s="255">
        <f>IF(ISBLANK('4C'!N18),"##BLANK",'4C'!N18)</f>
        <v>0</v>
      </c>
    </row>
    <row r="104" spans="2:6">
      <c r="B104" s="219" t="str">
        <f>'4C'!AJ19</f>
        <v>B0168OWR</v>
      </c>
      <c r="C104" s="219" t="s">
        <v>5139</v>
      </c>
      <c r="E104" s="249" t="s">
        <v>3641</v>
      </c>
      <c r="F104" s="255">
        <f>IF(ISBLANK('4C'!E19),"##BLANK",'4C'!E19)</f>
        <v>22.248000000000001</v>
      </c>
    </row>
    <row r="105" spans="2:6">
      <c r="B105" s="219" t="str">
        <f>'4C'!AK19</f>
        <v>B0168OWNP</v>
      </c>
      <c r="C105" s="219" t="s">
        <v>5140</v>
      </c>
      <c r="E105" s="249" t="s">
        <v>3641</v>
      </c>
      <c r="F105" s="255">
        <f>IF(ISBLANK('4C'!F19),"##BLANK",'4C'!F19)</f>
        <v>6.0192000000000103</v>
      </c>
    </row>
    <row r="106" spans="2:6">
      <c r="B106" s="219" t="str">
        <f>'4C'!AL19</f>
        <v>B0168OWWNP</v>
      </c>
      <c r="C106" s="219" t="s">
        <v>5141</v>
      </c>
      <c r="E106" s="249" t="s">
        <v>3641</v>
      </c>
      <c r="F106" s="255">
        <f>IF(ISBLANK('4C'!G19),"##BLANK",'4C'!G19)</f>
        <v>0</v>
      </c>
    </row>
    <row r="107" spans="2:6">
      <c r="B107" s="219" t="str">
        <f>'4C'!AM19</f>
        <v>B0168OBIO</v>
      </c>
      <c r="C107" s="219" t="s">
        <v>5142</v>
      </c>
      <c r="E107" s="249" t="s">
        <v>3641</v>
      </c>
      <c r="F107" s="255">
        <f>IF(ISBLANK('4C'!H19),"##BLANK",'4C'!H19)</f>
        <v>0</v>
      </c>
    </row>
    <row r="108" spans="2:6">
      <c r="B108" s="219" t="str">
        <f>'4C'!AN19</f>
        <v>B0168OTTTH</v>
      </c>
      <c r="C108" s="219" t="s">
        <v>5143</v>
      </c>
      <c r="E108" s="249" t="s">
        <v>3641</v>
      </c>
      <c r="F108" s="255">
        <f>IF(ISBLANK('4C'!I19),"##BLANK",'4C'!I19)</f>
        <v>0</v>
      </c>
    </row>
    <row r="109" spans="2:6">
      <c r="B109" s="219" t="str">
        <f>'4C'!AO19</f>
        <v>B0168OCWR</v>
      </c>
      <c r="C109" s="219" t="s">
        <v>5144</v>
      </c>
      <c r="E109" s="249" t="s">
        <v>3641</v>
      </c>
      <c r="F109" s="255">
        <f>IF(ISBLANK('4C'!J19),"##BLANK",'4C'!J19)</f>
        <v>24.956550000000004</v>
      </c>
    </row>
    <row r="110" spans="2:6">
      <c r="B110" s="219" t="str">
        <f>'4C'!AP19</f>
        <v>B0168OCWNP</v>
      </c>
      <c r="C110" s="219" t="s">
        <v>5145</v>
      </c>
      <c r="E110" s="249" t="s">
        <v>3641</v>
      </c>
      <c r="F110" s="255">
        <f>IF(ISBLANK('4C'!K19),"##BLANK",'4C'!K19)</f>
        <v>7.0627500000000163</v>
      </c>
    </row>
    <row r="111" spans="2:6">
      <c r="B111" s="219" t="str">
        <f>'4C'!AQ19</f>
        <v>B0168OCWWNP</v>
      </c>
      <c r="C111" s="219" t="s">
        <v>5146</v>
      </c>
      <c r="E111" s="249" t="s">
        <v>3641</v>
      </c>
      <c r="F111" s="255">
        <f>IF(ISBLANK('4C'!L19),"##BLANK",'4C'!L19)</f>
        <v>3.0352500000000022</v>
      </c>
    </row>
    <row r="112" spans="2:6">
      <c r="B112" s="219" t="str">
        <f>'4C'!AR19</f>
        <v>B0168OCBIO</v>
      </c>
      <c r="C112" s="219" t="s">
        <v>5147</v>
      </c>
      <c r="E112" s="249" t="s">
        <v>3641</v>
      </c>
      <c r="F112" s="255">
        <f>IF(ISBLANK('4C'!M19),"##BLANK",'4C'!M19)</f>
        <v>0</v>
      </c>
    </row>
    <row r="113" spans="2:6">
      <c r="B113" s="219" t="str">
        <f>'4C'!AS19</f>
        <v>B0168OCTTTH</v>
      </c>
      <c r="C113" s="219" t="s">
        <v>5148</v>
      </c>
      <c r="E113" s="249" t="s">
        <v>3641</v>
      </c>
      <c r="F113" s="255">
        <f>IF(ISBLANK('4C'!N19),"##BLANK",'4C'!N19)</f>
        <v>0</v>
      </c>
    </row>
    <row r="114" spans="2:6">
      <c r="B114" s="219" t="str">
        <f>'4C'!AJ20</f>
        <v>B0169UWR</v>
      </c>
      <c r="C114" s="219" t="s">
        <v>5149</v>
      </c>
      <c r="E114" s="249" t="s">
        <v>3641</v>
      </c>
      <c r="F114" s="255">
        <f>IF(ISBLANK('4C'!E20),"##BLANK",'4C'!E20)</f>
        <v>0</v>
      </c>
    </row>
    <row r="115" spans="2:6">
      <c r="B115" s="219" t="str">
        <f>'4C'!AK20</f>
        <v>B0169UWNP</v>
      </c>
      <c r="C115" s="219" t="s">
        <v>5150</v>
      </c>
      <c r="E115" s="249" t="s">
        <v>3641</v>
      </c>
      <c r="F115" s="255">
        <f>IF(ISBLANK('4C'!F20),"##BLANK",'4C'!F20)</f>
        <v>0</v>
      </c>
    </row>
    <row r="116" spans="2:6">
      <c r="B116" s="219" t="str">
        <f>'4C'!AL20</f>
        <v>B0169UWWNP</v>
      </c>
      <c r="C116" s="219" t="s">
        <v>5151</v>
      </c>
      <c r="E116" s="249" t="s">
        <v>3641</v>
      </c>
      <c r="F116" s="255">
        <f>IF(ISBLANK('4C'!G20),"##BLANK",'4C'!G20)</f>
        <v>-11.012649999999995</v>
      </c>
    </row>
    <row r="117" spans="2:6">
      <c r="B117" s="219" t="str">
        <f>'4C'!AM20</f>
        <v>B0169UBIO</v>
      </c>
      <c r="C117" s="219" t="s">
        <v>5152</v>
      </c>
      <c r="E117" s="249" t="s">
        <v>3641</v>
      </c>
      <c r="F117" s="255">
        <f>IF(ISBLANK('4C'!H20),"##BLANK",'4C'!H20)</f>
        <v>0</v>
      </c>
    </row>
    <row r="118" spans="2:6">
      <c r="B118" s="219" t="str">
        <f>'4C'!AN20</f>
        <v>B0169UTTTH</v>
      </c>
      <c r="C118" s="219" t="s">
        <v>5153</v>
      </c>
      <c r="E118" s="249" t="s">
        <v>3641</v>
      </c>
      <c r="F118" s="255">
        <f>IF(ISBLANK('4C'!I20),"##BLANK",'4C'!I20)</f>
        <v>0</v>
      </c>
    </row>
    <row r="119" spans="2:6">
      <c r="B119" s="219" t="str">
        <f>'4C'!AO20</f>
        <v>B0169UCWR</v>
      </c>
      <c r="C119" s="219" t="s">
        <v>5154</v>
      </c>
      <c r="E119" s="249" t="s">
        <v>3641</v>
      </c>
      <c r="F119" s="255">
        <f>IF(ISBLANK('4C'!J20),"##BLANK",'4C'!J20)</f>
        <v>0</v>
      </c>
    </row>
    <row r="120" spans="2:6">
      <c r="B120" s="219" t="str">
        <f>'4C'!AP20</f>
        <v>B0169UCWNP</v>
      </c>
      <c r="C120" s="219" t="s">
        <v>5155</v>
      </c>
      <c r="E120" s="249" t="s">
        <v>3641</v>
      </c>
      <c r="F120" s="255">
        <f>IF(ISBLANK('4C'!K20),"##BLANK",'4C'!K20)</f>
        <v>0</v>
      </c>
    </row>
    <row r="121" spans="2:6">
      <c r="B121" s="219" t="str">
        <f>'4C'!AQ20</f>
        <v>B0169UCWWNP</v>
      </c>
      <c r="C121" s="219" t="s">
        <v>5156</v>
      </c>
      <c r="E121" s="249" t="s">
        <v>3641</v>
      </c>
      <c r="F121" s="255">
        <f>IF(ISBLANK('4C'!L20),"##BLANK",'4C'!L20)</f>
        <v>0</v>
      </c>
    </row>
    <row r="122" spans="2:6">
      <c r="B122" s="219" t="str">
        <f>'4C'!AR20</f>
        <v>B0169UCBIO</v>
      </c>
      <c r="C122" s="219" t="s">
        <v>5157</v>
      </c>
      <c r="E122" s="249" t="s">
        <v>3641</v>
      </c>
      <c r="F122" s="255">
        <f>IF(ISBLANK('4C'!M20),"##BLANK",'4C'!M20)</f>
        <v>0</v>
      </c>
    </row>
    <row r="123" spans="2:6">
      <c r="B123" s="219" t="str">
        <f>'4C'!AS20</f>
        <v>B0169UCTTTH</v>
      </c>
      <c r="C123" s="219" t="s">
        <v>5158</v>
      </c>
      <c r="E123" s="249" t="s">
        <v>3641</v>
      </c>
      <c r="F123" s="255">
        <f>IF(ISBLANK('4C'!N20),"##BLANK",'4C'!N20)</f>
        <v>0</v>
      </c>
    </row>
    <row r="124" spans="2:6">
      <c r="B124" s="219" t="str">
        <f>'4C'!AJ21</f>
        <v>B0170OWR</v>
      </c>
      <c r="C124" s="219" t="s">
        <v>5159</v>
      </c>
      <c r="E124" s="249" t="s">
        <v>3641</v>
      </c>
      <c r="F124" s="255">
        <f>IF(ISBLANK('4C'!E21),"##BLANK",'4C'!E21)</f>
        <v>27.191999999999997</v>
      </c>
    </row>
    <row r="125" spans="2:6">
      <c r="B125" s="219" t="str">
        <f>'4C'!AK21</f>
        <v>B0170OWNP</v>
      </c>
      <c r="C125" s="219" t="s">
        <v>5160</v>
      </c>
      <c r="E125" s="249" t="s">
        <v>3641</v>
      </c>
      <c r="F125" s="255">
        <f>IF(ISBLANK('4C'!F21),"##BLANK",'4C'!F21)</f>
        <v>7.3568000000000122</v>
      </c>
    </row>
    <row r="126" spans="2:6">
      <c r="B126" s="219" t="str">
        <f>'4C'!AL21</f>
        <v>B0170OWWNP</v>
      </c>
      <c r="C126" s="219" t="s">
        <v>5161</v>
      </c>
      <c r="E126" s="249" t="s">
        <v>3641</v>
      </c>
      <c r="F126" s="255">
        <f>IF(ISBLANK('4C'!G21),"##BLANK",'4C'!G21)</f>
        <v>0</v>
      </c>
    </row>
    <row r="127" spans="2:6">
      <c r="B127" s="219" t="str">
        <f>'4C'!AM21</f>
        <v>B0170OBIO</v>
      </c>
      <c r="C127" s="219" t="s">
        <v>5162</v>
      </c>
      <c r="E127" s="249" t="s">
        <v>3641</v>
      </c>
      <c r="F127" s="255">
        <f>IF(ISBLANK('4C'!H21),"##BLANK",'4C'!H21)</f>
        <v>0</v>
      </c>
    </row>
    <row r="128" spans="2:6">
      <c r="B128" s="219" t="str">
        <f>'4C'!AN21</f>
        <v>B0170OTTTH</v>
      </c>
      <c r="C128" s="219" t="s">
        <v>5163</v>
      </c>
      <c r="E128" s="249" t="s">
        <v>3641</v>
      </c>
      <c r="F128" s="255">
        <f>IF(ISBLANK('4C'!I21),"##BLANK",'4C'!I21)</f>
        <v>0</v>
      </c>
    </row>
    <row r="129" spans="2:6">
      <c r="B129" s="219" t="str">
        <f>'4C'!AO21</f>
        <v>B0170OCWR</v>
      </c>
      <c r="C129" s="219" t="s">
        <v>5164</v>
      </c>
      <c r="E129" s="249" t="s">
        <v>3641</v>
      </c>
      <c r="F129" s="255">
        <f>IF(ISBLANK('4C'!J21),"##BLANK",'4C'!J21)</f>
        <v>30.50245</v>
      </c>
    </row>
    <row r="130" spans="2:6">
      <c r="B130" s="219" t="str">
        <f>'4C'!AP21</f>
        <v>B0170OCWNP</v>
      </c>
      <c r="C130" s="219" t="s">
        <v>5165</v>
      </c>
      <c r="E130" s="249" t="s">
        <v>3641</v>
      </c>
      <c r="F130" s="255">
        <f>IF(ISBLANK('4C'!K21),"##BLANK",'4C'!K21)</f>
        <v>8.6322500000000204</v>
      </c>
    </row>
    <row r="131" spans="2:6">
      <c r="B131" s="219" t="str">
        <f>'4C'!AQ21</f>
        <v>B0170OCWWNP</v>
      </c>
      <c r="C131" s="219" t="s">
        <v>5166</v>
      </c>
      <c r="E131" s="249" t="s">
        <v>3641</v>
      </c>
      <c r="F131" s="255">
        <f>IF(ISBLANK('4C'!L21),"##BLANK",'4C'!L21)</f>
        <v>3.7097500000000023</v>
      </c>
    </row>
    <row r="132" spans="2:6">
      <c r="B132" s="219" t="str">
        <f>'4C'!AR21</f>
        <v>B0170OCBIO</v>
      </c>
      <c r="C132" s="219" t="s">
        <v>5167</v>
      </c>
      <c r="E132" s="249" t="s">
        <v>3641</v>
      </c>
      <c r="F132" s="255">
        <f>IF(ISBLANK('4C'!M21),"##BLANK",'4C'!M21)</f>
        <v>0</v>
      </c>
    </row>
    <row r="133" spans="2:6">
      <c r="B133" s="219" t="str">
        <f>'4C'!AS21</f>
        <v>B0170OCTTTH</v>
      </c>
      <c r="C133" s="219" t="s">
        <v>5168</v>
      </c>
      <c r="E133" s="249" t="s">
        <v>3641</v>
      </c>
      <c r="F133" s="255">
        <f>IF(ISBLANK('4C'!N21),"##BLANK",'4C'!N21)</f>
        <v>0</v>
      </c>
    </row>
    <row r="134" spans="2:6">
      <c r="B134" s="219" t="str">
        <f>'4C'!AJ22</f>
        <v>B0171UWR</v>
      </c>
      <c r="C134" s="219" t="s">
        <v>5169</v>
      </c>
      <c r="E134" s="249" t="s">
        <v>3641</v>
      </c>
      <c r="F134" s="255">
        <f>IF(ISBLANK('4C'!E22),"##BLANK",'4C'!E22)</f>
        <v>0</v>
      </c>
    </row>
    <row r="135" spans="2:6">
      <c r="B135" s="219" t="str">
        <f>'4C'!AK22</f>
        <v>B0171UWNP</v>
      </c>
      <c r="C135" s="219" t="s">
        <v>5170</v>
      </c>
      <c r="E135" s="249" t="s">
        <v>3641</v>
      </c>
      <c r="F135" s="255">
        <f>IF(ISBLANK('4C'!F22),"##BLANK",'4C'!F22)</f>
        <v>0</v>
      </c>
    </row>
    <row r="136" spans="2:6">
      <c r="B136" s="219" t="str">
        <f>'4C'!AL22</f>
        <v>B0171UWWNP</v>
      </c>
      <c r="C136" s="219" t="s">
        <v>5171</v>
      </c>
      <c r="E136" s="249" t="s">
        <v>3641</v>
      </c>
      <c r="F136" s="255">
        <f>IF(ISBLANK('4C'!G22),"##BLANK",'4C'!G22)</f>
        <v>-9.0103499999999936</v>
      </c>
    </row>
    <row r="137" spans="2:6">
      <c r="B137" s="219" t="str">
        <f>'4C'!AM22</f>
        <v>B0171UBIO</v>
      </c>
      <c r="C137" s="219" t="s">
        <v>5172</v>
      </c>
      <c r="E137" s="249" t="s">
        <v>3641</v>
      </c>
      <c r="F137" s="255">
        <f>IF(ISBLANK('4C'!H22),"##BLANK",'4C'!H22)</f>
        <v>-24.035</v>
      </c>
    </row>
    <row r="138" spans="2:6">
      <c r="B138" s="219" t="str">
        <f>'4C'!AN22</f>
        <v>B0171UTTTH</v>
      </c>
      <c r="C138" s="219" t="s">
        <v>5173</v>
      </c>
      <c r="E138" s="249" t="s">
        <v>3641</v>
      </c>
      <c r="F138" s="255">
        <f>IF(ISBLANK('4C'!I22),"##BLANK",'4C'!I22)</f>
        <v>0</v>
      </c>
    </row>
    <row r="139" spans="2:6">
      <c r="B139" s="219" t="str">
        <f>'4C'!AO22</f>
        <v>B0171UCWR</v>
      </c>
      <c r="C139" s="219" t="s">
        <v>5174</v>
      </c>
      <c r="E139" s="249" t="s">
        <v>3641</v>
      </c>
      <c r="F139" s="255">
        <f>IF(ISBLANK('4C'!J22),"##BLANK",'4C'!J22)</f>
        <v>0</v>
      </c>
    </row>
    <row r="140" spans="2:6">
      <c r="B140" s="219" t="str">
        <f>'4C'!AP22</f>
        <v>B0171UCWNP</v>
      </c>
      <c r="C140" s="219" t="s">
        <v>5175</v>
      </c>
      <c r="E140" s="249" t="s">
        <v>3641</v>
      </c>
      <c r="F140" s="255">
        <f>IF(ISBLANK('4C'!K22),"##BLANK",'4C'!K22)</f>
        <v>0</v>
      </c>
    </row>
    <row r="141" spans="2:6">
      <c r="B141" s="219" t="str">
        <f>'4C'!AQ22</f>
        <v>B0171UCWWNP</v>
      </c>
      <c r="C141" s="219" t="s">
        <v>5176</v>
      </c>
      <c r="E141" s="249" t="s">
        <v>3641</v>
      </c>
      <c r="F141" s="255">
        <f>IF(ISBLANK('4C'!L22),"##BLANK",'4C'!L22)</f>
        <v>0</v>
      </c>
    </row>
    <row r="142" spans="2:6">
      <c r="B142" s="219" t="str">
        <f>'4C'!AR22</f>
        <v>B0171UCBIO</v>
      </c>
      <c r="C142" s="219" t="s">
        <v>5177</v>
      </c>
      <c r="E142" s="249" t="s">
        <v>3641</v>
      </c>
      <c r="F142" s="255">
        <f>IF(ISBLANK('4C'!M22),"##BLANK",'4C'!M22)</f>
        <v>-42.277000000000001</v>
      </c>
    </row>
    <row r="143" spans="2:6">
      <c r="B143" s="219" t="str">
        <f>'4C'!AS22</f>
        <v>B0171UCTTTH</v>
      </c>
      <c r="C143" s="219" t="s">
        <v>5178</v>
      </c>
      <c r="E143" s="249" t="s">
        <v>3641</v>
      </c>
      <c r="F143" s="255">
        <f>IF(ISBLANK('4C'!N22),"##BLANK",'4C'!N22)</f>
        <v>0</v>
      </c>
    </row>
    <row r="144" spans="2:6">
      <c r="B144" s="219" t="str">
        <f>'4C'!AJ25</f>
        <v>B0150FDWR</v>
      </c>
      <c r="C144" s="219" t="s">
        <v>5179</v>
      </c>
      <c r="E144" s="249" t="s">
        <v>3641</v>
      </c>
      <c r="F144" s="255">
        <f>IF(ISBLANK('4C'!E25),"##BLANK",'4C'!E25)</f>
        <v>51.341999999999999</v>
      </c>
    </row>
    <row r="145" spans="2:6">
      <c r="B145" s="219" t="str">
        <f>'4C'!AK25</f>
        <v>B0150FDWNP</v>
      </c>
      <c r="C145" s="219" t="s">
        <v>5180</v>
      </c>
      <c r="E145" s="249" t="s">
        <v>3641</v>
      </c>
      <c r="F145" s="255">
        <f>IF(ISBLANK('4C'!F25),"##BLANK",'4C'!F25)</f>
        <v>29.995000000000001</v>
      </c>
    </row>
    <row r="146" spans="2:6">
      <c r="B146" s="219" t="str">
        <f>'4C'!AL25</f>
        <v>B0150FDWWNP</v>
      </c>
      <c r="C146" s="219" t="s">
        <v>5181</v>
      </c>
      <c r="E146" s="249" t="s">
        <v>3641</v>
      </c>
      <c r="F146" s="255">
        <f>IF(ISBLANK('4C'!G25),"##BLANK",'4C'!G25)</f>
        <v>7.8250000000000002</v>
      </c>
    </row>
    <row r="147" spans="2:6">
      <c r="B147" s="219" t="str">
        <f>'4C'!AM25</f>
        <v>B0150FDBIO</v>
      </c>
      <c r="C147" s="219" t="s">
        <v>5182</v>
      </c>
      <c r="E147" s="249" t="s">
        <v>3641</v>
      </c>
      <c r="F147" s="255">
        <f>IF(ISBLANK('4C'!H25),"##BLANK",'4C'!H25)</f>
        <v>1.607</v>
      </c>
    </row>
    <row r="148" spans="2:6">
      <c r="B148" s="219" t="str">
        <f>'4C'!AN25</f>
        <v>B0150FDTTTH</v>
      </c>
      <c r="C148" s="219" t="s">
        <v>5183</v>
      </c>
      <c r="E148" s="249" t="s">
        <v>3641</v>
      </c>
      <c r="F148" s="255">
        <f>IF(ISBLANK('4C'!I25),"##BLANK",'4C'!I25)</f>
        <v>0</v>
      </c>
    </row>
    <row r="149" spans="2:6">
      <c r="B149" s="219" t="str">
        <f>'4C'!AO25</f>
        <v>B0150FDCWR</v>
      </c>
      <c r="C149" s="219" t="s">
        <v>5184</v>
      </c>
      <c r="E149" s="249" t="s">
        <v>3641</v>
      </c>
      <c r="F149" s="255">
        <f>IF(ISBLANK('4C'!J25),"##BLANK",'4C'!J25)</f>
        <v>144.071</v>
      </c>
    </row>
    <row r="150" spans="2:6">
      <c r="B150" s="219" t="str">
        <f>'4C'!AP25</f>
        <v>B0150FDCWNP</v>
      </c>
      <c r="C150" s="219" t="s">
        <v>5185</v>
      </c>
      <c r="E150" s="249" t="s">
        <v>3641</v>
      </c>
      <c r="F150" s="255">
        <f>IF(ISBLANK('4C'!K25),"##BLANK",'4C'!K25)</f>
        <v>84.17</v>
      </c>
    </row>
    <row r="151" spans="2:6">
      <c r="B151" s="219" t="str">
        <f>'4C'!AQ25</f>
        <v>B0150FDCWWNP</v>
      </c>
      <c r="C151" s="219" t="s">
        <v>5186</v>
      </c>
      <c r="E151" s="249" t="s">
        <v>3641</v>
      </c>
      <c r="F151" s="255">
        <f>IF(ISBLANK('4C'!L25),"##BLANK",'4C'!L25)</f>
        <v>21.957999999999998</v>
      </c>
    </row>
    <row r="152" spans="2:6">
      <c r="B152" s="219" t="str">
        <f>'4C'!AR25</f>
        <v>B0150FDCBIO</v>
      </c>
      <c r="C152" s="219" t="s">
        <v>5187</v>
      </c>
      <c r="E152" s="249" t="s">
        <v>3641</v>
      </c>
      <c r="F152" s="255">
        <f>IF(ISBLANK('4C'!M25),"##BLANK",'4C'!M25)</f>
        <v>4.5090000000000003</v>
      </c>
    </row>
    <row r="153" spans="2:6">
      <c r="B153" s="219" t="str">
        <f>'4C'!AS25</f>
        <v>B0150FDCTTTH</v>
      </c>
      <c r="C153" s="219" t="s">
        <v>5188</v>
      </c>
      <c r="E153" s="249" t="s">
        <v>3641</v>
      </c>
      <c r="F153" s="255">
        <f>IF(ISBLANK('4C'!N25),"##BLANK",'4C'!N25)</f>
        <v>0</v>
      </c>
    </row>
    <row r="154" spans="2:6">
      <c r="B154" s="219" t="str">
        <f>'4C'!AJ26</f>
        <v>B0151ATWR</v>
      </c>
      <c r="C154" s="219" t="s">
        <v>5189</v>
      </c>
      <c r="E154" s="249" t="s">
        <v>3641</v>
      </c>
      <c r="F154" s="255">
        <f>IF(ISBLANK('4C'!E26),"##BLANK",'4C'!E26)</f>
        <v>43.786999999999999</v>
      </c>
    </row>
    <row r="155" spans="2:6">
      <c r="B155" s="219" t="str">
        <f>'4C'!AK26</f>
        <v>B0151ATWNP</v>
      </c>
      <c r="C155" s="219" t="s">
        <v>5190</v>
      </c>
      <c r="E155" s="249" t="s">
        <v>3641</v>
      </c>
      <c r="F155" s="255">
        <f>IF(ISBLANK('4C'!F26),"##BLANK",'4C'!F26)</f>
        <v>27.259</v>
      </c>
    </row>
    <row r="156" spans="2:6">
      <c r="B156" s="219" t="str">
        <f>'4C'!AL26</f>
        <v>B0151ATWWNP</v>
      </c>
      <c r="C156" s="219" t="s">
        <v>5191</v>
      </c>
      <c r="E156" s="249" t="s">
        <v>3641</v>
      </c>
      <c r="F156" s="255">
        <f>IF(ISBLANK('4C'!G26),"##BLANK",'4C'!G26)</f>
        <v>7.7169999999999996</v>
      </c>
    </row>
    <row r="157" spans="2:6">
      <c r="B157" s="219" t="str">
        <f>'4C'!AM26</f>
        <v>B0151ATBIO</v>
      </c>
      <c r="C157" s="219" t="s">
        <v>5192</v>
      </c>
      <c r="E157" s="249" t="s">
        <v>3641</v>
      </c>
      <c r="F157" s="255">
        <f>IF(ISBLANK('4C'!H26),"##BLANK",'4C'!H26)</f>
        <v>1.615</v>
      </c>
    </row>
    <row r="158" spans="2:6">
      <c r="B158" s="219" t="str">
        <f>'4C'!AN26</f>
        <v>B0151ATTTTH</v>
      </c>
      <c r="C158" s="219" t="s">
        <v>5193</v>
      </c>
      <c r="E158" s="249" t="s">
        <v>3641</v>
      </c>
      <c r="F158" s="255">
        <f>IF(ISBLANK('4C'!I26),"##BLANK",'4C'!I26)</f>
        <v>0</v>
      </c>
    </row>
    <row r="159" spans="2:6">
      <c r="B159" s="219" t="str">
        <f>'4C'!AO26</f>
        <v>B0151ATCWR</v>
      </c>
      <c r="C159" s="219" t="s">
        <v>5194</v>
      </c>
      <c r="E159" s="249" t="s">
        <v>3641</v>
      </c>
      <c r="F159" s="255">
        <f>IF(ISBLANK('4C'!J26),"##BLANK",'4C'!J26)</f>
        <v>139.178</v>
      </c>
    </row>
    <row r="160" spans="2:6">
      <c r="B160" s="219" t="str">
        <f>'4C'!AP26</f>
        <v>B0151ATCWNP</v>
      </c>
      <c r="C160" s="219" t="s">
        <v>5195</v>
      </c>
      <c r="E160" s="249" t="s">
        <v>3641</v>
      </c>
      <c r="F160" s="255">
        <f>IF(ISBLANK('4C'!K26),"##BLANK",'4C'!K26)</f>
        <v>81.274000000000001</v>
      </c>
    </row>
    <row r="161" spans="2:6">
      <c r="B161" s="219" t="str">
        <f>'4C'!AQ26</f>
        <v>B0151ATCWWNP</v>
      </c>
      <c r="C161" s="219" t="s">
        <v>5196</v>
      </c>
      <c r="E161" s="249" t="s">
        <v>3641</v>
      </c>
      <c r="F161" s="255">
        <f>IF(ISBLANK('4C'!L26),"##BLANK",'4C'!L26)</f>
        <v>19.372</v>
      </c>
    </row>
    <row r="162" spans="2:6">
      <c r="B162" s="219" t="str">
        <f>'4C'!AR26</f>
        <v>B0151ATCBIO</v>
      </c>
      <c r="C162" s="219" t="s">
        <v>5197</v>
      </c>
      <c r="E162" s="249" t="s">
        <v>3641</v>
      </c>
      <c r="F162" s="255">
        <f>IF(ISBLANK('4C'!M26),"##BLANK",'4C'!M26)</f>
        <v>4.0019999999999998</v>
      </c>
    </row>
    <row r="163" spans="2:6">
      <c r="B163" s="219" t="str">
        <f>'4C'!AS26</f>
        <v>B0151ATCTTTH</v>
      </c>
      <c r="C163" s="219" t="s">
        <v>5198</v>
      </c>
      <c r="E163" s="249" t="s">
        <v>3641</v>
      </c>
      <c r="F163" s="255">
        <f>IF(ISBLANK('4C'!N26),"##BLANK",'4C'!N26)</f>
        <v>0</v>
      </c>
    </row>
    <row r="164" spans="2:6">
      <c r="B164" s="219" t="str">
        <f>'4C'!AJ27</f>
        <v>B0152VBWR</v>
      </c>
      <c r="C164" s="219" t="s">
        <v>5199</v>
      </c>
      <c r="E164" s="249" t="s">
        <v>3641</v>
      </c>
      <c r="F164" s="255">
        <f>IF(ISBLANK('4C'!E27),"##BLANK",'4C'!E27)</f>
        <v>-7.5549999999999997</v>
      </c>
    </row>
    <row r="165" spans="2:6">
      <c r="B165" s="219" t="str">
        <f>'4C'!AK27</f>
        <v>B0152VBWNP</v>
      </c>
      <c r="C165" s="219" t="s">
        <v>5200</v>
      </c>
      <c r="E165" s="249" t="s">
        <v>3641</v>
      </c>
      <c r="F165" s="255">
        <f>IF(ISBLANK('4C'!F27),"##BLANK",'4C'!F27)</f>
        <v>-2.7360000000000007</v>
      </c>
    </row>
    <row r="166" spans="2:6">
      <c r="B166" s="219" t="str">
        <f>'4C'!AL27</f>
        <v>B0152VBWWNP</v>
      </c>
      <c r="C166" s="219" t="s">
        <v>5201</v>
      </c>
      <c r="E166" s="249" t="s">
        <v>3641</v>
      </c>
      <c r="F166" s="255">
        <f>IF(ISBLANK('4C'!G27),"##BLANK",'4C'!G27)</f>
        <v>-0.10800000000000054</v>
      </c>
    </row>
    <row r="167" spans="2:6">
      <c r="B167" s="219" t="str">
        <f>'4C'!AM27</f>
        <v>B0152VBBIO</v>
      </c>
      <c r="C167" s="219" t="s">
        <v>5202</v>
      </c>
      <c r="E167" s="249" t="s">
        <v>3641</v>
      </c>
      <c r="F167" s="255">
        <f>IF(ISBLANK('4C'!H27),"##BLANK",'4C'!H27)</f>
        <v>8.0000000000000071E-3</v>
      </c>
    </row>
    <row r="168" spans="2:6">
      <c r="B168" s="219" t="str">
        <f>'4C'!AN27</f>
        <v>B0152VBTTTH</v>
      </c>
      <c r="C168" s="219" t="s">
        <v>5203</v>
      </c>
      <c r="E168" s="249" t="s">
        <v>3641</v>
      </c>
      <c r="F168" s="255">
        <f>IF(ISBLANK('4C'!I27),"##BLANK",'4C'!I27)</f>
        <v>0</v>
      </c>
    </row>
    <row r="169" spans="2:6">
      <c r="B169" s="219" t="str">
        <f>'4C'!AO27</f>
        <v>B0152VBCWR</v>
      </c>
      <c r="C169" s="219" t="s">
        <v>5204</v>
      </c>
      <c r="E169" s="249" t="s">
        <v>3641</v>
      </c>
      <c r="F169" s="255">
        <f>IF(ISBLANK('4C'!J27),"##BLANK",'4C'!J27)</f>
        <v>-4.8930000000000007</v>
      </c>
    </row>
    <row r="170" spans="2:6">
      <c r="B170" s="219" t="str">
        <f>'4C'!AP27</f>
        <v>B0152VBCWNP</v>
      </c>
      <c r="C170" s="219" t="s">
        <v>5205</v>
      </c>
      <c r="E170" s="249" t="s">
        <v>3641</v>
      </c>
      <c r="F170" s="255">
        <f>IF(ISBLANK('4C'!K27),"##BLANK",'4C'!K27)</f>
        <v>-2.8960000000000008</v>
      </c>
    </row>
    <row r="171" spans="2:6">
      <c r="B171" s="219" t="str">
        <f>'4C'!AQ27</f>
        <v>B0152VBCWWNP</v>
      </c>
      <c r="C171" s="219" t="s">
        <v>5206</v>
      </c>
      <c r="E171" s="249" t="s">
        <v>3641</v>
      </c>
      <c r="F171" s="255">
        <f>IF(ISBLANK('4C'!L27),"##BLANK",'4C'!L27)</f>
        <v>-2.5859999999999985</v>
      </c>
    </row>
    <row r="172" spans="2:6">
      <c r="B172" s="219" t="str">
        <f>'4C'!AR27</f>
        <v>B0152VBCBIO</v>
      </c>
      <c r="C172" s="219" t="s">
        <v>5207</v>
      </c>
      <c r="E172" s="249" t="s">
        <v>3641</v>
      </c>
      <c r="F172" s="255">
        <f>IF(ISBLANK('4C'!M27),"##BLANK",'4C'!M27)</f>
        <v>-0.50700000000000056</v>
      </c>
    </row>
    <row r="173" spans="2:6">
      <c r="B173" s="219" t="str">
        <f>'4C'!AS27</f>
        <v>B0152VBCTTTH</v>
      </c>
      <c r="C173" s="219" t="s">
        <v>5208</v>
      </c>
      <c r="E173" s="249" t="s">
        <v>3641</v>
      </c>
      <c r="F173" s="255">
        <f>IF(ISBLANK('4C'!N27),"##BLANK",'4C'!N27)</f>
        <v>0</v>
      </c>
    </row>
    <row r="174" spans="2:6">
      <c r="B174" s="254" t="str">
        <f>'4C'!AJ28</f>
        <v>B0172BRWR</v>
      </c>
      <c r="C174" s="219" t="s">
        <v>5209</v>
      </c>
      <c r="E174" s="249" t="s">
        <v>3641</v>
      </c>
      <c r="F174" s="255">
        <f>IF(ISBLANK('4C'!E28),"##BLANK",'4C'!E28)</f>
        <v>0.82950000000000002</v>
      </c>
    </row>
    <row r="175" spans="2:6">
      <c r="B175" s="254" t="str">
        <f>'4C'!AK28</f>
        <v>B0172BRWNP</v>
      </c>
      <c r="C175" s="219" t="s">
        <v>5210</v>
      </c>
      <c r="E175" s="249" t="s">
        <v>3641</v>
      </c>
      <c r="F175" s="255">
        <f>IF(ISBLANK('4C'!F28),"##BLANK",'4C'!F28)</f>
        <v>0.90139999999999998</v>
      </c>
    </row>
    <row r="176" spans="2:6">
      <c r="B176" s="254" t="str">
        <f>'4C'!AL28</f>
        <v>B0172BRWWNP</v>
      </c>
      <c r="C176" s="219" t="s">
        <v>5211</v>
      </c>
      <c r="E176" s="249" t="s">
        <v>3641</v>
      </c>
      <c r="F176" s="255">
        <f>IF(ISBLANK('4C'!G28),"##BLANK",'4C'!G28)</f>
        <v>0.9</v>
      </c>
    </row>
    <row r="177" spans="2:6">
      <c r="B177" s="254" t="str">
        <f>'4C'!AM28</f>
        <v>B0172BRBIO</v>
      </c>
      <c r="C177" s="219" t="s">
        <v>5212</v>
      </c>
      <c r="E177" s="249" t="s">
        <v>3641</v>
      </c>
      <c r="F177" s="255">
        <f>IF(ISBLANK('4C'!H28),"##BLANK",'4C'!H28)</f>
        <v>0.9</v>
      </c>
    </row>
    <row r="178" spans="2:6">
      <c r="B178" s="254" t="str">
        <f>'4C'!AN28</f>
        <v>B0172BRTTTH</v>
      </c>
      <c r="C178" s="219" t="s">
        <v>5213</v>
      </c>
      <c r="E178" s="249" t="s">
        <v>3641</v>
      </c>
      <c r="F178" s="255">
        <f>IF(ISBLANK('4C'!I28),"##BLANK",'4C'!I28)</f>
        <v>0</v>
      </c>
    </row>
    <row r="179" spans="2:6">
      <c r="B179" s="254" t="str">
        <f>'4C'!AO28</f>
        <v>B0172CBRWR</v>
      </c>
      <c r="C179" s="219" t="s">
        <v>5214</v>
      </c>
      <c r="E179" s="249" t="s">
        <v>3641</v>
      </c>
      <c r="F179" s="255">
        <f>IF(ISBLANK('4C'!J28),"##BLANK",'4C'!J28)</f>
        <v>0.82609999999999995</v>
      </c>
    </row>
    <row r="180" spans="2:6">
      <c r="B180" s="254" t="str">
        <f>'4C'!AP28</f>
        <v>B0172CBRWNP</v>
      </c>
      <c r="C180" s="219" t="s">
        <v>5215</v>
      </c>
      <c r="E180" s="249" t="s">
        <v>3641</v>
      </c>
      <c r="F180" s="255">
        <f>IF(ISBLANK('4C'!K28),"##BLANK",'4C'!K28)</f>
        <v>0.90869999999999995</v>
      </c>
    </row>
    <row r="181" spans="2:6">
      <c r="B181" s="254" t="str">
        <f>'4C'!AQ28</f>
        <v>B0172CBRWWNP</v>
      </c>
      <c r="C181" s="219" t="s">
        <v>5216</v>
      </c>
      <c r="E181" s="249" t="s">
        <v>3641</v>
      </c>
      <c r="F181" s="255">
        <f>IF(ISBLANK('4C'!L28),"##BLANK",'4C'!L28)</f>
        <v>0.9</v>
      </c>
    </row>
    <row r="182" spans="2:6">
      <c r="B182" s="254" t="str">
        <f>'4C'!AR28</f>
        <v>B0172CBRBIO</v>
      </c>
      <c r="C182" s="219" t="s">
        <v>5217</v>
      </c>
      <c r="E182" s="249" t="s">
        <v>3641</v>
      </c>
      <c r="F182" s="241">
        <f>IF(ISBLANK('4C'!M28),"##BLANK",'4C'!M28)</f>
        <v>0.9</v>
      </c>
    </row>
    <row r="183" spans="2:6">
      <c r="B183" s="254" t="str">
        <f>'4C'!AS28</f>
        <v>B0172CBRTTTH</v>
      </c>
      <c r="C183" s="219" t="s">
        <v>5218</v>
      </c>
      <c r="E183" s="249" t="s">
        <v>3641</v>
      </c>
      <c r="F183" s="255">
        <f>IF(ISBLANK('4C'!N28),"##BLANK",'4C'!N28)</f>
        <v>0</v>
      </c>
    </row>
    <row r="184" spans="2:6">
      <c r="B184" s="254" t="str">
        <f>'4C'!AJ29</f>
        <v>B0173ALFWR</v>
      </c>
      <c r="C184" s="219" t="s">
        <v>5219</v>
      </c>
      <c r="E184" s="249" t="s">
        <v>3641</v>
      </c>
      <c r="F184" s="255">
        <f>IF(ISBLANK('4C'!E29),"##BLANK",'4C'!E29)</f>
        <v>0.82669999999999999</v>
      </c>
    </row>
    <row r="185" spans="2:6">
      <c r="B185" s="254" t="str">
        <f>'4C'!AK29</f>
        <v>B0173ALFWNP</v>
      </c>
      <c r="C185" s="219" t="s">
        <v>5220</v>
      </c>
      <c r="E185" s="249" t="s">
        <v>3641</v>
      </c>
      <c r="F185" s="255">
        <f>IF(ISBLANK('4C'!F29),"##BLANK",'4C'!F29)</f>
        <v>0.75</v>
      </c>
    </row>
    <row r="186" spans="2:6">
      <c r="B186" s="254" t="str">
        <f>'4C'!AL29</f>
        <v>B0173ALFWWNP</v>
      </c>
      <c r="C186" s="219" t="s">
        <v>5221</v>
      </c>
      <c r="E186" s="249" t="s">
        <v>3641</v>
      </c>
      <c r="F186" s="255">
        <f>IF(ISBLANK('4C'!G29),"##BLANK",'4C'!G29)</f>
        <v>0.75</v>
      </c>
    </row>
    <row r="187" spans="2:6">
      <c r="B187" s="254" t="str">
        <f>'4C'!AM29</f>
        <v>B0173ALFBIO</v>
      </c>
      <c r="C187" s="219" t="s">
        <v>5222</v>
      </c>
      <c r="E187" s="249" t="s">
        <v>3641</v>
      </c>
      <c r="F187" s="255">
        <f>IF(ISBLANK('4C'!H29),"##BLANK",'4C'!H29)</f>
        <v>0.75</v>
      </c>
    </row>
    <row r="188" spans="2:6">
      <c r="B188" s="254" t="str">
        <f>'4C'!AN29</f>
        <v>B0173ALFTTTH</v>
      </c>
      <c r="C188" s="219" t="s">
        <v>5223</v>
      </c>
      <c r="E188" s="249" t="s">
        <v>3641</v>
      </c>
      <c r="F188" s="255">
        <f>IF(ISBLANK('4C'!I29),"##BLANK",'4C'!I29)</f>
        <v>0</v>
      </c>
    </row>
    <row r="189" spans="2:6">
      <c r="B189" s="254" t="str">
        <f>'4C'!AO29</f>
        <v>B0173CALFWR</v>
      </c>
      <c r="C189" s="219" t="s">
        <v>5224</v>
      </c>
      <c r="E189" s="249" t="s">
        <v>3641</v>
      </c>
      <c r="F189" s="255">
        <f>IF(ISBLANK('4C'!J29),"##BLANK",'4C'!J29)</f>
        <v>0.82669999999999999</v>
      </c>
    </row>
    <row r="190" spans="2:6">
      <c r="B190" s="254" t="str">
        <f>'4C'!AP29</f>
        <v>B0173CALFWNP</v>
      </c>
      <c r="C190" s="219" t="s">
        <v>5225</v>
      </c>
      <c r="E190" s="249" t="s">
        <v>3641</v>
      </c>
      <c r="F190" s="255">
        <f>IF(ISBLANK('4C'!K29),"##BLANK",'4C'!K29)</f>
        <v>0.75</v>
      </c>
    </row>
    <row r="191" spans="2:6">
      <c r="B191" s="254" t="str">
        <f>'4C'!AQ29</f>
        <v>B0173CALFWWNP</v>
      </c>
      <c r="C191" s="219" t="s">
        <v>5226</v>
      </c>
      <c r="E191" s="249" t="s">
        <v>3641</v>
      </c>
      <c r="F191" s="255">
        <f>IF(ISBLANK('4C'!L29),"##BLANK",'4C'!L29)</f>
        <v>0.75</v>
      </c>
    </row>
    <row r="192" spans="2:6">
      <c r="B192" s="254" t="str">
        <f>'4C'!AR29</f>
        <v>B0173CALFBIO</v>
      </c>
      <c r="C192" s="219" t="s">
        <v>5227</v>
      </c>
      <c r="E192" s="249" t="s">
        <v>3641</v>
      </c>
      <c r="F192" s="255">
        <f>IF(ISBLANK('4C'!M29),"##BLANK",'4C'!M29)</f>
        <v>0.75</v>
      </c>
    </row>
    <row r="193" spans="2:6">
      <c r="B193" s="254" t="str">
        <f>'4C'!AS29</f>
        <v>B0173CALFTTTH</v>
      </c>
      <c r="C193" s="219" t="s">
        <v>5228</v>
      </c>
      <c r="E193" s="249" t="s">
        <v>3641</v>
      </c>
      <c r="F193" s="255">
        <f>IF(ISBLANK('4C'!N29),"##BLANK",'4C'!N29)</f>
        <v>0</v>
      </c>
    </row>
    <row r="194" spans="2:6">
      <c r="B194" s="219" t="str">
        <f>'4C'!AJ30</f>
        <v>B0154CWR</v>
      </c>
      <c r="C194" s="219" t="s">
        <v>5229</v>
      </c>
      <c r="E194" s="249" t="s">
        <v>3641</v>
      </c>
      <c r="F194" s="255">
        <f>IF(ISBLANK('4C'!E30),"##BLANK",'4C'!E30)</f>
        <v>-6.2668724999999998</v>
      </c>
    </row>
    <row r="195" spans="2:6">
      <c r="B195" s="219" t="str">
        <f>'4C'!AK30</f>
        <v>B0154CWWNP</v>
      </c>
      <c r="C195" s="219" t="s">
        <v>5230</v>
      </c>
      <c r="E195" s="249" t="s">
        <v>3641</v>
      </c>
      <c r="F195" s="255">
        <f>IF(ISBLANK('4C'!F30),"##BLANK",'4C'!F30)</f>
        <v>-2.4662304000000006</v>
      </c>
    </row>
    <row r="196" spans="2:6">
      <c r="B196" s="219" t="str">
        <f>'4C'!AL30</f>
        <v>B0154CWWWNP</v>
      </c>
      <c r="C196" s="219" t="s">
        <v>5231</v>
      </c>
      <c r="E196" s="249" t="s">
        <v>3641</v>
      </c>
      <c r="F196" s="255">
        <f>IF(ISBLANK('4C'!G30),"##BLANK",'4C'!G30)</f>
        <v>-9.7200000000000494E-2</v>
      </c>
    </row>
    <row r="197" spans="2:6">
      <c r="B197" s="219" t="str">
        <f>'4C'!AM30</f>
        <v>B0154CWBIO</v>
      </c>
      <c r="C197" s="219" t="s">
        <v>5232</v>
      </c>
      <c r="E197" s="249" t="s">
        <v>3641</v>
      </c>
      <c r="F197" s="255">
        <f>IF(ISBLANK('4C'!H30),"##BLANK",'4C'!H30)</f>
        <v>7.2000000000000067E-3</v>
      </c>
    </row>
    <row r="198" spans="2:6">
      <c r="B198" s="219" t="str">
        <f>'4C'!AN30</f>
        <v>B0154CWTTTH</v>
      </c>
      <c r="C198" s="219" t="s">
        <v>5233</v>
      </c>
      <c r="E198" s="249" t="s">
        <v>3641</v>
      </c>
      <c r="F198" s="255">
        <f>IF(ISBLANK('4C'!I30),"##BLANK",'4C'!I30)</f>
        <v>0</v>
      </c>
    </row>
    <row r="199" spans="2:6">
      <c r="B199" s="219" t="str">
        <f>'4C'!AO30</f>
        <v>B0154CWCWR</v>
      </c>
      <c r="C199" s="219" t="s">
        <v>5234</v>
      </c>
      <c r="E199" s="249" t="s">
        <v>3641</v>
      </c>
      <c r="F199" s="255">
        <f>IF(ISBLANK('4C'!J30),"##BLANK",'4C'!J30)</f>
        <v>-4.0421073000000005</v>
      </c>
    </row>
    <row r="200" spans="2:6">
      <c r="B200" s="219" t="str">
        <f>'4C'!AP30</f>
        <v>B0154CWCWNP</v>
      </c>
      <c r="C200" s="219" t="s">
        <v>5235</v>
      </c>
      <c r="E200" s="249" t="s">
        <v>3641</v>
      </c>
      <c r="F200" s="255">
        <f>IF(ISBLANK('4C'!K30),"##BLANK",'4C'!K30)</f>
        <v>-2.6315952000000005</v>
      </c>
    </row>
    <row r="201" spans="2:6">
      <c r="B201" s="219" t="str">
        <f>'4C'!AQ30</f>
        <v>B0154CWCWWNP</v>
      </c>
      <c r="C201" s="219" t="s">
        <v>5236</v>
      </c>
      <c r="E201" s="249" t="s">
        <v>3641</v>
      </c>
      <c r="F201" s="255">
        <f>IF(ISBLANK('4C'!L30),"##BLANK",'4C'!L30)</f>
        <v>-2.3273999999999986</v>
      </c>
    </row>
    <row r="202" spans="2:6">
      <c r="B202" s="219" t="str">
        <f>'4C'!AR30</f>
        <v>B0154CWCBIO</v>
      </c>
      <c r="C202" s="219" t="s">
        <v>5237</v>
      </c>
      <c r="E202" s="249" t="s">
        <v>3641</v>
      </c>
      <c r="F202" s="255">
        <f>IF(ISBLANK('4C'!M30),"##BLANK",'4C'!M30)</f>
        <v>-0.45630000000000054</v>
      </c>
    </row>
    <row r="203" spans="2:6">
      <c r="B203" s="219" t="str">
        <f>'4C'!AS30</f>
        <v>B0154CWCTTTH</v>
      </c>
      <c r="C203" s="219" t="s">
        <v>5238</v>
      </c>
      <c r="E203" s="249" t="s">
        <v>3641</v>
      </c>
      <c r="F203" s="255">
        <f>IF(ISBLANK('4C'!N30),"##BLANK",'4C'!N30)</f>
        <v>0</v>
      </c>
    </row>
    <row r="204" spans="2:6">
      <c r="B204" s="219" t="str">
        <f>'4C'!AJ31</f>
        <v>B0155CTWR</v>
      </c>
      <c r="C204" s="219" t="s">
        <v>5239</v>
      </c>
      <c r="E204" s="249" t="s">
        <v>3641</v>
      </c>
      <c r="F204" s="255">
        <f>IF(ISBLANK('4C'!E31),"##BLANK",'4C'!E31)</f>
        <v>-1.2881274999999999</v>
      </c>
    </row>
    <row r="205" spans="2:6">
      <c r="B205" s="219" t="str">
        <f>'4C'!AK31</f>
        <v>B0155CTWNP</v>
      </c>
      <c r="C205" s="219" t="s">
        <v>5240</v>
      </c>
      <c r="E205" s="249" t="s">
        <v>3641</v>
      </c>
      <c r="F205" s="255">
        <f>IF(ISBLANK('4C'!F31),"##BLANK",'4C'!F31)</f>
        <v>-0.26976960000000005</v>
      </c>
    </row>
    <row r="206" spans="2:6">
      <c r="B206" s="219" t="str">
        <f>'4C'!AL31</f>
        <v>B0155CTWWNP</v>
      </c>
      <c r="C206" s="219" t="s">
        <v>5241</v>
      </c>
      <c r="E206" s="249" t="s">
        <v>3641</v>
      </c>
      <c r="F206" s="255">
        <f>IF(ISBLANK('4C'!G31),"##BLANK",'4C'!G31)</f>
        <v>-1.0800000000000046E-2</v>
      </c>
    </row>
    <row r="207" spans="2:6">
      <c r="B207" s="219" t="str">
        <f>'4C'!AM31</f>
        <v>B0155CTBIO</v>
      </c>
      <c r="C207" s="219" t="s">
        <v>5242</v>
      </c>
      <c r="E207" s="249" t="s">
        <v>3641</v>
      </c>
      <c r="F207" s="255">
        <f>IF(ISBLANK('4C'!H31),"##BLANK",'4C'!H31)</f>
        <v>8.0000000000000036E-4</v>
      </c>
    </row>
    <row r="208" spans="2:6">
      <c r="B208" s="219" t="str">
        <f>'4C'!AN31</f>
        <v>B0155CTTTTH</v>
      </c>
      <c r="C208" s="219" t="s">
        <v>5243</v>
      </c>
      <c r="E208" s="249" t="s">
        <v>3641</v>
      </c>
      <c r="F208" s="255">
        <f>IF(ISBLANK('4C'!I31),"##BLANK",'4C'!I31)</f>
        <v>0</v>
      </c>
    </row>
    <row r="209" spans="2:6">
      <c r="B209" s="219" t="str">
        <f>'4C'!AO31</f>
        <v>B0155CTCWR</v>
      </c>
      <c r="C209" s="219" t="s">
        <v>5244</v>
      </c>
      <c r="E209" s="249" t="s">
        <v>3641</v>
      </c>
      <c r="F209" s="255">
        <f>IF(ISBLANK('4C'!J31),"##BLANK",'4C'!J31)</f>
        <v>-0.85089270000000017</v>
      </c>
    </row>
    <row r="210" spans="2:6">
      <c r="B210" s="219" t="str">
        <f>'4C'!AP31</f>
        <v>B0155CTCWNP</v>
      </c>
      <c r="C210" s="219" t="s">
        <v>5245</v>
      </c>
      <c r="E210" s="249" t="s">
        <v>3641</v>
      </c>
      <c r="F210" s="255">
        <f>IF(ISBLANK('4C'!K31),"##BLANK",'4C'!K31)</f>
        <v>-0.26440480000000033</v>
      </c>
    </row>
    <row r="211" spans="2:6">
      <c r="B211" s="219" t="str">
        <f>'4C'!AQ31</f>
        <v>B0155CTCWWNP</v>
      </c>
      <c r="C211" s="219" t="s">
        <v>5246</v>
      </c>
      <c r="E211" s="249" t="s">
        <v>3641</v>
      </c>
      <c r="F211" s="255">
        <f>IF(ISBLANK('4C'!L31),"##BLANK",'4C'!L31)</f>
        <v>-0.25859999999999994</v>
      </c>
    </row>
    <row r="212" spans="2:6">
      <c r="B212" s="219" t="str">
        <f>'4C'!AR31</f>
        <v>B0155CTCBIO</v>
      </c>
      <c r="C212" s="219" t="s">
        <v>5247</v>
      </c>
      <c r="E212" s="249" t="s">
        <v>3641</v>
      </c>
      <c r="F212" s="255">
        <f>IF(ISBLANK('4C'!M31),"##BLANK",'4C'!M31)</f>
        <v>-5.0700000000000023E-2</v>
      </c>
    </row>
    <row r="213" spans="2:6">
      <c r="B213" s="219" t="str">
        <f>'4C'!AS31</f>
        <v>B0155CTCTTTH</v>
      </c>
      <c r="C213" s="219" t="s">
        <v>5248</v>
      </c>
      <c r="E213" s="249" t="s">
        <v>3641</v>
      </c>
      <c r="F213" s="255">
        <f>IF(ISBLANK('4C'!N31),"##BLANK",'4C'!N31)</f>
        <v>0</v>
      </c>
    </row>
    <row r="214" spans="2:6">
      <c r="B214" s="219" t="str">
        <f>'4C'!AJ34</f>
        <v>B0156FDWR</v>
      </c>
      <c r="C214" s="219" t="s">
        <v>5249</v>
      </c>
      <c r="E214" s="249" t="s">
        <v>3641</v>
      </c>
      <c r="F214" s="255">
        <f>IF(ISBLANK('4C'!E34),"##BLANK",'4C'!E34)</f>
        <v>5.6980000000000004</v>
      </c>
    </row>
    <row r="215" spans="2:6">
      <c r="B215" s="219" t="str">
        <f>'4C'!AK34</f>
        <v>B0156FDWNP</v>
      </c>
      <c r="C215" s="219" t="s">
        <v>5250</v>
      </c>
      <c r="E215" s="249" t="s">
        <v>3641</v>
      </c>
      <c r="F215" s="255">
        <f>IF(ISBLANK('4C'!F34),"##BLANK",'4C'!F34)</f>
        <v>3.778</v>
      </c>
    </row>
    <row r="216" spans="2:6">
      <c r="B216" s="219" t="str">
        <f>'4C'!AL34</f>
        <v>B0156FDWWNP</v>
      </c>
      <c r="C216" s="219" t="s">
        <v>5251</v>
      </c>
      <c r="E216" s="249" t="s">
        <v>3641</v>
      </c>
      <c r="F216" s="255">
        <f>IF(ISBLANK('4C'!G34),"##BLANK",'4C'!G34)</f>
        <v>3.3000000000000002E-2</v>
      </c>
    </row>
    <row r="217" spans="2:6">
      <c r="B217" s="219" t="str">
        <f>'4C'!AM34</f>
        <v>B0156FDBIO</v>
      </c>
      <c r="C217" s="219" t="s">
        <v>5252</v>
      </c>
      <c r="E217" s="249" t="s">
        <v>3641</v>
      </c>
      <c r="F217" s="255">
        <f>IF(ISBLANK('4C'!H34),"##BLANK",'4C'!H34)</f>
        <v>0</v>
      </c>
    </row>
    <row r="218" spans="2:6">
      <c r="B218" s="219" t="str">
        <f>'4C'!AN34</f>
        <v>B0156FDTTTH</v>
      </c>
      <c r="C218" s="219" t="s">
        <v>5253</v>
      </c>
      <c r="E218" s="249" t="s">
        <v>3641</v>
      </c>
      <c r="F218" s="255">
        <f>IF(ISBLANK('4C'!I34),"##BLANK",'4C'!I34)</f>
        <v>0</v>
      </c>
    </row>
    <row r="219" spans="2:6">
      <c r="B219" s="219" t="str">
        <f>'4C'!AO34</f>
        <v>B0156FDCWR</v>
      </c>
      <c r="C219" s="219" t="s">
        <v>5254</v>
      </c>
      <c r="E219" s="249" t="s">
        <v>3641</v>
      </c>
      <c r="F219" s="255">
        <f>IF(ISBLANK('4C'!J34),"##BLANK",'4C'!J34)</f>
        <v>16.315000000000001</v>
      </c>
    </row>
    <row r="220" spans="2:6">
      <c r="B220" s="219" t="str">
        <f>'4C'!AP34</f>
        <v>B0156FDCWNP</v>
      </c>
      <c r="C220" s="219" t="s">
        <v>5255</v>
      </c>
      <c r="E220" s="249" t="s">
        <v>3641</v>
      </c>
      <c r="F220" s="255">
        <f>IF(ISBLANK('4C'!K34),"##BLANK",'4C'!K34)</f>
        <v>12.243</v>
      </c>
    </row>
    <row r="221" spans="2:6">
      <c r="B221" s="219" t="str">
        <f>'4C'!AQ34</f>
        <v>B0156FDCWWNP</v>
      </c>
      <c r="C221" s="219" t="s">
        <v>5256</v>
      </c>
      <c r="E221" s="249" t="s">
        <v>3641</v>
      </c>
      <c r="F221" s="255">
        <f>IF(ISBLANK('4C'!L34),"##BLANK",'4C'!L34)</f>
        <v>0.65500000000000003</v>
      </c>
    </row>
    <row r="222" spans="2:6">
      <c r="B222" s="219" t="str">
        <f>'4C'!AR34</f>
        <v>B0156FDCBIO</v>
      </c>
      <c r="C222" s="219" t="s">
        <v>5257</v>
      </c>
      <c r="E222" s="249" t="s">
        <v>3641</v>
      </c>
      <c r="F222" s="255">
        <f>IF(ISBLANK('4C'!M34),"##BLANK",'4C'!M34)</f>
        <v>4.2000000000000003E-2</v>
      </c>
    </row>
    <row r="223" spans="2:6">
      <c r="B223" s="219" t="str">
        <f>'4C'!AS34</f>
        <v>B0156FDCTTTH</v>
      </c>
      <c r="C223" s="219" t="s">
        <v>5258</v>
      </c>
      <c r="E223" s="249" t="s">
        <v>3641</v>
      </c>
      <c r="F223" s="255">
        <f>IF(ISBLANK('4C'!N34),"##BLANK",'4C'!N34)</f>
        <v>0</v>
      </c>
    </row>
    <row r="224" spans="2:6">
      <c r="B224" s="219" t="str">
        <f>'4C'!AJ35</f>
        <v>B0157ATWR</v>
      </c>
      <c r="C224" s="219" t="s">
        <v>5259</v>
      </c>
      <c r="E224" s="249" t="s">
        <v>3641</v>
      </c>
      <c r="F224" s="255">
        <f>IF(ISBLANK('4C'!E35),"##BLANK",'4C'!E35)</f>
        <v>5.6</v>
      </c>
    </row>
    <row r="225" spans="2:6">
      <c r="B225" s="219" t="str">
        <f>'4C'!AK35</f>
        <v>B0157ATWNP</v>
      </c>
      <c r="C225" s="219" t="s">
        <v>5260</v>
      </c>
      <c r="E225" s="249" t="s">
        <v>3641</v>
      </c>
      <c r="F225" s="255">
        <f>IF(ISBLANK('4C'!F35),"##BLANK",'4C'!F35)</f>
        <v>10.628</v>
      </c>
    </row>
    <row r="226" spans="2:6">
      <c r="B226" s="219" t="str">
        <f>'4C'!AL35</f>
        <v>B0157ATWWNP</v>
      </c>
      <c r="C226" s="219" t="s">
        <v>5261</v>
      </c>
      <c r="E226" s="249" t="s">
        <v>3641</v>
      </c>
      <c r="F226" s="255">
        <f>IF(ISBLANK('4C'!G35),"##BLANK",'4C'!G35)</f>
        <v>1.5349999999999999</v>
      </c>
    </row>
    <row r="227" spans="2:6">
      <c r="B227" s="219" t="str">
        <f>'4C'!AM35</f>
        <v>B0157ATBIO</v>
      </c>
      <c r="C227" s="219" t="s">
        <v>5262</v>
      </c>
      <c r="E227" s="249" t="s">
        <v>3641</v>
      </c>
      <c r="F227" s="255">
        <f>IF(ISBLANK('4C'!H35),"##BLANK",'4C'!H35)</f>
        <v>2E-3</v>
      </c>
    </row>
    <row r="228" spans="2:6">
      <c r="B228" s="219" t="str">
        <f>'4C'!AN35</f>
        <v>B0157ATTTTH</v>
      </c>
      <c r="C228" s="219" t="s">
        <v>5263</v>
      </c>
      <c r="E228" s="249" t="s">
        <v>3641</v>
      </c>
      <c r="F228" s="255">
        <f>IF(ISBLANK('4C'!I35),"##BLANK",'4C'!I35)</f>
        <v>0</v>
      </c>
    </row>
    <row r="229" spans="2:6">
      <c r="B229" s="219" t="str">
        <f>'4C'!AO35</f>
        <v>B0157ATCWR</v>
      </c>
      <c r="C229" s="219" t="s">
        <v>5264</v>
      </c>
      <c r="E229" s="249" t="s">
        <v>3641</v>
      </c>
      <c r="F229" s="255">
        <f>IF(ISBLANK('4C'!J35),"##BLANK",'4C'!J35)</f>
        <v>23.384</v>
      </c>
    </row>
    <row r="230" spans="2:6">
      <c r="B230" s="219" t="str">
        <f>'4C'!AP35</f>
        <v>B0157ATCWNP</v>
      </c>
      <c r="C230" s="219" t="s">
        <v>5265</v>
      </c>
      <c r="E230" s="249" t="s">
        <v>3641</v>
      </c>
      <c r="F230" s="255">
        <f>IF(ISBLANK('4C'!K35),"##BLANK",'4C'!K35)</f>
        <v>31.376000000000001</v>
      </c>
    </row>
    <row r="231" spans="2:6">
      <c r="B231" s="219" t="str">
        <f>'4C'!AQ35</f>
        <v>B0157ATCWWNP</v>
      </c>
      <c r="C231" s="219" t="s">
        <v>5266</v>
      </c>
      <c r="E231" s="249" t="s">
        <v>3641</v>
      </c>
      <c r="F231" s="255">
        <f>IF(ISBLANK('4C'!L35),"##BLANK",'4C'!L35)</f>
        <v>2.4609999999999999</v>
      </c>
    </row>
    <row r="232" spans="2:6">
      <c r="B232" s="219" t="str">
        <f>'4C'!AR35</f>
        <v>B0157ATCBIO</v>
      </c>
      <c r="C232" s="219" t="s">
        <v>5267</v>
      </c>
      <c r="E232" s="249" t="s">
        <v>3641</v>
      </c>
      <c r="F232" s="255">
        <f>IF(ISBLANK('4C'!M35),"##BLANK",'4C'!M35)</f>
        <v>2E-3</v>
      </c>
    </row>
    <row r="233" spans="2:6">
      <c r="B233" s="219" t="str">
        <f>'4C'!AS35</f>
        <v>B0157ATCTTTH</v>
      </c>
      <c r="C233" s="219" t="s">
        <v>5268</v>
      </c>
      <c r="E233" s="249" t="s">
        <v>3641</v>
      </c>
      <c r="F233" s="255">
        <f>IF(ISBLANK('4C'!N35),"##BLANK",'4C'!N35)</f>
        <v>0</v>
      </c>
    </row>
    <row r="234" spans="2:6">
      <c r="B234" s="219" t="str">
        <f>'4C'!AJ36</f>
        <v>B0158VRWR</v>
      </c>
      <c r="C234" s="219" t="s">
        <v>5269</v>
      </c>
      <c r="E234" s="249" t="s">
        <v>3641</v>
      </c>
      <c r="F234" s="255">
        <f>IF(ISBLANK('4C'!E36),"##BLANK",'4C'!E36)</f>
        <v>-9.8000000000000753E-2</v>
      </c>
    </row>
    <row r="235" spans="2:6">
      <c r="B235" s="219" t="str">
        <f>'4C'!AK36</f>
        <v>B0158VRWNP</v>
      </c>
      <c r="C235" s="219" t="s">
        <v>5270</v>
      </c>
      <c r="E235" s="249" t="s">
        <v>3641</v>
      </c>
      <c r="F235" s="255">
        <f>IF(ISBLANK('4C'!F36),"##BLANK",'4C'!F36)</f>
        <v>6.85</v>
      </c>
    </row>
    <row r="236" spans="2:6">
      <c r="B236" s="219" t="str">
        <f>'4C'!AL36</f>
        <v>B0158VRWWNP</v>
      </c>
      <c r="C236" s="219" t="s">
        <v>5271</v>
      </c>
      <c r="E236" s="249" t="s">
        <v>3641</v>
      </c>
      <c r="F236" s="255">
        <f>IF(ISBLANK('4C'!G36),"##BLANK",'4C'!G36)</f>
        <v>1.502</v>
      </c>
    </row>
    <row r="237" spans="2:6">
      <c r="B237" s="219" t="str">
        <f>'4C'!AM36</f>
        <v>B0158VRBIO</v>
      </c>
      <c r="C237" s="219" t="s">
        <v>5272</v>
      </c>
      <c r="E237" s="249" t="s">
        <v>3641</v>
      </c>
      <c r="F237" s="255">
        <f>IF(ISBLANK('4C'!H36),"##BLANK",'4C'!H36)</f>
        <v>2E-3</v>
      </c>
    </row>
    <row r="238" spans="2:6">
      <c r="B238" s="219" t="str">
        <f>'4C'!AN36</f>
        <v>B0158VRTTTH</v>
      </c>
      <c r="C238" s="219" t="s">
        <v>5273</v>
      </c>
      <c r="E238" s="249" t="s">
        <v>3641</v>
      </c>
      <c r="F238" s="255">
        <f>IF(ISBLANK('4C'!I36),"##BLANK",'4C'!I36)</f>
        <v>0</v>
      </c>
    </row>
    <row r="239" spans="2:6">
      <c r="B239" s="219" t="str">
        <f>'4C'!AO36</f>
        <v>B0158VRCWR</v>
      </c>
      <c r="C239" s="219" t="s">
        <v>5274</v>
      </c>
      <c r="E239" s="249" t="s">
        <v>3641</v>
      </c>
      <c r="F239" s="255">
        <f>IF(ISBLANK('4C'!J36),"##BLANK",'4C'!J36)</f>
        <v>7.0689999999999991</v>
      </c>
    </row>
    <row r="240" spans="2:6">
      <c r="B240" s="219" t="str">
        <f>'4C'!AP36</f>
        <v>B0158VRCWNP</v>
      </c>
      <c r="C240" s="219" t="s">
        <v>5275</v>
      </c>
      <c r="E240" s="249" t="s">
        <v>3641</v>
      </c>
      <c r="F240" s="255">
        <f>IF(ISBLANK('4C'!K36),"##BLANK",'4C'!K36)</f>
        <v>19.133000000000003</v>
      </c>
    </row>
    <row r="241" spans="2:6">
      <c r="B241" s="219" t="str">
        <f>'4C'!AQ36</f>
        <v>B0158VRCWWNP</v>
      </c>
      <c r="C241" s="219" t="s">
        <v>5276</v>
      </c>
      <c r="E241" s="249" t="s">
        <v>3641</v>
      </c>
      <c r="F241" s="255">
        <f>IF(ISBLANK('4C'!L36),"##BLANK",'4C'!L36)</f>
        <v>1.8059999999999998</v>
      </c>
    </row>
    <row r="242" spans="2:6">
      <c r="B242" s="219" t="str">
        <f>'4C'!AR36</f>
        <v>B0158VRCBIO</v>
      </c>
      <c r="C242" s="219" t="s">
        <v>5277</v>
      </c>
      <c r="E242" s="249" t="s">
        <v>3641</v>
      </c>
      <c r="F242" s="255">
        <f>IF(ISBLANK('4C'!M36),"##BLANK",'4C'!M36)</f>
        <v>-0.04</v>
      </c>
    </row>
    <row r="243" spans="2:6">
      <c r="B243" s="219" t="str">
        <f>'4C'!AS36</f>
        <v>B0158VRCTTTH</v>
      </c>
      <c r="C243" s="219" t="s">
        <v>5278</v>
      </c>
      <c r="E243" s="249" t="s">
        <v>3641</v>
      </c>
      <c r="F243" s="255">
        <f>IF(ISBLANK('4C'!N36),"##BLANK",'4C'!N36)</f>
        <v>0</v>
      </c>
    </row>
    <row r="244" spans="2:6">
      <c r="B244" s="219" t="str">
        <f>'4C'!AJ38</f>
        <v>B0159CTWR</v>
      </c>
      <c r="C244" s="219" t="s">
        <v>5279</v>
      </c>
      <c r="E244" s="249" t="s">
        <v>3641</v>
      </c>
      <c r="F244" s="255">
        <f>IF(ISBLANK('4C'!E38),"##BLANK",'4C'!E38)</f>
        <v>15.981127500000001</v>
      </c>
    </row>
    <row r="245" spans="2:6">
      <c r="B245" s="219" t="str">
        <f>'4C'!AK38</f>
        <v>B0159CTWNP</v>
      </c>
      <c r="C245" s="219" t="s">
        <v>5280</v>
      </c>
      <c r="E245" s="249" t="s">
        <v>3641</v>
      </c>
      <c r="F245" s="255">
        <f>IF(ISBLANK('4C'!F38),"##BLANK",'4C'!F38)</f>
        <v>3.5529696000000097</v>
      </c>
    </row>
    <row r="246" spans="2:6">
      <c r="B246" s="219" t="str">
        <f>'4C'!AL38</f>
        <v>B0159CTWWNP</v>
      </c>
      <c r="C246" s="219" t="s">
        <v>5281</v>
      </c>
      <c r="E246" s="249" t="s">
        <v>3641</v>
      </c>
      <c r="F246" s="255">
        <f>IF(ISBLANK('4C'!G38),"##BLANK",'4C'!G38)</f>
        <v>-11.109849999999996</v>
      </c>
    </row>
    <row r="247" spans="2:6">
      <c r="B247" s="219" t="str">
        <f>'4C'!AM38</f>
        <v>B0159CTBIO</v>
      </c>
      <c r="C247" s="219" t="s">
        <v>5282</v>
      </c>
      <c r="E247" s="249" t="s">
        <v>3641</v>
      </c>
      <c r="F247" s="255">
        <f>IF(ISBLANK('4C'!H38),"##BLANK",'4C'!H38)</f>
        <v>7.2000000000000067E-3</v>
      </c>
    </row>
    <row r="248" spans="2:6">
      <c r="B248" s="219" t="str">
        <f>'4C'!AN38</f>
        <v>B0159CTTTTH</v>
      </c>
      <c r="C248" s="219" t="s">
        <v>5283</v>
      </c>
      <c r="E248" s="249" t="s">
        <v>3641</v>
      </c>
      <c r="F248" s="255">
        <f>IF(ISBLANK('4C'!I38),"##BLANK",'4C'!I38)</f>
        <v>0</v>
      </c>
    </row>
    <row r="249" spans="2:6">
      <c r="B249" s="219" t="str">
        <f>'4C'!AO38</f>
        <v>B0159CTCWR</v>
      </c>
      <c r="C249" s="219" t="s">
        <v>5284</v>
      </c>
      <c r="E249" s="249" t="s">
        <v>3641</v>
      </c>
      <c r="F249" s="255">
        <f>IF(ISBLANK('4C'!J38),"##BLANK",'4C'!J38)</f>
        <v>20.914442700000002</v>
      </c>
    </row>
    <row r="250" spans="2:6">
      <c r="B250" s="219" t="str">
        <f>'4C'!AP38</f>
        <v>B0159CTCWNP</v>
      </c>
      <c r="C250" s="219" t="s">
        <v>5285</v>
      </c>
      <c r="E250" s="249" t="s">
        <v>3641</v>
      </c>
      <c r="F250" s="255">
        <f>IF(ISBLANK('4C'!K38),"##BLANK",'4C'!K38)</f>
        <v>4.4311548000000158</v>
      </c>
    </row>
    <row r="251" spans="2:6">
      <c r="B251" s="219" t="str">
        <f>'4C'!AQ38</f>
        <v>B0159CTCWWNP</v>
      </c>
      <c r="C251" s="219" t="s">
        <v>5286</v>
      </c>
      <c r="E251" s="249" t="s">
        <v>3641</v>
      </c>
      <c r="F251" s="255">
        <f>IF(ISBLANK('4C'!L38),"##BLANK",'4C'!L38)</f>
        <v>0.70785000000000364</v>
      </c>
    </row>
    <row r="252" spans="2:6">
      <c r="B252" s="219" t="str">
        <f>'4C'!AR38</f>
        <v>B0159CTCBIO</v>
      </c>
      <c r="C252" s="219" t="s">
        <v>5287</v>
      </c>
      <c r="E252" s="249" t="s">
        <v>3641</v>
      </c>
      <c r="F252" s="255">
        <f>IF(ISBLANK('4C'!M38),"##BLANK",'4C'!M38)</f>
        <v>-0.45630000000000054</v>
      </c>
    </row>
    <row r="253" spans="2:6">
      <c r="B253" s="219" t="str">
        <f>'4C'!AS38</f>
        <v>B0159CTCTTTH</v>
      </c>
      <c r="C253" s="219" t="s">
        <v>5288</v>
      </c>
      <c r="E253" s="249" t="s">
        <v>3641</v>
      </c>
      <c r="F253" s="255">
        <f>IF(ISBLANK('4C'!N38),"##BLANK",'4C'!N38)</f>
        <v>0</v>
      </c>
    </row>
    <row r="254" spans="2:6">
      <c r="B254" s="219" t="str">
        <f>'4C'!AJ42</f>
        <v>B0161PGWR</v>
      </c>
      <c r="C254" s="219" t="s">
        <v>5289</v>
      </c>
      <c r="E254" s="249" t="s">
        <v>3641</v>
      </c>
      <c r="F254" s="255">
        <f>IF(ISBLANK('4C'!E42),"##BLANK",'4C'!E42)</f>
        <v>0.91439999999999999</v>
      </c>
    </row>
    <row r="255" spans="2:6">
      <c r="B255" s="219" t="str">
        <f>'4C'!AK42</f>
        <v>B0161PGWNP</v>
      </c>
      <c r="C255" s="219" t="s">
        <v>5290</v>
      </c>
      <c r="E255" s="249" t="s">
        <v>3641</v>
      </c>
      <c r="F255" s="255">
        <f>IF(ISBLANK('4C'!F42),"##BLANK",'4C'!F42)</f>
        <v>0.54469999999999996</v>
      </c>
    </row>
    <row r="256" spans="2:6">
      <c r="B256" s="219" t="str">
        <f>'4C'!AL42</f>
        <v>B0161PGWWNP</v>
      </c>
      <c r="C256" s="219" t="s">
        <v>5291</v>
      </c>
      <c r="E256" s="249" t="s">
        <v>3641</v>
      </c>
      <c r="F256" s="255">
        <f>IF(ISBLANK('4C'!G42),"##BLANK",'4C'!G42)</f>
        <v>0.37709999999999999</v>
      </c>
    </row>
    <row r="257" spans="2:6">
      <c r="B257" s="219" t="str">
        <f>'4C'!AM42</f>
        <v>B0161PGBIO</v>
      </c>
      <c r="C257" s="219" t="s">
        <v>5292</v>
      </c>
      <c r="E257" s="249" t="s">
        <v>3641</v>
      </c>
      <c r="F257" s="255">
        <f>IF(ISBLANK('4C'!H42),"##BLANK",'4C'!H42)</f>
        <v>0.40720000000000001</v>
      </c>
    </row>
    <row r="258" spans="2:6">
      <c r="B258" s="219" t="str">
        <f>'4C'!AN42</f>
        <v>B0161PGTTTH</v>
      </c>
      <c r="C258" s="219" t="s">
        <v>5293</v>
      </c>
      <c r="E258" s="249" t="s">
        <v>3641</v>
      </c>
      <c r="F258" s="255">
        <f>IF(ISBLANK('4C'!I42),"##BLANK",'4C'!I42)</f>
        <v>0</v>
      </c>
    </row>
    <row r="259" spans="2:6">
      <c r="B259" s="219" t="str">
        <f>'4C'!AO42</f>
        <v>B0161PGCWR</v>
      </c>
      <c r="C259" s="219" t="s">
        <v>5294</v>
      </c>
      <c r="E259" s="249" t="s">
        <v>3641</v>
      </c>
      <c r="F259" s="256">
        <f>IF(ISBLANK('4C'!J42),"##BLANK",'4C'!J42)</f>
        <v>0.90100000000000002</v>
      </c>
    </row>
    <row r="260" spans="2:6">
      <c r="B260" s="219" t="str">
        <f>'4C'!AP42</f>
        <v>B0161PGCWNP</v>
      </c>
      <c r="C260" s="219" t="s">
        <v>5295</v>
      </c>
      <c r="E260" s="249" t="s">
        <v>3641</v>
      </c>
      <c r="F260" s="256">
        <f>IF(ISBLANK('4C'!K42),"##BLANK",'4C'!K42)</f>
        <v>0.54620000000000002</v>
      </c>
    </row>
    <row r="261" spans="2:6">
      <c r="B261" s="219" t="str">
        <f>'4C'!AQ42</f>
        <v>B0161PGCWWNP</v>
      </c>
      <c r="C261" s="219" t="s">
        <v>5296</v>
      </c>
      <c r="E261" s="249" t="s">
        <v>3641</v>
      </c>
      <c r="F261" s="256">
        <f>IF(ISBLANK('4C'!L42),"##BLANK",'4C'!L42)</f>
        <v>0.43149999999999999</v>
      </c>
    </row>
    <row r="262" spans="2:6">
      <c r="B262" s="219" t="str">
        <f>'4C'!AR42</f>
        <v>B0161PGCBIO</v>
      </c>
      <c r="C262" s="219" t="s">
        <v>5297</v>
      </c>
      <c r="E262" s="249" t="s">
        <v>3641</v>
      </c>
      <c r="F262" s="256">
        <f>IF(ISBLANK('4C'!M42),"##BLANK",'4C'!M42)</f>
        <v>0.40870000000000001</v>
      </c>
    </row>
    <row r="263" spans="2:6">
      <c r="B263" s="219" t="str">
        <f>'4C'!AS42</f>
        <v>B0161PGCTTTH</v>
      </c>
      <c r="C263" s="219" t="s">
        <v>5298</v>
      </c>
      <c r="E263" s="249" t="s">
        <v>3641</v>
      </c>
      <c r="F263" s="256">
        <f>IF(ISBLANK('4C'!N42),"##BLANK",'4C'!N42)</f>
        <v>0</v>
      </c>
    </row>
    <row r="264" spans="2:6">
      <c r="B264" s="219" t="str">
        <f>'4C'!AJ43</f>
        <v>B0162RVWR</v>
      </c>
      <c r="C264" s="219" t="s">
        <v>5299</v>
      </c>
      <c r="E264" s="249" t="s">
        <v>3641</v>
      </c>
      <c r="F264" s="256">
        <f>IF(ISBLANK('4C'!E43),"##BLANK",'4C'!E43)</f>
        <v>1.3679845140000002</v>
      </c>
    </row>
    <row r="265" spans="2:6">
      <c r="B265" s="219" t="str">
        <f>'4C'!AK43</f>
        <v>B0162RVWNP</v>
      </c>
      <c r="C265" s="219" t="s">
        <v>5300</v>
      </c>
      <c r="E265" s="249" t="s">
        <v>3641</v>
      </c>
      <c r="F265" s="256">
        <f>IF(ISBLANK('4C'!F43),"##BLANK",'4C'!F43)</f>
        <v>1.6176670588800046</v>
      </c>
    </row>
    <row r="266" spans="2:6">
      <c r="B266" s="219" t="str">
        <f>'4C'!AL43</f>
        <v>B0162RVWWNP</v>
      </c>
      <c r="C266" s="219" t="s">
        <v>5301</v>
      </c>
      <c r="E266" s="249" t="s">
        <v>3641</v>
      </c>
      <c r="F266" s="256">
        <f>IF(ISBLANK('4C'!G43),"##BLANK",'4C'!G43)</f>
        <v>-6.920325564999998</v>
      </c>
    </row>
    <row r="267" spans="2:6">
      <c r="B267" s="219" t="str">
        <f>'4C'!AM43</f>
        <v>B0162RVBIO</v>
      </c>
      <c r="C267" s="219" t="s">
        <v>5302</v>
      </c>
      <c r="E267" s="249" t="s">
        <v>3641</v>
      </c>
      <c r="F267" s="256">
        <f>IF(ISBLANK('4C'!H43),"##BLANK",'4C'!H43)</f>
        <v>4.2681600000000043E-3</v>
      </c>
    </row>
    <row r="268" spans="2:6">
      <c r="B268" s="219" t="str">
        <f>'4C'!AN43</f>
        <v>B0162RVTTTH</v>
      </c>
      <c r="C268" s="219" t="s">
        <v>5303</v>
      </c>
      <c r="E268" s="249" t="s">
        <v>3641</v>
      </c>
      <c r="F268" s="256">
        <f>IF(ISBLANK('4C'!I43),"##BLANK",'4C'!I43)</f>
        <v>0</v>
      </c>
    </row>
    <row r="269" spans="2:6">
      <c r="B269" s="219" t="str">
        <f>'4C'!AO43</f>
        <v>B0162RVCWR</v>
      </c>
      <c r="C269" s="219" t="s">
        <v>5304</v>
      </c>
      <c r="E269" s="249" t="s">
        <v>3641</v>
      </c>
      <c r="F269" s="256">
        <f>IF(ISBLANK('4C'!J43),"##BLANK",'4C'!J43)</f>
        <v>2.0705298272999997</v>
      </c>
    </row>
    <row r="270" spans="2:6">
      <c r="B270" s="219" t="str">
        <f>'4C'!AP43</f>
        <v>B0162RVCWNP</v>
      </c>
      <c r="C270" s="219" t="s">
        <v>5305</v>
      </c>
      <c r="E270" s="249" t="s">
        <v>3641</v>
      </c>
      <c r="F270" s="256">
        <f>IF(ISBLANK('4C'!K43),"##BLANK",'4C'!K43)</f>
        <v>2.0108580482400069</v>
      </c>
    </row>
    <row r="271" spans="2:6">
      <c r="B271" s="219" t="str">
        <f>'4C'!AQ43</f>
        <v>B0162RVCWWNP</v>
      </c>
      <c r="C271" s="219" t="s">
        <v>5306</v>
      </c>
      <c r="E271" s="249" t="s">
        <v>3641</v>
      </c>
      <c r="F271" s="256">
        <f>IF(ISBLANK('4C'!L43),"##BLANK",'4C'!L43)</f>
        <v>0.40241272500000208</v>
      </c>
    </row>
    <row r="272" spans="2:6">
      <c r="B272" s="219" t="str">
        <f>'4C'!AR43</f>
        <v>B0162RVCBIO</v>
      </c>
      <c r="C272" s="219" t="s">
        <v>5307</v>
      </c>
      <c r="E272" s="249" t="s">
        <v>3641</v>
      </c>
      <c r="F272" s="256">
        <f>IF(ISBLANK('4C'!M43),"##BLANK",'4C'!M43)</f>
        <v>-0.26981019000000028</v>
      </c>
    </row>
    <row r="273" spans="2:6">
      <c r="B273" s="219" t="str">
        <f>'4C'!AS43</f>
        <v>B0162RVCTTTH</v>
      </c>
      <c r="C273" s="219" t="s">
        <v>5308</v>
      </c>
      <c r="E273" s="249" t="s">
        <v>3641</v>
      </c>
      <c r="F273" s="256">
        <f>IF(ISBLANK('4C'!N43),"##BLANK",'4C'!N43)</f>
        <v>0</v>
      </c>
    </row>
    <row r="274" spans="2:6">
      <c r="B274" s="219" t="str">
        <f>'4C'!AO44</f>
        <v>B0163ODIWR</v>
      </c>
      <c r="C274" s="219" t="s">
        <v>5309</v>
      </c>
      <c r="E274" s="249" t="s">
        <v>3641</v>
      </c>
      <c r="F274" s="256">
        <f>IF(ISBLANK('4C'!J44),"##BLANK",'4C'!J44)</f>
        <v>0</v>
      </c>
    </row>
    <row r="275" spans="2:6">
      <c r="B275" s="219" t="str">
        <f>'4C'!AP44</f>
        <v>B0163ODCWNP</v>
      </c>
      <c r="C275" s="219" t="s">
        <v>5310</v>
      </c>
      <c r="E275" s="249" t="s">
        <v>3641</v>
      </c>
      <c r="F275" s="256">
        <f>IF(ISBLANK('4C'!K44),"##BLANK",'4C'!K44)</f>
        <v>0</v>
      </c>
    </row>
    <row r="276" spans="2:6">
      <c r="B276" s="219" t="str">
        <f>'4C'!AQ44</f>
        <v>B0163ODCWWNP</v>
      </c>
      <c r="C276" s="219" t="s">
        <v>5311</v>
      </c>
      <c r="E276" s="249" t="s">
        <v>3641</v>
      </c>
      <c r="F276" s="256">
        <f>IF(ISBLANK('4C'!L44),"##BLANK",'4C'!L44)</f>
        <v>0</v>
      </c>
    </row>
    <row r="277" spans="2:6">
      <c r="B277" s="219" t="str">
        <f>'4C'!AR44</f>
        <v>B0163ODCBIO</v>
      </c>
      <c r="C277" s="219" t="s">
        <v>5312</v>
      </c>
      <c r="E277" s="249" t="s">
        <v>3641</v>
      </c>
      <c r="F277" s="256">
        <f>IF(ISBLANK('4C'!M44),"##BLANK",'4C'!M44)</f>
        <v>0</v>
      </c>
    </row>
    <row r="278" spans="2:6">
      <c r="B278" s="219" t="str">
        <f>'4C'!AS44</f>
        <v>RCT00588TTT</v>
      </c>
      <c r="C278" s="219" t="s">
        <v>5313</v>
      </c>
      <c r="E278" s="249" t="s">
        <v>3641</v>
      </c>
      <c r="F278" s="256">
        <f>IF(ISBLANK('4C'!N44),"##BLANK",'4C'!N44)</f>
        <v>0</v>
      </c>
    </row>
    <row r="279" spans="2:6">
      <c r="B279" s="219" t="str">
        <f>'4C'!AO46</f>
        <v>B0164RCVWR</v>
      </c>
      <c r="C279" s="219" t="s">
        <v>5314</v>
      </c>
      <c r="E279" s="249" t="s">
        <v>3641</v>
      </c>
      <c r="F279" s="256">
        <f>IF(ISBLANK('4C'!J46),"##BLANK",'4C'!J46)</f>
        <v>340.36099999999999</v>
      </c>
    </row>
    <row r="280" spans="2:6">
      <c r="B280" s="219" t="str">
        <f>'4C'!AP46</f>
        <v>B0164RCCWNP</v>
      </c>
      <c r="C280" s="219" t="s">
        <v>5315</v>
      </c>
      <c r="E280" s="249" t="s">
        <v>3641</v>
      </c>
      <c r="F280" s="256">
        <f>IF(ISBLANK('4C'!K46),"##BLANK",'4C'!K46)</f>
        <v>2259.0219999999999</v>
      </c>
    </row>
    <row r="281" spans="2:6">
      <c r="B281" s="219" t="str">
        <f>'4C'!AQ46</f>
        <v>B0164RCCWWNP</v>
      </c>
      <c r="C281" s="219" t="s">
        <v>5316</v>
      </c>
      <c r="E281" s="249" t="s">
        <v>3641</v>
      </c>
      <c r="F281" s="256">
        <f>IF(ISBLANK('4C'!L46),"##BLANK",'4C'!L46)</f>
        <v>2328.848</v>
      </c>
    </row>
    <row r="282" spans="2:6">
      <c r="B282" s="219" t="str">
        <f>'4C'!AR46</f>
        <v>B0164RCCBIO</v>
      </c>
      <c r="C282" s="219" t="s">
        <v>5317</v>
      </c>
      <c r="E282" s="249" t="s">
        <v>3641</v>
      </c>
      <c r="F282" s="256">
        <f>IF(ISBLANK('4C'!M46),"##BLANK",'4C'!M46)</f>
        <v>169.15299999999999</v>
      </c>
    </row>
    <row r="283" spans="2:6">
      <c r="B283" s="219" t="str">
        <f>'4C'!AS46</f>
        <v>RCT00586TTT</v>
      </c>
      <c r="C283" s="219" t="s">
        <v>5318</v>
      </c>
      <c r="E283" s="249" t="s">
        <v>3641</v>
      </c>
      <c r="F283" s="256">
        <f>IF(ISBLANK('4C'!N46),"##BLANK",'4C'!N46)</f>
        <v>0</v>
      </c>
    </row>
    <row r="284" spans="2:6">
      <c r="B284" s="219" t="str">
        <f>'4C'!AO47</f>
        <v>B0165SRVWR</v>
      </c>
      <c r="C284" s="219" t="s">
        <v>5319</v>
      </c>
      <c r="E284" s="249" t="s">
        <v>3641</v>
      </c>
      <c r="F284" s="256">
        <f>IF(ISBLANK('4C'!J47),"##BLANK",'4C'!J47)</f>
        <v>342.43152982729998</v>
      </c>
    </row>
    <row r="285" spans="2:6">
      <c r="B285" s="219" t="str">
        <f>'4C'!AP47</f>
        <v>B0165SRCWNP</v>
      </c>
      <c r="C285" s="219" t="s">
        <v>5320</v>
      </c>
      <c r="E285" s="249" t="s">
        <v>3641</v>
      </c>
      <c r="F285" s="256">
        <f>IF(ISBLANK('4C'!K47),"##BLANK",'4C'!K47)</f>
        <v>2261.0328580482401</v>
      </c>
    </row>
    <row r="286" spans="2:6">
      <c r="B286" s="219" t="str">
        <f>'4C'!AQ47</f>
        <v>B0165SRCWWNP</v>
      </c>
      <c r="C286" s="219" t="s">
        <v>5321</v>
      </c>
      <c r="E286" s="249" t="s">
        <v>3641</v>
      </c>
      <c r="F286" s="256">
        <f>IF(ISBLANK('4C'!L47),"##BLANK",'4C'!L47)</f>
        <v>2329.2504127249999</v>
      </c>
    </row>
    <row r="287" spans="2:6">
      <c r="B287" s="219" t="str">
        <f>'4C'!AR47</f>
        <v>B0165SRCBIO</v>
      </c>
      <c r="C287" s="219" t="s">
        <v>5322</v>
      </c>
      <c r="E287" s="249" t="s">
        <v>3641</v>
      </c>
      <c r="F287" s="256">
        <f>IF(ISBLANK('4C'!M47),"##BLANK",'4C'!M47)</f>
        <v>168.88318981</v>
      </c>
    </row>
    <row r="288" spans="2:6">
      <c r="B288" s="219" t="str">
        <f>'4C'!AS47</f>
        <v>RCT00589TTT</v>
      </c>
      <c r="C288" s="219" t="s">
        <v>5323</v>
      </c>
      <c r="E288" s="249" t="s">
        <v>3641</v>
      </c>
      <c r="F288" s="256">
        <f>IF(ISBLANK('4C'!N47),"##BLANK",'4C'!N47)</f>
        <v>0</v>
      </c>
    </row>
    <row r="289" spans="2:6">
      <c r="B289" s="219" t="str">
        <f>'4D'!AF9</f>
        <v>B0203TAS</v>
      </c>
      <c r="C289" s="219" t="s">
        <v>5324</v>
      </c>
      <c r="E289" s="249" t="s">
        <v>3641</v>
      </c>
      <c r="F289" s="256">
        <f>IF(ISBLANK('4D'!J9),"##BLANK",'4D'!J9)</f>
        <v>256.875</v>
      </c>
    </row>
    <row r="290" spans="2:6">
      <c r="B290" s="219" t="str">
        <f>'4D'!AF10</f>
        <v>B0204TAS</v>
      </c>
      <c r="C290" s="219" t="s">
        <v>5325</v>
      </c>
      <c r="E290" s="249" t="s">
        <v>3641</v>
      </c>
      <c r="F290" s="256">
        <f>IF(ISBLANK('4D'!J10),"##BLANK",'4D'!J10)</f>
        <v>2.0859999999999999</v>
      </c>
    </row>
    <row r="291" spans="2:6">
      <c r="B291" s="219" t="str">
        <f>'4D'!AA11</f>
        <v>BM320WR_DS</v>
      </c>
      <c r="C291" s="219" t="s">
        <v>5326</v>
      </c>
      <c r="E291" s="249" t="s">
        <v>3641</v>
      </c>
      <c r="F291" s="256">
        <f>IF(ISBLANK('4D'!E11),"##BLANK",'4D'!E11)</f>
        <v>0</v>
      </c>
    </row>
    <row r="292" spans="2:6">
      <c r="B292" s="219" t="str">
        <f>'4D'!AB11</f>
        <v>BM320RWT_DS</v>
      </c>
      <c r="C292" s="219" t="s">
        <v>5327</v>
      </c>
      <c r="E292" s="249" t="s">
        <v>3641</v>
      </c>
      <c r="F292" s="256">
        <f>IF(ISBLANK('4D'!F11),"##BLANK",'4D'!F11)</f>
        <v>0</v>
      </c>
    </row>
    <row r="293" spans="2:6">
      <c r="B293" s="219" t="str">
        <f>'4D'!AC11</f>
        <v>BM320RWS_DS</v>
      </c>
      <c r="C293" s="219" t="s">
        <v>5328</v>
      </c>
      <c r="E293" s="249" t="s">
        <v>3641</v>
      </c>
      <c r="F293" s="256">
        <f>IF(ISBLANK('4D'!G11),"##BLANK",'4D'!G11)</f>
        <v>0</v>
      </c>
    </row>
    <row r="294" spans="2:6">
      <c r="B294" s="219" t="str">
        <f>'4D'!AD11</f>
        <v>BM320WT_DS</v>
      </c>
      <c r="C294" s="219" t="s">
        <v>5329</v>
      </c>
      <c r="E294" s="249" t="s">
        <v>3641</v>
      </c>
      <c r="F294" s="256">
        <f>IF(ISBLANK('4D'!H11),"##BLANK",'4D'!H11)</f>
        <v>0</v>
      </c>
    </row>
    <row r="295" spans="2:6">
      <c r="B295" s="219" t="str">
        <f>'4D'!AE11</f>
        <v>BM320TWD_DS</v>
      </c>
      <c r="C295" s="219" t="s">
        <v>5330</v>
      </c>
      <c r="E295" s="249" t="s">
        <v>3641</v>
      </c>
      <c r="F295" s="256">
        <f>IF(ISBLANK('4D'!I11),"##BLANK",'4D'!I11)</f>
        <v>0</v>
      </c>
    </row>
    <row r="296" spans="2:6">
      <c r="B296" s="219" t="str">
        <f>'4D'!AF11</f>
        <v>BM320TTAS_DS</v>
      </c>
      <c r="C296" s="219" t="s">
        <v>5331</v>
      </c>
      <c r="E296" s="249" t="s">
        <v>3641</v>
      </c>
      <c r="F296" s="256">
        <f>IF(ISBLANK('4D'!J11),"##BLANK",'4D'!J11)</f>
        <v>0</v>
      </c>
    </row>
    <row r="297" spans="2:6">
      <c r="B297" s="219" t="str">
        <f>'4D'!AA12</f>
        <v>BM319WR_4D</v>
      </c>
      <c r="C297" s="219" t="s">
        <v>5332</v>
      </c>
      <c r="E297" s="249" t="s">
        <v>3641</v>
      </c>
      <c r="F297" s="256">
        <f>IF(ISBLANK('4D'!E12),"##BLANK",'4D'!E12)</f>
        <v>74.804999999999993</v>
      </c>
    </row>
    <row r="298" spans="2:6">
      <c r="B298" s="219" t="str">
        <f>'4D'!AB12</f>
        <v>BM319RWT</v>
      </c>
      <c r="C298" s="219" t="s">
        <v>5333</v>
      </c>
      <c r="E298" s="249" t="s">
        <v>3641</v>
      </c>
      <c r="F298" s="256">
        <f>IF(ISBLANK('4D'!F12),"##BLANK",'4D'!F12)</f>
        <v>6.7990000000000004</v>
      </c>
    </row>
    <row r="299" spans="2:6">
      <c r="B299" s="219" t="str">
        <f>'4D'!AC12</f>
        <v>BM319RWS</v>
      </c>
      <c r="C299" s="219" t="s">
        <v>5334</v>
      </c>
      <c r="E299" s="249" t="s">
        <v>3641</v>
      </c>
      <c r="F299" s="256">
        <f>IF(ISBLANK('4D'!G12),"##BLANK",'4D'!G12)</f>
        <v>2.3099999999999996</v>
      </c>
    </row>
    <row r="300" spans="2:6">
      <c r="B300" s="219" t="str">
        <f>'4D'!AD12</f>
        <v>BM319WT</v>
      </c>
      <c r="C300" s="219" t="s">
        <v>5335</v>
      </c>
      <c r="E300" s="249" t="s">
        <v>3641</v>
      </c>
      <c r="F300" s="256">
        <f>IF(ISBLANK('4D'!H12),"##BLANK",'4D'!H12)</f>
        <v>63.78</v>
      </c>
    </row>
    <row r="301" spans="2:6">
      <c r="B301" s="219" t="str">
        <f>'4D'!AE12</f>
        <v>BM319TWD</v>
      </c>
      <c r="C301" s="219" t="s">
        <v>5336</v>
      </c>
      <c r="E301" s="249" t="s">
        <v>3641</v>
      </c>
      <c r="F301" s="256">
        <f>IF(ISBLANK('4D'!I12),"##BLANK",'4D'!I12)</f>
        <v>111.26700000000001</v>
      </c>
    </row>
    <row r="302" spans="2:6">
      <c r="B302" s="219" t="str">
        <f>'4D'!AF12</f>
        <v>BM319TAS</v>
      </c>
      <c r="C302" s="219" t="s">
        <v>5337</v>
      </c>
      <c r="E302" s="249" t="s">
        <v>3641</v>
      </c>
      <c r="F302" s="256">
        <f>IF(ISBLANK('4D'!J12),"##BLANK",'4D'!J12)</f>
        <v>258.96100000000001</v>
      </c>
    </row>
    <row r="303" spans="2:6">
      <c r="B303" s="219" t="str">
        <f>'4D'!AA13</f>
        <v>BM323WR</v>
      </c>
      <c r="C303" s="219" t="s">
        <v>5338</v>
      </c>
      <c r="E303" s="249" t="s">
        <v>3641</v>
      </c>
      <c r="F303" s="256">
        <f>IF(ISBLANK('4D'!E13),"##BLANK",'4D'!E13)</f>
        <v>5.6</v>
      </c>
    </row>
    <row r="304" spans="2:6">
      <c r="B304" s="219" t="str">
        <f>'4D'!AB13</f>
        <v>BM323RWT</v>
      </c>
      <c r="C304" s="219" t="s">
        <v>5339</v>
      </c>
      <c r="E304" s="249" t="s">
        <v>3641</v>
      </c>
      <c r="F304" s="256">
        <f>IF(ISBLANK('4D'!F13),"##BLANK",'4D'!F13)</f>
        <v>1.446</v>
      </c>
    </row>
    <row r="305" spans="2:6">
      <c r="B305" s="219" t="str">
        <f>'4D'!AC13</f>
        <v>BM323RWS</v>
      </c>
      <c r="C305" s="219" t="s">
        <v>5340</v>
      </c>
      <c r="E305" s="249" t="s">
        <v>3641</v>
      </c>
      <c r="F305" s="256">
        <f>IF(ISBLANK('4D'!G13),"##BLANK",'4D'!G13)</f>
        <v>2.4E-2</v>
      </c>
    </row>
    <row r="306" spans="2:6">
      <c r="B306" s="219" t="str">
        <f>'4D'!AD13</f>
        <v>BM323WT</v>
      </c>
      <c r="C306" s="219" t="s">
        <v>5341</v>
      </c>
      <c r="E306" s="249" t="s">
        <v>3641</v>
      </c>
      <c r="F306" s="256">
        <f>IF(ISBLANK('4D'!H13),"##BLANK",'4D'!H13)</f>
        <v>0.52300000000000002</v>
      </c>
    </row>
    <row r="307" spans="2:6">
      <c r="B307" s="219" t="str">
        <f>'4D'!AE13</f>
        <v>BM323TWD</v>
      </c>
      <c r="C307" s="219" t="s">
        <v>5342</v>
      </c>
      <c r="E307" s="249" t="s">
        <v>3641</v>
      </c>
      <c r="F307" s="256">
        <f>IF(ISBLANK('4D'!I13),"##BLANK",'4D'!I13)</f>
        <v>2.0059999999999998</v>
      </c>
    </row>
    <row r="308" spans="2:6">
      <c r="B308" s="219" t="str">
        <f>'4D'!AF13</f>
        <v>BM323TAS</v>
      </c>
      <c r="C308" s="219" t="s">
        <v>5343</v>
      </c>
      <c r="E308" s="249" t="s">
        <v>3641</v>
      </c>
      <c r="F308" s="256">
        <f>IF(ISBLANK('4D'!J13),"##BLANK",'4D'!J13)</f>
        <v>9.5989999999999984</v>
      </c>
    </row>
    <row r="309" spans="2:6">
      <c r="B309" s="219" t="str">
        <f>'4D'!AA14</f>
        <v>BM351WRT</v>
      </c>
      <c r="C309" s="219" t="s">
        <v>5344</v>
      </c>
      <c r="E309" s="249" t="s">
        <v>3641</v>
      </c>
      <c r="F309" s="256">
        <f>IF(ISBLANK('4D'!E14),"##BLANK",'4D'!E14)</f>
        <v>80.404999999999987</v>
      </c>
    </row>
    <row r="310" spans="2:6">
      <c r="B310" s="219" t="str">
        <f>'4D'!AB14</f>
        <v>BM351RWT</v>
      </c>
      <c r="C310" s="219" t="s">
        <v>5345</v>
      </c>
      <c r="E310" s="249" t="s">
        <v>3641</v>
      </c>
      <c r="F310" s="256">
        <f>IF(ISBLANK('4D'!F14),"##BLANK",'4D'!F14)</f>
        <v>8.245000000000001</v>
      </c>
    </row>
    <row r="311" spans="2:6">
      <c r="B311" s="219" t="str">
        <f>'4D'!AC14</f>
        <v>BM351RWS</v>
      </c>
      <c r="C311" s="219" t="s">
        <v>5346</v>
      </c>
      <c r="E311" s="249" t="s">
        <v>3641</v>
      </c>
      <c r="F311" s="256">
        <f>IF(ISBLANK('4D'!G14),"##BLANK",'4D'!G14)</f>
        <v>2.3339999999999996</v>
      </c>
    </row>
    <row r="312" spans="2:6">
      <c r="B312" s="219" t="str">
        <f>'4D'!AD14</f>
        <v>BM351WT</v>
      </c>
      <c r="C312" s="219" t="s">
        <v>5347</v>
      </c>
      <c r="E312" s="249" t="s">
        <v>3641</v>
      </c>
      <c r="F312" s="256">
        <f>IF(ISBLANK('4D'!H14),"##BLANK",'4D'!H14)</f>
        <v>64.302999999999997</v>
      </c>
    </row>
    <row r="313" spans="2:6">
      <c r="B313" s="219" t="str">
        <f>'4D'!AE14</f>
        <v>BM351TWD</v>
      </c>
      <c r="C313" s="219" t="s">
        <v>5348</v>
      </c>
      <c r="E313" s="249" t="s">
        <v>3641</v>
      </c>
      <c r="F313" s="256">
        <f>IF(ISBLANK('4D'!I14),"##BLANK",'4D'!I14)</f>
        <v>113.27300000000001</v>
      </c>
    </row>
    <row r="314" spans="2:6">
      <c r="B314" s="219" t="str">
        <f>'4D'!AF14</f>
        <v>BM351TAS</v>
      </c>
      <c r="C314" s="219" t="s">
        <v>5349</v>
      </c>
      <c r="E314" s="249" t="s">
        <v>3641</v>
      </c>
      <c r="F314" s="256">
        <f>IF(ISBLANK('4D'!J14),"##BLANK",'4D'!J14)</f>
        <v>268.56</v>
      </c>
    </row>
    <row r="315" spans="2:6">
      <c r="B315" s="219" t="str">
        <f>'4D'!AA17</f>
        <v>B0206WR</v>
      </c>
      <c r="C315" s="219" t="s">
        <v>5350</v>
      </c>
      <c r="E315" s="249" t="s">
        <v>3641</v>
      </c>
      <c r="F315" s="256">
        <f>IF(ISBLANK('4D'!E17),"##BLANK",'4D'!E17)</f>
        <v>0</v>
      </c>
    </row>
    <row r="316" spans="2:6">
      <c r="B316" s="219" t="str">
        <f>'4D'!AB17</f>
        <v>B0206RWT</v>
      </c>
      <c r="C316" s="219" t="s">
        <v>5351</v>
      </c>
      <c r="E316" s="249" t="s">
        <v>3641</v>
      </c>
      <c r="F316" s="256">
        <f>IF(ISBLANK('4D'!F17),"##BLANK",'4D'!F17)</f>
        <v>0</v>
      </c>
    </row>
    <row r="317" spans="2:6">
      <c r="B317" s="219" t="str">
        <f>'4D'!AC17</f>
        <v>B0206RWS</v>
      </c>
      <c r="C317" s="219" t="s">
        <v>5352</v>
      </c>
      <c r="E317" s="249" t="s">
        <v>3641</v>
      </c>
      <c r="F317" s="256">
        <f>IF(ISBLANK('4D'!G17),"##BLANK",'4D'!G17)</f>
        <v>0</v>
      </c>
    </row>
    <row r="318" spans="2:6">
      <c r="B318" s="219" t="str">
        <f>'4D'!AD17</f>
        <v>B0206WT</v>
      </c>
      <c r="C318" s="219" t="s">
        <v>5353</v>
      </c>
      <c r="E318" s="249" t="s">
        <v>3641</v>
      </c>
      <c r="F318" s="256">
        <f>IF(ISBLANK('4D'!H17),"##BLANK",'4D'!H17)</f>
        <v>0</v>
      </c>
    </row>
    <row r="319" spans="2:6">
      <c r="B319" s="219" t="str">
        <f>'4D'!AE17</f>
        <v>B0206TWD</v>
      </c>
      <c r="C319" s="219" t="s">
        <v>5354</v>
      </c>
      <c r="E319" s="249" t="s">
        <v>3641</v>
      </c>
      <c r="F319" s="256">
        <f>IF(ISBLANK('4D'!I17),"##BLANK",'4D'!I17)</f>
        <v>0</v>
      </c>
    </row>
    <row r="320" spans="2:6">
      <c r="B320" s="219" t="str">
        <f>'4D'!AF17</f>
        <v>B0206TAS</v>
      </c>
      <c r="C320" s="219" t="s">
        <v>5355</v>
      </c>
      <c r="E320" s="249" t="s">
        <v>3641</v>
      </c>
      <c r="F320" s="256">
        <f>IF(ISBLANK('4D'!J17),"##BLANK",'4D'!J17)</f>
        <v>0</v>
      </c>
    </row>
    <row r="321" spans="2:6">
      <c r="B321" s="219" t="str">
        <f>'4D'!AF20</f>
        <v>B0207TAS</v>
      </c>
      <c r="C321" s="219" t="s">
        <v>5356</v>
      </c>
      <c r="E321" s="249" t="s">
        <v>3641</v>
      </c>
      <c r="F321" s="256">
        <f>IF(ISBLANK('4D'!J20),"##BLANK",'4D'!J20)</f>
        <v>139.11799999999999</v>
      </c>
    </row>
    <row r="322" spans="2:6">
      <c r="B322" s="219" t="str">
        <f>'4D'!AF21</f>
        <v>B0208TAS</v>
      </c>
      <c r="C322" s="219" t="s">
        <v>5357</v>
      </c>
      <c r="E322" s="249" t="s">
        <v>3641</v>
      </c>
      <c r="F322" s="256">
        <f>IF(ISBLANK('4D'!J21),"##BLANK",'4D'!J21)</f>
        <v>24.446999999999999</v>
      </c>
    </row>
    <row r="323" spans="2:6">
      <c r="B323" s="219" t="str">
        <f>'4D'!AA22</f>
        <v>B0291TDS_WR</v>
      </c>
      <c r="C323" s="219" t="s">
        <v>5358</v>
      </c>
      <c r="E323" s="249" t="s">
        <v>3641</v>
      </c>
      <c r="F323" s="256">
        <f>IF(ISBLANK('4D'!E22),"##BLANK",'4D'!E22)</f>
        <v>0</v>
      </c>
    </row>
    <row r="324" spans="2:6">
      <c r="B324" s="219" t="str">
        <f>'4D'!AB22</f>
        <v>B0291TDS_RWT</v>
      </c>
      <c r="C324" s="219" t="s">
        <v>5359</v>
      </c>
      <c r="E324" s="249" t="s">
        <v>3641</v>
      </c>
      <c r="F324" s="256">
        <f>IF(ISBLANK('4D'!F22),"##BLANK",'4D'!F22)</f>
        <v>0</v>
      </c>
    </row>
    <row r="325" spans="2:6">
      <c r="B325" s="219" t="str">
        <f>'4D'!AC22</f>
        <v>B0291TDS_RWS</v>
      </c>
      <c r="C325" s="219" t="s">
        <v>5360</v>
      </c>
      <c r="E325" s="249" t="s">
        <v>3641</v>
      </c>
      <c r="F325" s="256">
        <f>IF(ISBLANK('4D'!G22),"##BLANK",'4D'!G22)</f>
        <v>0</v>
      </c>
    </row>
    <row r="326" spans="2:6">
      <c r="B326" s="219" t="str">
        <f>'4D'!AD22</f>
        <v>B0291TDS_WT</v>
      </c>
      <c r="C326" s="219" t="s">
        <v>5361</v>
      </c>
      <c r="E326" s="249" t="s">
        <v>3641</v>
      </c>
      <c r="F326" s="256">
        <f>IF(ISBLANK('4D'!H22),"##BLANK",'4D'!H22)</f>
        <v>0</v>
      </c>
    </row>
    <row r="327" spans="2:6">
      <c r="B327" s="219" t="str">
        <f>'4D'!AE22</f>
        <v>B0291TDS_TWD</v>
      </c>
      <c r="C327" s="219" t="s">
        <v>5362</v>
      </c>
      <c r="E327" s="249" t="s">
        <v>3641</v>
      </c>
      <c r="F327" s="256">
        <f>IF(ISBLANK('4D'!I22),"##BLANK",'4D'!I22)</f>
        <v>20.472000000000001</v>
      </c>
    </row>
    <row r="328" spans="2:6">
      <c r="B328" s="219" t="str">
        <f>'4D'!AF22</f>
        <v>B0291TAS</v>
      </c>
      <c r="C328" s="219" t="s">
        <v>5363</v>
      </c>
      <c r="E328" s="249" t="s">
        <v>3641</v>
      </c>
      <c r="F328" s="256">
        <f>IF(ISBLANK('4D'!J22),"##BLANK",'4D'!J22)</f>
        <v>20.472000000000001</v>
      </c>
    </row>
    <row r="329" spans="2:6">
      <c r="B329" s="219" t="str">
        <f>'4D'!AA23</f>
        <v>BC30498WR_4D</v>
      </c>
      <c r="C329" s="219" t="s">
        <v>5364</v>
      </c>
      <c r="E329" s="249" t="s">
        <v>3641</v>
      </c>
      <c r="F329" s="256">
        <f>IF(ISBLANK('4D'!E23),"##BLANK",'4D'!E23)</f>
        <v>24.204999999999998</v>
      </c>
    </row>
    <row r="330" spans="2:6">
      <c r="B330" s="219" t="str">
        <f>'4D'!AB23</f>
        <v>BC30498RWT</v>
      </c>
      <c r="C330" s="219" t="s">
        <v>5365</v>
      </c>
      <c r="E330" s="249" t="s">
        <v>3641</v>
      </c>
      <c r="F330" s="256">
        <f>IF(ISBLANK('4D'!F23),"##BLANK",'4D'!F23)</f>
        <v>1.3130000000000002</v>
      </c>
    </row>
    <row r="331" spans="2:6">
      <c r="B331" s="219" t="str">
        <f>'4D'!AC23</f>
        <v>BC30498RWS</v>
      </c>
      <c r="C331" s="219" t="s">
        <v>5366</v>
      </c>
      <c r="E331" s="249" t="s">
        <v>3641</v>
      </c>
      <c r="F331" s="256">
        <f>IF(ISBLANK('4D'!G23),"##BLANK",'4D'!G23)</f>
        <v>0</v>
      </c>
    </row>
    <row r="332" spans="2:6">
      <c r="B332" s="219" t="str">
        <f>'4D'!AD23</f>
        <v>BC30498WT</v>
      </c>
      <c r="C332" s="219" t="s">
        <v>5367</v>
      </c>
      <c r="E332" s="249" t="s">
        <v>3641</v>
      </c>
      <c r="F332" s="256">
        <f>IF(ISBLANK('4D'!H23),"##BLANK",'4D'!H23)</f>
        <v>56.623000000000005</v>
      </c>
    </row>
    <row r="333" spans="2:6">
      <c r="B333" s="219" t="str">
        <f>'4D'!AE23</f>
        <v>BC30498TWD</v>
      </c>
      <c r="C333" s="219" t="s">
        <v>5368</v>
      </c>
      <c r="E333" s="249" t="s">
        <v>3641</v>
      </c>
      <c r="F333" s="256">
        <f>IF(ISBLANK('4D'!I23),"##BLANK",'4D'!I23)</f>
        <v>101.89600000000002</v>
      </c>
    </row>
    <row r="334" spans="2:6">
      <c r="B334" s="219" t="str">
        <f>'4D'!AF23</f>
        <v>BC30498TAS</v>
      </c>
      <c r="C334" s="219" t="s">
        <v>5369</v>
      </c>
      <c r="E334" s="249" t="s">
        <v>3641</v>
      </c>
      <c r="F334" s="256">
        <f>IF(ISBLANK('4D'!J23),"##BLANK",'4D'!J23)</f>
        <v>184.03700000000003</v>
      </c>
    </row>
    <row r="335" spans="2:6">
      <c r="B335" s="219" t="str">
        <f>'4D'!AA24</f>
        <v>BM333WR</v>
      </c>
      <c r="C335" s="219" t="s">
        <v>5338</v>
      </c>
      <c r="E335" s="249" t="s">
        <v>3641</v>
      </c>
      <c r="F335" s="256">
        <f>IF(ISBLANK('4D'!E24),"##BLANK",'4D'!E24)</f>
        <v>0</v>
      </c>
    </row>
    <row r="336" spans="2:6">
      <c r="B336" s="219" t="str">
        <f>'4D'!AB24</f>
        <v>BM333RWT</v>
      </c>
      <c r="C336" s="219" t="s">
        <v>5339</v>
      </c>
      <c r="E336" s="249" t="s">
        <v>3641</v>
      </c>
      <c r="F336" s="256">
        <f>IF(ISBLANK('4D'!F24),"##BLANK",'4D'!F24)</f>
        <v>0</v>
      </c>
    </row>
    <row r="337" spans="2:6">
      <c r="B337" s="219" t="str">
        <f>'4D'!AC24</f>
        <v>BM333RWS</v>
      </c>
      <c r="C337" s="219" t="s">
        <v>5340</v>
      </c>
      <c r="E337" s="249" t="s">
        <v>3641</v>
      </c>
      <c r="F337" s="256">
        <f>IF(ISBLANK('4D'!G24),"##BLANK",'4D'!G24)</f>
        <v>0</v>
      </c>
    </row>
    <row r="338" spans="2:6">
      <c r="B338" s="219" t="str">
        <f>'4D'!AD24</f>
        <v>BM333WT</v>
      </c>
      <c r="C338" s="219" t="s">
        <v>5370</v>
      </c>
      <c r="E338" s="249" t="s">
        <v>3641</v>
      </c>
      <c r="F338" s="256">
        <f>IF(ISBLANK('4D'!H24),"##BLANK",'4D'!H24)</f>
        <v>0</v>
      </c>
    </row>
    <row r="339" spans="2:6">
      <c r="B339" s="219" t="str">
        <f>'4D'!AE24</f>
        <v>BM333TWD</v>
      </c>
      <c r="C339" s="219" t="s">
        <v>5371</v>
      </c>
      <c r="E339" s="249" t="s">
        <v>3641</v>
      </c>
      <c r="F339" s="256">
        <f>IF(ISBLANK('4D'!I24),"##BLANK",'4D'!I24)</f>
        <v>0</v>
      </c>
    </row>
    <row r="340" spans="2:6">
      <c r="B340" s="219" t="str">
        <f>'4D'!AF24</f>
        <v>BM333TAS</v>
      </c>
      <c r="C340" s="219" t="s">
        <v>5372</v>
      </c>
      <c r="E340" s="249" t="s">
        <v>3641</v>
      </c>
      <c r="F340" s="256">
        <f>IF(ISBLANK('4D'!J24),"##BLANK",'4D'!J24)</f>
        <v>0</v>
      </c>
    </row>
    <row r="341" spans="2:6">
      <c r="B341" s="219" t="str">
        <f>'4D'!AA25</f>
        <v>BA1070WR_4D</v>
      </c>
      <c r="C341" s="219" t="s">
        <v>5373</v>
      </c>
      <c r="E341" s="249" t="s">
        <v>3641</v>
      </c>
      <c r="F341" s="256">
        <f>IF(ISBLANK('4D'!E25),"##BLANK",'4D'!E25)</f>
        <v>24.204999999999998</v>
      </c>
    </row>
    <row r="342" spans="2:6">
      <c r="B342" s="219" t="str">
        <f>'4D'!AB25</f>
        <v>BA1070RWT</v>
      </c>
      <c r="C342" s="219" t="s">
        <v>5374</v>
      </c>
      <c r="E342" s="249" t="s">
        <v>3641</v>
      </c>
      <c r="F342" s="256">
        <f>IF(ISBLANK('4D'!F25),"##BLANK",'4D'!F25)</f>
        <v>1.3130000000000002</v>
      </c>
    </row>
    <row r="343" spans="2:6">
      <c r="B343" s="219" t="str">
        <f>'4D'!AC25</f>
        <v>BA1070RWS</v>
      </c>
      <c r="C343" s="219" t="s">
        <v>5375</v>
      </c>
      <c r="E343" s="249" t="s">
        <v>3641</v>
      </c>
      <c r="F343" s="256">
        <f>IF(ISBLANK('4D'!G25),"##BLANK",'4D'!G25)</f>
        <v>0</v>
      </c>
    </row>
    <row r="344" spans="2:6">
      <c r="B344" s="219" t="str">
        <f>'4D'!AD25</f>
        <v>BA1070WT</v>
      </c>
      <c r="C344" s="219" t="s">
        <v>5376</v>
      </c>
      <c r="E344" s="249" t="s">
        <v>3641</v>
      </c>
      <c r="F344" s="256">
        <f>IF(ISBLANK('4D'!H25),"##BLANK",'4D'!H25)</f>
        <v>56.623000000000005</v>
      </c>
    </row>
    <row r="345" spans="2:6">
      <c r="B345" s="219" t="str">
        <f>'4D'!AE25</f>
        <v>BA1070TWD</v>
      </c>
      <c r="C345" s="219" t="s">
        <v>5377</v>
      </c>
      <c r="E345" s="249" t="s">
        <v>3641</v>
      </c>
      <c r="F345" s="256">
        <f>IF(ISBLANK('4D'!I25),"##BLANK",'4D'!I25)</f>
        <v>101.89600000000002</v>
      </c>
    </row>
    <row r="346" spans="2:6">
      <c r="B346" s="219" t="str">
        <f>'4D'!AF25</f>
        <v>BA1070TAS</v>
      </c>
      <c r="C346" s="219" t="s">
        <v>5378</v>
      </c>
      <c r="E346" s="249" t="s">
        <v>3641</v>
      </c>
      <c r="F346" s="256">
        <f>IF(ISBLANK('4D'!J25),"##BLANK",'4D'!J25)</f>
        <v>184.03700000000003</v>
      </c>
    </row>
    <row r="347" spans="2:6">
      <c r="B347" s="219" t="str">
        <f>'4D'!AA28</f>
        <v>B0500WR</v>
      </c>
      <c r="C347" s="219" t="s">
        <v>5379</v>
      </c>
      <c r="E347" s="249" t="s">
        <v>3641</v>
      </c>
      <c r="F347" s="256">
        <f>IF(ISBLANK('4D'!E28),"##BLANK",'4D'!E28)</f>
        <v>0</v>
      </c>
    </row>
    <row r="348" spans="2:6">
      <c r="B348" s="219" t="str">
        <f>'4D'!AB28</f>
        <v>B0500RWT</v>
      </c>
      <c r="C348" s="219" t="s">
        <v>5380</v>
      </c>
      <c r="E348" s="249" t="s">
        <v>3641</v>
      </c>
      <c r="F348" s="256">
        <f>IF(ISBLANK('4D'!F28),"##BLANK",'4D'!F28)</f>
        <v>0</v>
      </c>
    </row>
    <row r="349" spans="2:6">
      <c r="B349" s="219" t="str">
        <f>'4D'!AC28</f>
        <v>B0500RWS</v>
      </c>
      <c r="C349" s="219" t="s">
        <v>5381</v>
      </c>
      <c r="E349" s="249" t="s">
        <v>3641</v>
      </c>
      <c r="F349" s="256">
        <f>IF(ISBLANK('4D'!G28),"##BLANK",'4D'!G28)</f>
        <v>0</v>
      </c>
    </row>
    <row r="350" spans="2:6">
      <c r="B350" s="219" t="str">
        <f>'4D'!AD28</f>
        <v>B0500WT</v>
      </c>
      <c r="C350" s="219" t="s">
        <v>5382</v>
      </c>
      <c r="E350" s="249" t="s">
        <v>3641</v>
      </c>
      <c r="F350" s="256">
        <f>IF(ISBLANK('4D'!H28),"##BLANK",'4D'!H28)</f>
        <v>0</v>
      </c>
    </row>
    <row r="351" spans="2:6">
      <c r="B351" s="219" t="str">
        <f>'4D'!AE28</f>
        <v>B0500TWD</v>
      </c>
      <c r="C351" s="219" t="s">
        <v>5383</v>
      </c>
      <c r="E351" s="249" t="s">
        <v>3641</v>
      </c>
      <c r="F351" s="256">
        <f>IF(ISBLANK('4D'!I28),"##BLANK",'4D'!I28)</f>
        <v>13.089</v>
      </c>
    </row>
    <row r="352" spans="2:6">
      <c r="B352" s="219" t="str">
        <f>'4D'!AF28</f>
        <v>B0500TAS</v>
      </c>
      <c r="C352" s="219" t="s">
        <v>5384</v>
      </c>
      <c r="E352" s="249" t="s">
        <v>3641</v>
      </c>
      <c r="F352" s="256">
        <f>IF(ISBLANK('4D'!J28),"##BLANK",'4D'!J28)</f>
        <v>13.089</v>
      </c>
    </row>
    <row r="353" spans="2:6">
      <c r="B353" s="219" t="str">
        <f>'4D'!AA30</f>
        <v>BM325WRT</v>
      </c>
      <c r="C353" s="219" t="s">
        <v>5385</v>
      </c>
      <c r="E353" s="249" t="s">
        <v>3641</v>
      </c>
      <c r="F353" s="256">
        <f>IF(ISBLANK('4D'!E30),"##BLANK",'4D'!E30)</f>
        <v>104.60999999999999</v>
      </c>
    </row>
    <row r="354" spans="2:6">
      <c r="B354" s="219" t="str">
        <f>'4D'!AB30</f>
        <v>BM325RWT</v>
      </c>
      <c r="C354" s="219" t="s">
        <v>5386</v>
      </c>
      <c r="E354" s="249" t="s">
        <v>3641</v>
      </c>
      <c r="F354" s="256">
        <f>IF(ISBLANK('4D'!F30),"##BLANK",'4D'!F30)</f>
        <v>9.5580000000000016</v>
      </c>
    </row>
    <row r="355" spans="2:6">
      <c r="B355" s="219" t="str">
        <f>'4D'!AC30</f>
        <v>BM325RWS</v>
      </c>
      <c r="C355" s="219" t="s">
        <v>5387</v>
      </c>
      <c r="E355" s="249" t="s">
        <v>3641</v>
      </c>
      <c r="F355" s="256">
        <f>IF(ISBLANK('4D'!G30),"##BLANK",'4D'!G30)</f>
        <v>2.3339999999999996</v>
      </c>
    </row>
    <row r="356" spans="2:6">
      <c r="B356" s="219" t="str">
        <f>'4D'!AD30</f>
        <v>BM325WT</v>
      </c>
      <c r="C356" s="219" t="s">
        <v>5388</v>
      </c>
      <c r="E356" s="249" t="s">
        <v>3641</v>
      </c>
      <c r="F356" s="256">
        <f>IF(ISBLANK('4D'!H30),"##BLANK",'4D'!H30)</f>
        <v>120.926</v>
      </c>
    </row>
    <row r="357" spans="2:6">
      <c r="B357" s="219" t="str">
        <f>'4D'!AE30</f>
        <v>BM325TWD</v>
      </c>
      <c r="C357" s="219" t="s">
        <v>5389</v>
      </c>
      <c r="E357" s="249" t="s">
        <v>3641</v>
      </c>
      <c r="F357" s="256">
        <f>IF(ISBLANK('4D'!I30),"##BLANK",'4D'!I30)</f>
        <v>202.08000000000004</v>
      </c>
    </row>
    <row r="358" spans="2:6">
      <c r="B358" s="219" t="str">
        <f>'4D'!AF30</f>
        <v>BM325TAS</v>
      </c>
      <c r="C358" s="219" t="s">
        <v>5390</v>
      </c>
      <c r="E358" s="249" t="s">
        <v>3641</v>
      </c>
      <c r="F358" s="256">
        <f>IF(ISBLANK('4D'!J30),"##BLANK",'4D'!J30)</f>
        <v>439.50800000000004</v>
      </c>
    </row>
    <row r="359" spans="2:6">
      <c r="B359" s="219" t="str">
        <f>'4D'!AA33</f>
        <v>CR00558WR</v>
      </c>
      <c r="C359" s="219" t="s">
        <v>5391</v>
      </c>
      <c r="E359" s="249" t="s">
        <v>3641</v>
      </c>
      <c r="F359" s="256">
        <f>IF(ISBLANK('4D'!E33),"##BLANK",'4D'!E33)</f>
        <v>0.57899999999999996</v>
      </c>
    </row>
    <row r="360" spans="2:6">
      <c r="B360" s="219" t="str">
        <f>'4D'!AB33</f>
        <v>CR00558RWT</v>
      </c>
      <c r="C360" s="219" t="s">
        <v>5392</v>
      </c>
      <c r="E360" s="249" t="s">
        <v>3641</v>
      </c>
      <c r="F360" s="256">
        <f>IF(ISBLANK('4D'!F33),"##BLANK",'4D'!F33)</f>
        <v>5.6000000000000001E-2</v>
      </c>
    </row>
    <row r="361" spans="2:6">
      <c r="B361" s="219" t="str">
        <f>'4D'!AC33</f>
        <v>CR00558RWS</v>
      </c>
      <c r="C361" s="219" t="s">
        <v>5393</v>
      </c>
      <c r="E361" s="249" t="s">
        <v>3641</v>
      </c>
      <c r="F361" s="256">
        <f>IF(ISBLANK('4D'!G33),"##BLANK",'4D'!G33)</f>
        <v>4.4999999999999998E-2</v>
      </c>
    </row>
    <row r="362" spans="2:6">
      <c r="B362" s="219" t="str">
        <f>'4D'!AD33</f>
        <v>CR00558WT</v>
      </c>
      <c r="C362" s="219" t="s">
        <v>5394</v>
      </c>
      <c r="E362" s="249" t="s">
        <v>3641</v>
      </c>
      <c r="F362" s="256">
        <f>IF(ISBLANK('4D'!H33),"##BLANK",'4D'!H33)</f>
        <v>3.6019999999999999</v>
      </c>
    </row>
    <row r="363" spans="2:6">
      <c r="B363" s="219" t="str">
        <f>'4D'!AE33</f>
        <v>CR00558TWD</v>
      </c>
      <c r="C363" s="219" t="s">
        <v>5395</v>
      </c>
      <c r="E363" s="249" t="s">
        <v>3641</v>
      </c>
      <c r="F363" s="256">
        <f>IF(ISBLANK('4D'!I33),"##BLANK",'4D'!I33)</f>
        <v>9.1780000000000008</v>
      </c>
    </row>
    <row r="364" spans="2:6">
      <c r="B364" s="219" t="str">
        <f>'4D'!AF33</f>
        <v>CR00558TOT</v>
      </c>
      <c r="C364" s="219" t="s">
        <v>5396</v>
      </c>
      <c r="E364" s="249" t="s">
        <v>3641</v>
      </c>
      <c r="F364" s="256">
        <f>IF(ISBLANK('4D'!J33),"##BLANK",'4D'!J33)</f>
        <v>13.46</v>
      </c>
    </row>
    <row r="365" spans="2:6">
      <c r="B365" s="219" t="str">
        <f>'4D'!AA34</f>
        <v>CR00561WR</v>
      </c>
      <c r="C365" s="219" t="s">
        <v>5397</v>
      </c>
      <c r="E365" s="249" t="s">
        <v>3641</v>
      </c>
      <c r="F365" s="256">
        <f>IF(ISBLANK('4D'!E34),"##BLANK",'4D'!E34)</f>
        <v>0</v>
      </c>
    </row>
    <row r="366" spans="2:6">
      <c r="B366" s="219" t="str">
        <f>'4D'!AB34</f>
        <v>CR00561RWT</v>
      </c>
      <c r="C366" s="219" t="s">
        <v>5398</v>
      </c>
      <c r="E366" s="249" t="s">
        <v>3641</v>
      </c>
      <c r="F366" s="256">
        <f>IF(ISBLANK('4D'!F34),"##BLANK",'4D'!F34)</f>
        <v>0</v>
      </c>
    </row>
    <row r="367" spans="2:6">
      <c r="B367" s="219" t="str">
        <f>'4D'!AC34</f>
        <v>CR00561RWS</v>
      </c>
      <c r="C367" s="219" t="s">
        <v>5399</v>
      </c>
      <c r="E367" s="249" t="s">
        <v>3641</v>
      </c>
      <c r="F367" s="256">
        <f>IF(ISBLANK('4D'!G34),"##BLANK",'4D'!G34)</f>
        <v>0</v>
      </c>
    </row>
    <row r="368" spans="2:6">
      <c r="B368" s="219" t="str">
        <f>'4D'!AD34</f>
        <v>CR00561WT</v>
      </c>
      <c r="C368" s="219" t="s">
        <v>5400</v>
      </c>
      <c r="E368" s="249" t="s">
        <v>3641</v>
      </c>
      <c r="F368" s="256">
        <f>IF(ISBLANK('4D'!H34),"##BLANK",'4D'!H34)</f>
        <v>0</v>
      </c>
    </row>
    <row r="369" spans="2:6">
      <c r="B369" s="219" t="str">
        <f>'4D'!AE34</f>
        <v>CR00561TWD</v>
      </c>
      <c r="C369" s="219" t="s">
        <v>5401</v>
      </c>
      <c r="E369" s="249" t="s">
        <v>3641</v>
      </c>
      <c r="F369" s="256">
        <f>IF(ISBLANK('4D'!I34),"##BLANK",'4D'!I34)</f>
        <v>0</v>
      </c>
    </row>
    <row r="370" spans="2:6">
      <c r="B370" s="219" t="str">
        <f>'4D'!AF34</f>
        <v>CR00561TOT</v>
      </c>
      <c r="C370" s="219" t="s">
        <v>5402</v>
      </c>
      <c r="E370" s="249" t="s">
        <v>3641</v>
      </c>
      <c r="F370" s="256">
        <f>IF(ISBLANK('4D'!J34),"##BLANK",'4D'!J34)</f>
        <v>0</v>
      </c>
    </row>
    <row r="371" spans="2:6">
      <c r="B371" s="219" t="str">
        <f>'4D'!AA35</f>
        <v>W3026WRT</v>
      </c>
      <c r="C371" s="219" t="s">
        <v>5403</v>
      </c>
      <c r="E371" s="249" t="s">
        <v>3641</v>
      </c>
      <c r="F371" s="256">
        <f>IF(ISBLANK('4D'!E35),"##BLANK",'4D'!E35)</f>
        <v>105.18899999999998</v>
      </c>
    </row>
    <row r="372" spans="2:6">
      <c r="B372" s="219" t="str">
        <f>'4D'!AB35</f>
        <v>W3026RWT</v>
      </c>
      <c r="C372" s="219" t="s">
        <v>5404</v>
      </c>
      <c r="E372" s="249" t="s">
        <v>3641</v>
      </c>
      <c r="F372" s="256">
        <f>IF(ISBLANK('4D'!F35),"##BLANK",'4D'!F35)</f>
        <v>9.6140000000000008</v>
      </c>
    </row>
    <row r="373" spans="2:6">
      <c r="B373" s="219" t="str">
        <f>'4D'!AC35</f>
        <v>W3026RWS</v>
      </c>
      <c r="C373" s="219" t="s">
        <v>5405</v>
      </c>
      <c r="E373" s="249" t="s">
        <v>3641</v>
      </c>
      <c r="F373" s="255">
        <f>IF(ISBLANK('4D'!G35),"##BLANK",'4D'!G35)</f>
        <v>2.3789999999999996</v>
      </c>
    </row>
    <row r="374" spans="2:6">
      <c r="B374" s="219" t="str">
        <f>'4D'!AD35</f>
        <v>W3026WT</v>
      </c>
      <c r="C374" s="219" t="s">
        <v>5406</v>
      </c>
      <c r="E374" s="249" t="s">
        <v>3641</v>
      </c>
      <c r="F374" s="255">
        <f>IF(ISBLANK('4D'!H35),"##BLANK",'4D'!H35)</f>
        <v>124.52800000000001</v>
      </c>
    </row>
    <row r="375" spans="2:6">
      <c r="B375" s="219" t="str">
        <f>'4D'!AE35</f>
        <v>W3026TWD</v>
      </c>
      <c r="C375" s="219" t="s">
        <v>5407</v>
      </c>
      <c r="E375" s="249" t="s">
        <v>3641</v>
      </c>
      <c r="F375" s="255">
        <f>IF(ISBLANK('4D'!I35),"##BLANK",'4D'!I35)</f>
        <v>211.25800000000004</v>
      </c>
    </row>
    <row r="376" spans="2:6">
      <c r="B376" s="219" t="str">
        <f>'4D'!AF35</f>
        <v>W3026TOT</v>
      </c>
      <c r="C376" s="219" t="s">
        <v>5408</v>
      </c>
      <c r="E376" s="249" t="s">
        <v>3641</v>
      </c>
      <c r="F376" s="255">
        <f>IF(ISBLANK('4D'!J35),"##BLANK",'4D'!J35)</f>
        <v>452.96800000000002</v>
      </c>
    </row>
    <row r="377" spans="2:6">
      <c r="B377" s="219" t="str">
        <f>'4D'!AA41</f>
        <v>BP3357001WR</v>
      </c>
      <c r="C377" s="219" t="s">
        <v>4145</v>
      </c>
      <c r="E377" s="249" t="s">
        <v>3641</v>
      </c>
      <c r="F377" s="255">
        <f>IF(ISBLANK('4D'!E41),"##BLANK",'4D'!E41)</f>
        <v>-0.30499999999999999</v>
      </c>
    </row>
    <row r="378" spans="2:6">
      <c r="B378" s="219" t="str">
        <f>'4D'!AB41</f>
        <v>BP3357001RWT</v>
      </c>
      <c r="C378" s="219" t="s">
        <v>5409</v>
      </c>
      <c r="E378" s="249" t="s">
        <v>3641</v>
      </c>
      <c r="F378" s="255">
        <f>IF(ISBLANK('4D'!F41),"##BLANK",'4D'!F41)</f>
        <v>-0.03</v>
      </c>
    </row>
    <row r="379" spans="2:6">
      <c r="B379" s="219" t="str">
        <f>'4D'!AC41</f>
        <v>BP3357001RWS</v>
      </c>
      <c r="C379" s="219" t="s">
        <v>5410</v>
      </c>
      <c r="E379" s="249" t="s">
        <v>3641</v>
      </c>
      <c r="F379" s="255">
        <f>IF(ISBLANK('4D'!G41),"##BLANK",'4D'!G41)</f>
        <v>-1.7000000000000001E-2</v>
      </c>
    </row>
    <row r="380" spans="2:6">
      <c r="B380" s="219" t="str">
        <f>'4D'!AD41</f>
        <v>BP3357001WT</v>
      </c>
      <c r="C380" s="219" t="s">
        <v>5411</v>
      </c>
      <c r="E380" s="249" t="s">
        <v>3641</v>
      </c>
      <c r="F380" s="255">
        <f>IF(ISBLANK('4D'!H41),"##BLANK",'4D'!H41)</f>
        <v>-1.9610000000000001</v>
      </c>
    </row>
    <row r="381" spans="2:6">
      <c r="B381" s="219" t="str">
        <f>'4D'!AE41</f>
        <v>BP3357001TWD</v>
      </c>
      <c r="C381" s="219" t="s">
        <v>5412</v>
      </c>
      <c r="E381" s="249" t="s">
        <v>3641</v>
      </c>
      <c r="F381" s="255">
        <f>IF(ISBLANK('4D'!I41),"##BLANK",'4D'!I41)</f>
        <v>-4.9020000000000001</v>
      </c>
    </row>
    <row r="382" spans="2:6">
      <c r="B382" s="219" t="str">
        <f>'4D'!AF41</f>
        <v>BP3357001CAW</v>
      </c>
      <c r="C382" s="219" t="s">
        <v>5413</v>
      </c>
      <c r="E382" s="249" t="s">
        <v>3641</v>
      </c>
      <c r="F382" s="255">
        <f>IF(ISBLANK('4D'!J41),"##BLANK",'4D'!J41)</f>
        <v>-7.2149999999999999</v>
      </c>
    </row>
    <row r="383" spans="2:6">
      <c r="B383" s="219" t="str">
        <f>'4D'!AA42</f>
        <v>BP3357002WR</v>
      </c>
      <c r="C383" s="219" t="s">
        <v>4145</v>
      </c>
      <c r="E383" s="249" t="s">
        <v>3641</v>
      </c>
      <c r="F383" s="255">
        <f>IF(ISBLANK('4D'!E42),"##BLANK",'4D'!E42)</f>
        <v>0</v>
      </c>
    </row>
    <row r="384" spans="2:6">
      <c r="B384" s="219" t="str">
        <f>'4D'!AB42</f>
        <v>BP3357002RWT</v>
      </c>
      <c r="C384" s="219" t="s">
        <v>5414</v>
      </c>
      <c r="E384" s="249" t="s">
        <v>3641</v>
      </c>
      <c r="F384" s="255">
        <f>IF(ISBLANK('4D'!F42),"##BLANK",'4D'!F42)</f>
        <v>0</v>
      </c>
    </row>
    <row r="385" spans="2:6">
      <c r="B385" s="219" t="str">
        <f>'4D'!AC42</f>
        <v>BP3357002RWS</v>
      </c>
      <c r="C385" s="219" t="s">
        <v>5415</v>
      </c>
      <c r="E385" s="249" t="s">
        <v>3641</v>
      </c>
      <c r="F385" s="255">
        <f>IF(ISBLANK('4D'!G42),"##BLANK",'4D'!G42)</f>
        <v>0</v>
      </c>
    </row>
    <row r="386" spans="2:6">
      <c r="B386" s="219" t="str">
        <f>'4D'!AD42</f>
        <v>BP3357002WT</v>
      </c>
      <c r="C386" s="219" t="s">
        <v>5416</v>
      </c>
      <c r="E386" s="249" t="s">
        <v>3641</v>
      </c>
      <c r="F386" s="255">
        <f>IF(ISBLANK('4D'!H42),"##BLANK",'4D'!H42)</f>
        <v>0</v>
      </c>
    </row>
    <row r="387" spans="2:6">
      <c r="B387" s="219" t="str">
        <f>'4D'!AE42</f>
        <v>BP3357002TWD</v>
      </c>
      <c r="C387" s="219" t="s">
        <v>5417</v>
      </c>
      <c r="E387" s="249" t="s">
        <v>3641</v>
      </c>
      <c r="F387" s="255">
        <f>IF(ISBLANK('4D'!I42),"##BLANK",'4D'!I42)</f>
        <v>0</v>
      </c>
    </row>
    <row r="388" spans="2:6">
      <c r="B388" s="219" t="str">
        <f>'4D'!AF42</f>
        <v>BP3357002CAW</v>
      </c>
      <c r="C388" s="219" t="s">
        <v>5418</v>
      </c>
      <c r="E388" s="249" t="s">
        <v>3641</v>
      </c>
      <c r="F388" s="255">
        <f>IF(ISBLANK('4D'!J42),"##BLANK",'4D'!J42)</f>
        <v>0</v>
      </c>
    </row>
    <row r="389" spans="2:6">
      <c r="B389" s="219" t="str">
        <f>'4D'!AA43</f>
        <v>BP3357003WR</v>
      </c>
      <c r="C389" s="219" t="s">
        <v>4145</v>
      </c>
      <c r="E389" s="249" t="s">
        <v>3641</v>
      </c>
      <c r="F389" s="255">
        <f>IF(ISBLANK('4D'!E43),"##BLANK",'4D'!E43)</f>
        <v>0</v>
      </c>
    </row>
    <row r="390" spans="2:6">
      <c r="B390" s="219" t="str">
        <f>'4D'!AB43</f>
        <v>BP3357003RWT</v>
      </c>
      <c r="C390" s="219" t="s">
        <v>5419</v>
      </c>
      <c r="E390" s="249" t="s">
        <v>3641</v>
      </c>
      <c r="F390" s="255">
        <f>IF(ISBLANK('4D'!F43),"##BLANK",'4D'!F43)</f>
        <v>0</v>
      </c>
    </row>
    <row r="391" spans="2:6">
      <c r="B391" s="219" t="str">
        <f>'4D'!AC43</f>
        <v>BP3357003RWS</v>
      </c>
      <c r="C391" s="219" t="s">
        <v>5420</v>
      </c>
      <c r="E391" s="249" t="s">
        <v>3641</v>
      </c>
      <c r="F391" s="255">
        <f>IF(ISBLANK('4D'!G43),"##BLANK",'4D'!G43)</f>
        <v>0</v>
      </c>
    </row>
    <row r="392" spans="2:6">
      <c r="B392" s="219" t="str">
        <f>'4D'!AD43</f>
        <v>BP3357003WT</v>
      </c>
      <c r="C392" s="219" t="s">
        <v>5421</v>
      </c>
      <c r="E392" s="249" t="s">
        <v>3641</v>
      </c>
      <c r="F392" s="255">
        <f>IF(ISBLANK('4D'!H43),"##BLANK",'4D'!H43)</f>
        <v>0</v>
      </c>
    </row>
    <row r="393" spans="2:6">
      <c r="B393" s="219" t="str">
        <f>'4D'!AE43</f>
        <v>BP3357003TWD</v>
      </c>
      <c r="C393" s="219" t="s">
        <v>5422</v>
      </c>
      <c r="E393" s="249" t="s">
        <v>3641</v>
      </c>
      <c r="F393" s="255">
        <f>IF(ISBLANK('4D'!I43),"##BLANK",'4D'!I43)</f>
        <v>0</v>
      </c>
    </row>
    <row r="394" spans="2:6">
      <c r="B394" s="219" t="str">
        <f>'4D'!AF43</f>
        <v>BP3357003CAW</v>
      </c>
      <c r="C394" s="219" t="s">
        <v>5423</v>
      </c>
      <c r="E394" s="249" t="s">
        <v>3641</v>
      </c>
      <c r="F394" s="255">
        <f>IF(ISBLANK('4D'!J43),"##BLANK",'4D'!J43)</f>
        <v>0</v>
      </c>
    </row>
    <row r="395" spans="2:6">
      <c r="B395" s="219" t="str">
        <f>'4D'!AA44</f>
        <v>BP3357004WR</v>
      </c>
      <c r="C395" s="219" t="s">
        <v>4145</v>
      </c>
      <c r="E395" s="249" t="s">
        <v>3641</v>
      </c>
      <c r="F395" s="255">
        <f>IF(ISBLANK('4D'!E44),"##BLANK",'4D'!E44)</f>
        <v>0</v>
      </c>
    </row>
    <row r="396" spans="2:6">
      <c r="B396" s="219" t="str">
        <f>'4D'!AB44</f>
        <v>BP3357004RWT</v>
      </c>
      <c r="C396" s="219" t="s">
        <v>5424</v>
      </c>
      <c r="E396" s="249" t="s">
        <v>3641</v>
      </c>
      <c r="F396" s="255">
        <f>IF(ISBLANK('4D'!F44),"##BLANK",'4D'!F44)</f>
        <v>0</v>
      </c>
    </row>
    <row r="397" spans="2:6">
      <c r="B397" s="219" t="str">
        <f>'4D'!AC44</f>
        <v>BP3357004RWS</v>
      </c>
      <c r="C397" s="219" t="s">
        <v>5425</v>
      </c>
      <c r="E397" s="249" t="s">
        <v>3641</v>
      </c>
      <c r="F397" s="255">
        <f>IF(ISBLANK('4D'!G44),"##BLANK",'4D'!G44)</f>
        <v>0</v>
      </c>
    </row>
    <row r="398" spans="2:6">
      <c r="B398" s="219" t="str">
        <f>'4D'!AD44</f>
        <v>BP3357004WT</v>
      </c>
      <c r="C398" s="219" t="s">
        <v>5426</v>
      </c>
      <c r="E398" s="249" t="s">
        <v>3641</v>
      </c>
      <c r="F398" s="255">
        <f>IF(ISBLANK('4D'!H44),"##BLANK",'4D'!H44)</f>
        <v>0</v>
      </c>
    </row>
    <row r="399" spans="2:6">
      <c r="B399" s="219" t="str">
        <f>'4D'!AE44</f>
        <v>BP3357004TWD</v>
      </c>
      <c r="C399" s="219" t="s">
        <v>5427</v>
      </c>
      <c r="E399" s="249" t="s">
        <v>3641</v>
      </c>
      <c r="F399" s="255">
        <f>IF(ISBLANK('4D'!I44),"##BLANK",'4D'!I44)</f>
        <v>0</v>
      </c>
    </row>
    <row r="400" spans="2:6">
      <c r="B400" s="219" t="str">
        <f>'4D'!AF44</f>
        <v>BP3357004CAW</v>
      </c>
      <c r="C400" s="219" t="s">
        <v>5428</v>
      </c>
      <c r="E400" s="249" t="s">
        <v>3641</v>
      </c>
      <c r="F400" s="255">
        <f>IF(ISBLANK('4D'!J44),"##BLANK",'4D'!J44)</f>
        <v>0</v>
      </c>
    </row>
    <row r="401" spans="2:6">
      <c r="B401" s="219" t="str">
        <f>'4D'!AA45</f>
        <v>BP3357005WR</v>
      </c>
      <c r="C401" s="219" t="s">
        <v>4145</v>
      </c>
      <c r="E401" s="249" t="s">
        <v>3641</v>
      </c>
      <c r="F401" s="255">
        <f>IF(ISBLANK('4D'!E45),"##BLANK",'4D'!E45)</f>
        <v>0</v>
      </c>
    </row>
    <row r="402" spans="2:6">
      <c r="B402" s="219" t="str">
        <f>'4D'!AB45</f>
        <v>BP3357005RWT</v>
      </c>
      <c r="C402" s="219" t="s">
        <v>5429</v>
      </c>
      <c r="E402" s="249" t="s">
        <v>3641</v>
      </c>
      <c r="F402" s="255">
        <f>IF(ISBLANK('4D'!F45),"##BLANK",'4D'!F45)</f>
        <v>0</v>
      </c>
    </row>
    <row r="403" spans="2:6">
      <c r="B403" s="219" t="str">
        <f>'4D'!AC45</f>
        <v>BP3357005RWS</v>
      </c>
      <c r="C403" s="219" t="s">
        <v>5430</v>
      </c>
      <c r="E403" s="249" t="s">
        <v>3641</v>
      </c>
      <c r="F403" s="255">
        <f>IF(ISBLANK('4D'!G45),"##BLANK",'4D'!G45)</f>
        <v>0</v>
      </c>
    </row>
    <row r="404" spans="2:6">
      <c r="B404" s="219" t="str">
        <f>'4D'!AD45</f>
        <v>BP3357005WT</v>
      </c>
      <c r="C404" s="219" t="s">
        <v>5431</v>
      </c>
      <c r="E404" s="249" t="s">
        <v>3641</v>
      </c>
      <c r="F404" s="255">
        <f>IF(ISBLANK('4D'!H45),"##BLANK",'4D'!H45)</f>
        <v>0</v>
      </c>
    </row>
    <row r="405" spans="2:6">
      <c r="B405" s="219" t="str">
        <f>'4D'!AE45</f>
        <v>BP3357005TWD</v>
      </c>
      <c r="C405" s="219" t="s">
        <v>5432</v>
      </c>
      <c r="E405" s="249" t="s">
        <v>3641</v>
      </c>
      <c r="F405" s="255">
        <f>IF(ISBLANK('4D'!I45),"##BLANK",'4D'!I45)</f>
        <v>0</v>
      </c>
    </row>
    <row r="406" spans="2:6">
      <c r="B406" s="219" t="str">
        <f>'4D'!AF45</f>
        <v>BP3357005CAW</v>
      </c>
      <c r="C406" s="219" t="s">
        <v>5433</v>
      </c>
      <c r="E406" s="249" t="s">
        <v>3641</v>
      </c>
      <c r="F406" s="255">
        <f>IF(ISBLANK('4D'!J45),"##BLANK",'4D'!J45)</f>
        <v>0</v>
      </c>
    </row>
    <row r="407" spans="2:6">
      <c r="B407" s="219" t="str">
        <f>'4D'!AA46</f>
        <v>BP3357020WR</v>
      </c>
      <c r="C407" s="219" t="s">
        <v>5434</v>
      </c>
      <c r="E407" s="249" t="s">
        <v>3641</v>
      </c>
      <c r="F407" s="255">
        <f>IF(ISBLANK('4D'!E46),"##BLANK",'4D'!E46)</f>
        <v>-0.30499999999999999</v>
      </c>
    </row>
    <row r="408" spans="2:6">
      <c r="B408" s="219" t="str">
        <f>'4D'!AB46</f>
        <v>BP3357020RWT</v>
      </c>
      <c r="C408" s="219" t="s">
        <v>5435</v>
      </c>
      <c r="E408" s="249" t="s">
        <v>3641</v>
      </c>
      <c r="F408" s="255">
        <f>IF(ISBLANK('4D'!F46),"##BLANK",'4D'!F46)</f>
        <v>-0.03</v>
      </c>
    </row>
    <row r="409" spans="2:6">
      <c r="B409" s="219" t="str">
        <f>'4D'!AC46</f>
        <v>BP3357020RWS</v>
      </c>
      <c r="C409" s="219" t="s">
        <v>5436</v>
      </c>
      <c r="E409" s="249" t="s">
        <v>3641</v>
      </c>
      <c r="F409" s="255">
        <f>IF(ISBLANK('4D'!G46),"##BLANK",'4D'!G46)</f>
        <v>-1.7000000000000001E-2</v>
      </c>
    </row>
    <row r="410" spans="2:6">
      <c r="B410" s="219" t="str">
        <f>'4D'!AD46</f>
        <v>BP3357020WT</v>
      </c>
      <c r="C410" s="219" t="s">
        <v>5437</v>
      </c>
      <c r="E410" s="249" t="s">
        <v>3641</v>
      </c>
      <c r="F410" s="255">
        <f>IF(ISBLANK('4D'!H46),"##BLANK",'4D'!H46)</f>
        <v>-1.9610000000000001</v>
      </c>
    </row>
    <row r="411" spans="2:6">
      <c r="B411" s="219" t="str">
        <f>'4D'!AE46</f>
        <v>BP3357020TWD</v>
      </c>
      <c r="C411" s="219" t="s">
        <v>5438</v>
      </c>
      <c r="E411" s="249" t="s">
        <v>3641</v>
      </c>
      <c r="F411" s="255">
        <f>IF(ISBLANK('4D'!I46),"##BLANK",'4D'!I46)</f>
        <v>-4.9020000000000001</v>
      </c>
    </row>
    <row r="412" spans="2:6">
      <c r="B412" s="219" t="str">
        <f>'4D'!AF46</f>
        <v>BP3357020CAW</v>
      </c>
      <c r="C412" s="219" t="s">
        <v>5439</v>
      </c>
      <c r="E412" s="249" t="s">
        <v>3641</v>
      </c>
      <c r="F412" s="255">
        <f>IF(ISBLANK('4D'!J46),"##BLANK",'4D'!J46)</f>
        <v>-7.2149999999999999</v>
      </c>
    </row>
    <row r="413" spans="2:6">
      <c r="B413" s="219" t="str">
        <f>'4E'!AO9</f>
        <v>B0501TAS</v>
      </c>
      <c r="C413" s="219" t="s">
        <v>5324</v>
      </c>
      <c r="E413" s="249" t="s">
        <v>3641</v>
      </c>
      <c r="F413" s="255">
        <f>IF(ISBLANK('4E'!M9),"##BLANK",'4E'!M9)</f>
        <v>118.67</v>
      </c>
    </row>
    <row r="414" spans="2:6">
      <c r="B414" s="219" t="str">
        <f>'4E'!AO10</f>
        <v>B0502TAS</v>
      </c>
      <c r="C414" s="219" t="s">
        <v>5325</v>
      </c>
      <c r="E414" s="249" t="s">
        <v>3641</v>
      </c>
      <c r="F414" s="255">
        <f>IF(ISBLANK('4E'!M10),"##BLANK",'4E'!M10)</f>
        <v>0.26900000000000002</v>
      </c>
    </row>
    <row r="415" spans="2:6">
      <c r="B415" s="219" t="str">
        <f>'4E'!AG11</f>
        <v>B0372DSOE_F</v>
      </c>
      <c r="C415" s="219" t="s">
        <v>5440</v>
      </c>
      <c r="E415" s="249" t="s">
        <v>3641</v>
      </c>
      <c r="F415" s="255">
        <f>IF(ISBLANK('4E'!E11),"##BLANK",'4E'!E11)</f>
        <v>0.23599999999999999</v>
      </c>
    </row>
    <row r="416" spans="2:6">
      <c r="B416" s="219" t="str">
        <f>'4E'!AH11</f>
        <v>B0372DSOE_SWD</v>
      </c>
      <c r="C416" s="219" t="s">
        <v>5441</v>
      </c>
      <c r="E416" s="249" t="s">
        <v>3641</v>
      </c>
      <c r="F416" s="255">
        <f>IF(ISBLANK('4E'!F11),"##BLANK",'4E'!F11)</f>
        <v>0</v>
      </c>
    </row>
    <row r="417" spans="2:6">
      <c r="B417" s="219" t="str">
        <f>'4E'!AI11</f>
        <v>B0372DSOE_HD</v>
      </c>
      <c r="C417" s="219" t="s">
        <v>5442</v>
      </c>
      <c r="E417" s="249" t="s">
        <v>3641</v>
      </c>
      <c r="F417" s="255">
        <f>IF(ISBLANK('4E'!G11),"##BLANK",'4E'!G11)</f>
        <v>0</v>
      </c>
    </row>
    <row r="418" spans="2:6">
      <c r="B418" s="219" t="str">
        <f>'4E'!AJ11</f>
        <v>B0372DSOE_STD</v>
      </c>
      <c r="C418" s="219" t="s">
        <v>5443</v>
      </c>
      <c r="E418" s="249" t="s">
        <v>3641</v>
      </c>
      <c r="F418" s="255">
        <f>IF(ISBLANK('4E'!H11),"##BLANK",'4E'!H11)</f>
        <v>0</v>
      </c>
    </row>
    <row r="419" spans="2:6">
      <c r="B419" s="219" t="str">
        <f>'4E'!AK11</f>
        <v>B0372DSOE_SLT</v>
      </c>
      <c r="C419" s="219" t="s">
        <v>5444</v>
      </c>
      <c r="E419" s="249" t="s">
        <v>3641</v>
      </c>
      <c r="F419" s="255">
        <f>IF(ISBLANK('4E'!I11),"##BLANK",'4E'!I11)</f>
        <v>0</v>
      </c>
    </row>
    <row r="420" spans="2:6">
      <c r="B420" s="219" t="str">
        <f>'4E'!AL11</f>
        <v>B0372DSOE_STP</v>
      </c>
      <c r="C420" s="219" t="s">
        <v>5445</v>
      </c>
      <c r="E420" s="249" t="s">
        <v>3641</v>
      </c>
      <c r="F420" s="255">
        <f>IF(ISBLANK('4E'!J11),"##BLANK",'4E'!J11)</f>
        <v>0</v>
      </c>
    </row>
    <row r="421" spans="2:6">
      <c r="B421" s="219" t="str">
        <f>'4E'!AM11</f>
        <v>B0372DSOE_SDT</v>
      </c>
      <c r="C421" s="219" t="s">
        <v>5446</v>
      </c>
      <c r="E421" s="249" t="s">
        <v>3641</v>
      </c>
      <c r="F421" s="255">
        <f>IF(ISBLANK('4E'!K11),"##BLANK",'4E'!K11)</f>
        <v>0</v>
      </c>
    </row>
    <row r="422" spans="2:6">
      <c r="B422" s="219" t="str">
        <f>'4E'!AN11</f>
        <v>B0372DSOE_SD</v>
      </c>
      <c r="C422" s="219" t="s">
        <v>5447</v>
      </c>
      <c r="E422" s="249" t="s">
        <v>3641</v>
      </c>
      <c r="F422" s="255">
        <f>IF(ISBLANK('4E'!L11),"##BLANK",'4E'!L11)</f>
        <v>0</v>
      </c>
    </row>
    <row r="423" spans="2:6">
      <c r="B423" s="219" t="str">
        <f>'4E'!AO11</f>
        <v>B0599TAS</v>
      </c>
      <c r="C423" s="219" t="s">
        <v>5448</v>
      </c>
      <c r="E423" s="249" t="s">
        <v>3641</v>
      </c>
      <c r="F423" s="255">
        <f>IF(ISBLANK('4E'!M11),"##BLANK",'4E'!M11)</f>
        <v>0.23599999999999999</v>
      </c>
    </row>
    <row r="424" spans="2:6">
      <c r="B424" s="219" t="str">
        <f>'4E'!AG12</f>
        <v>BM844F</v>
      </c>
      <c r="C424" s="219" t="s">
        <v>5449</v>
      </c>
      <c r="E424" s="249" t="s">
        <v>3641</v>
      </c>
      <c r="F424" s="255">
        <f>IF(ISBLANK('4E'!E12),"##BLANK",'4E'!E12)</f>
        <v>14.483000000000001</v>
      </c>
    </row>
    <row r="425" spans="2:6">
      <c r="B425" s="219" t="str">
        <f>'4E'!AH12</f>
        <v>BM844SWD</v>
      </c>
      <c r="C425" s="219" t="s">
        <v>5450</v>
      </c>
      <c r="E425" s="249" t="s">
        <v>3641</v>
      </c>
      <c r="F425" s="255">
        <f>IF(ISBLANK('4E'!F12),"##BLANK",'4E'!F12)</f>
        <v>20.572000000000003</v>
      </c>
    </row>
    <row r="426" spans="2:6">
      <c r="B426" s="219" t="str">
        <f>'4E'!AI12</f>
        <v>BM844HD</v>
      </c>
      <c r="C426" s="219" t="s">
        <v>5451</v>
      </c>
      <c r="E426" s="249" t="s">
        <v>3641</v>
      </c>
      <c r="F426" s="255">
        <f>IF(ISBLANK('4E'!G12),"##BLANK",'4E'!G12)</f>
        <v>11.064</v>
      </c>
    </row>
    <row r="427" spans="2:6">
      <c r="B427" s="219" t="str">
        <f>'4E'!AJ12</f>
        <v>BM844STD</v>
      </c>
      <c r="C427" s="219" t="s">
        <v>5452</v>
      </c>
      <c r="E427" s="249" t="s">
        <v>3641</v>
      </c>
      <c r="F427" s="255">
        <f>IF(ISBLANK('4E'!H12),"##BLANK",'4E'!H12)</f>
        <v>65.161000000000001</v>
      </c>
    </row>
    <row r="428" spans="2:6">
      <c r="B428" s="219" t="str">
        <f>'4E'!AK12</f>
        <v>BM844SLT</v>
      </c>
      <c r="C428" s="219" t="s">
        <v>5453</v>
      </c>
      <c r="E428" s="249" t="s">
        <v>3641</v>
      </c>
      <c r="F428" s="255">
        <f>IF(ISBLANK('4E'!I12),"##BLANK",'4E'!I12)</f>
        <v>7.0590000000000002</v>
      </c>
    </row>
    <row r="429" spans="2:6">
      <c r="B429" s="219" t="str">
        <f>'4E'!AL12</f>
        <v>BM844STP</v>
      </c>
      <c r="C429" s="219" t="s">
        <v>5454</v>
      </c>
      <c r="E429" s="249" t="s">
        <v>3641</v>
      </c>
      <c r="F429" s="255">
        <f>IF(ISBLANK('4E'!J12),"##BLANK",'4E'!J12)</f>
        <v>5.4740000000000002</v>
      </c>
    </row>
    <row r="430" spans="2:6">
      <c r="B430" s="219" t="str">
        <f>'4E'!AM12</f>
        <v>BM844SDT</v>
      </c>
      <c r="C430" s="219" t="s">
        <v>5455</v>
      </c>
      <c r="E430" s="249" t="s">
        <v>3641</v>
      </c>
      <c r="F430" s="255">
        <f>IF(ISBLANK('4E'!K12),"##BLANK",'4E'!K12)</f>
        <v>-5.7860000000000005</v>
      </c>
    </row>
    <row r="431" spans="2:6">
      <c r="B431" s="219" t="str">
        <f>'4E'!AN12</f>
        <v>BM844SDD</v>
      </c>
      <c r="C431" s="219" t="s">
        <v>5456</v>
      </c>
      <c r="E431" s="249" t="s">
        <v>3641</v>
      </c>
      <c r="F431" s="255">
        <f>IF(ISBLANK('4E'!L12),"##BLANK",'4E'!L12)</f>
        <v>1.1479999999999999</v>
      </c>
    </row>
    <row r="432" spans="2:6">
      <c r="B432" s="219" t="str">
        <f>'4E'!AO12</f>
        <v>BM844TAS</v>
      </c>
      <c r="C432" s="219" t="s">
        <v>5457</v>
      </c>
      <c r="E432" s="249" t="s">
        <v>3641</v>
      </c>
      <c r="F432" s="255">
        <f>IF(ISBLANK('4E'!M12),"##BLANK",'4E'!M12)</f>
        <v>119.175</v>
      </c>
    </row>
    <row r="433" spans="2:6">
      <c r="B433" s="219" t="str">
        <f>'4E'!AG13</f>
        <v>BM823F</v>
      </c>
      <c r="C433" s="219" t="s">
        <v>5458</v>
      </c>
      <c r="E433" s="249" t="s">
        <v>3641</v>
      </c>
      <c r="F433" s="255">
        <f>IF(ISBLANK('4E'!E13),"##BLANK",'4E'!E13)</f>
        <v>4.5999999999999999E-2</v>
      </c>
    </row>
    <row r="434" spans="2:6">
      <c r="B434" s="219" t="str">
        <f>'4E'!AH13</f>
        <v>BM823SWD</v>
      </c>
      <c r="C434" s="219" t="s">
        <v>5459</v>
      </c>
      <c r="E434" s="249" t="s">
        <v>3641</v>
      </c>
      <c r="F434" s="255">
        <f>IF(ISBLANK('4E'!F13),"##BLANK",'4E'!F13)</f>
        <v>7.5999999999999998E-2</v>
      </c>
    </row>
    <row r="435" spans="2:6">
      <c r="B435" s="219" t="str">
        <f>'4E'!AI13</f>
        <v>BM823HD</v>
      </c>
      <c r="C435" s="219" t="s">
        <v>5460</v>
      </c>
      <c r="E435" s="249" t="s">
        <v>3641</v>
      </c>
      <c r="F435" s="255">
        <f>IF(ISBLANK('4E'!G13),"##BLANK",'4E'!G13)</f>
        <v>4.1000000000000002E-2</v>
      </c>
    </row>
    <row r="436" spans="2:6">
      <c r="B436" s="219" t="str">
        <f>'4E'!AJ13</f>
        <v>BM823STD</v>
      </c>
      <c r="C436" s="219" t="s">
        <v>5461</v>
      </c>
      <c r="E436" s="249" t="s">
        <v>3641</v>
      </c>
      <c r="F436" s="255">
        <f>IF(ISBLANK('4E'!H13),"##BLANK",'4E'!H13)</f>
        <v>2.5000000000000001E-2</v>
      </c>
    </row>
    <row r="437" spans="2:6">
      <c r="B437" s="219" t="str">
        <f>'4E'!AK13</f>
        <v>BM823SLT</v>
      </c>
      <c r="C437" s="219" t="s">
        <v>5462</v>
      </c>
      <c r="E437" s="249" t="s">
        <v>3641</v>
      </c>
      <c r="F437" s="255">
        <f>IF(ISBLANK('4E'!I13),"##BLANK",'4E'!I13)</f>
        <v>0</v>
      </c>
    </row>
    <row r="438" spans="2:6">
      <c r="B438" s="219" t="str">
        <f>'4E'!AL13</f>
        <v>BM823STP</v>
      </c>
      <c r="C438" s="219" t="s">
        <v>5463</v>
      </c>
      <c r="E438" s="249" t="s">
        <v>3641</v>
      </c>
      <c r="F438" s="255">
        <f>IF(ISBLANK('4E'!J13),"##BLANK",'4E'!J13)</f>
        <v>0</v>
      </c>
    </row>
    <row r="439" spans="2:6">
      <c r="B439" s="219" t="str">
        <f>'4E'!AM13</f>
        <v>BM823SDT</v>
      </c>
      <c r="C439" s="219" t="s">
        <v>5464</v>
      </c>
      <c r="E439" s="249" t="s">
        <v>3641</v>
      </c>
      <c r="F439" s="255">
        <f>IF(ISBLANK('4E'!K13),"##BLANK",'4E'!K13)</f>
        <v>2E-3</v>
      </c>
    </row>
    <row r="440" spans="2:6">
      <c r="B440" s="219" t="str">
        <f>'4E'!AN13</f>
        <v>BM823SDD</v>
      </c>
      <c r="C440" s="219" t="s">
        <v>5465</v>
      </c>
      <c r="E440" s="249" t="s">
        <v>3641</v>
      </c>
      <c r="F440" s="255">
        <f>IF(ISBLANK('4E'!L13),"##BLANK",'4E'!L13)</f>
        <v>0</v>
      </c>
    </row>
    <row r="441" spans="2:6">
      <c r="B441" s="219" t="str">
        <f>'4E'!AO13</f>
        <v>BM823TAS</v>
      </c>
      <c r="C441" s="219" t="s">
        <v>5466</v>
      </c>
      <c r="E441" s="249" t="s">
        <v>3641</v>
      </c>
      <c r="F441" s="255">
        <f>IF(ISBLANK('4E'!M13),"##BLANK",'4E'!M13)</f>
        <v>0.19</v>
      </c>
    </row>
    <row r="442" spans="2:6">
      <c r="B442" s="219" t="str">
        <f>'4E'!AG14</f>
        <v>BM850F</v>
      </c>
      <c r="C442" s="219" t="s">
        <v>5467</v>
      </c>
      <c r="E442" s="249" t="s">
        <v>3641</v>
      </c>
      <c r="F442" s="255">
        <f>IF(ISBLANK('4E'!E14),"##BLANK",'4E'!E14)</f>
        <v>14.529</v>
      </c>
    </row>
    <row r="443" spans="2:6">
      <c r="B443" s="219" t="str">
        <f>'4E'!AH14</f>
        <v>BM850SWD</v>
      </c>
      <c r="C443" s="219" t="s">
        <v>5468</v>
      </c>
      <c r="E443" s="249" t="s">
        <v>3641</v>
      </c>
      <c r="F443" s="255">
        <f>IF(ISBLANK('4E'!F14),"##BLANK",'4E'!F14)</f>
        <v>20.648000000000003</v>
      </c>
    </row>
    <row r="444" spans="2:6">
      <c r="B444" s="219" t="str">
        <f>'4E'!AI14</f>
        <v>BM850HD</v>
      </c>
      <c r="C444" s="219" t="s">
        <v>5469</v>
      </c>
      <c r="E444" s="249" t="s">
        <v>3641</v>
      </c>
      <c r="F444" s="255">
        <f>IF(ISBLANK('4E'!G14),"##BLANK",'4E'!G14)</f>
        <v>11.105</v>
      </c>
    </row>
    <row r="445" spans="2:6">
      <c r="B445" s="219" t="str">
        <f>'4E'!AJ14</f>
        <v>BM850STD</v>
      </c>
      <c r="C445" s="219" t="s">
        <v>5470</v>
      </c>
      <c r="E445" s="249" t="s">
        <v>3641</v>
      </c>
      <c r="F445" s="255">
        <f>IF(ISBLANK('4E'!H14),"##BLANK",'4E'!H14)</f>
        <v>65.186000000000007</v>
      </c>
    </row>
    <row r="446" spans="2:6">
      <c r="B446" s="219" t="str">
        <f>'4E'!AK14</f>
        <v>BM850SLT</v>
      </c>
      <c r="C446" s="219" t="s">
        <v>5471</v>
      </c>
      <c r="E446" s="249" t="s">
        <v>3641</v>
      </c>
      <c r="F446" s="255">
        <f>IF(ISBLANK('4E'!I14),"##BLANK",'4E'!I14)</f>
        <v>7.0590000000000002</v>
      </c>
    </row>
    <row r="447" spans="2:6">
      <c r="B447" s="219" t="str">
        <f>'4E'!AL14</f>
        <v>BM850STP</v>
      </c>
      <c r="C447" s="219" t="s">
        <v>5472</v>
      </c>
      <c r="E447" s="249" t="s">
        <v>3641</v>
      </c>
      <c r="F447" s="255">
        <f>IF(ISBLANK('4E'!J14),"##BLANK",'4E'!J14)</f>
        <v>5.4740000000000002</v>
      </c>
    </row>
    <row r="448" spans="2:6">
      <c r="B448" s="219" t="str">
        <f>'4E'!AM14</f>
        <v>BM850SDT</v>
      </c>
      <c r="C448" s="219" t="s">
        <v>5473</v>
      </c>
      <c r="E448" s="249" t="s">
        <v>3641</v>
      </c>
      <c r="F448" s="255">
        <f>IF(ISBLANK('4E'!K14),"##BLANK",'4E'!K14)</f>
        <v>-5.7840000000000007</v>
      </c>
    </row>
    <row r="449" spans="2:6">
      <c r="B449" s="219" t="str">
        <f>'4E'!AN14</f>
        <v>BM850SDD</v>
      </c>
      <c r="C449" s="219" t="s">
        <v>5474</v>
      </c>
      <c r="E449" s="249" t="s">
        <v>3641</v>
      </c>
      <c r="F449" s="255">
        <f>IF(ISBLANK('4E'!L14),"##BLANK",'4E'!L14)</f>
        <v>1.1479999999999999</v>
      </c>
    </row>
    <row r="450" spans="2:6">
      <c r="B450" s="219" t="str">
        <f>'4E'!AO14</f>
        <v>BM850TAS</v>
      </c>
      <c r="C450" s="219" t="s">
        <v>5475</v>
      </c>
      <c r="E450" s="249" t="s">
        <v>3641</v>
      </c>
      <c r="F450" s="255">
        <f>IF(ISBLANK('4E'!M14),"##BLANK",'4E'!M14)</f>
        <v>119.36500000000001</v>
      </c>
    </row>
    <row r="451" spans="2:6">
      <c r="B451" s="219" t="str">
        <f>'4E'!AG17</f>
        <v>B0504F</v>
      </c>
      <c r="C451" s="219" t="s">
        <v>5476</v>
      </c>
      <c r="E451" s="249" t="s">
        <v>3641</v>
      </c>
      <c r="F451" s="255">
        <f>IF(ISBLANK('4E'!E17),"##BLANK",'4E'!E17)</f>
        <v>0</v>
      </c>
    </row>
    <row r="452" spans="2:6">
      <c r="B452" s="219" t="str">
        <f>'4E'!AH17</f>
        <v>B0504SWD</v>
      </c>
      <c r="C452" s="219" t="s">
        <v>5477</v>
      </c>
      <c r="E452" s="249" t="s">
        <v>3641</v>
      </c>
      <c r="F452" s="255">
        <f>IF(ISBLANK('4E'!F17),"##BLANK",'4E'!F17)</f>
        <v>0</v>
      </c>
    </row>
    <row r="453" spans="2:6">
      <c r="B453" s="219" t="str">
        <f>'4E'!AI17</f>
        <v>B0504HD</v>
      </c>
      <c r="C453" s="219" t="s">
        <v>5478</v>
      </c>
      <c r="E453" s="249" t="s">
        <v>3641</v>
      </c>
      <c r="F453" s="255">
        <f>IF(ISBLANK('4E'!G17),"##BLANK",'4E'!G17)</f>
        <v>0</v>
      </c>
    </row>
    <row r="454" spans="2:6">
      <c r="B454" s="219" t="str">
        <f>'4E'!AJ17</f>
        <v>B0504STD</v>
      </c>
      <c r="C454" s="219" t="s">
        <v>5479</v>
      </c>
      <c r="E454" s="249" t="s">
        <v>3641</v>
      </c>
      <c r="F454" s="255">
        <f>IF(ISBLANK('4E'!H17),"##BLANK",'4E'!H17)</f>
        <v>0</v>
      </c>
    </row>
    <row r="455" spans="2:6">
      <c r="B455" s="219" t="str">
        <f>'4E'!AK17</f>
        <v>B0504SLT</v>
      </c>
      <c r="C455" s="219" t="s">
        <v>5480</v>
      </c>
      <c r="E455" s="249" t="s">
        <v>3641</v>
      </c>
      <c r="F455" s="255">
        <f>IF(ISBLANK('4E'!I17),"##BLANK",'4E'!I17)</f>
        <v>0</v>
      </c>
    </row>
    <row r="456" spans="2:6">
      <c r="B456" s="219" t="str">
        <f>'4E'!AL17</f>
        <v>B0504STP</v>
      </c>
      <c r="C456" s="219" t="s">
        <v>5481</v>
      </c>
      <c r="E456" s="249" t="s">
        <v>3641</v>
      </c>
      <c r="F456" s="255">
        <f>IF(ISBLANK('4E'!J17),"##BLANK",'4E'!J17)</f>
        <v>0</v>
      </c>
    </row>
    <row r="457" spans="2:6">
      <c r="B457" s="219" t="str">
        <f>'4E'!AM17</f>
        <v>B0504SDT</v>
      </c>
      <c r="C457" s="219" t="s">
        <v>5482</v>
      </c>
      <c r="E457" s="249" t="s">
        <v>3641</v>
      </c>
      <c r="F457" s="255">
        <f>IF(ISBLANK('4E'!K17),"##BLANK",'4E'!K17)</f>
        <v>0</v>
      </c>
    </row>
    <row r="458" spans="2:6">
      <c r="B458" s="219" t="str">
        <f>'4E'!AN17</f>
        <v>B0504SDD</v>
      </c>
      <c r="C458" s="219" t="s">
        <v>5483</v>
      </c>
      <c r="E458" s="249" t="s">
        <v>3641</v>
      </c>
      <c r="F458" s="255">
        <f>IF(ISBLANK('4E'!L17),"##BLANK",'4E'!L17)</f>
        <v>0</v>
      </c>
    </row>
    <row r="459" spans="2:6">
      <c r="B459" s="219" t="str">
        <f>'4E'!AO17</f>
        <v>B0504TAS</v>
      </c>
      <c r="C459" s="219" t="s">
        <v>5355</v>
      </c>
      <c r="E459" s="249" t="s">
        <v>3641</v>
      </c>
      <c r="F459" s="255">
        <f>IF(ISBLANK('4E'!M17),"##BLANK",'4E'!M17)</f>
        <v>0</v>
      </c>
    </row>
    <row r="460" spans="2:6">
      <c r="B460" s="219" t="str">
        <f>'4E'!AO20</f>
        <v>B0505TAS</v>
      </c>
      <c r="C460" s="219" t="s">
        <v>5356</v>
      </c>
      <c r="E460" s="249" t="s">
        <v>3641</v>
      </c>
      <c r="F460" s="255">
        <f>IF(ISBLANK('4E'!M20),"##BLANK",'4E'!M20)</f>
        <v>70.442000000000007</v>
      </c>
    </row>
    <row r="461" spans="2:6">
      <c r="B461" s="219" t="str">
        <f>'4E'!AO21</f>
        <v>B0506TAS</v>
      </c>
      <c r="C461" s="219" t="s">
        <v>5357</v>
      </c>
      <c r="E461" s="249" t="s">
        <v>3641</v>
      </c>
      <c r="F461" s="255">
        <f>IF(ISBLANK('4E'!M21),"##BLANK",'4E'!M21)</f>
        <v>30.718999999999998</v>
      </c>
    </row>
    <row r="462" spans="2:6">
      <c r="B462" s="219" t="str">
        <f>'4E'!AG22</f>
        <v>B0371DSCE_F</v>
      </c>
      <c r="C462" s="219" t="s">
        <v>5484</v>
      </c>
      <c r="E462" s="249" t="s">
        <v>3641</v>
      </c>
      <c r="F462" s="255">
        <f>IF(ISBLANK('4E'!E22),"##BLANK",'4E'!E22)</f>
        <v>0.39800000000000002</v>
      </c>
    </row>
    <row r="463" spans="2:6">
      <c r="B463" s="219" t="str">
        <f>'4E'!AH22</f>
        <v>B0371DSCE_SWD</v>
      </c>
      <c r="C463" s="219" t="s">
        <v>5485</v>
      </c>
      <c r="E463" s="249" t="s">
        <v>3641</v>
      </c>
      <c r="F463" s="255">
        <f>IF(ISBLANK('4E'!F22),"##BLANK",'4E'!F22)</f>
        <v>0.66</v>
      </c>
    </row>
    <row r="464" spans="2:6">
      <c r="B464" s="219" t="str">
        <f>'4E'!AI22</f>
        <v>B0371DSCE_HD</v>
      </c>
      <c r="C464" s="219" t="s">
        <v>5486</v>
      </c>
      <c r="E464" s="249" t="s">
        <v>3641</v>
      </c>
      <c r="F464" s="255">
        <f>IF(ISBLANK('4E'!G22),"##BLANK",'4E'!G22)</f>
        <v>0.35599999999999998</v>
      </c>
    </row>
    <row r="465" spans="2:6">
      <c r="B465" s="219" t="str">
        <f>'4E'!AJ22</f>
        <v>B0371DSCE_STD</v>
      </c>
      <c r="C465" s="219" t="s">
        <v>5487</v>
      </c>
      <c r="E465" s="249" t="s">
        <v>3641</v>
      </c>
      <c r="F465" s="255">
        <f>IF(ISBLANK('4E'!H22),"##BLANK",'4E'!H22)</f>
        <v>0</v>
      </c>
    </row>
    <row r="466" spans="2:6">
      <c r="B466" s="219" t="str">
        <f>'4E'!AK22</f>
        <v>B0371DSCE_SLT</v>
      </c>
      <c r="C466" s="219" t="s">
        <v>5488</v>
      </c>
      <c r="E466" s="249" t="s">
        <v>3641</v>
      </c>
      <c r="F466" s="255">
        <f>IF(ISBLANK('4E'!I22),"##BLANK",'4E'!I22)</f>
        <v>0</v>
      </c>
    </row>
    <row r="467" spans="2:6">
      <c r="B467" s="219" t="str">
        <f>'4E'!AL22</f>
        <v>B0371DSCE_STP</v>
      </c>
      <c r="C467" s="219" t="s">
        <v>5489</v>
      </c>
      <c r="E467" s="249" t="s">
        <v>3641</v>
      </c>
      <c r="F467" s="255">
        <f>IF(ISBLANK('4E'!J22),"##BLANK",'4E'!J22)</f>
        <v>0</v>
      </c>
    </row>
    <row r="468" spans="2:6">
      <c r="B468" s="219" t="str">
        <f>'4E'!AM22</f>
        <v>B0371DSCE_SDT</v>
      </c>
      <c r="C468" s="219" t="s">
        <v>5490</v>
      </c>
      <c r="E468" s="249" t="s">
        <v>3641</v>
      </c>
      <c r="F468" s="255">
        <f>IF(ISBLANK('4E'!K22),"##BLANK",'4E'!K22)</f>
        <v>0</v>
      </c>
    </row>
    <row r="469" spans="2:6">
      <c r="B469" s="219" t="str">
        <f>'4E'!AN22</f>
        <v>B0371DSCE_SD</v>
      </c>
      <c r="C469" s="219" t="s">
        <v>5491</v>
      </c>
      <c r="E469" s="249" t="s">
        <v>3641</v>
      </c>
      <c r="F469" s="255">
        <f>IF(ISBLANK('4E'!L22),"##BLANK",'4E'!L22)</f>
        <v>0</v>
      </c>
    </row>
    <row r="470" spans="2:6">
      <c r="B470" s="219" t="str">
        <f>'4E'!AO22</f>
        <v>B0598TAS</v>
      </c>
      <c r="C470" s="219" t="s">
        <v>5492</v>
      </c>
      <c r="E470" s="249" t="s">
        <v>3641</v>
      </c>
      <c r="F470" s="255">
        <f>IF(ISBLANK('4E'!M22),"##BLANK",'4E'!M22)</f>
        <v>1.4140000000000001</v>
      </c>
    </row>
    <row r="471" spans="2:6">
      <c r="B471" s="219" t="str">
        <f>'4E'!AG23</f>
        <v>BC30998F</v>
      </c>
      <c r="C471" s="219" t="s">
        <v>5493</v>
      </c>
      <c r="E471" s="249" t="s">
        <v>3641</v>
      </c>
      <c r="F471" s="255">
        <f>IF(ISBLANK('4E'!E23),"##BLANK",'4E'!E23)</f>
        <v>12.476999999999999</v>
      </c>
    </row>
    <row r="472" spans="2:6">
      <c r="B472" s="219" t="str">
        <f>'4E'!AH23</f>
        <v>BC30998SWD</v>
      </c>
      <c r="C472" s="219" t="s">
        <v>5494</v>
      </c>
      <c r="E472" s="249" t="s">
        <v>3641</v>
      </c>
      <c r="F472" s="255">
        <f>IF(ISBLANK('4E'!F23),"##BLANK",'4E'!F23)</f>
        <v>20.684000000000001</v>
      </c>
    </row>
    <row r="473" spans="2:6">
      <c r="B473" s="219" t="str">
        <f>'4E'!AI23</f>
        <v>BC30998HD</v>
      </c>
      <c r="C473" s="219" t="s">
        <v>5495</v>
      </c>
      <c r="E473" s="249" t="s">
        <v>3641</v>
      </c>
      <c r="F473" s="255">
        <f>IF(ISBLANK('4E'!G23),"##BLANK",'4E'!G23)</f>
        <v>11.138</v>
      </c>
    </row>
    <row r="474" spans="2:6">
      <c r="B474" s="219" t="str">
        <f>'4E'!AJ23</f>
        <v>BC30998STD</v>
      </c>
      <c r="C474" s="219" t="s">
        <v>5496</v>
      </c>
      <c r="E474" s="249" t="s">
        <v>3641</v>
      </c>
      <c r="F474" s="255">
        <f>IF(ISBLANK('4E'!H23),"##BLANK",'4E'!H23)</f>
        <v>54.753</v>
      </c>
    </row>
    <row r="475" spans="2:6">
      <c r="B475" s="219" t="str">
        <f>'4E'!AK23</f>
        <v>BC30998SLT</v>
      </c>
      <c r="C475" s="219" t="s">
        <v>5497</v>
      </c>
      <c r="E475" s="249" t="s">
        <v>3641</v>
      </c>
      <c r="F475" s="255">
        <f>IF(ISBLANK('4E'!I23),"##BLANK",'4E'!I23)</f>
        <v>0</v>
      </c>
    </row>
    <row r="476" spans="2:6">
      <c r="B476" s="219" t="str">
        <f>'4E'!AL23</f>
        <v>BC30998STP</v>
      </c>
      <c r="C476" s="219" t="s">
        <v>5498</v>
      </c>
      <c r="E476" s="249" t="s">
        <v>3641</v>
      </c>
      <c r="F476" s="255">
        <f>IF(ISBLANK('4E'!J23),"##BLANK",'4E'!J23)</f>
        <v>0.504</v>
      </c>
    </row>
    <row r="477" spans="2:6">
      <c r="B477" s="219" t="str">
        <f>'4E'!AM23</f>
        <v>BC30998SDT</v>
      </c>
      <c r="C477" s="219" t="s">
        <v>5499</v>
      </c>
      <c r="E477" s="249" t="s">
        <v>3641</v>
      </c>
      <c r="F477" s="255">
        <f>IF(ISBLANK('4E'!K23),"##BLANK",'4E'!K23)</f>
        <v>3.0179999999999998</v>
      </c>
    </row>
    <row r="478" spans="2:6">
      <c r="B478" s="219" t="str">
        <f>'4E'!AN23</f>
        <v>BC30998SDD</v>
      </c>
      <c r="C478" s="219" t="s">
        <v>5500</v>
      </c>
      <c r="E478" s="249" t="s">
        <v>3641</v>
      </c>
      <c r="F478" s="255">
        <f>IF(ISBLANK('4E'!L23),"##BLANK",'4E'!L23)</f>
        <v>1E-3</v>
      </c>
    </row>
    <row r="479" spans="2:6">
      <c r="B479" s="219" t="str">
        <f>'4E'!AO23</f>
        <v>BC30998TAS</v>
      </c>
      <c r="C479" s="219" t="s">
        <v>5501</v>
      </c>
      <c r="E479" s="249" t="s">
        <v>3641</v>
      </c>
      <c r="F479" s="255">
        <f>IF(ISBLANK('4E'!M23),"##BLANK",'4E'!M23)</f>
        <v>102.575</v>
      </c>
    </row>
    <row r="480" spans="2:6">
      <c r="B480" s="219" t="str">
        <f>'4E'!AG24</f>
        <v>BM833F</v>
      </c>
      <c r="C480" s="219" t="s">
        <v>5458</v>
      </c>
      <c r="E480" s="249" t="s">
        <v>3641</v>
      </c>
      <c r="F480" s="255">
        <f>IF(ISBLANK('4E'!E24),"##BLANK",'4E'!E24)</f>
        <v>0</v>
      </c>
    </row>
    <row r="481" spans="2:6">
      <c r="B481" s="219" t="str">
        <f>'4E'!AH24</f>
        <v>BM833SWD</v>
      </c>
      <c r="C481" s="219" t="s">
        <v>5459</v>
      </c>
      <c r="E481" s="249" t="s">
        <v>3641</v>
      </c>
      <c r="F481" s="255">
        <f>IF(ISBLANK('4E'!F24),"##BLANK",'4E'!F24)</f>
        <v>0</v>
      </c>
    </row>
    <row r="482" spans="2:6">
      <c r="B482" s="219" t="str">
        <f>'4E'!AI24</f>
        <v>BM833HD</v>
      </c>
      <c r="C482" s="219" t="s">
        <v>5460</v>
      </c>
      <c r="E482" s="249" t="s">
        <v>3641</v>
      </c>
      <c r="F482" s="255">
        <f>IF(ISBLANK('4E'!G24),"##BLANK",'4E'!G24)</f>
        <v>0</v>
      </c>
    </row>
    <row r="483" spans="2:6">
      <c r="B483" s="219" t="str">
        <f>'4E'!AJ24</f>
        <v>BM833STD</v>
      </c>
      <c r="C483" s="219" t="s">
        <v>5461</v>
      </c>
      <c r="E483" s="249" t="s">
        <v>3641</v>
      </c>
      <c r="F483" s="255">
        <f>IF(ISBLANK('4E'!H24),"##BLANK",'4E'!H24)</f>
        <v>0</v>
      </c>
    </row>
    <row r="484" spans="2:6">
      <c r="B484" s="219" t="str">
        <f>'4E'!AK24</f>
        <v>BM833SLT</v>
      </c>
      <c r="C484" s="219" t="s">
        <v>5462</v>
      </c>
      <c r="E484" s="249" t="s">
        <v>3641</v>
      </c>
      <c r="F484" s="255">
        <f>IF(ISBLANK('4E'!I24),"##BLANK",'4E'!I24)</f>
        <v>0</v>
      </c>
    </row>
    <row r="485" spans="2:6">
      <c r="B485" s="219" t="str">
        <f>'4E'!AL24</f>
        <v>BM833STP</v>
      </c>
      <c r="C485" s="219" t="s">
        <v>5463</v>
      </c>
      <c r="E485" s="249" t="s">
        <v>3641</v>
      </c>
      <c r="F485" s="255">
        <f>IF(ISBLANK('4E'!J24),"##BLANK",'4E'!J24)</f>
        <v>0</v>
      </c>
    </row>
    <row r="486" spans="2:6">
      <c r="B486" s="219" t="str">
        <f>'4E'!AM24</f>
        <v>BM833SDT</v>
      </c>
      <c r="C486" s="219" t="s">
        <v>5502</v>
      </c>
      <c r="E486" s="249" t="s">
        <v>3641</v>
      </c>
      <c r="F486" s="255">
        <f>IF(ISBLANK('4E'!K24),"##BLANK",'4E'!K24)</f>
        <v>0</v>
      </c>
    </row>
    <row r="487" spans="2:6">
      <c r="B487" s="219" t="str">
        <f>'4E'!AN24</f>
        <v>BM833SDD</v>
      </c>
      <c r="C487" s="219" t="s">
        <v>5503</v>
      </c>
      <c r="E487" s="249" t="s">
        <v>3641</v>
      </c>
      <c r="F487" s="255">
        <f>IF(ISBLANK('4E'!L24),"##BLANK",'4E'!L24)</f>
        <v>0</v>
      </c>
    </row>
    <row r="488" spans="2:6">
      <c r="B488" s="219" t="str">
        <f>'4E'!AO24</f>
        <v>BM833TAS</v>
      </c>
      <c r="C488" s="219" t="s">
        <v>5504</v>
      </c>
      <c r="E488" s="249" t="s">
        <v>3641</v>
      </c>
      <c r="F488" s="255">
        <f>IF(ISBLANK('4E'!M24),"##BLANK",'4E'!M24)</f>
        <v>0</v>
      </c>
    </row>
    <row r="489" spans="2:6">
      <c r="B489" s="219" t="str">
        <f>'4E'!AG25</f>
        <v>BA2120F</v>
      </c>
      <c r="C489" s="219" t="s">
        <v>5505</v>
      </c>
      <c r="E489" s="249" t="s">
        <v>3641</v>
      </c>
      <c r="F489" s="255">
        <f>IF(ISBLANK('4E'!E25),"##BLANK",'4E'!E25)</f>
        <v>12.476999999999999</v>
      </c>
    </row>
    <row r="490" spans="2:6">
      <c r="B490" s="219" t="str">
        <f>'4E'!AH25</f>
        <v>BA2120SWD</v>
      </c>
      <c r="C490" s="219" t="s">
        <v>5506</v>
      </c>
      <c r="E490" s="249" t="s">
        <v>3641</v>
      </c>
      <c r="F490" s="255">
        <f>IF(ISBLANK('4E'!F25),"##BLANK",'4E'!F25)</f>
        <v>20.684000000000001</v>
      </c>
    </row>
    <row r="491" spans="2:6">
      <c r="B491" s="219" t="str">
        <f>'4E'!AI25</f>
        <v>BA2120HD</v>
      </c>
      <c r="C491" s="219" t="s">
        <v>5507</v>
      </c>
      <c r="E491" s="249" t="s">
        <v>3641</v>
      </c>
      <c r="F491" s="255">
        <f>IF(ISBLANK('4E'!G25),"##BLANK",'4E'!G25)</f>
        <v>11.138</v>
      </c>
    </row>
    <row r="492" spans="2:6">
      <c r="B492" s="219" t="str">
        <f>'4E'!AJ25</f>
        <v>BA2120STD</v>
      </c>
      <c r="C492" s="219" t="s">
        <v>5508</v>
      </c>
      <c r="E492" s="249" t="s">
        <v>3641</v>
      </c>
      <c r="F492" s="255">
        <f>IF(ISBLANK('4E'!H25),"##BLANK",'4E'!H25)</f>
        <v>54.753</v>
      </c>
    </row>
    <row r="493" spans="2:6">
      <c r="B493" s="219" t="str">
        <f>'4E'!AK25</f>
        <v>BA2120SLT</v>
      </c>
      <c r="C493" s="219" t="s">
        <v>5509</v>
      </c>
      <c r="E493" s="249" t="s">
        <v>3641</v>
      </c>
      <c r="F493" s="255">
        <f>IF(ISBLANK('4E'!I25),"##BLANK",'4E'!I25)</f>
        <v>0</v>
      </c>
    </row>
    <row r="494" spans="2:6">
      <c r="B494" s="219" t="str">
        <f>'4E'!AL25</f>
        <v>BA2120STP</v>
      </c>
      <c r="C494" s="219" t="s">
        <v>5510</v>
      </c>
      <c r="E494" s="249" t="s">
        <v>3641</v>
      </c>
      <c r="F494" s="255">
        <f>IF(ISBLANK('4E'!J25),"##BLANK",'4E'!J25)</f>
        <v>0.504</v>
      </c>
    </row>
    <row r="495" spans="2:6">
      <c r="B495" s="219" t="str">
        <f>'4E'!AM25</f>
        <v>BA2120SDT</v>
      </c>
      <c r="C495" s="219" t="s">
        <v>5511</v>
      </c>
      <c r="E495" s="249" t="s">
        <v>3641</v>
      </c>
      <c r="F495" s="255">
        <f>IF(ISBLANK('4E'!K25),"##BLANK",'4E'!K25)</f>
        <v>3.0179999999999998</v>
      </c>
    </row>
    <row r="496" spans="2:6">
      <c r="B496" s="219" t="str">
        <f>'4E'!AN25</f>
        <v>BA2120SDD</v>
      </c>
      <c r="C496" s="219" t="s">
        <v>5512</v>
      </c>
      <c r="E496" s="249" t="s">
        <v>3641</v>
      </c>
      <c r="F496" s="255">
        <f>IF(ISBLANK('4E'!L25),"##BLANK",'4E'!L25)</f>
        <v>1E-3</v>
      </c>
    </row>
    <row r="497" spans="2:6">
      <c r="B497" s="219" t="str">
        <f>'4E'!AO25</f>
        <v>BA2120TAS</v>
      </c>
      <c r="C497" s="219" t="s">
        <v>5513</v>
      </c>
      <c r="E497" s="249" t="s">
        <v>3641</v>
      </c>
      <c r="F497" s="255">
        <f>IF(ISBLANK('4E'!M25),"##BLANK",'4E'!M25)</f>
        <v>102.575</v>
      </c>
    </row>
    <row r="498" spans="2:6">
      <c r="B498" s="219" t="str">
        <f>'4E'!AG28</f>
        <v>B0508F</v>
      </c>
      <c r="C498" s="219" t="s">
        <v>5514</v>
      </c>
      <c r="E498" s="249" t="s">
        <v>3641</v>
      </c>
      <c r="F498" s="255">
        <f>IF(ISBLANK('4E'!E28),"##BLANK",'4E'!E28)</f>
        <v>0.56000000000000005</v>
      </c>
    </row>
    <row r="499" spans="2:6">
      <c r="B499" s="219" t="str">
        <f>'4E'!AH28</f>
        <v>B0508SWD</v>
      </c>
      <c r="C499" s="219" t="s">
        <v>5515</v>
      </c>
      <c r="E499" s="249" t="s">
        <v>3641</v>
      </c>
      <c r="F499" s="255">
        <f>IF(ISBLANK('4E'!F28),"##BLANK",'4E'!F28)</f>
        <v>0.92700000000000005</v>
      </c>
    </row>
    <row r="500" spans="2:6">
      <c r="B500" s="219" t="str">
        <f>'4E'!AI28</f>
        <v>B0508HD</v>
      </c>
      <c r="C500" s="219" t="s">
        <v>5516</v>
      </c>
      <c r="E500" s="249" t="s">
        <v>3641</v>
      </c>
      <c r="F500" s="255">
        <f>IF(ISBLANK('4E'!G28),"##BLANK",'4E'!G28)</f>
        <v>0.499</v>
      </c>
    </row>
    <row r="501" spans="2:6">
      <c r="B501" s="219" t="str">
        <f>'4E'!AJ28</f>
        <v>B0508STD</v>
      </c>
      <c r="C501" s="219" t="s">
        <v>5517</v>
      </c>
      <c r="E501" s="249" t="s">
        <v>3641</v>
      </c>
      <c r="F501" s="255">
        <f>IF(ISBLANK('4E'!H28),"##BLANK",'4E'!H28)</f>
        <v>0</v>
      </c>
    </row>
    <row r="502" spans="2:6">
      <c r="B502" s="219" t="str">
        <f>'4E'!AK28</f>
        <v>B0508SLT</v>
      </c>
      <c r="C502" s="219" t="s">
        <v>5518</v>
      </c>
      <c r="E502" s="249" t="s">
        <v>3641</v>
      </c>
      <c r="F502" s="255">
        <f>IF(ISBLANK('4E'!I28),"##BLANK",'4E'!I28)</f>
        <v>0</v>
      </c>
    </row>
    <row r="503" spans="2:6">
      <c r="B503" s="219" t="str">
        <f>'4E'!AL28</f>
        <v>B0508STP</v>
      </c>
      <c r="C503" s="219" t="s">
        <v>5519</v>
      </c>
      <c r="E503" s="249" t="s">
        <v>3641</v>
      </c>
      <c r="F503" s="255">
        <f>IF(ISBLANK('4E'!J28),"##BLANK",'4E'!J28)</f>
        <v>0</v>
      </c>
    </row>
    <row r="504" spans="2:6">
      <c r="B504" s="219" t="str">
        <f>'4E'!AM28</f>
        <v>B0508SDT</v>
      </c>
      <c r="C504" s="219" t="s">
        <v>5520</v>
      </c>
      <c r="E504" s="249" t="s">
        <v>3641</v>
      </c>
      <c r="F504" s="255">
        <f>IF(ISBLANK('4E'!K28),"##BLANK",'4E'!K28)</f>
        <v>0</v>
      </c>
    </row>
    <row r="505" spans="2:6">
      <c r="B505" s="219" t="str">
        <f>'4E'!AN28</f>
        <v>B0508SDD</v>
      </c>
      <c r="C505" s="219" t="s">
        <v>5521</v>
      </c>
      <c r="E505" s="249" t="s">
        <v>3641</v>
      </c>
      <c r="F505" s="255">
        <f>IF(ISBLANK('4E'!L28),"##BLANK",'4E'!L28)</f>
        <v>0</v>
      </c>
    </row>
    <row r="506" spans="2:6">
      <c r="B506" s="219" t="str">
        <f>'4E'!AO28</f>
        <v>B0508TAS</v>
      </c>
      <c r="C506" s="219" t="s">
        <v>5384</v>
      </c>
      <c r="E506" s="249" t="s">
        <v>3641</v>
      </c>
      <c r="F506" s="255">
        <f>IF(ISBLANK('4E'!M28),"##BLANK",'4E'!M28)</f>
        <v>1.9860000000000002</v>
      </c>
    </row>
    <row r="507" spans="2:6">
      <c r="B507" s="219" t="str">
        <f>'4E'!AG30</f>
        <v>BM825F</v>
      </c>
      <c r="C507" s="219" t="s">
        <v>5522</v>
      </c>
      <c r="E507" s="249" t="s">
        <v>3641</v>
      </c>
      <c r="F507" s="255">
        <f>IF(ISBLANK('4E'!E30),"##BLANK",'4E'!E30)</f>
        <v>26.446000000000002</v>
      </c>
    </row>
    <row r="508" spans="2:6">
      <c r="B508" s="219" t="str">
        <f>'4E'!AH30</f>
        <v>BM825SWD</v>
      </c>
      <c r="C508" s="219" t="s">
        <v>5523</v>
      </c>
      <c r="E508" s="249" t="s">
        <v>3641</v>
      </c>
      <c r="F508" s="255">
        <f>IF(ISBLANK('4E'!F30),"##BLANK",'4E'!F30)</f>
        <v>40.405000000000008</v>
      </c>
    </row>
    <row r="509" spans="2:6">
      <c r="B509" s="219" t="str">
        <f>'4E'!AI30</f>
        <v>BM825HD</v>
      </c>
      <c r="C509" s="219" t="s">
        <v>5524</v>
      </c>
      <c r="E509" s="249" t="s">
        <v>3641</v>
      </c>
      <c r="F509" s="255">
        <f>IF(ISBLANK('4E'!G30),"##BLANK",'4E'!G30)</f>
        <v>21.744000000000003</v>
      </c>
    </row>
    <row r="510" spans="2:6">
      <c r="B510" s="219" t="str">
        <f>'4E'!AJ30</f>
        <v>BM825STD</v>
      </c>
      <c r="C510" s="219" t="s">
        <v>5525</v>
      </c>
      <c r="E510" s="249" t="s">
        <v>3641</v>
      </c>
      <c r="F510" s="255">
        <f>IF(ISBLANK('4E'!H30),"##BLANK",'4E'!H30)</f>
        <v>119.93900000000001</v>
      </c>
    </row>
    <row r="511" spans="2:6">
      <c r="B511" s="219" t="str">
        <f>'4E'!AK30</f>
        <v>BM825SLT</v>
      </c>
      <c r="C511" s="219" t="s">
        <v>5526</v>
      </c>
      <c r="E511" s="249" t="s">
        <v>3641</v>
      </c>
      <c r="F511" s="255">
        <f>IF(ISBLANK('4E'!I30),"##BLANK",'4E'!I30)</f>
        <v>7.0590000000000002</v>
      </c>
    </row>
    <row r="512" spans="2:6">
      <c r="B512" s="219" t="str">
        <f>'4E'!AL30</f>
        <v>BM825STP</v>
      </c>
      <c r="C512" s="219" t="s">
        <v>5527</v>
      </c>
      <c r="E512" s="249" t="s">
        <v>3641</v>
      </c>
      <c r="F512" s="255">
        <f>IF(ISBLANK('4E'!J30),"##BLANK",'4E'!J30)</f>
        <v>5.9779999999999998</v>
      </c>
    </row>
    <row r="513" spans="2:6">
      <c r="B513" s="219" t="str">
        <f>'4E'!AM30</f>
        <v>BM825SDT</v>
      </c>
      <c r="C513" s="219" t="s">
        <v>5528</v>
      </c>
      <c r="E513" s="249" t="s">
        <v>3641</v>
      </c>
      <c r="F513" s="255">
        <f>IF(ISBLANK('4E'!K30),"##BLANK",'4E'!K30)</f>
        <v>-2.7660000000000009</v>
      </c>
    </row>
    <row r="514" spans="2:6">
      <c r="B514" s="219" t="str">
        <f>'4E'!AN30</f>
        <v>BM825SDD</v>
      </c>
      <c r="C514" s="219" t="s">
        <v>5529</v>
      </c>
      <c r="E514" s="249" t="s">
        <v>3641</v>
      </c>
      <c r="F514" s="255">
        <f>IF(ISBLANK('4E'!L30),"##BLANK",'4E'!L30)</f>
        <v>1.1489999999999998</v>
      </c>
    </row>
    <row r="515" spans="2:6">
      <c r="B515" s="219" t="str">
        <f>'4E'!AO30</f>
        <v>BM825TAS</v>
      </c>
      <c r="C515" s="219" t="s">
        <v>5530</v>
      </c>
      <c r="E515" s="249" t="s">
        <v>3641</v>
      </c>
      <c r="F515" s="255">
        <f>IF(ISBLANK('4E'!M30),"##BLANK",'4E'!M30)</f>
        <v>219.95400000000004</v>
      </c>
    </row>
    <row r="516" spans="2:6">
      <c r="B516" s="219" t="str">
        <f>'4E'!AG33</f>
        <v>CR00559F</v>
      </c>
      <c r="C516" s="219" t="s">
        <v>5531</v>
      </c>
      <c r="E516" s="249" t="s">
        <v>3641</v>
      </c>
      <c r="F516" s="255">
        <f>IF(ISBLANK('4E'!E33),"##BLANK",'4E'!E33)</f>
        <v>2.9169999999999998</v>
      </c>
    </row>
    <row r="517" spans="2:6">
      <c r="B517" s="219" t="str">
        <f>'4E'!AH33</f>
        <v>CR00559SWD</v>
      </c>
      <c r="C517" s="219" t="s">
        <v>5532</v>
      </c>
      <c r="E517" s="249" t="s">
        <v>3641</v>
      </c>
      <c r="F517" s="255">
        <f>IF(ISBLANK('4E'!F33),"##BLANK",'4E'!F33)</f>
        <v>7.0999999999999994E-2</v>
      </c>
    </row>
    <row r="518" spans="2:6">
      <c r="B518" s="219" t="str">
        <f>'4E'!AI33</f>
        <v>CR00559HD</v>
      </c>
      <c r="C518" s="219" t="s">
        <v>5533</v>
      </c>
      <c r="E518" s="249" t="s">
        <v>3641</v>
      </c>
      <c r="F518" s="255">
        <f>IF(ISBLANK('4E'!G33),"##BLANK",'4E'!G33)</f>
        <v>0</v>
      </c>
    </row>
    <row r="519" spans="2:6">
      <c r="B519" s="219" t="str">
        <f>'4E'!AJ33</f>
        <v>CR00559STD</v>
      </c>
      <c r="C519" s="219" t="s">
        <v>5534</v>
      </c>
      <c r="E519" s="249" t="s">
        <v>3641</v>
      </c>
      <c r="F519" s="255">
        <f>IF(ISBLANK('4E'!H33),"##BLANK",'4E'!H33)</f>
        <v>3.0579999999999998</v>
      </c>
    </row>
    <row r="520" spans="2:6">
      <c r="B520" s="219" t="str">
        <f>'4E'!AK33</f>
        <v>CR00559SLT</v>
      </c>
      <c r="C520" s="219" t="s">
        <v>5535</v>
      </c>
      <c r="E520" s="249" t="s">
        <v>3641</v>
      </c>
      <c r="F520" s="255">
        <f>IF(ISBLANK('4E'!I33),"##BLANK",'4E'!I33)</f>
        <v>0</v>
      </c>
    </row>
    <row r="521" spans="2:6">
      <c r="B521" s="219" t="str">
        <f>'4E'!AL33</f>
        <v>CR00559STP</v>
      </c>
      <c r="C521" s="219" t="s">
        <v>5536</v>
      </c>
      <c r="E521" s="249" t="s">
        <v>3641</v>
      </c>
      <c r="F521" s="255">
        <f>IF(ISBLANK('4E'!J33),"##BLANK",'4E'!J33)</f>
        <v>1.4E-2</v>
      </c>
    </row>
    <row r="522" spans="2:6">
      <c r="B522" s="219" t="str">
        <f>'4E'!AM33</f>
        <v>CR00559SDT</v>
      </c>
      <c r="C522" s="219" t="s">
        <v>5537</v>
      </c>
      <c r="E522" s="249" t="s">
        <v>3641</v>
      </c>
      <c r="F522" s="255">
        <f>IF(ISBLANK('4E'!K33),"##BLANK",'4E'!K33)</f>
        <v>0.28899999999999998</v>
      </c>
    </row>
    <row r="523" spans="2:6">
      <c r="B523" s="219" t="str">
        <f>'4E'!AN33</f>
        <v>CR00559SDD</v>
      </c>
      <c r="C523" s="219" t="s">
        <v>5538</v>
      </c>
      <c r="E523" s="249" t="s">
        <v>3641</v>
      </c>
      <c r="F523" s="255">
        <f>IF(ISBLANK('4E'!L33),"##BLANK",'4E'!L33)</f>
        <v>2.8000000000000001E-2</v>
      </c>
    </row>
    <row r="524" spans="2:6">
      <c r="B524" s="219" t="str">
        <f>'4E'!AO33</f>
        <v>CR00559TOT</v>
      </c>
      <c r="C524" s="219" t="s">
        <v>5539</v>
      </c>
      <c r="E524" s="249" t="s">
        <v>3641</v>
      </c>
      <c r="F524" s="255">
        <f>IF(ISBLANK('4E'!M33),"##BLANK",'4E'!M33)</f>
        <v>6.3769999999999989</v>
      </c>
    </row>
    <row r="525" spans="2:6">
      <c r="B525" s="219" t="str">
        <f>'4E'!AG34</f>
        <v>CR00562F</v>
      </c>
      <c r="C525" s="219" t="s">
        <v>5540</v>
      </c>
      <c r="E525" s="249" t="s">
        <v>3641</v>
      </c>
      <c r="F525" s="255">
        <f>IF(ISBLANK('4E'!E34),"##BLANK",'4E'!E34)</f>
        <v>0</v>
      </c>
    </row>
    <row r="526" spans="2:6">
      <c r="B526" s="219" t="str">
        <f>'4E'!AH34</f>
        <v>CR00562SWD</v>
      </c>
      <c r="C526" s="219" t="s">
        <v>5541</v>
      </c>
      <c r="E526" s="249" t="s">
        <v>3641</v>
      </c>
      <c r="F526" s="255">
        <f>IF(ISBLANK('4E'!F34),"##BLANK",'4E'!F34)</f>
        <v>0</v>
      </c>
    </row>
    <row r="527" spans="2:6">
      <c r="B527" s="219" t="str">
        <f>'4E'!AI34</f>
        <v>CR00562HD</v>
      </c>
      <c r="C527" s="219" t="s">
        <v>5542</v>
      </c>
      <c r="E527" s="249" t="s">
        <v>3641</v>
      </c>
      <c r="F527" s="255">
        <f>IF(ISBLANK('4E'!G34),"##BLANK",'4E'!G34)</f>
        <v>0</v>
      </c>
    </row>
    <row r="528" spans="2:6">
      <c r="B528" s="219" t="str">
        <f>'4E'!AJ34</f>
        <v>CR00562STD</v>
      </c>
      <c r="C528" s="219" t="s">
        <v>5543</v>
      </c>
      <c r="E528" s="249" t="s">
        <v>3641</v>
      </c>
      <c r="F528" s="255">
        <f>IF(ISBLANK('4E'!H34),"##BLANK",'4E'!H34)</f>
        <v>0</v>
      </c>
    </row>
    <row r="529" spans="2:6">
      <c r="B529" s="219" t="str">
        <f>'4E'!AK34</f>
        <v>CR00562SLT</v>
      </c>
      <c r="C529" s="219" t="s">
        <v>5544</v>
      </c>
      <c r="E529" s="249" t="s">
        <v>3641</v>
      </c>
      <c r="F529" s="255">
        <f>IF(ISBLANK('4E'!I34),"##BLANK",'4E'!I34)</f>
        <v>0</v>
      </c>
    </row>
    <row r="530" spans="2:6">
      <c r="B530" s="219" t="str">
        <f>'4E'!AL34</f>
        <v>CR00562STP</v>
      </c>
      <c r="C530" s="219" t="s">
        <v>5545</v>
      </c>
      <c r="E530" s="249" t="s">
        <v>3641</v>
      </c>
      <c r="F530" s="255">
        <f>IF(ISBLANK('4E'!J34),"##BLANK",'4E'!J34)</f>
        <v>0</v>
      </c>
    </row>
    <row r="531" spans="2:6">
      <c r="B531" s="219" t="str">
        <f>'4E'!AM34</f>
        <v>CR00562SDT</v>
      </c>
      <c r="C531" s="219" t="s">
        <v>5546</v>
      </c>
      <c r="E531" s="249" t="s">
        <v>3641</v>
      </c>
      <c r="F531" s="255">
        <f>IF(ISBLANK('4E'!K34),"##BLANK",'4E'!K34)</f>
        <v>0</v>
      </c>
    </row>
    <row r="532" spans="2:6">
      <c r="B532" s="219" t="str">
        <f>'4E'!AN34</f>
        <v>CR00562SDD</v>
      </c>
      <c r="C532" s="219" t="s">
        <v>5547</v>
      </c>
      <c r="E532" s="249" t="s">
        <v>3641</v>
      </c>
      <c r="F532" s="255">
        <f>IF(ISBLANK('4E'!L34),"##BLANK",'4E'!L34)</f>
        <v>0</v>
      </c>
    </row>
    <row r="533" spans="2:6">
      <c r="B533" s="219" t="str">
        <f>'4E'!AO34</f>
        <v>CR00562TOT</v>
      </c>
      <c r="C533" s="219" t="s">
        <v>5548</v>
      </c>
      <c r="E533" s="249" t="s">
        <v>3641</v>
      </c>
      <c r="F533" s="255">
        <f>IF(ISBLANK('4E'!M34),"##BLANK",'4E'!M34)</f>
        <v>0</v>
      </c>
    </row>
    <row r="534" spans="2:6">
      <c r="B534" s="219" t="str">
        <f>'4E'!AG35</f>
        <v>S3040F</v>
      </c>
      <c r="C534" s="219" t="s">
        <v>5549</v>
      </c>
      <c r="E534" s="249" t="s">
        <v>3641</v>
      </c>
      <c r="F534" s="255">
        <f>IF(ISBLANK('4E'!E35),"##BLANK",'4E'!E35)</f>
        <v>29.363</v>
      </c>
    </row>
    <row r="535" spans="2:6">
      <c r="B535" s="219" t="str">
        <f>'4E'!AH35</f>
        <v>S3040SWD</v>
      </c>
      <c r="C535" s="219" t="s">
        <v>5550</v>
      </c>
      <c r="E535" s="249" t="s">
        <v>3641</v>
      </c>
      <c r="F535" s="255">
        <f>IF(ISBLANK('4E'!F35),"##BLANK",'4E'!F35)</f>
        <v>40.476000000000006</v>
      </c>
    </row>
    <row r="536" spans="2:6">
      <c r="B536" s="219" t="str">
        <f>'4E'!AI35</f>
        <v>S3040HD</v>
      </c>
      <c r="C536" s="219" t="s">
        <v>5551</v>
      </c>
      <c r="E536" s="249" t="s">
        <v>3641</v>
      </c>
      <c r="F536" s="255">
        <f>IF(ISBLANK('4E'!G35),"##BLANK",'4E'!G35)</f>
        <v>21.744000000000003</v>
      </c>
    </row>
    <row r="537" spans="2:6">
      <c r="B537" s="219" t="str">
        <f>'4E'!AJ35</f>
        <v>S3040STD</v>
      </c>
      <c r="C537" s="219" t="s">
        <v>5552</v>
      </c>
      <c r="E537" s="249" t="s">
        <v>3641</v>
      </c>
      <c r="F537" s="255">
        <f>IF(ISBLANK('4E'!H35),"##BLANK",'4E'!H35)</f>
        <v>122.99700000000001</v>
      </c>
    </row>
    <row r="538" spans="2:6">
      <c r="B538" s="219" t="str">
        <f>'4E'!AK35</f>
        <v>S3040SLT</v>
      </c>
      <c r="C538" s="219" t="s">
        <v>5553</v>
      </c>
      <c r="E538" s="249" t="s">
        <v>3641</v>
      </c>
      <c r="F538" s="255">
        <f>IF(ISBLANK('4E'!I35),"##BLANK",'4E'!I35)</f>
        <v>7.0590000000000002</v>
      </c>
    </row>
    <row r="539" spans="2:6">
      <c r="B539" s="219" t="str">
        <f>'4E'!AL35</f>
        <v>S3040STP</v>
      </c>
      <c r="C539" s="219" t="s">
        <v>5554</v>
      </c>
      <c r="E539" s="249" t="s">
        <v>3641</v>
      </c>
      <c r="F539" s="255">
        <f>IF(ISBLANK('4E'!J35),"##BLANK",'4E'!J35)</f>
        <v>5.992</v>
      </c>
    </row>
    <row r="540" spans="2:6">
      <c r="B540" s="219" t="str">
        <f>'4E'!AM35</f>
        <v>S3040SDT</v>
      </c>
      <c r="C540" s="219" t="s">
        <v>5555</v>
      </c>
      <c r="E540" s="249" t="s">
        <v>3641</v>
      </c>
      <c r="F540" s="255">
        <f>IF(ISBLANK('4E'!K35),"##BLANK",'4E'!K35)</f>
        <v>-2.4770000000000008</v>
      </c>
    </row>
    <row r="541" spans="2:6">
      <c r="B541" s="219" t="str">
        <f>'4E'!AN35</f>
        <v>S3040SDD</v>
      </c>
      <c r="C541" s="219" t="s">
        <v>5556</v>
      </c>
      <c r="E541" s="249" t="s">
        <v>3641</v>
      </c>
      <c r="F541" s="255">
        <f>IF(ISBLANK('4E'!L35),"##BLANK",'4E'!L35)</f>
        <v>1.1769999999999998</v>
      </c>
    </row>
    <row r="542" spans="2:6">
      <c r="B542" s="219" t="str">
        <f>'4E'!AO35</f>
        <v>S3040TOT</v>
      </c>
      <c r="C542" s="219" t="s">
        <v>5557</v>
      </c>
      <c r="E542" s="249" t="s">
        <v>3641</v>
      </c>
      <c r="F542" s="255">
        <f>IF(ISBLANK('4E'!M35),"##BLANK",'4E'!M35)</f>
        <v>226.33099999999999</v>
      </c>
    </row>
    <row r="543" spans="2:6">
      <c r="B543" s="219" t="str">
        <f>'4E'!AG41</f>
        <v>BP3357001FL</v>
      </c>
      <c r="C543" s="219" t="s">
        <v>5558</v>
      </c>
      <c r="E543" s="249" t="s">
        <v>3641</v>
      </c>
      <c r="F543" s="255">
        <f>IF(ISBLANK('4E'!E41),"##BLANK",'4E'!E41)</f>
        <v>-0.435</v>
      </c>
    </row>
    <row r="544" spans="2:6">
      <c r="B544" s="219" t="str">
        <f>'4E'!AH41</f>
        <v>BP3357001SWD</v>
      </c>
      <c r="C544" s="219" t="s">
        <v>5559</v>
      </c>
      <c r="E544" s="249" t="s">
        <v>3641</v>
      </c>
      <c r="F544" s="255">
        <f>IF(ISBLANK('4E'!F41),"##BLANK",'4E'!F41)</f>
        <v>-0.72099999999999997</v>
      </c>
    </row>
    <row r="545" spans="2:6">
      <c r="B545" s="219" t="str">
        <f>'4E'!AI41</f>
        <v>BP3357001HD</v>
      </c>
      <c r="C545" s="219" t="s">
        <v>5560</v>
      </c>
      <c r="E545" s="249" t="s">
        <v>3641</v>
      </c>
      <c r="F545" s="255">
        <f>IF(ISBLANK('4E'!G41),"##BLANK",'4E'!G41)</f>
        <v>-0.38800000000000001</v>
      </c>
    </row>
    <row r="546" spans="2:6">
      <c r="B546" s="219" t="str">
        <f>'4E'!AJ41</f>
        <v>BP3357001STD</v>
      </c>
      <c r="C546" s="219" t="s">
        <v>5561</v>
      </c>
      <c r="E546" s="249" t="s">
        <v>3641</v>
      </c>
      <c r="F546" s="255">
        <f>IF(ISBLANK('4E'!H41),"##BLANK",'4E'!H41)</f>
        <v>-1.9790000000000001</v>
      </c>
    </row>
    <row r="547" spans="2:6">
      <c r="B547" s="219" t="str">
        <f>'4E'!AK41</f>
        <v>BP3357001SLT</v>
      </c>
      <c r="C547" s="219" t="s">
        <v>5562</v>
      </c>
      <c r="E547" s="249" t="s">
        <v>3641</v>
      </c>
      <c r="F547" s="255">
        <f>IF(ISBLANK('4E'!I41),"##BLANK",'4E'!I41)</f>
        <v>0</v>
      </c>
    </row>
    <row r="548" spans="2:6">
      <c r="B548" s="219" t="str">
        <f>'4E'!AL41</f>
        <v>BP3357001STP</v>
      </c>
      <c r="C548" s="219" t="s">
        <v>5563</v>
      </c>
      <c r="E548" s="249" t="s">
        <v>3641</v>
      </c>
      <c r="F548" s="255">
        <f>IF(ISBLANK('4E'!J41),"##BLANK",'4E'!J41)</f>
        <v>-8.0000000000000002E-3</v>
      </c>
    </row>
    <row r="549" spans="2:6">
      <c r="B549" s="219" t="str">
        <f>'4E'!AM41</f>
        <v>BP3357001SDT</v>
      </c>
      <c r="C549" s="219" t="s">
        <v>5564</v>
      </c>
      <c r="E549" s="249" t="s">
        <v>3641</v>
      </c>
      <c r="F549" s="255">
        <f>IF(ISBLANK('4E'!K41),"##BLANK",'4E'!K41)</f>
        <v>-0.246</v>
      </c>
    </row>
    <row r="550" spans="2:6">
      <c r="B550" s="219" t="str">
        <f>'4E'!AN41</f>
        <v>BP3357001SDD</v>
      </c>
      <c r="C550" s="219" t="s">
        <v>5565</v>
      </c>
      <c r="E550" s="249" t="s">
        <v>3641</v>
      </c>
      <c r="F550" s="255">
        <f>IF(ISBLANK('4E'!L41),"##BLANK",'4E'!L41)</f>
        <v>-1.4999999999999999E-2</v>
      </c>
    </row>
    <row r="551" spans="2:6">
      <c r="B551" s="219" t="str">
        <f>'4E'!AO41</f>
        <v>BP3357001CAS</v>
      </c>
      <c r="C551" s="219" t="s">
        <v>5413</v>
      </c>
      <c r="E551" s="249" t="s">
        <v>3641</v>
      </c>
      <c r="F551" s="255">
        <f>IF(ISBLANK('4E'!M41),"##BLANK",'4E'!M41)</f>
        <v>-3.7920000000000003</v>
      </c>
    </row>
    <row r="552" spans="2:6">
      <c r="B552" s="219" t="str">
        <f>'4E'!AG42</f>
        <v>BP3357002FL</v>
      </c>
      <c r="C552" s="219" t="s">
        <v>5566</v>
      </c>
      <c r="E552" s="249" t="s">
        <v>3641</v>
      </c>
      <c r="F552" s="255">
        <f>IF(ISBLANK('4E'!E42),"##BLANK",'4E'!E42)</f>
        <v>0</v>
      </c>
    </row>
    <row r="553" spans="2:6">
      <c r="B553" s="219" t="str">
        <f>'4E'!AH42</f>
        <v>BP3357002SWD</v>
      </c>
      <c r="C553" s="219" t="s">
        <v>5567</v>
      </c>
      <c r="E553" s="249" t="s">
        <v>3641</v>
      </c>
      <c r="F553" s="255">
        <f>IF(ISBLANK('4E'!F42),"##BLANK",'4E'!F42)</f>
        <v>0</v>
      </c>
    </row>
    <row r="554" spans="2:6">
      <c r="B554" s="219" t="str">
        <f>'4E'!AI42</f>
        <v>BP3357002HD</v>
      </c>
      <c r="C554" s="219" t="s">
        <v>5568</v>
      </c>
      <c r="E554" s="249" t="s">
        <v>3641</v>
      </c>
      <c r="F554" s="255">
        <f>IF(ISBLANK('4E'!G42),"##BLANK",'4E'!G42)</f>
        <v>0</v>
      </c>
    </row>
    <row r="555" spans="2:6">
      <c r="B555" s="219" t="str">
        <f>'4E'!AJ42</f>
        <v>BP3357002STD</v>
      </c>
      <c r="C555" s="219" t="s">
        <v>5569</v>
      </c>
      <c r="E555" s="249" t="s">
        <v>3641</v>
      </c>
      <c r="F555" s="255">
        <f>IF(ISBLANK('4E'!H42),"##BLANK",'4E'!H42)</f>
        <v>0</v>
      </c>
    </row>
    <row r="556" spans="2:6">
      <c r="B556" s="219" t="str">
        <f>'4E'!AK42</f>
        <v>BP3357002SLT</v>
      </c>
      <c r="C556" s="219" t="s">
        <v>5570</v>
      </c>
      <c r="E556" s="249" t="s">
        <v>3641</v>
      </c>
      <c r="F556" s="255">
        <f>IF(ISBLANK('4E'!I42),"##BLANK",'4E'!I42)</f>
        <v>0</v>
      </c>
    </row>
    <row r="557" spans="2:6">
      <c r="B557" s="219" t="str">
        <f>'4E'!AL42</f>
        <v>BP3357002STP</v>
      </c>
      <c r="C557" s="219" t="s">
        <v>5571</v>
      </c>
      <c r="E557" s="249" t="s">
        <v>3641</v>
      </c>
      <c r="F557" s="255">
        <f>IF(ISBLANK('4E'!J42),"##BLANK",'4E'!J42)</f>
        <v>0</v>
      </c>
    </row>
    <row r="558" spans="2:6">
      <c r="B558" s="219" t="str">
        <f>'4E'!AM42</f>
        <v>BP3357002SDT</v>
      </c>
      <c r="C558" s="219" t="s">
        <v>5572</v>
      </c>
      <c r="E558" s="249" t="s">
        <v>3641</v>
      </c>
      <c r="F558" s="255">
        <f>IF(ISBLANK('4E'!K42),"##BLANK",'4E'!K42)</f>
        <v>0</v>
      </c>
    </row>
    <row r="559" spans="2:6">
      <c r="B559" s="219" t="str">
        <f>'4E'!AN42</f>
        <v>BP3357002SDD</v>
      </c>
      <c r="C559" s="219" t="s">
        <v>5573</v>
      </c>
      <c r="E559" s="249" t="s">
        <v>3641</v>
      </c>
      <c r="F559" s="255">
        <f>IF(ISBLANK('4E'!L42),"##BLANK",'4E'!L42)</f>
        <v>0</v>
      </c>
    </row>
    <row r="560" spans="2:6">
      <c r="B560" s="219" t="str">
        <f>'4E'!AO42</f>
        <v>BP3357002CAS</v>
      </c>
      <c r="C560" s="219" t="s">
        <v>5418</v>
      </c>
      <c r="E560" s="249" t="s">
        <v>3641</v>
      </c>
      <c r="F560" s="255">
        <f>IF(ISBLANK('4E'!M42),"##BLANK",'4E'!M42)</f>
        <v>0</v>
      </c>
    </row>
    <row r="561" spans="2:6">
      <c r="B561" s="219" t="str">
        <f>'4E'!AG43</f>
        <v>BP3357003FL</v>
      </c>
      <c r="C561" s="219" t="s">
        <v>5574</v>
      </c>
      <c r="E561" s="249" t="s">
        <v>3641</v>
      </c>
      <c r="F561" s="255">
        <f>IF(ISBLANK('4E'!E43),"##BLANK",'4E'!E43)</f>
        <v>0</v>
      </c>
    </row>
    <row r="562" spans="2:6">
      <c r="B562" s="219" t="str">
        <f>'4E'!AH43</f>
        <v>BP3357003SWD</v>
      </c>
      <c r="C562" s="219" t="s">
        <v>5575</v>
      </c>
      <c r="E562" s="249" t="s">
        <v>3641</v>
      </c>
      <c r="F562" s="255">
        <f>IF(ISBLANK('4E'!F43),"##BLANK",'4E'!F43)</f>
        <v>0</v>
      </c>
    </row>
    <row r="563" spans="2:6">
      <c r="B563" s="219" t="str">
        <f>'4E'!AI43</f>
        <v>BP3357003HD</v>
      </c>
      <c r="C563" s="219" t="s">
        <v>5576</v>
      </c>
      <c r="E563" s="249" t="s">
        <v>3641</v>
      </c>
      <c r="F563" s="255">
        <f>IF(ISBLANK('4E'!G43),"##BLANK",'4E'!G43)</f>
        <v>0</v>
      </c>
    </row>
    <row r="564" spans="2:6">
      <c r="B564" s="219" t="str">
        <f>'4E'!AJ43</f>
        <v>BP3357003STD</v>
      </c>
      <c r="C564" s="219" t="s">
        <v>5577</v>
      </c>
      <c r="E564" s="249" t="s">
        <v>3641</v>
      </c>
      <c r="F564" s="255">
        <f>IF(ISBLANK('4E'!H43),"##BLANK",'4E'!H43)</f>
        <v>0</v>
      </c>
    </row>
    <row r="565" spans="2:6">
      <c r="B565" s="219" t="str">
        <f>'4E'!AK43</f>
        <v>BP3357003SLT</v>
      </c>
      <c r="C565" s="219" t="s">
        <v>5578</v>
      </c>
      <c r="E565" s="249" t="s">
        <v>3641</v>
      </c>
      <c r="F565" s="255">
        <f>IF(ISBLANK('4E'!I43),"##BLANK",'4E'!I43)</f>
        <v>0</v>
      </c>
    </row>
    <row r="566" spans="2:6">
      <c r="B566" s="219" t="str">
        <f>'4E'!AL43</f>
        <v>BP3357003STP</v>
      </c>
      <c r="C566" s="219" t="s">
        <v>5579</v>
      </c>
      <c r="E566" s="249" t="s">
        <v>3641</v>
      </c>
      <c r="F566" s="255">
        <f>IF(ISBLANK('4E'!J43),"##BLANK",'4E'!J43)</f>
        <v>0</v>
      </c>
    </row>
    <row r="567" spans="2:6">
      <c r="B567" s="219" t="str">
        <f>'4E'!AM43</f>
        <v>BP3357003SDT</v>
      </c>
      <c r="C567" s="219" t="s">
        <v>5580</v>
      </c>
      <c r="E567" s="249" t="s">
        <v>3641</v>
      </c>
      <c r="F567" s="255">
        <f>IF(ISBLANK('4E'!K43),"##BLANK",'4E'!K43)</f>
        <v>0</v>
      </c>
    </row>
    <row r="568" spans="2:6">
      <c r="B568" s="219" t="str">
        <f>'4E'!AN43</f>
        <v>BP3357003SDD</v>
      </c>
      <c r="C568" s="219" t="s">
        <v>5581</v>
      </c>
      <c r="E568" s="249" t="s">
        <v>3641</v>
      </c>
      <c r="F568" s="255">
        <f>IF(ISBLANK('4E'!L43),"##BLANK",'4E'!L43)</f>
        <v>0</v>
      </c>
    </row>
    <row r="569" spans="2:6">
      <c r="B569" s="219" t="str">
        <f>'4E'!AO43</f>
        <v>BP3357003CAS</v>
      </c>
      <c r="C569" s="219" t="s">
        <v>5423</v>
      </c>
      <c r="E569" s="249" t="s">
        <v>3641</v>
      </c>
      <c r="F569" s="255">
        <f>IF(ISBLANK('4E'!M43),"##BLANK",'4E'!M43)</f>
        <v>0</v>
      </c>
    </row>
    <row r="570" spans="2:6">
      <c r="B570" s="219" t="str">
        <f>'4E'!AG44</f>
        <v>BP3357004FL</v>
      </c>
      <c r="C570" s="219" t="s">
        <v>5582</v>
      </c>
      <c r="E570" s="249" t="s">
        <v>3641</v>
      </c>
      <c r="F570" s="255">
        <f>IF(ISBLANK('4E'!E44),"##BLANK",'4E'!E44)</f>
        <v>0</v>
      </c>
    </row>
    <row r="571" spans="2:6">
      <c r="B571" s="219" t="str">
        <f>'4E'!AH44</f>
        <v>BP3357004SWD</v>
      </c>
      <c r="C571" s="219" t="s">
        <v>5583</v>
      </c>
      <c r="E571" s="249" t="s">
        <v>3641</v>
      </c>
      <c r="F571" s="255">
        <f>IF(ISBLANK('4E'!F44),"##BLANK",'4E'!F44)</f>
        <v>0</v>
      </c>
    </row>
    <row r="572" spans="2:6">
      <c r="B572" s="219" t="str">
        <f>'4E'!AI44</f>
        <v>BP3357004HD</v>
      </c>
      <c r="C572" s="219" t="s">
        <v>5584</v>
      </c>
      <c r="E572" s="249" t="s">
        <v>3641</v>
      </c>
      <c r="F572" s="255">
        <f>IF(ISBLANK('4E'!G44),"##BLANK",'4E'!G44)</f>
        <v>0</v>
      </c>
    </row>
    <row r="573" spans="2:6">
      <c r="B573" s="219" t="str">
        <f>'4E'!AJ44</f>
        <v>BP3357004STD</v>
      </c>
      <c r="C573" s="219" t="s">
        <v>5585</v>
      </c>
      <c r="E573" s="249" t="s">
        <v>3641</v>
      </c>
      <c r="F573" s="255">
        <f>IF(ISBLANK('4E'!H44),"##BLANK",'4E'!H44)</f>
        <v>0</v>
      </c>
    </row>
    <row r="574" spans="2:6">
      <c r="B574" s="219" t="str">
        <f>'4E'!AK44</f>
        <v>BP3357004SLT</v>
      </c>
      <c r="C574" s="219" t="s">
        <v>5586</v>
      </c>
      <c r="E574" s="249" t="s">
        <v>3641</v>
      </c>
      <c r="F574" s="255">
        <f>IF(ISBLANK('4E'!I44),"##BLANK",'4E'!I44)</f>
        <v>0</v>
      </c>
    </row>
    <row r="575" spans="2:6">
      <c r="B575" s="219" t="str">
        <f>'4E'!AL44</f>
        <v>BP3357004STP</v>
      </c>
      <c r="C575" s="219" t="s">
        <v>5587</v>
      </c>
      <c r="E575" s="249" t="s">
        <v>3641</v>
      </c>
      <c r="F575" s="255">
        <f>IF(ISBLANK('4E'!J44),"##BLANK",'4E'!J44)</f>
        <v>0</v>
      </c>
    </row>
    <row r="576" spans="2:6">
      <c r="B576" s="219" t="str">
        <f>'4E'!AM44</f>
        <v>BP3357004SDT</v>
      </c>
      <c r="C576" s="219" t="s">
        <v>5588</v>
      </c>
      <c r="E576" s="249" t="s">
        <v>3641</v>
      </c>
      <c r="F576" s="255">
        <f>IF(ISBLANK('4E'!K44),"##BLANK",'4E'!K44)</f>
        <v>0</v>
      </c>
    </row>
    <row r="577" spans="2:6">
      <c r="B577" s="219" t="str">
        <f>'4E'!AN44</f>
        <v>BP3357004SDD</v>
      </c>
      <c r="C577" s="219" t="s">
        <v>5589</v>
      </c>
      <c r="E577" s="249" t="s">
        <v>3641</v>
      </c>
      <c r="F577" s="255">
        <f>IF(ISBLANK('4E'!L44),"##BLANK",'4E'!L44)</f>
        <v>0</v>
      </c>
    </row>
    <row r="578" spans="2:6">
      <c r="B578" s="219" t="str">
        <f>'4E'!AO44</f>
        <v>BP3357004CAS</v>
      </c>
      <c r="C578" s="219" t="s">
        <v>5428</v>
      </c>
      <c r="E578" s="249" t="s">
        <v>3641</v>
      </c>
      <c r="F578" s="255">
        <f>IF(ISBLANK('4E'!M44),"##BLANK",'4E'!M44)</f>
        <v>0</v>
      </c>
    </row>
    <row r="579" spans="2:6">
      <c r="B579" s="219" t="str">
        <f>'4E'!AG45</f>
        <v>BP3357005FL</v>
      </c>
      <c r="C579" s="219" t="s">
        <v>5590</v>
      </c>
      <c r="E579" s="249" t="s">
        <v>3641</v>
      </c>
      <c r="F579" s="255">
        <f>IF(ISBLANK('4E'!E45),"##BLANK",'4E'!E45)</f>
        <v>0</v>
      </c>
    </row>
    <row r="580" spans="2:6">
      <c r="B580" s="219" t="str">
        <f>'4E'!AH45</f>
        <v>BP3357005SWD</v>
      </c>
      <c r="C580" s="219" t="s">
        <v>5591</v>
      </c>
      <c r="E580" s="249" t="s">
        <v>3641</v>
      </c>
      <c r="F580" s="255">
        <f>IF(ISBLANK('4E'!F45),"##BLANK",'4E'!F45)</f>
        <v>0</v>
      </c>
    </row>
    <row r="581" spans="2:6">
      <c r="B581" s="219" t="str">
        <f>'4E'!AI45</f>
        <v>BP3357005HD</v>
      </c>
      <c r="C581" s="219" t="s">
        <v>5592</v>
      </c>
      <c r="E581" s="249" t="s">
        <v>3641</v>
      </c>
      <c r="F581" s="255">
        <f>IF(ISBLANK('4E'!G45),"##BLANK",'4E'!G45)</f>
        <v>0</v>
      </c>
    </row>
    <row r="582" spans="2:6">
      <c r="B582" s="219" t="str">
        <f>'4E'!AJ45</f>
        <v>BP3357005STD</v>
      </c>
      <c r="C582" s="219" t="s">
        <v>5593</v>
      </c>
      <c r="E582" s="249" t="s">
        <v>3641</v>
      </c>
      <c r="F582" s="255">
        <f>IF(ISBLANK('4E'!H45),"##BLANK",'4E'!H45)</f>
        <v>0</v>
      </c>
    </row>
    <row r="583" spans="2:6">
      <c r="B583" s="219" t="str">
        <f>'4E'!AK45</f>
        <v>BP3357005SLT</v>
      </c>
      <c r="C583" s="219" t="s">
        <v>5594</v>
      </c>
      <c r="E583" s="249" t="s">
        <v>3641</v>
      </c>
      <c r="F583" s="255">
        <f>IF(ISBLANK('4E'!I45),"##BLANK",'4E'!I45)</f>
        <v>0</v>
      </c>
    </row>
    <row r="584" spans="2:6">
      <c r="B584" s="219" t="str">
        <f>'4E'!AL45</f>
        <v>BP3357005STP</v>
      </c>
      <c r="C584" s="219" t="s">
        <v>5595</v>
      </c>
      <c r="E584" s="249" t="s">
        <v>3641</v>
      </c>
      <c r="F584" s="255">
        <f>IF(ISBLANK('4E'!J45),"##BLANK",'4E'!J45)</f>
        <v>0</v>
      </c>
    </row>
    <row r="585" spans="2:6">
      <c r="B585" s="219" t="str">
        <f>'4E'!AM45</f>
        <v>BP3357005SDT</v>
      </c>
      <c r="C585" s="219" t="s">
        <v>5596</v>
      </c>
      <c r="E585" s="249" t="s">
        <v>3641</v>
      </c>
      <c r="F585" s="255">
        <f>IF(ISBLANK('4E'!K45),"##BLANK",'4E'!K45)</f>
        <v>0</v>
      </c>
    </row>
    <row r="586" spans="2:6">
      <c r="B586" s="219" t="str">
        <f>'4E'!AN45</f>
        <v>BP3357005SDD</v>
      </c>
      <c r="C586" s="219" t="s">
        <v>5597</v>
      </c>
      <c r="E586" s="249" t="s">
        <v>3641</v>
      </c>
      <c r="F586" s="255">
        <f>IF(ISBLANK('4E'!L45),"##BLANK",'4E'!L45)</f>
        <v>0</v>
      </c>
    </row>
    <row r="587" spans="2:6">
      <c r="B587" s="219" t="str">
        <f>'4E'!AO45</f>
        <v>BP3357005CAS</v>
      </c>
      <c r="C587" s="219" t="s">
        <v>5433</v>
      </c>
      <c r="E587" s="249" t="s">
        <v>3641</v>
      </c>
      <c r="F587" s="255">
        <f>IF(ISBLANK('4E'!M45),"##BLANK",'4E'!M45)</f>
        <v>0</v>
      </c>
    </row>
    <row r="588" spans="2:6">
      <c r="B588" s="219" t="str">
        <f>'4E'!AG46</f>
        <v>BP3357020FL</v>
      </c>
      <c r="C588" s="219" t="s">
        <v>5598</v>
      </c>
      <c r="E588" s="249" t="s">
        <v>3641</v>
      </c>
      <c r="F588" s="255">
        <f>IF(ISBLANK('4E'!E46),"##BLANK",'4E'!E46)</f>
        <v>-0.435</v>
      </c>
    </row>
    <row r="589" spans="2:6">
      <c r="B589" s="219" t="str">
        <f>'4E'!AH46</f>
        <v>BP3357020SWD</v>
      </c>
      <c r="C589" s="219" t="s">
        <v>5599</v>
      </c>
      <c r="E589" s="249" t="s">
        <v>3641</v>
      </c>
      <c r="F589" s="255">
        <f>IF(ISBLANK('4E'!F46),"##BLANK",'4E'!F46)</f>
        <v>-0.72099999999999997</v>
      </c>
    </row>
    <row r="590" spans="2:6">
      <c r="B590" s="219" t="str">
        <f>'4E'!AI46</f>
        <v>BP3357020HD</v>
      </c>
      <c r="C590" s="219" t="s">
        <v>5600</v>
      </c>
      <c r="E590" s="249" t="s">
        <v>3641</v>
      </c>
      <c r="F590" s="255">
        <f>IF(ISBLANK('4E'!G46),"##BLANK",'4E'!G46)</f>
        <v>-0.38800000000000001</v>
      </c>
    </row>
    <row r="591" spans="2:6">
      <c r="B591" s="219" t="str">
        <f>'4E'!AJ46</f>
        <v>BP3357020STD</v>
      </c>
      <c r="C591" s="219" t="s">
        <v>5601</v>
      </c>
      <c r="E591" s="249" t="s">
        <v>3641</v>
      </c>
      <c r="F591" s="255">
        <f>IF(ISBLANK('4E'!H46),"##BLANK",'4E'!H46)</f>
        <v>-1.9790000000000001</v>
      </c>
    </row>
    <row r="592" spans="2:6">
      <c r="B592" s="219" t="str">
        <f>'4E'!AK46</f>
        <v>BP3357020SLT</v>
      </c>
      <c r="C592" s="219" t="s">
        <v>5602</v>
      </c>
      <c r="E592" s="249" t="s">
        <v>3641</v>
      </c>
      <c r="F592" s="255">
        <f>IF(ISBLANK('4E'!I46),"##BLANK",'4E'!I46)</f>
        <v>0</v>
      </c>
    </row>
    <row r="593" spans="2:6">
      <c r="B593" s="219" t="str">
        <f>'4E'!AL46</f>
        <v>BP3357020STP</v>
      </c>
      <c r="C593" s="219" t="s">
        <v>5603</v>
      </c>
      <c r="E593" s="249" t="s">
        <v>3641</v>
      </c>
      <c r="F593" s="255">
        <f>IF(ISBLANK('4E'!J46),"##BLANK",'4E'!J46)</f>
        <v>-8.0000000000000002E-3</v>
      </c>
    </row>
    <row r="594" spans="2:6">
      <c r="B594" s="219" t="str">
        <f>'4E'!AM46</f>
        <v>BP3357020SDT</v>
      </c>
      <c r="C594" s="219" t="s">
        <v>5604</v>
      </c>
      <c r="E594" s="249" t="s">
        <v>3641</v>
      </c>
      <c r="F594" s="255">
        <f>IF(ISBLANK('4E'!K46),"##BLANK",'4E'!K46)</f>
        <v>-0.246</v>
      </c>
    </row>
    <row r="595" spans="2:6">
      <c r="B595" s="219" t="str">
        <f>'4E'!AN46</f>
        <v>BP3357020SDD</v>
      </c>
      <c r="C595" s="219" t="s">
        <v>5605</v>
      </c>
      <c r="E595" s="249" t="s">
        <v>3641</v>
      </c>
      <c r="F595" s="255">
        <f>IF(ISBLANK('4E'!L46),"##BLANK",'4E'!L46)</f>
        <v>-1.4999999999999999E-2</v>
      </c>
    </row>
    <row r="596" spans="2:6">
      <c r="B596" s="219" t="str">
        <f>'4E'!AO46</f>
        <v>BP3357020CAS</v>
      </c>
      <c r="C596" s="219" t="s">
        <v>5439</v>
      </c>
      <c r="E596" s="249" t="s">
        <v>3641</v>
      </c>
      <c r="F596" s="255">
        <f>IF(ISBLANK('4E'!M46),"##BLANK",'4E'!M46)</f>
        <v>-3.7920000000000003</v>
      </c>
    </row>
    <row r="597" spans="2:6">
      <c r="B597" s="1781" t="str">
        <f>'4H'!T9</f>
        <v>RCT00600</v>
      </c>
      <c r="C597" s="219" t="s">
        <v>5606</v>
      </c>
      <c r="E597" s="249" t="s">
        <v>3641</v>
      </c>
      <c r="F597" s="255">
        <f>IF(ISBLANK('4H'!E9),"##BLANK",'4H'!E9)</f>
        <v>1613.6089999999999</v>
      </c>
    </row>
    <row r="598" spans="2:6">
      <c r="B598" s="254" t="str">
        <f>'4H'!T10</f>
        <v>FI00300</v>
      </c>
      <c r="C598" s="219" t="s">
        <v>3997</v>
      </c>
      <c r="E598" s="249" t="s">
        <v>3641</v>
      </c>
      <c r="F598" s="258">
        <f>IF(ISBLANK('4H'!E10),"##BLANK",'4H'!E10)</f>
        <v>0.68344370367231511</v>
      </c>
    </row>
    <row r="599" spans="2:6">
      <c r="B599" s="254" t="str">
        <f>'4H'!T11</f>
        <v>T19004PT</v>
      </c>
      <c r="C599" s="219" t="s">
        <v>5607</v>
      </c>
      <c r="E599" s="249" t="s">
        <v>3641</v>
      </c>
      <c r="F599" s="255">
        <f>IF(ISBLANK('4H'!E11),"##BLANK",'4H'!E11)</f>
        <v>-3.3799999999999997E-2</v>
      </c>
    </row>
    <row r="600" spans="2:6">
      <c r="B600" s="254" t="str">
        <f>'4H'!T13</f>
        <v>CR1050</v>
      </c>
      <c r="C600" s="219" t="s">
        <v>5608</v>
      </c>
      <c r="E600" s="249" t="s">
        <v>3641</v>
      </c>
      <c r="F600" s="255">
        <f>IF(ISBLANK('4H'!E13),"##BLANK",'4H'!E13)</f>
        <v>6.8665953152219655E-2</v>
      </c>
    </row>
    <row r="601" spans="2:6">
      <c r="B601" s="254" t="str">
        <f>'4H'!T14</f>
        <v>R5004HH</v>
      </c>
      <c r="C601" s="219" t="s">
        <v>5609</v>
      </c>
      <c r="E601" s="249" t="s">
        <v>3641</v>
      </c>
      <c r="F601" s="255">
        <f>IF(ISBLANK('4H'!E14),"##BLANK",'4H'!E14)</f>
        <v>7.3296183744173309E-3</v>
      </c>
    </row>
    <row r="602" spans="2:6">
      <c r="B602" s="254" t="str">
        <f>'4H'!T15</f>
        <v>R5004NH</v>
      </c>
      <c r="C602" s="219" t="s">
        <v>5610</v>
      </c>
      <c r="E602" s="249" t="s">
        <v>3641</v>
      </c>
      <c r="F602" s="255">
        <f>IF(ISBLANK('4H'!E15),"##BLANK",'4H'!E15)</f>
        <v>0</v>
      </c>
    </row>
    <row r="603" spans="2:6">
      <c r="B603" s="219" t="str">
        <f>'4H'!T16</f>
        <v>B0203FMCRF</v>
      </c>
      <c r="C603" s="219" t="s">
        <v>5611</v>
      </c>
      <c r="E603" s="249" t="s">
        <v>3641</v>
      </c>
      <c r="F603" s="255" t="str">
        <f>IF(ISBLANK('4H'!E16),"##BLANK",'4H'!E16)</f>
        <v>n/a</v>
      </c>
    </row>
    <row r="604" spans="2:6">
      <c r="B604" s="219" t="str">
        <f>'4H'!T17</f>
        <v>B0203FMCRM</v>
      </c>
      <c r="C604" s="219" t="s">
        <v>5612</v>
      </c>
      <c r="E604" s="249" t="s">
        <v>3641</v>
      </c>
      <c r="F604" s="255" t="str">
        <f>IF(ISBLANK('4H'!E17),"##BLANK",'4H'!E17)</f>
        <v>Baa1 (Stable)</v>
      </c>
    </row>
    <row r="605" spans="2:6">
      <c r="B605" s="219" t="str">
        <f>'4H'!T18</f>
        <v>B0203FMCRS</v>
      </c>
      <c r="C605" s="219" t="s">
        <v>5613</v>
      </c>
      <c r="E605" s="249" t="s">
        <v>3641</v>
      </c>
      <c r="F605" s="255" t="str">
        <f>IF(ISBLANK('4H'!E18),"##BLANK",'4H'!E18)</f>
        <v>BBB (Stable)</v>
      </c>
    </row>
    <row r="606" spans="2:6">
      <c r="B606" s="254" t="str">
        <f>'4H'!T19</f>
        <v>CR19006</v>
      </c>
      <c r="C606" s="219" t="s">
        <v>5614</v>
      </c>
      <c r="E606" s="249" t="s">
        <v>3641</v>
      </c>
      <c r="F606" s="255">
        <f>IF(ISBLANK('4H'!E19),"##BLANK",'4H'!E19)</f>
        <v>4.1099999999999998E-2</v>
      </c>
    </row>
    <row r="607" spans="2:6">
      <c r="B607" s="1781" t="str">
        <f>'4H'!T20</f>
        <v>CR2610</v>
      </c>
      <c r="C607" s="219" t="s">
        <v>5615</v>
      </c>
      <c r="E607" s="249" t="s">
        <v>3641</v>
      </c>
      <c r="F607" s="255">
        <f>IF(ISBLANK('4H'!E20),"##BLANK",'4H'!E20)</f>
        <v>-0.37628158844765291</v>
      </c>
    </row>
    <row r="608" spans="2:6">
      <c r="B608" s="1781" t="str">
        <f>'4H'!T21</f>
        <v>A14025</v>
      </c>
      <c r="C608" s="219" t="s">
        <v>5616</v>
      </c>
      <c r="E608" s="249" t="s">
        <v>3641</v>
      </c>
      <c r="F608" s="255">
        <f>IF(ISBLANK('4H'!E21),"##BLANK",'4H'!E21)</f>
        <v>207.40599999999998</v>
      </c>
    </row>
    <row r="609" spans="2:6">
      <c r="B609" s="219" t="str">
        <f>'4H'!T22</f>
        <v>CR1051</v>
      </c>
      <c r="C609" s="219" t="s">
        <v>5617</v>
      </c>
      <c r="E609" s="249" t="s">
        <v>3641</v>
      </c>
      <c r="F609" s="255">
        <f>IF(ISBLANK('4H'!E22),"##BLANK",'4H'!E22)</f>
        <v>3.05</v>
      </c>
    </row>
    <row r="610" spans="2:6">
      <c r="B610" s="219" t="str">
        <f>'4H'!T23</f>
        <v>CR1052</v>
      </c>
      <c r="C610" s="219" t="s">
        <v>5618</v>
      </c>
      <c r="E610" s="249" t="s">
        <v>3641</v>
      </c>
      <c r="F610" s="255">
        <f>IF(ISBLANK('4H'!E23),"##BLANK",'4H'!E23)</f>
        <v>0.56000000000000005</v>
      </c>
    </row>
    <row r="611" spans="2:6">
      <c r="B611" s="1781" t="str">
        <f>'4H'!T24</f>
        <v>CR1053</v>
      </c>
      <c r="C611" s="219" t="s">
        <v>5619</v>
      </c>
      <c r="E611" s="249" t="s">
        <v>3641</v>
      </c>
      <c r="F611" s="255">
        <f>IF(ISBLANK('4H'!E24),"##BLANK",'4H'!E24)</f>
        <v>5.9534843668147333E-2</v>
      </c>
    </row>
    <row r="612" spans="2:6">
      <c r="B612" s="254" t="str">
        <f>'4H'!T25</f>
        <v>CR1054</v>
      </c>
      <c r="C612" s="219" t="s">
        <v>5620</v>
      </c>
      <c r="E612" s="249" t="s">
        <v>3641</v>
      </c>
      <c r="F612" s="255">
        <f>IF(ISBLANK('4H'!E25),"##BLANK",'4H'!E25)</f>
        <v>-8.3801779750669075E-2</v>
      </c>
    </row>
    <row r="613" spans="2:6">
      <c r="B613" s="1781" t="str">
        <f>'4H'!T26</f>
        <v>CR1055</v>
      </c>
      <c r="C613" s="219" t="s">
        <v>5621</v>
      </c>
      <c r="E613" s="249" t="s">
        <v>3641</v>
      </c>
      <c r="F613" s="255">
        <f>IF(ISBLANK('4H'!E26),"##BLANK",'4H'!E26)</f>
        <v>96.60599999999998</v>
      </c>
    </row>
    <row r="614" spans="2:6">
      <c r="B614" s="1781" t="str">
        <f>'4H'!T27</f>
        <v>B0203FMRCFD</v>
      </c>
      <c r="C614" s="219" t="s">
        <v>5622</v>
      </c>
      <c r="E614" s="249" t="s">
        <v>3641</v>
      </c>
      <c r="F614" s="255">
        <f>IF(ISBLANK('4H'!E27),"##BLANK",'4H'!E27)</f>
        <v>2.7730263866064822E-2</v>
      </c>
    </row>
    <row r="615" spans="2:6">
      <c r="B615" s="254" t="str">
        <f>'4H'!T30</f>
        <v>CR1058</v>
      </c>
      <c r="C615" s="219" t="s">
        <v>5623</v>
      </c>
      <c r="E615" s="249" t="s">
        <v>3641</v>
      </c>
      <c r="F615" s="255">
        <f>IF(ISBLANK('4H'!E30),"##BLANK",'4H'!E30)</f>
        <v>0.61516977723726662</v>
      </c>
    </row>
    <row r="616" spans="2:6">
      <c r="B616" s="254" t="str">
        <f>'4H'!T31</f>
        <v>CR1059</v>
      </c>
      <c r="C616" s="219" t="s">
        <v>5624</v>
      </c>
      <c r="E616" s="249" t="s">
        <v>3641</v>
      </c>
      <c r="F616" s="255">
        <f>IF(ISBLANK('4H'!E31),"##BLANK",'4H'!E31)</f>
        <v>5.5992854688163467E-3</v>
      </c>
    </row>
    <row r="617" spans="2:6">
      <c r="B617" s="254" t="str">
        <f>'4H'!T32</f>
        <v>CR1060</v>
      </c>
      <c r="C617" s="219" t="s">
        <v>5625</v>
      </c>
      <c r="E617" s="249" t="s">
        <v>3641</v>
      </c>
      <c r="F617" s="255">
        <f>IF(ISBLANK('4H'!E32),"##BLANK",'4H'!E32)</f>
        <v>0.37923093729391694</v>
      </c>
    </row>
    <row r="618" spans="2:6">
      <c r="B618" s="254" t="str">
        <f>'4H'!T33</f>
        <v>CR1061</v>
      </c>
      <c r="C618" s="219" t="s">
        <v>5626</v>
      </c>
      <c r="E618" s="249" t="s">
        <v>3641</v>
      </c>
      <c r="F618" s="255">
        <f>IF(ISBLANK('4H'!E33),"##BLANK",'4H'!E33)</f>
        <v>1.6899999999999998E-2</v>
      </c>
    </row>
    <row r="619" spans="2:6">
      <c r="B619" s="254" t="str">
        <f>'4H'!T34</f>
        <v>CR1062</v>
      </c>
      <c r="C619" s="219" t="s">
        <v>5627</v>
      </c>
      <c r="E619" s="249" t="s">
        <v>3641</v>
      </c>
      <c r="F619" s="255">
        <f>IF(ISBLANK('4H'!E34),"##BLANK",'4H'!E34)</f>
        <v>7.4999999999999997E-3</v>
      </c>
    </row>
    <row r="620" spans="2:6">
      <c r="B620" s="254" t="str">
        <f>'4H'!T35</f>
        <v>CR1063</v>
      </c>
      <c r="C620" s="219" t="s">
        <v>5628</v>
      </c>
      <c r="E620" s="249" t="s">
        <v>3641</v>
      </c>
      <c r="F620" s="255">
        <f>IF(ISBLANK('4H'!E35),"##BLANK",'4H'!E35)</f>
        <v>0.1643</v>
      </c>
    </row>
    <row r="621" spans="2:6">
      <c r="B621" s="254" t="str">
        <f>'4H'!T36</f>
        <v>CR1064</v>
      </c>
      <c r="C621" s="219" t="s">
        <v>5629</v>
      </c>
      <c r="E621" s="249" t="s">
        <v>3641</v>
      </c>
      <c r="F621" s="255">
        <f>IF(ISBLANK('4H'!E36),"##BLANK",'4H'!E36)</f>
        <v>0.70750000000000002</v>
      </c>
    </row>
    <row r="622" spans="2:6">
      <c r="B622" s="254" t="str">
        <f>'4H'!T37</f>
        <v>CR1065</v>
      </c>
      <c r="C622" s="219" t="s">
        <v>5630</v>
      </c>
      <c r="E622" s="249" t="s">
        <v>3641</v>
      </c>
      <c r="F622" s="255">
        <f>IF(ISBLANK('4H'!E37),"##BLANK",'4H'!E37)</f>
        <v>0.1038</v>
      </c>
    </row>
    <row r="623" spans="2:6">
      <c r="B623" s="219" t="str">
        <f>'4J'!AA9</f>
        <v>WS01001WR</v>
      </c>
      <c r="C623" s="219" t="s">
        <v>5631</v>
      </c>
      <c r="E623" s="249" t="s">
        <v>3641</v>
      </c>
      <c r="F623" s="255">
        <f>IF(ISBLANK('4J'!E9),"##BLANK",'4J'!E9)</f>
        <v>20.649000000000001</v>
      </c>
    </row>
    <row r="624" spans="2:6">
      <c r="B624" s="219" t="str">
        <f>'4J'!AB9</f>
        <v>WS01001RWT</v>
      </c>
      <c r="C624" s="219" t="s">
        <v>5632</v>
      </c>
      <c r="E624" s="249" t="s">
        <v>3641</v>
      </c>
      <c r="F624" s="255">
        <f>IF(ISBLANK('4J'!F9),"##BLANK",'4J'!F9)</f>
        <v>3.0459999999999998</v>
      </c>
    </row>
    <row r="625" spans="2:6">
      <c r="B625" s="219" t="str">
        <f>'4J'!AC9</f>
        <v>WS01001RWS0</v>
      </c>
      <c r="C625" s="219" t="s">
        <v>5633</v>
      </c>
      <c r="E625" s="249" t="s">
        <v>3641</v>
      </c>
      <c r="F625" s="255">
        <f>IF(ISBLANK('4J'!G9),"##BLANK",'4J'!G9)</f>
        <v>0.05</v>
      </c>
    </row>
    <row r="626" spans="2:6">
      <c r="B626" s="219" t="str">
        <f>'4J'!AD9</f>
        <v>WS01001WT</v>
      </c>
      <c r="C626" s="219" t="s">
        <v>5634</v>
      </c>
      <c r="E626" s="249" t="s">
        <v>3641</v>
      </c>
      <c r="F626" s="255">
        <f>IF(ISBLANK('4J'!H9),"##BLANK",'4J'!H9)</f>
        <v>6.65</v>
      </c>
    </row>
    <row r="627" spans="2:6">
      <c r="B627" s="219" t="str">
        <f>'4J'!AE9</f>
        <v>WS01001TWD</v>
      </c>
      <c r="C627" s="219" t="s">
        <v>5635</v>
      </c>
      <c r="E627" s="249" t="s">
        <v>3641</v>
      </c>
      <c r="F627" s="255">
        <f>IF(ISBLANK('4J'!I9),"##BLANK",'4J'!I9)</f>
        <v>28.292999999999999</v>
      </c>
    </row>
    <row r="628" spans="2:6">
      <c r="B628" s="219" t="str">
        <f>'4J'!AF9</f>
        <v>WS01001CAW</v>
      </c>
      <c r="C628" s="219" t="s">
        <v>5636</v>
      </c>
      <c r="E628" s="249" t="s">
        <v>3641</v>
      </c>
      <c r="F628" s="255">
        <f>IF(ISBLANK('4J'!J9),"##BLANK",'4J'!J9)</f>
        <v>58.688000000000002</v>
      </c>
    </row>
    <row r="629" spans="2:6">
      <c r="B629" s="219" t="str">
        <f>'4J'!AA10</f>
        <v>WS01002WR</v>
      </c>
      <c r="C629" s="219" t="s">
        <v>5637</v>
      </c>
      <c r="E629" s="249" t="s">
        <v>3641</v>
      </c>
      <c r="F629" s="255">
        <f>IF(ISBLANK('4J'!E10),"##BLANK",'4J'!E10)</f>
        <v>-0.26500000000000001</v>
      </c>
    </row>
    <row r="630" spans="2:6">
      <c r="B630" s="219" t="str">
        <f>'4J'!AB10</f>
        <v>WS01002RWT</v>
      </c>
      <c r="C630" s="219" t="s">
        <v>5638</v>
      </c>
      <c r="E630" s="249" t="s">
        <v>3641</v>
      </c>
      <c r="F630" s="255">
        <f>IF(ISBLANK('4J'!F10),"##BLANK",'4J'!F10)</f>
        <v>0</v>
      </c>
    </row>
    <row r="631" spans="2:6">
      <c r="B631" s="219" t="str">
        <f>'4J'!AC10</f>
        <v>WS01002RWS0</v>
      </c>
      <c r="C631" s="219" t="s">
        <v>5639</v>
      </c>
      <c r="E631" s="249" t="s">
        <v>3641</v>
      </c>
      <c r="F631" s="255">
        <f>IF(ISBLANK('4J'!G10),"##BLANK",'4J'!G10)</f>
        <v>0</v>
      </c>
    </row>
    <row r="632" spans="2:6">
      <c r="B632" s="219" t="str">
        <f>'4J'!AD10</f>
        <v>WS01002WT</v>
      </c>
      <c r="C632" s="219" t="s">
        <v>5640</v>
      </c>
      <c r="E632" s="249" t="s">
        <v>3641</v>
      </c>
      <c r="F632" s="255">
        <f>IF(ISBLANK('4J'!H10),"##BLANK",'4J'!H10)</f>
        <v>-0.05</v>
      </c>
    </row>
    <row r="633" spans="2:6">
      <c r="B633" s="219" t="str">
        <f>'4J'!AE10</f>
        <v>WS01002TWD</v>
      </c>
      <c r="C633" s="219" t="s">
        <v>5641</v>
      </c>
      <c r="E633" s="249" t="s">
        <v>3641</v>
      </c>
      <c r="F633" s="255">
        <f>IF(ISBLANK('4J'!I10),"##BLANK",'4J'!I10)</f>
        <v>0</v>
      </c>
    </row>
    <row r="634" spans="2:6">
      <c r="B634" s="219" t="str">
        <f>'4J'!AF10</f>
        <v>WS01002CAW</v>
      </c>
      <c r="C634" s="219" t="s">
        <v>5642</v>
      </c>
      <c r="E634" s="249" t="s">
        <v>3641</v>
      </c>
      <c r="F634" s="255">
        <f>IF(ISBLANK('4J'!J10),"##BLANK",'4J'!J10)</f>
        <v>-0.315</v>
      </c>
    </row>
    <row r="635" spans="2:6">
      <c r="B635" s="219" t="str">
        <f>'4J'!AA11</f>
        <v>WS01004WR</v>
      </c>
      <c r="C635" s="219" t="s">
        <v>5643</v>
      </c>
      <c r="E635" s="249" t="s">
        <v>3641</v>
      </c>
      <c r="F635" s="255">
        <f>IF(ISBLANK('4J'!E11),"##BLANK",'4J'!E11)</f>
        <v>1.22</v>
      </c>
    </row>
    <row r="636" spans="2:6">
      <c r="B636" s="219" t="str">
        <f>'4J'!AB11</f>
        <v>WS01004RWT</v>
      </c>
      <c r="C636" s="219" t="s">
        <v>5644</v>
      </c>
      <c r="E636" s="249" t="s">
        <v>3641</v>
      </c>
      <c r="F636" s="255">
        <f>IF(ISBLANK('4J'!F11),"##BLANK",'4J'!F11)</f>
        <v>0</v>
      </c>
    </row>
    <row r="637" spans="2:6">
      <c r="B637" s="219" t="str">
        <f>'4J'!AC11</f>
        <v>WS01004RWS0</v>
      </c>
      <c r="C637" s="219" t="s">
        <v>5645</v>
      </c>
      <c r="E637" s="249" t="s">
        <v>3641</v>
      </c>
      <c r="F637" s="255">
        <f>IF(ISBLANK('4J'!G11),"##BLANK",'4J'!G11)</f>
        <v>0</v>
      </c>
    </row>
    <row r="638" spans="2:6">
      <c r="B638" s="219" t="str">
        <f>'4J'!AD11</f>
        <v>WS01004WT</v>
      </c>
      <c r="C638" s="219" t="s">
        <v>5646</v>
      </c>
      <c r="E638" s="249" t="s">
        <v>3641</v>
      </c>
      <c r="F638" s="255">
        <f>IF(ISBLANK('4J'!H11),"##BLANK",'4J'!H11)</f>
        <v>0</v>
      </c>
    </row>
    <row r="639" spans="2:6">
      <c r="B639" s="219" t="str">
        <f>'4J'!AE11</f>
        <v>WS01004TWD</v>
      </c>
      <c r="C639" s="219" t="s">
        <v>5647</v>
      </c>
      <c r="E639" s="249" t="s">
        <v>3641</v>
      </c>
      <c r="F639" s="255">
        <f>IF(ISBLANK('4J'!I11),"##BLANK",'4J'!I11)</f>
        <v>0</v>
      </c>
    </row>
    <row r="640" spans="2:6">
      <c r="B640" s="219" t="str">
        <f>'4J'!AF11</f>
        <v>WS01004CAW</v>
      </c>
      <c r="C640" s="219" t="s">
        <v>5648</v>
      </c>
      <c r="E640" s="249" t="s">
        <v>3641</v>
      </c>
      <c r="F640" s="255">
        <f>IF(ISBLANK('4J'!J11),"##BLANK",'4J'!J11)</f>
        <v>1.22</v>
      </c>
    </row>
    <row r="641" spans="2:6">
      <c r="B641" s="219" t="str">
        <f>'4J'!AA12</f>
        <v>WS01005WR</v>
      </c>
      <c r="C641" s="219" t="s">
        <v>5649</v>
      </c>
      <c r="E641" s="249" t="s">
        <v>3641</v>
      </c>
      <c r="F641" s="255">
        <f>IF(ISBLANK('4J'!E12),"##BLANK",'4J'!E12)</f>
        <v>0.59699999999999998</v>
      </c>
    </row>
    <row r="642" spans="2:6">
      <c r="B642" s="219" t="str">
        <f>'4J'!AB12</f>
        <v>WS01005RWT</v>
      </c>
      <c r="C642" s="219" t="s">
        <v>5650</v>
      </c>
      <c r="E642" s="249" t="s">
        <v>3641</v>
      </c>
      <c r="F642" s="255">
        <f>IF(ISBLANK('4J'!F12),"##BLANK",'4J'!F12)</f>
        <v>0</v>
      </c>
    </row>
    <row r="643" spans="2:6">
      <c r="B643" s="219" t="str">
        <f>'4J'!AC12</f>
        <v>WS01005RWS0</v>
      </c>
      <c r="C643" s="219" t="s">
        <v>5651</v>
      </c>
      <c r="E643" s="249" t="s">
        <v>3641</v>
      </c>
      <c r="F643" s="255">
        <f>IF(ISBLANK('4J'!G12),"##BLANK",'4J'!G12)</f>
        <v>0</v>
      </c>
    </row>
    <row r="644" spans="2:6">
      <c r="B644" s="219" t="str">
        <f>'4J'!AD12</f>
        <v>WS01005WT</v>
      </c>
      <c r="C644" s="219" t="s">
        <v>5652</v>
      </c>
      <c r="E644" s="249" t="s">
        <v>3641</v>
      </c>
      <c r="F644" s="255">
        <f>IF(ISBLANK('4J'!H12),"##BLANK",'4J'!H12)</f>
        <v>4.7E-2</v>
      </c>
    </row>
    <row r="645" spans="2:6">
      <c r="B645" s="219" t="str">
        <f>'4J'!AE12</f>
        <v>WS01005TWD</v>
      </c>
      <c r="C645" s="219" t="s">
        <v>5653</v>
      </c>
      <c r="E645" s="249" t="s">
        <v>3641</v>
      </c>
      <c r="F645" s="255">
        <f>IF(ISBLANK('4J'!I12),"##BLANK",'4J'!I12)</f>
        <v>0.37</v>
      </c>
    </row>
    <row r="646" spans="2:6">
      <c r="B646" s="219" t="str">
        <f>'4J'!AF12</f>
        <v>WS01005CAW</v>
      </c>
      <c r="C646" s="219" t="s">
        <v>5654</v>
      </c>
      <c r="E646" s="249" t="s">
        <v>3641</v>
      </c>
      <c r="F646" s="255">
        <f>IF(ISBLANK('4J'!J12),"##BLANK",'4J'!J12)</f>
        <v>1.014</v>
      </c>
    </row>
    <row r="647" spans="2:6">
      <c r="B647" s="219" t="str">
        <f>'4J'!AA13</f>
        <v>WS01006WR</v>
      </c>
      <c r="C647" s="219" t="s">
        <v>5655</v>
      </c>
      <c r="E647" s="249" t="s">
        <v>3641</v>
      </c>
      <c r="F647" s="255">
        <f>IF(ISBLANK('4J'!E13),"##BLANK",'4J'!E13)</f>
        <v>0.20300000000000001</v>
      </c>
    </row>
    <row r="648" spans="2:6">
      <c r="B648" s="219" t="str">
        <f>'4J'!AB13</f>
        <v>WS01006RWT</v>
      </c>
      <c r="C648" s="219" t="s">
        <v>5656</v>
      </c>
      <c r="E648" s="249" t="s">
        <v>3641</v>
      </c>
      <c r="F648" s="255">
        <f>IF(ISBLANK('4J'!F13),"##BLANK",'4J'!F13)</f>
        <v>2.5000000000000001E-2</v>
      </c>
    </row>
    <row r="649" spans="2:6">
      <c r="B649" s="219" t="str">
        <f>'4J'!AC13</f>
        <v>WS01006RWS0</v>
      </c>
      <c r="C649" s="219" t="s">
        <v>5657</v>
      </c>
      <c r="E649" s="249" t="s">
        <v>3641</v>
      </c>
      <c r="F649" s="255">
        <f>IF(ISBLANK('4J'!G13),"##BLANK",'4J'!G13)</f>
        <v>0</v>
      </c>
    </row>
    <row r="650" spans="2:6">
      <c r="B650" s="219" t="str">
        <f>'4J'!AD13</f>
        <v>WS01006WT</v>
      </c>
      <c r="C650" s="219" t="s">
        <v>5658</v>
      </c>
      <c r="E650" s="249" t="s">
        <v>3641</v>
      </c>
      <c r="F650" s="255">
        <f>IF(ISBLANK('4J'!H13),"##BLANK",'4J'!H13)</f>
        <v>1.2030000000000001</v>
      </c>
    </row>
    <row r="651" spans="2:6">
      <c r="B651" s="219" t="str">
        <f>'4J'!AE13</f>
        <v>WS01006TWD</v>
      </c>
      <c r="C651" s="219" t="s">
        <v>5659</v>
      </c>
      <c r="E651" s="249" t="s">
        <v>3641</v>
      </c>
      <c r="F651" s="255">
        <f>IF(ISBLANK('4J'!I13),"##BLANK",'4J'!I13)</f>
        <v>4.6079999999999997</v>
      </c>
    </row>
    <row r="652" spans="2:6">
      <c r="B652" s="219" t="str">
        <f>'4J'!AF13</f>
        <v>WS01006CAW</v>
      </c>
      <c r="C652" s="219" t="s">
        <v>5660</v>
      </c>
      <c r="E652" s="249" t="s">
        <v>3641</v>
      </c>
      <c r="F652" s="255">
        <f>IF(ISBLANK('4J'!J13),"##BLANK",'4J'!J13)</f>
        <v>6.0389999999999997</v>
      </c>
    </row>
    <row r="653" spans="2:6">
      <c r="B653" s="219" t="str">
        <f>'4J'!AA14</f>
        <v>WS01007WR</v>
      </c>
      <c r="C653" s="219" t="s">
        <v>5661</v>
      </c>
      <c r="E653" s="249" t="s">
        <v>3641</v>
      </c>
      <c r="F653" s="255">
        <f>IF(ISBLANK('4J'!E14),"##BLANK",'4J'!E14)</f>
        <v>7.4560000000000004</v>
      </c>
    </row>
    <row r="654" spans="2:6">
      <c r="B654" s="219" t="str">
        <f>'4J'!AB14</f>
        <v>WS01007RWT</v>
      </c>
      <c r="C654" s="219" t="s">
        <v>5662</v>
      </c>
      <c r="E654" s="249" t="s">
        <v>3641</v>
      </c>
      <c r="F654" s="255">
        <f>IF(ISBLANK('4J'!F14),"##BLANK",'4J'!F14)</f>
        <v>0.442</v>
      </c>
    </row>
    <row r="655" spans="2:6">
      <c r="B655" s="219" t="str">
        <f>'4J'!AC14</f>
        <v>WS01007RWS0</v>
      </c>
      <c r="C655" s="219" t="s">
        <v>5663</v>
      </c>
      <c r="E655" s="249" t="s">
        <v>3641</v>
      </c>
      <c r="F655" s="255">
        <f>IF(ISBLANK('4J'!G14),"##BLANK",'4J'!G14)</f>
        <v>2.2599999999999998</v>
      </c>
    </row>
    <row r="656" spans="2:6">
      <c r="B656" s="219" t="str">
        <f>'4J'!AD14</f>
        <v>WS01007WT</v>
      </c>
      <c r="C656" s="219" t="s">
        <v>5664</v>
      </c>
      <c r="E656" s="249" t="s">
        <v>3641</v>
      </c>
      <c r="F656" s="255">
        <f>IF(ISBLANK('4J'!H14),"##BLANK",'4J'!H14)</f>
        <v>51.259</v>
      </c>
    </row>
    <row r="657" spans="2:6">
      <c r="B657" s="219" t="str">
        <f>'4J'!AE14</f>
        <v>WS01007TWD</v>
      </c>
      <c r="C657" s="219" t="s">
        <v>5665</v>
      </c>
      <c r="E657" s="249" t="s">
        <v>3641</v>
      </c>
      <c r="F657" s="255">
        <f>IF(ISBLANK('4J'!I14),"##BLANK",'4J'!I14)</f>
        <v>57.357999999999997</v>
      </c>
    </row>
    <row r="658" spans="2:6">
      <c r="B658" s="219" t="str">
        <f>'4J'!AF14</f>
        <v>WS01007CAW</v>
      </c>
      <c r="C658" s="219" t="s">
        <v>5666</v>
      </c>
      <c r="E658" s="249" t="s">
        <v>3641</v>
      </c>
      <c r="F658" s="255">
        <f>IF(ISBLANK('4J'!J14),"##BLANK",'4J'!J14)</f>
        <v>118.77500000000001</v>
      </c>
    </row>
    <row r="659" spans="2:6">
      <c r="B659" s="219" t="str">
        <f>'4J'!AA15</f>
        <v>WS01008WR</v>
      </c>
      <c r="C659" s="219" t="s">
        <v>5667</v>
      </c>
      <c r="E659" s="249" t="s">
        <v>3641</v>
      </c>
      <c r="F659" s="255">
        <f>IF(ISBLANK('4J'!E15),"##BLANK",'4J'!E15)</f>
        <v>4.2220000000000004</v>
      </c>
    </row>
    <row r="660" spans="2:6">
      <c r="B660" s="219" t="str">
        <f>'4J'!AB15</f>
        <v>WS1008RWT</v>
      </c>
      <c r="C660" s="219" t="s">
        <v>5668</v>
      </c>
      <c r="E660" s="249" t="s">
        <v>3641</v>
      </c>
      <c r="F660" s="255">
        <f>IF(ISBLANK('4J'!F15),"##BLANK",'4J'!F15)</f>
        <v>3.2759999999999998</v>
      </c>
    </row>
    <row r="661" spans="2:6">
      <c r="B661" s="219" t="str">
        <f>'4J'!AC15</f>
        <v>WS1008RWS</v>
      </c>
      <c r="C661" s="219" t="s">
        <v>5669</v>
      </c>
      <c r="E661" s="249" t="s">
        <v>3641</v>
      </c>
      <c r="F661" s="255">
        <f>IF(ISBLANK('4J'!G15),"##BLANK",'4J'!G15)</f>
        <v>0</v>
      </c>
    </row>
    <row r="662" spans="2:6">
      <c r="B662" s="219" t="str">
        <f>'4J'!AD15</f>
        <v>WS1008WT</v>
      </c>
      <c r="C662" s="219" t="s">
        <v>5670</v>
      </c>
      <c r="E662" s="249" t="s">
        <v>3641</v>
      </c>
      <c r="F662" s="255">
        <f>IF(ISBLANK('4J'!H15),"##BLANK",'4J'!H15)</f>
        <v>3.9670000000000001</v>
      </c>
    </row>
    <row r="663" spans="2:6">
      <c r="B663" s="219" t="str">
        <f>'4J'!AE15</f>
        <v>WS1008TWD</v>
      </c>
      <c r="C663" s="219" t="s">
        <v>5671</v>
      </c>
      <c r="E663" s="249" t="s">
        <v>3641</v>
      </c>
      <c r="F663" s="255">
        <f>IF(ISBLANK('4J'!I15),"##BLANK",'4J'!I15)</f>
        <v>19.698</v>
      </c>
    </row>
    <row r="664" spans="2:6">
      <c r="B664" s="219" t="str">
        <f>'4J'!AF15</f>
        <v>WS1008CAW</v>
      </c>
      <c r="C664" s="219" t="s">
        <v>4307</v>
      </c>
      <c r="E664" s="249" t="s">
        <v>3641</v>
      </c>
      <c r="F664" s="255">
        <f>IF(ISBLANK('4J'!J15),"##BLANK",'4J'!J15)</f>
        <v>31.163</v>
      </c>
    </row>
    <row r="665" spans="2:6">
      <c r="B665" s="219" t="str">
        <f>'4J'!AA18</f>
        <v>W3033WR</v>
      </c>
      <c r="C665" s="219" t="s">
        <v>5672</v>
      </c>
      <c r="E665" s="249" t="s">
        <v>3641</v>
      </c>
      <c r="F665" s="255">
        <f>IF(ISBLANK('4J'!E18),"##BLANK",'4J'!E18)</f>
        <v>0.5</v>
      </c>
    </row>
    <row r="666" spans="2:6">
      <c r="B666" s="219" t="str">
        <f>'4J'!AB18</f>
        <v>W3033RWD</v>
      </c>
      <c r="C666" s="219" t="s">
        <v>5673</v>
      </c>
      <c r="E666" s="249" t="s">
        <v>3641</v>
      </c>
      <c r="F666" s="255">
        <f>IF(ISBLANK('4J'!F18),"##BLANK",'4J'!F18)</f>
        <v>0</v>
      </c>
    </row>
    <row r="667" spans="2:6">
      <c r="B667" s="219" t="str">
        <f>'4J'!AC18</f>
        <v>W3033RWS</v>
      </c>
      <c r="C667" s="219" t="s">
        <v>5674</v>
      </c>
      <c r="E667" s="249" t="s">
        <v>3641</v>
      </c>
      <c r="F667" s="255">
        <f>IF(ISBLANK('4J'!G18),"##BLANK",'4J'!G18)</f>
        <v>0</v>
      </c>
    </row>
    <row r="668" spans="2:6">
      <c r="B668" s="219" t="str">
        <f>'4J'!AD18</f>
        <v>W3033WT</v>
      </c>
      <c r="C668" s="219" t="s">
        <v>5675</v>
      </c>
      <c r="E668" s="249" t="s">
        <v>3641</v>
      </c>
      <c r="F668" s="255">
        <f>IF(ISBLANK('4J'!H18),"##BLANK",'4J'!H18)</f>
        <v>0</v>
      </c>
    </row>
    <row r="669" spans="2:6">
      <c r="B669" s="219" t="str">
        <f>'4J'!AE18</f>
        <v>W3033TWD</v>
      </c>
      <c r="C669" s="219" t="s">
        <v>5676</v>
      </c>
      <c r="E669" s="249" t="s">
        <v>3641</v>
      </c>
      <c r="F669" s="255">
        <f>IF(ISBLANK('4J'!I18),"##BLANK",'4J'!I18)</f>
        <v>0</v>
      </c>
    </row>
    <row r="670" spans="2:6">
      <c r="B670" s="219" t="str">
        <f>'4J'!AF18</f>
        <v>W3033TOT</v>
      </c>
      <c r="C670" s="219" t="s">
        <v>5677</v>
      </c>
      <c r="E670" s="249" t="s">
        <v>3641</v>
      </c>
      <c r="F670" s="255">
        <f>IF(ISBLANK('4J'!J18),"##BLANK",'4J'!J18)</f>
        <v>0.5</v>
      </c>
    </row>
    <row r="671" spans="2:6">
      <c r="B671" s="219" t="str">
        <f>'4J'!AA19</f>
        <v>W3034WR</v>
      </c>
      <c r="C671" s="219" t="s">
        <v>5678</v>
      </c>
      <c r="E671" s="249" t="s">
        <v>3641</v>
      </c>
      <c r="F671" s="255">
        <f>IF(ISBLANK('4J'!E19),"##BLANK",'4J'!E19)</f>
        <v>39.064999999999998</v>
      </c>
    </row>
    <row r="672" spans="2:6">
      <c r="B672" s="219" t="str">
        <f>'4J'!AB19</f>
        <v>W3034RWD</v>
      </c>
      <c r="C672" s="219" t="s">
        <v>5679</v>
      </c>
      <c r="E672" s="249" t="s">
        <v>3641</v>
      </c>
      <c r="F672" s="255">
        <f>IF(ISBLANK('4J'!F19),"##BLANK",'4J'!F19)</f>
        <v>8.9999999999999993E-3</v>
      </c>
    </row>
    <row r="673" spans="2:6">
      <c r="B673" s="219" t="str">
        <f>'4J'!AC19</f>
        <v>W3034RWS</v>
      </c>
      <c r="C673" s="219" t="s">
        <v>5680</v>
      </c>
      <c r="E673" s="249" t="s">
        <v>3641</v>
      </c>
      <c r="F673" s="255">
        <f>IF(ISBLANK('4J'!G19),"##BLANK",'4J'!G19)</f>
        <v>0</v>
      </c>
    </row>
    <row r="674" spans="2:6">
      <c r="B674" s="219" t="str">
        <f>'4J'!AD19</f>
        <v>W3034WT</v>
      </c>
      <c r="C674" s="219" t="s">
        <v>5681</v>
      </c>
      <c r="E674" s="249" t="s">
        <v>3641</v>
      </c>
      <c r="F674" s="255">
        <f>IF(ISBLANK('4J'!H19),"##BLANK",'4J'!H19)</f>
        <v>0.28699999999999998</v>
      </c>
    </row>
    <row r="675" spans="2:6">
      <c r="B675" s="219" t="str">
        <f>'4J'!AE19</f>
        <v>W3034TWD</v>
      </c>
      <c r="C675" s="219" t="s">
        <v>5682</v>
      </c>
      <c r="E675" s="249" t="s">
        <v>3641</v>
      </c>
      <c r="F675" s="255">
        <f>IF(ISBLANK('4J'!I19),"##BLANK",'4J'!I19)</f>
        <v>2.1999999999999999E-2</v>
      </c>
    </row>
    <row r="676" spans="2:6">
      <c r="B676" s="219" t="str">
        <f>'4J'!AF19</f>
        <v>W3034TOT</v>
      </c>
      <c r="C676" s="219" t="s">
        <v>5683</v>
      </c>
      <c r="E676" s="249" t="s">
        <v>3641</v>
      </c>
      <c r="F676" s="255">
        <f>IF(ISBLANK('4J'!J19),"##BLANK",'4J'!J19)</f>
        <v>39.382999999999996</v>
      </c>
    </row>
    <row r="677" spans="2:6">
      <c r="B677" s="219" t="str">
        <f>'4J'!AA20</f>
        <v>W3035WR</v>
      </c>
      <c r="C677" s="219" t="s">
        <v>5684</v>
      </c>
      <c r="E677" s="249" t="s">
        <v>3641</v>
      </c>
      <c r="F677" s="255">
        <f>IF(ISBLANK('4J'!E20),"##BLANK",'4J'!E20)</f>
        <v>0</v>
      </c>
    </row>
    <row r="678" spans="2:6">
      <c r="B678" s="219" t="str">
        <f>'4J'!AB20</f>
        <v>W3035RWD</v>
      </c>
      <c r="C678" s="219" t="s">
        <v>5685</v>
      </c>
      <c r="E678" s="249" t="s">
        <v>3641</v>
      </c>
      <c r="F678" s="255">
        <f>IF(ISBLANK('4J'!F20),"##BLANK",'4J'!F20)</f>
        <v>0</v>
      </c>
    </row>
    <row r="679" spans="2:6">
      <c r="B679" s="219" t="str">
        <f>'4J'!AC20</f>
        <v>W3035RWS</v>
      </c>
      <c r="C679" s="219" t="s">
        <v>5686</v>
      </c>
      <c r="E679" s="249" t="s">
        <v>3641</v>
      </c>
      <c r="F679" s="255">
        <f>IF(ISBLANK('4J'!G20),"##BLANK",'4J'!G20)</f>
        <v>0</v>
      </c>
    </row>
    <row r="680" spans="2:6">
      <c r="B680" s="219" t="str">
        <f>'4J'!AD20</f>
        <v>W3035WT</v>
      </c>
      <c r="C680" s="219" t="s">
        <v>5687</v>
      </c>
      <c r="E680" s="249" t="s">
        <v>3641</v>
      </c>
      <c r="F680" s="255">
        <f>IF(ISBLANK('4J'!H20),"##BLANK",'4J'!H20)</f>
        <v>0</v>
      </c>
    </row>
    <row r="681" spans="2:6">
      <c r="B681" s="219" t="str">
        <f>'4J'!AE20</f>
        <v>W3035TWD</v>
      </c>
      <c r="C681" s="219" t="s">
        <v>5688</v>
      </c>
      <c r="E681" s="249" t="s">
        <v>3641</v>
      </c>
      <c r="F681" s="255">
        <f>IF(ISBLANK('4J'!I20),"##BLANK",'4J'!I20)</f>
        <v>0</v>
      </c>
    </row>
    <row r="682" spans="2:6">
      <c r="B682" s="219" t="str">
        <f>'4J'!AF20</f>
        <v>W3035TOT</v>
      </c>
      <c r="C682" s="219" t="s">
        <v>5689</v>
      </c>
      <c r="E682" s="249" t="s">
        <v>3641</v>
      </c>
      <c r="F682" s="255">
        <f>IF(ISBLANK('4J'!J20),"##BLANK",'4J'!J20)</f>
        <v>0</v>
      </c>
    </row>
    <row r="683" spans="2:6">
      <c r="B683" s="219" t="str">
        <f>'4J'!AA23</f>
        <v>W3032WR</v>
      </c>
      <c r="C683" s="219" t="s">
        <v>5690</v>
      </c>
      <c r="E683" s="249" t="s">
        <v>3641</v>
      </c>
      <c r="F683" s="255">
        <f>IF(ISBLANK('4J'!E23),"##BLANK",'4J'!E23)</f>
        <v>0</v>
      </c>
    </row>
    <row r="684" spans="2:6">
      <c r="B684" s="219" t="str">
        <f>'4J'!AB23</f>
        <v>W3032RWD</v>
      </c>
      <c r="C684" s="219" t="s">
        <v>5691</v>
      </c>
      <c r="E684" s="249" t="s">
        <v>3641</v>
      </c>
      <c r="F684" s="255">
        <f>IF(ISBLANK('4J'!F23),"##BLANK",'4J'!F23)</f>
        <v>0</v>
      </c>
    </row>
    <row r="685" spans="2:6">
      <c r="B685" s="219" t="str">
        <f>'4J'!AC23</f>
        <v>W3032RWS</v>
      </c>
      <c r="C685" s="219" t="s">
        <v>5692</v>
      </c>
      <c r="E685" s="249" t="s">
        <v>3641</v>
      </c>
      <c r="F685" s="255">
        <f>IF(ISBLANK('4J'!G23),"##BLANK",'4J'!G23)</f>
        <v>0</v>
      </c>
    </row>
    <row r="686" spans="2:6">
      <c r="B686" s="219" t="str">
        <f>'4J'!AD23</f>
        <v>W3032WT</v>
      </c>
      <c r="C686" s="219" t="s">
        <v>5693</v>
      </c>
      <c r="E686" s="249" t="s">
        <v>3641</v>
      </c>
      <c r="F686" s="255">
        <f>IF(ISBLANK('4J'!H23),"##BLANK",'4J'!H23)</f>
        <v>0</v>
      </c>
    </row>
    <row r="687" spans="2:6">
      <c r="B687" s="219" t="str">
        <f>'4J'!AE23</f>
        <v>W3032TWD</v>
      </c>
      <c r="C687" s="219" t="s">
        <v>5694</v>
      </c>
      <c r="E687" s="249" t="s">
        <v>3641</v>
      </c>
      <c r="F687" s="255">
        <f>IF(ISBLANK('4J'!I23),"##BLANK",'4J'!I23)</f>
        <v>0.40799999999999997</v>
      </c>
    </row>
    <row r="688" spans="2:6">
      <c r="B688" s="219" t="str">
        <f>'4J'!AF23</f>
        <v>W3032TOT</v>
      </c>
      <c r="C688" s="219" t="s">
        <v>5695</v>
      </c>
      <c r="E688" s="249" t="s">
        <v>3641</v>
      </c>
      <c r="F688" s="255">
        <f>IF(ISBLANK('4J'!J23),"##BLANK",'4J'!J23)</f>
        <v>0.40799999999999997</v>
      </c>
    </row>
    <row r="689" spans="2:6">
      <c r="B689" s="219" t="str">
        <f>'4J'!AA24</f>
        <v>W3037WR</v>
      </c>
      <c r="C689" s="219" t="s">
        <v>5696</v>
      </c>
      <c r="E689" s="249" t="s">
        <v>3641</v>
      </c>
      <c r="F689" s="255">
        <f>IF(ISBLANK('4J'!E24),"##BLANK",'4J'!E24)</f>
        <v>0</v>
      </c>
    </row>
    <row r="690" spans="2:6">
      <c r="B690" s="219" t="str">
        <f>'4J'!AB24</f>
        <v>W3037RWD</v>
      </c>
      <c r="C690" s="219" t="s">
        <v>5697</v>
      </c>
      <c r="E690" s="249" t="s">
        <v>3641</v>
      </c>
      <c r="F690" s="255">
        <f>IF(ISBLANK('4J'!F24),"##BLANK",'4J'!F24)</f>
        <v>0</v>
      </c>
    </row>
    <row r="691" spans="2:6">
      <c r="B691" s="219" t="str">
        <f>'4J'!AC24</f>
        <v>W3037RWS</v>
      </c>
      <c r="C691" s="219" t="s">
        <v>5698</v>
      </c>
      <c r="E691" s="249" t="s">
        <v>3641</v>
      </c>
      <c r="F691" s="255">
        <f>IF(ISBLANK('4J'!G24),"##BLANK",'4J'!G24)</f>
        <v>0</v>
      </c>
    </row>
    <row r="692" spans="2:6">
      <c r="B692" s="219" t="str">
        <f>'4J'!AD24</f>
        <v>W3037WT</v>
      </c>
      <c r="C692" s="219" t="s">
        <v>5699</v>
      </c>
      <c r="E692" s="249" t="s">
        <v>3641</v>
      </c>
      <c r="F692" s="255">
        <f>IF(ISBLANK('4J'!H24),"##BLANK",'4J'!H24)</f>
        <v>0</v>
      </c>
    </row>
    <row r="693" spans="2:6">
      <c r="B693" s="219" t="str">
        <f>'4J'!AE24</f>
        <v>W3037TWD</v>
      </c>
      <c r="C693" s="219" t="s">
        <v>5700</v>
      </c>
      <c r="E693" s="249" t="s">
        <v>3641</v>
      </c>
      <c r="F693" s="255">
        <f>IF(ISBLANK('4J'!I24),"##BLANK",'4J'!I24)</f>
        <v>0</v>
      </c>
    </row>
    <row r="694" spans="2:6">
      <c r="B694" s="219" t="str">
        <f>'4J'!AF24</f>
        <v>W3037TOT</v>
      </c>
      <c r="C694" s="219" t="s">
        <v>5701</v>
      </c>
      <c r="E694" s="249" t="s">
        <v>3641</v>
      </c>
      <c r="F694" s="255">
        <f>IF(ISBLANK('4J'!J24),"##BLANK",'4J'!J24)</f>
        <v>0</v>
      </c>
    </row>
    <row r="695" spans="2:6">
      <c r="B695" s="219" t="str">
        <f>'4J'!AA25</f>
        <v>W3036WR</v>
      </c>
      <c r="C695" s="219" t="s">
        <v>5702</v>
      </c>
      <c r="E695" s="249" t="s">
        <v>3641</v>
      </c>
      <c r="F695" s="255">
        <f>IF(ISBLANK('4J'!E25),"##BLANK",'4J'!E25)</f>
        <v>0</v>
      </c>
    </row>
    <row r="696" spans="2:6">
      <c r="B696" s="219" t="str">
        <f>'4J'!AB25</f>
        <v>W3036RWD</v>
      </c>
      <c r="C696" s="219" t="s">
        <v>5703</v>
      </c>
      <c r="E696" s="249" t="s">
        <v>3641</v>
      </c>
      <c r="F696" s="255">
        <f>IF(ISBLANK('4J'!F25),"##BLANK",'4J'!F25)</f>
        <v>0</v>
      </c>
    </row>
    <row r="697" spans="2:6">
      <c r="B697" s="219" t="str">
        <f>'4J'!AC25</f>
        <v>W3036RWS</v>
      </c>
      <c r="C697" s="219" t="s">
        <v>5704</v>
      </c>
      <c r="E697" s="249" t="s">
        <v>3641</v>
      </c>
      <c r="F697" s="255">
        <f>IF(ISBLANK('4J'!G25),"##BLANK",'4J'!G25)</f>
        <v>0</v>
      </c>
    </row>
    <row r="698" spans="2:6">
      <c r="B698" s="219" t="str">
        <f>'4J'!AD25</f>
        <v>W3036WT</v>
      </c>
      <c r="C698" s="219" t="s">
        <v>5705</v>
      </c>
      <c r="E698" s="249" t="s">
        <v>3641</v>
      </c>
      <c r="F698" s="255">
        <f>IF(ISBLANK('4J'!H25),"##BLANK",'4J'!H25)</f>
        <v>0</v>
      </c>
    </row>
    <row r="699" spans="2:6">
      <c r="B699" s="219" t="str">
        <f>'4J'!AE25</f>
        <v>W3036TWD</v>
      </c>
      <c r="C699" s="219" t="s">
        <v>5706</v>
      </c>
      <c r="E699" s="249" t="s">
        <v>3641</v>
      </c>
      <c r="F699" s="255">
        <f>IF(ISBLANK('4J'!I25),"##BLANK",'4J'!I25)</f>
        <v>0</v>
      </c>
    </row>
    <row r="700" spans="2:6">
      <c r="B700" s="219" t="str">
        <f>'4J'!AF25</f>
        <v>W3036TOT</v>
      </c>
      <c r="C700" s="219" t="s">
        <v>5707</v>
      </c>
      <c r="E700" s="249" t="s">
        <v>3641</v>
      </c>
      <c r="F700" s="255">
        <f>IF(ISBLANK('4J'!J25),"##BLANK",'4J'!J25)</f>
        <v>0</v>
      </c>
    </row>
    <row r="701" spans="2:6">
      <c r="B701" s="219" t="str">
        <f>'4J'!AA27</f>
        <v>W3038WR</v>
      </c>
      <c r="C701" s="219" t="s">
        <v>4197</v>
      </c>
      <c r="E701" s="249" t="s">
        <v>3641</v>
      </c>
      <c r="F701" s="255">
        <f>IF(ISBLANK('4J'!E27),"##BLANK",'4J'!E27)</f>
        <v>73.646999999999991</v>
      </c>
    </row>
    <row r="702" spans="2:6">
      <c r="B702" s="219" t="str">
        <f>'4J'!AB27</f>
        <v>W3038RWD</v>
      </c>
      <c r="C702" s="219" t="s">
        <v>5708</v>
      </c>
      <c r="E702" s="249" t="s">
        <v>3641</v>
      </c>
      <c r="F702" s="255">
        <f>IF(ISBLANK('4J'!F27),"##BLANK",'4J'!F27)</f>
        <v>6.798</v>
      </c>
    </row>
    <row r="703" spans="2:6">
      <c r="B703" s="219" t="str">
        <f>'4J'!AC27</f>
        <v>W3038RWS</v>
      </c>
      <c r="C703" s="219" t="s">
        <v>5709</v>
      </c>
      <c r="E703" s="249" t="s">
        <v>3641</v>
      </c>
      <c r="F703" s="255">
        <f>IF(ISBLANK('4J'!G27),"##BLANK",'4J'!G27)</f>
        <v>2.3099999999999996</v>
      </c>
    </row>
    <row r="704" spans="2:6">
      <c r="B704" s="219" t="str">
        <f>'4J'!AD27</f>
        <v>W3038WT</v>
      </c>
      <c r="C704" s="219" t="s">
        <v>5710</v>
      </c>
      <c r="E704" s="249" t="s">
        <v>3641</v>
      </c>
      <c r="F704" s="255">
        <f>IF(ISBLANK('4J'!H27),"##BLANK",'4J'!H27)</f>
        <v>63.363</v>
      </c>
    </row>
    <row r="705" spans="2:6">
      <c r="B705" s="219" t="str">
        <f>'4J'!AE27</f>
        <v>W3038TWD</v>
      </c>
      <c r="C705" s="219" t="s">
        <v>5711</v>
      </c>
      <c r="E705" s="249" t="s">
        <v>3641</v>
      </c>
      <c r="F705" s="255">
        <f>IF(ISBLANK('4J'!I27),"##BLANK",'4J'!I27)</f>
        <v>110.75700000000001</v>
      </c>
    </row>
    <row r="706" spans="2:6">
      <c r="B706" s="219" t="str">
        <f>'4J'!AF27</f>
        <v>W3038TOT</v>
      </c>
      <c r="C706" s="219" t="s">
        <v>4202</v>
      </c>
      <c r="E706" s="249" t="s">
        <v>3641</v>
      </c>
      <c r="F706" s="255">
        <f>IF(ISBLANK('4J'!J27),"##BLANK",'4J'!J27)</f>
        <v>256.875</v>
      </c>
    </row>
    <row r="707" spans="2:6">
      <c r="B707" s="219" t="str">
        <f>'4J'!AA30</f>
        <v>WS1012WR</v>
      </c>
      <c r="C707" s="219" t="s">
        <v>5712</v>
      </c>
      <c r="E707" s="249" t="s">
        <v>3641</v>
      </c>
      <c r="F707" s="255">
        <f>IF(ISBLANK('4J'!E30),"##BLANK",'4J'!E30)</f>
        <v>8.6989999999999998</v>
      </c>
    </row>
    <row r="708" spans="2:6">
      <c r="B708" s="219" t="str">
        <f>'4J'!AB30</f>
        <v>WS1012RWT</v>
      </c>
      <c r="C708" s="219" t="s">
        <v>5713</v>
      </c>
      <c r="E708" s="249" t="s">
        <v>3641</v>
      </c>
      <c r="F708" s="255">
        <f>IF(ISBLANK('4J'!F30),"##BLANK",'4J'!F30)</f>
        <v>0</v>
      </c>
    </row>
    <row r="709" spans="2:6">
      <c r="B709" s="219" t="str">
        <f>'4J'!AC30</f>
        <v>WS1012RWS</v>
      </c>
      <c r="C709" s="219" t="s">
        <v>5714</v>
      </c>
      <c r="E709" s="249" t="s">
        <v>3641</v>
      </c>
      <c r="F709" s="255">
        <f>IF(ISBLANK('4J'!G30),"##BLANK",'4J'!G30)</f>
        <v>0</v>
      </c>
    </row>
    <row r="710" spans="2:6">
      <c r="B710" s="219" t="str">
        <f>'4J'!AD30</f>
        <v>WS1012WT</v>
      </c>
      <c r="C710" s="219" t="s">
        <v>5715</v>
      </c>
      <c r="E710" s="249" t="s">
        <v>3641</v>
      </c>
      <c r="F710" s="255">
        <f>IF(ISBLANK('4J'!H30),"##BLANK",'4J'!H30)</f>
        <v>0</v>
      </c>
    </row>
    <row r="711" spans="2:6">
      <c r="B711" s="219" t="str">
        <f>'4J'!AE30</f>
        <v>WS1012TWD</v>
      </c>
      <c r="C711" s="219" t="s">
        <v>5716</v>
      </c>
      <c r="E711" s="249" t="s">
        <v>3641</v>
      </c>
      <c r="F711" s="255">
        <f>IF(ISBLANK('4J'!I30),"##BLANK",'4J'!I30)</f>
        <v>29.338000000000001</v>
      </c>
    </row>
    <row r="712" spans="2:6">
      <c r="B712" s="219" t="str">
        <f>'4J'!AF30</f>
        <v>WS1012CAW</v>
      </c>
      <c r="C712" s="219" t="s">
        <v>5717</v>
      </c>
      <c r="E712" s="249" t="s">
        <v>3641</v>
      </c>
      <c r="F712" s="255">
        <f>IF(ISBLANK('4J'!J30),"##BLANK",'4J'!J30)</f>
        <v>38.036999999999999</v>
      </c>
    </row>
    <row r="713" spans="2:6">
      <c r="B713" s="219" t="str">
        <f>'4J'!AA31</f>
        <v>WS1013WR</v>
      </c>
      <c r="C713" s="219" t="s">
        <v>5718</v>
      </c>
      <c r="E713" s="249" t="s">
        <v>3641</v>
      </c>
      <c r="F713" s="255">
        <f>IF(ISBLANK('4J'!E31),"##BLANK",'4J'!E31)</f>
        <v>13.109</v>
      </c>
    </row>
    <row r="714" spans="2:6">
      <c r="B714" s="219" t="str">
        <f>'4J'!AB31</f>
        <v>WS1013RWT</v>
      </c>
      <c r="C714" s="219" t="s">
        <v>5719</v>
      </c>
      <c r="E714" s="249" t="s">
        <v>3641</v>
      </c>
      <c r="F714" s="255">
        <f>IF(ISBLANK('4J'!F31),"##BLANK",'4J'!F31)</f>
        <v>0.13800000000000001</v>
      </c>
    </row>
    <row r="715" spans="2:6">
      <c r="B715" s="219" t="str">
        <f>'4J'!AC31</f>
        <v>WS1013RWS</v>
      </c>
      <c r="C715" s="219" t="s">
        <v>5720</v>
      </c>
      <c r="E715" s="249" t="s">
        <v>3641</v>
      </c>
      <c r="F715" s="255">
        <f>IF(ISBLANK('4J'!G31),"##BLANK",'4J'!G31)</f>
        <v>0</v>
      </c>
    </row>
    <row r="716" spans="2:6">
      <c r="B716" s="219" t="str">
        <f>'4J'!AD31</f>
        <v>WS1013WT</v>
      </c>
      <c r="C716" s="219" t="s">
        <v>5721</v>
      </c>
      <c r="E716" s="249" t="s">
        <v>3641</v>
      </c>
      <c r="F716" s="255">
        <f>IF(ISBLANK('4J'!H31),"##BLANK",'4J'!H31)</f>
        <v>53.197000000000003</v>
      </c>
    </row>
    <row r="717" spans="2:6">
      <c r="B717" s="219" t="str">
        <f>'4J'!AE31</f>
        <v>WS1013TWD</v>
      </c>
      <c r="C717" s="219" t="s">
        <v>5722</v>
      </c>
      <c r="E717" s="249" t="s">
        <v>3641</v>
      </c>
      <c r="F717" s="255">
        <f>IF(ISBLANK('4J'!I31),"##BLANK",'4J'!I31)</f>
        <v>34.637</v>
      </c>
    </row>
    <row r="718" spans="2:6">
      <c r="B718" s="219" t="str">
        <f>'4J'!AF31</f>
        <v>WS1013CAW</v>
      </c>
      <c r="C718" s="219" t="s">
        <v>5723</v>
      </c>
      <c r="E718" s="249" t="s">
        <v>3641</v>
      </c>
      <c r="F718" s="255">
        <f>IF(ISBLANK('4J'!J31),"##BLANK",'4J'!J31)</f>
        <v>101.081</v>
      </c>
    </row>
    <row r="719" spans="2:6">
      <c r="B719" s="219" t="str">
        <f>'4J'!AA32</f>
        <v>W3039WR</v>
      </c>
      <c r="C719" s="219" t="s">
        <v>5724</v>
      </c>
      <c r="E719" s="249" t="s">
        <v>3641</v>
      </c>
      <c r="F719" s="255">
        <f>IF(ISBLANK('4J'!E32),"##BLANK",'4J'!E32)</f>
        <v>21.808</v>
      </c>
    </row>
    <row r="720" spans="2:6">
      <c r="B720" s="219" t="str">
        <f>'4J'!AB32</f>
        <v>W3039RWD</v>
      </c>
      <c r="C720" s="219" t="s">
        <v>5725</v>
      </c>
      <c r="E720" s="249" t="s">
        <v>3641</v>
      </c>
      <c r="F720" s="255">
        <f>IF(ISBLANK('4J'!F32),"##BLANK",'4J'!F32)</f>
        <v>0.13800000000000001</v>
      </c>
    </row>
    <row r="721" spans="2:6">
      <c r="B721" s="219" t="str">
        <f>'4J'!AC32</f>
        <v>W3039RWS</v>
      </c>
      <c r="C721" s="219" t="s">
        <v>5726</v>
      </c>
      <c r="E721" s="249" t="s">
        <v>3641</v>
      </c>
      <c r="F721" s="255">
        <f>IF(ISBLANK('4J'!G32),"##BLANK",'4J'!G32)</f>
        <v>0</v>
      </c>
    </row>
    <row r="722" spans="2:6">
      <c r="B722" s="219" t="str">
        <f>'4J'!AD32</f>
        <v>W3039WT</v>
      </c>
      <c r="C722" s="219" t="s">
        <v>5727</v>
      </c>
      <c r="E722" s="249" t="s">
        <v>3641</v>
      </c>
      <c r="F722" s="255">
        <f>IF(ISBLANK('4J'!H32),"##BLANK",'4J'!H32)</f>
        <v>53.197000000000003</v>
      </c>
    </row>
    <row r="723" spans="2:6">
      <c r="B723" s="219" t="str">
        <f>'4J'!AE32</f>
        <v>W3039TWD</v>
      </c>
      <c r="C723" s="219" t="s">
        <v>5728</v>
      </c>
      <c r="E723" s="249" t="s">
        <v>3641</v>
      </c>
      <c r="F723" s="255">
        <f>IF(ISBLANK('4J'!I32),"##BLANK",'4J'!I32)</f>
        <v>63.975000000000001</v>
      </c>
    </row>
    <row r="724" spans="2:6">
      <c r="B724" s="219" t="str">
        <f>'4J'!AF32</f>
        <v>W3039TOT</v>
      </c>
      <c r="C724" s="219" t="s">
        <v>5729</v>
      </c>
      <c r="E724" s="249" t="s">
        <v>3641</v>
      </c>
      <c r="F724" s="255">
        <f>IF(ISBLANK('4J'!J32),"##BLANK",'4J'!J32)</f>
        <v>139.11799999999999</v>
      </c>
    </row>
    <row r="725" spans="2:6">
      <c r="B725" s="219" t="str">
        <f>'4J'!AA35</f>
        <v>W3040WR</v>
      </c>
      <c r="C725" s="219" t="s">
        <v>5730</v>
      </c>
      <c r="E725" s="249" t="s">
        <v>3641</v>
      </c>
      <c r="F725" s="255">
        <f>IF(ISBLANK('4J'!E35),"##BLANK",'4J'!E35)</f>
        <v>0</v>
      </c>
    </row>
    <row r="726" spans="2:6">
      <c r="B726" s="219" t="str">
        <f>'4J'!AB35</f>
        <v>W3040RWD</v>
      </c>
      <c r="C726" s="219" t="s">
        <v>5731</v>
      </c>
      <c r="E726" s="249" t="s">
        <v>3641</v>
      </c>
      <c r="F726" s="255">
        <f>IF(ISBLANK('4J'!F35),"##BLANK",'4J'!F35)</f>
        <v>0</v>
      </c>
    </row>
    <row r="727" spans="2:6">
      <c r="B727" s="219" t="str">
        <f>'4J'!AC35</f>
        <v>W3040RWS</v>
      </c>
      <c r="C727" s="219" t="s">
        <v>5732</v>
      </c>
      <c r="E727" s="249" t="s">
        <v>3641</v>
      </c>
      <c r="F727" s="255">
        <f>IF(ISBLANK('4J'!G35),"##BLANK",'4J'!G35)</f>
        <v>0</v>
      </c>
    </row>
    <row r="728" spans="2:6">
      <c r="B728" s="219" t="str">
        <f>'4J'!AD35</f>
        <v>W3040WT</v>
      </c>
      <c r="C728" s="219" t="s">
        <v>5733</v>
      </c>
      <c r="E728" s="249" t="s">
        <v>3641</v>
      </c>
      <c r="F728" s="255">
        <f>IF(ISBLANK('4J'!H35),"##BLANK",'4J'!H35)</f>
        <v>0</v>
      </c>
    </row>
    <row r="729" spans="2:6">
      <c r="B729" s="219" t="str">
        <f>'4J'!AE35</f>
        <v>W3040TWD</v>
      </c>
      <c r="C729" s="219" t="s">
        <v>5734</v>
      </c>
      <c r="E729" s="249" t="s">
        <v>3641</v>
      </c>
      <c r="F729" s="255">
        <f>IF(ISBLANK('4J'!I35),"##BLANK",'4J'!I35)</f>
        <v>9165</v>
      </c>
    </row>
    <row r="730" spans="2:6">
      <c r="B730" s="219" t="str">
        <f>'4J'!AF35</f>
        <v>W3040TOT</v>
      </c>
      <c r="C730" s="219" t="s">
        <v>5735</v>
      </c>
      <c r="E730" s="249" t="s">
        <v>3641</v>
      </c>
      <c r="F730" s="255">
        <f>IF(ISBLANK('4J'!J35),"##BLANK",'4J'!J35)</f>
        <v>9165</v>
      </c>
    </row>
    <row r="731" spans="2:6">
      <c r="B731" s="219" t="str">
        <f>'4K'!AG10</f>
        <v>WWS01001FL</v>
      </c>
      <c r="C731" s="219" t="s">
        <v>5736</v>
      </c>
      <c r="E731" s="249" t="s">
        <v>3641</v>
      </c>
      <c r="F731" s="255">
        <f>IF(ISBLANK('4K'!E10),"##BLANK",'4K'!E10)</f>
        <v>3.8580000000000001</v>
      </c>
    </row>
    <row r="732" spans="2:6">
      <c r="B732" s="219" t="str">
        <f>'4K'!AH10</f>
        <v>WWS01001SWD</v>
      </c>
      <c r="C732" s="219" t="s">
        <v>5737</v>
      </c>
      <c r="E732" s="249" t="s">
        <v>3641</v>
      </c>
      <c r="F732" s="255">
        <f>IF(ISBLANK('4K'!F10),"##BLANK",'4K'!F10)</f>
        <v>6.3949999999999996</v>
      </c>
    </row>
    <row r="733" spans="2:6">
      <c r="B733" s="219" t="str">
        <f>'4K'!AI10</f>
        <v>WWS01001HD</v>
      </c>
      <c r="C733" s="219" t="s">
        <v>5738</v>
      </c>
      <c r="E733" s="249" t="s">
        <v>3641</v>
      </c>
      <c r="F733" s="255">
        <f>IF(ISBLANK('4K'!G10),"##BLANK",'4K'!G10)</f>
        <v>3.444</v>
      </c>
    </row>
    <row r="734" spans="2:6">
      <c r="B734" s="219" t="str">
        <f>'4K'!AJ10</f>
        <v>WWS01001STD</v>
      </c>
      <c r="C734" s="219" t="s">
        <v>5739</v>
      </c>
      <c r="E734" s="249" t="s">
        <v>3641</v>
      </c>
      <c r="F734" s="255">
        <f>IF(ISBLANK('4K'!H10),"##BLANK",'4K'!H10)</f>
        <v>24.486000000000001</v>
      </c>
    </row>
    <row r="735" spans="2:6">
      <c r="B735" s="219" t="str">
        <f>'4K'!AK10</f>
        <v>WWS01001SLT</v>
      </c>
      <c r="C735" s="219" t="s">
        <v>5740</v>
      </c>
      <c r="E735" s="249" t="s">
        <v>3641</v>
      </c>
      <c r="F735" s="255">
        <f>IF(ISBLANK('4K'!I10),"##BLANK",'4K'!I10)</f>
        <v>5.4050000000000002</v>
      </c>
    </row>
    <row r="736" spans="2:6">
      <c r="B736" s="219" t="str">
        <f>'4K'!AL10</f>
        <v>WWS01001STP</v>
      </c>
      <c r="C736" s="219" t="s">
        <v>5741</v>
      </c>
      <c r="E736" s="249" t="s">
        <v>3641</v>
      </c>
      <c r="F736" s="255">
        <f>IF(ISBLANK('4K'!J10),"##BLANK",'4K'!J10)</f>
        <v>1.593</v>
      </c>
    </row>
    <row r="737" spans="2:6">
      <c r="B737" s="219" t="str">
        <f>'4K'!AM10</f>
        <v>WWS01001SDT</v>
      </c>
      <c r="C737" s="219" t="s">
        <v>5742</v>
      </c>
      <c r="E737" s="249" t="s">
        <v>3641</v>
      </c>
      <c r="F737" s="255">
        <f>IF(ISBLANK('4K'!K10),"##BLANK",'4K'!K10)</f>
        <v>3.5870000000000002</v>
      </c>
    </row>
    <row r="738" spans="2:6">
      <c r="B738" s="219" t="str">
        <f>'4K'!AN10</f>
        <v>WWS01001SDD</v>
      </c>
      <c r="C738" s="219" t="s">
        <v>5743</v>
      </c>
      <c r="E738" s="249" t="s">
        <v>3641</v>
      </c>
      <c r="F738" s="255">
        <f>IF(ISBLANK('4K'!L10),"##BLANK",'4K'!L10)</f>
        <v>1E-3</v>
      </c>
    </row>
    <row r="739" spans="2:6">
      <c r="B739" s="219" t="str">
        <f>'4K'!AO10</f>
        <v>WWS01001CAS</v>
      </c>
      <c r="C739" s="219" t="s">
        <v>5744</v>
      </c>
      <c r="E739" s="249" t="s">
        <v>3641</v>
      </c>
      <c r="F739" s="255">
        <f>IF(ISBLANK('4K'!M10),"##BLANK",'4K'!M10)</f>
        <v>48.768999999999998</v>
      </c>
    </row>
    <row r="740" spans="2:6">
      <c r="B740" s="219" t="str">
        <f>'4K'!AG11</f>
        <v>WWS01002FL</v>
      </c>
      <c r="C740" s="219" t="s">
        <v>5745</v>
      </c>
      <c r="E740" s="249" t="s">
        <v>3641</v>
      </c>
      <c r="F740" s="255">
        <f>IF(ISBLANK('4K'!E11),"##BLANK",'4K'!E11)</f>
        <v>0</v>
      </c>
    </row>
    <row r="741" spans="2:6">
      <c r="B741" s="219" t="str">
        <f>'4K'!AH11</f>
        <v>WWS01002SWD</v>
      </c>
      <c r="C741" s="219" t="s">
        <v>5746</v>
      </c>
      <c r="E741" s="249" t="s">
        <v>3641</v>
      </c>
      <c r="F741" s="255">
        <f>IF(ISBLANK('4K'!F11),"##BLANK",'4K'!F11)</f>
        <v>0</v>
      </c>
    </row>
    <row r="742" spans="2:6">
      <c r="B742" s="219" t="str">
        <f>'4K'!AI11</f>
        <v>WWS01002HD</v>
      </c>
      <c r="C742" s="219" t="s">
        <v>5747</v>
      </c>
      <c r="E742" s="249" t="s">
        <v>3641</v>
      </c>
      <c r="F742" s="255">
        <f>IF(ISBLANK('4K'!G11),"##BLANK",'4K'!G11)</f>
        <v>0</v>
      </c>
    </row>
    <row r="743" spans="2:6">
      <c r="B743" s="219" t="str">
        <f>'4K'!AJ11</f>
        <v>WWS01002STD</v>
      </c>
      <c r="C743" s="219" t="s">
        <v>5748</v>
      </c>
      <c r="E743" s="249" t="s">
        <v>3641</v>
      </c>
      <c r="F743" s="255">
        <f>IF(ISBLANK('4K'!H11),"##BLANK",'4K'!H11)</f>
        <v>0</v>
      </c>
    </row>
    <row r="744" spans="2:6">
      <c r="B744" s="219" t="str">
        <f>'4K'!AK11</f>
        <v>WWS01002SLT</v>
      </c>
      <c r="C744" s="219" t="s">
        <v>5749</v>
      </c>
      <c r="E744" s="249" t="s">
        <v>3641</v>
      </c>
      <c r="F744" s="255">
        <f>IF(ISBLANK('4K'!I11),"##BLANK",'4K'!I11)</f>
        <v>0</v>
      </c>
    </row>
    <row r="745" spans="2:6">
      <c r="B745" s="219" t="str">
        <f>'4K'!AL11</f>
        <v>WWS01002STP</v>
      </c>
      <c r="C745" s="219" t="s">
        <v>5750</v>
      </c>
      <c r="E745" s="249" t="s">
        <v>3641</v>
      </c>
      <c r="F745" s="255">
        <f>IF(ISBLANK('4K'!J11),"##BLANK",'4K'!J11)</f>
        <v>0</v>
      </c>
    </row>
    <row r="746" spans="2:6">
      <c r="B746" s="219" t="str">
        <f>'4K'!AM11</f>
        <v>WWS01002SDT</v>
      </c>
      <c r="C746" s="219" t="s">
        <v>5751</v>
      </c>
      <c r="E746" s="249" t="s">
        <v>3641</v>
      </c>
      <c r="F746" s="255">
        <f>IF(ISBLANK('4K'!K11),"##BLANK",'4K'!K11)</f>
        <v>-19.463000000000001</v>
      </c>
    </row>
    <row r="747" spans="2:6">
      <c r="B747" s="219" t="str">
        <f>'4K'!AN11</f>
        <v>WWS01002SDD</v>
      </c>
      <c r="C747" s="219" t="s">
        <v>5752</v>
      </c>
      <c r="E747" s="249" t="s">
        <v>3641</v>
      </c>
      <c r="F747" s="255">
        <f>IF(ISBLANK('4K'!L11),"##BLANK",'4K'!L11)</f>
        <v>0</v>
      </c>
    </row>
    <row r="748" spans="2:6">
      <c r="B748" s="219" t="str">
        <f>'4K'!AO11</f>
        <v>WWS01002CAS</v>
      </c>
      <c r="C748" s="219" t="s">
        <v>5753</v>
      </c>
      <c r="E748" s="249" t="s">
        <v>3641</v>
      </c>
      <c r="F748" s="255">
        <f>IF(ISBLANK('4K'!M11),"##BLANK",'4K'!M11)</f>
        <v>-19.463000000000001</v>
      </c>
    </row>
    <row r="749" spans="2:6">
      <c r="B749" s="219" t="str">
        <f>'4K'!AG12</f>
        <v>WWS01004FL</v>
      </c>
      <c r="C749" s="219" t="s">
        <v>5754</v>
      </c>
      <c r="E749" s="249" t="s">
        <v>3641</v>
      </c>
      <c r="F749" s="255">
        <f>IF(ISBLANK('4K'!E12),"##BLANK",'4K'!E12)</f>
        <v>0</v>
      </c>
    </row>
    <row r="750" spans="2:6">
      <c r="B750" s="219" t="str">
        <f>'4K'!AH12</f>
        <v>WWS01004SWD</v>
      </c>
      <c r="C750" s="219" t="s">
        <v>5755</v>
      </c>
      <c r="E750" s="249" t="s">
        <v>3641</v>
      </c>
      <c r="F750" s="255">
        <f>IF(ISBLANK('4K'!F12),"##BLANK",'4K'!F12)</f>
        <v>0</v>
      </c>
    </row>
    <row r="751" spans="2:6">
      <c r="B751" s="219" t="str">
        <f>'4K'!AI12</f>
        <v>WWS01004HD</v>
      </c>
      <c r="C751" s="219" t="s">
        <v>5756</v>
      </c>
      <c r="E751" s="249" t="s">
        <v>3641</v>
      </c>
      <c r="F751" s="255">
        <f>IF(ISBLANK('4K'!G12),"##BLANK",'4K'!G12)</f>
        <v>0</v>
      </c>
    </row>
    <row r="752" spans="2:6">
      <c r="B752" s="219" t="str">
        <f>'4K'!AJ12</f>
        <v>WWS01004STD</v>
      </c>
      <c r="C752" s="219" t="s">
        <v>5757</v>
      </c>
      <c r="E752" s="249" t="s">
        <v>3641</v>
      </c>
      <c r="F752" s="255">
        <f>IF(ISBLANK('4K'!H12),"##BLANK",'4K'!H12)</f>
        <v>0</v>
      </c>
    </row>
    <row r="753" spans="2:6">
      <c r="B753" s="219" t="str">
        <f>'4K'!AK12</f>
        <v>WWS01004SLT</v>
      </c>
      <c r="C753" s="219" t="s">
        <v>5758</v>
      </c>
      <c r="E753" s="249" t="s">
        <v>3641</v>
      </c>
      <c r="F753" s="255">
        <f>IF(ISBLANK('4K'!I12),"##BLANK",'4K'!I12)</f>
        <v>0</v>
      </c>
    </row>
    <row r="754" spans="2:6">
      <c r="B754" s="219" t="str">
        <f>'4K'!AL12</f>
        <v>WWS01004STP</v>
      </c>
      <c r="C754" s="219" t="s">
        <v>5759</v>
      </c>
      <c r="E754" s="249" t="s">
        <v>3641</v>
      </c>
      <c r="F754" s="255">
        <f>IF(ISBLANK('4K'!J12),"##BLANK",'4K'!J12)</f>
        <v>0</v>
      </c>
    </row>
    <row r="755" spans="2:6">
      <c r="B755" s="219" t="str">
        <f>'4K'!AM12</f>
        <v>WWS01004SDT</v>
      </c>
      <c r="C755" s="219" t="s">
        <v>5760</v>
      </c>
      <c r="E755" s="249" t="s">
        <v>3641</v>
      </c>
      <c r="F755" s="255">
        <f>IF(ISBLANK('4K'!K12),"##BLANK",'4K'!K12)</f>
        <v>0</v>
      </c>
    </row>
    <row r="756" spans="2:6">
      <c r="B756" s="219" t="str">
        <f>'4K'!AN12</f>
        <v>WWS01004SDD</v>
      </c>
      <c r="C756" s="219" t="s">
        <v>5761</v>
      </c>
      <c r="E756" s="249" t="s">
        <v>3641</v>
      </c>
      <c r="F756" s="255">
        <f>IF(ISBLANK('4K'!L12),"##BLANK",'4K'!L12)</f>
        <v>0</v>
      </c>
    </row>
    <row r="757" spans="2:6">
      <c r="B757" s="219" t="str">
        <f>'4K'!AO12</f>
        <v>WWS01004CAS</v>
      </c>
      <c r="C757" s="219" t="s">
        <v>5762</v>
      </c>
      <c r="E757" s="249" t="s">
        <v>3641</v>
      </c>
      <c r="F757" s="255">
        <f>IF(ISBLANK('4K'!M12),"##BLANK",'4K'!M12)</f>
        <v>0</v>
      </c>
    </row>
    <row r="758" spans="2:6">
      <c r="B758" s="219" t="str">
        <f>'4K'!AG13</f>
        <v>WWS01005FL</v>
      </c>
      <c r="C758" s="219" t="s">
        <v>5763</v>
      </c>
      <c r="E758" s="249" t="s">
        <v>3641</v>
      </c>
      <c r="F758" s="255">
        <f>IF(ISBLANK('4K'!E13),"##BLANK",'4K'!E13)</f>
        <v>0.46400000000000002</v>
      </c>
    </row>
    <row r="759" spans="2:6">
      <c r="B759" s="219" t="str">
        <f>'4K'!AH13</f>
        <v>WWS01005SWD</v>
      </c>
      <c r="C759" s="219" t="s">
        <v>5764</v>
      </c>
      <c r="E759" s="249" t="s">
        <v>3641</v>
      </c>
      <c r="F759" s="255">
        <f>IF(ISBLANK('4K'!F13),"##BLANK",'4K'!F13)</f>
        <v>0.76900000000000002</v>
      </c>
    </row>
    <row r="760" spans="2:6">
      <c r="B760" s="219" t="str">
        <f>'4K'!AI13</f>
        <v>WWS01005HD</v>
      </c>
      <c r="C760" s="219" t="s">
        <v>5765</v>
      </c>
      <c r="E760" s="249" t="s">
        <v>3641</v>
      </c>
      <c r="F760" s="255">
        <f>IF(ISBLANK('4K'!G13),"##BLANK",'4K'!G13)</f>
        <v>0.41399999999999998</v>
      </c>
    </row>
    <row r="761" spans="2:6">
      <c r="B761" s="219" t="str">
        <f>'4K'!AJ13</f>
        <v>WWS01005STD</v>
      </c>
      <c r="C761" s="219" t="s">
        <v>5766</v>
      </c>
      <c r="E761" s="249" t="s">
        <v>3641</v>
      </c>
      <c r="F761" s="255">
        <f>IF(ISBLANK('4K'!H13),"##BLANK",'4K'!H13)</f>
        <v>0</v>
      </c>
    </row>
    <row r="762" spans="2:6">
      <c r="B762" s="219" t="str">
        <f>'4K'!AK13</f>
        <v>WWS01005SLT</v>
      </c>
      <c r="C762" s="219" t="s">
        <v>5767</v>
      </c>
      <c r="E762" s="249" t="s">
        <v>3641</v>
      </c>
      <c r="F762" s="255">
        <f>IF(ISBLANK('4K'!I13),"##BLANK",'4K'!I13)</f>
        <v>0</v>
      </c>
    </row>
    <row r="763" spans="2:6">
      <c r="B763" s="219" t="str">
        <f>'4K'!AL13</f>
        <v>WWS01005STP</v>
      </c>
      <c r="C763" s="219" t="s">
        <v>5768</v>
      </c>
      <c r="E763" s="249" t="s">
        <v>3641</v>
      </c>
      <c r="F763" s="255">
        <f>IF(ISBLANK('4K'!J13),"##BLANK",'4K'!J13)</f>
        <v>0</v>
      </c>
    </row>
    <row r="764" spans="2:6">
      <c r="B764" s="219" t="str">
        <f>'4K'!AM13</f>
        <v>WWS01005SDT</v>
      </c>
      <c r="C764" s="219" t="s">
        <v>5769</v>
      </c>
      <c r="E764" s="249" t="s">
        <v>3641</v>
      </c>
      <c r="F764" s="255">
        <f>IF(ISBLANK('4K'!K13),"##BLANK",'4K'!K13)</f>
        <v>0</v>
      </c>
    </row>
    <row r="765" spans="2:6">
      <c r="B765" s="219" t="str">
        <f>'4K'!AN13</f>
        <v>WWS01005SDD</v>
      </c>
      <c r="C765" s="219" t="s">
        <v>5770</v>
      </c>
      <c r="E765" s="249" t="s">
        <v>3641</v>
      </c>
      <c r="F765" s="255">
        <f>IF(ISBLANK('4K'!L13),"##BLANK",'4K'!L13)</f>
        <v>0</v>
      </c>
    </row>
    <row r="766" spans="2:6">
      <c r="B766" s="219" t="str">
        <f>'4K'!AO13</f>
        <v>WWS01005CAS</v>
      </c>
      <c r="C766" s="219" t="s">
        <v>5771</v>
      </c>
      <c r="E766" s="249" t="s">
        <v>3641</v>
      </c>
      <c r="F766" s="255">
        <f>IF(ISBLANK('4K'!M13),"##BLANK",'4K'!M13)</f>
        <v>1.647</v>
      </c>
    </row>
    <row r="767" spans="2:6">
      <c r="B767" s="219" t="str">
        <f>'4K'!AG14</f>
        <v>WWS01006FL</v>
      </c>
      <c r="C767" s="219" t="s">
        <v>5772</v>
      </c>
      <c r="E767" s="249" t="s">
        <v>3641</v>
      </c>
      <c r="F767" s="255">
        <f>IF(ISBLANK('4K'!E14),"##BLANK",'4K'!E14)</f>
        <v>0.29299999999999998</v>
      </c>
    </row>
    <row r="768" spans="2:6">
      <c r="B768" s="219" t="str">
        <f>'4K'!AH14</f>
        <v>WWS01006SWD</v>
      </c>
      <c r="C768" s="219" t="s">
        <v>5773</v>
      </c>
      <c r="E768" s="249" t="s">
        <v>3641</v>
      </c>
      <c r="F768" s="255">
        <f>IF(ISBLANK('4K'!F14),"##BLANK",'4K'!F14)</f>
        <v>0.48499999999999999</v>
      </c>
    </row>
    <row r="769" spans="2:6">
      <c r="B769" s="219" t="str">
        <f>'4K'!AI14</f>
        <v>WWS01006HD</v>
      </c>
      <c r="C769" s="219" t="s">
        <v>5774</v>
      </c>
      <c r="E769" s="249" t="s">
        <v>3641</v>
      </c>
      <c r="F769" s="255">
        <f>IF(ISBLANK('4K'!G14),"##BLANK",'4K'!G14)</f>
        <v>0.26100000000000001</v>
      </c>
    </row>
    <row r="770" spans="2:6">
      <c r="B770" s="219" t="str">
        <f>'4K'!AJ14</f>
        <v>WWS01006STD</v>
      </c>
      <c r="C770" s="219" t="s">
        <v>5775</v>
      </c>
      <c r="E770" s="249" t="s">
        <v>3641</v>
      </c>
      <c r="F770" s="255">
        <f>IF(ISBLANK('4K'!H14),"##BLANK",'4K'!H14)</f>
        <v>1.573</v>
      </c>
    </row>
    <row r="771" spans="2:6">
      <c r="B771" s="219" t="str">
        <f>'4K'!AK14</f>
        <v>WWS01006SLT</v>
      </c>
      <c r="C771" s="219" t="s">
        <v>5776</v>
      </c>
      <c r="E771" s="249" t="s">
        <v>3641</v>
      </c>
      <c r="F771" s="255">
        <f>IF(ISBLANK('4K'!I14),"##BLANK",'4K'!I14)</f>
        <v>0</v>
      </c>
    </row>
    <row r="772" spans="2:6">
      <c r="B772" s="219" t="str">
        <f>'4K'!AL14</f>
        <v>WWS01006STP</v>
      </c>
      <c r="C772" s="219" t="s">
        <v>5777</v>
      </c>
      <c r="E772" s="249" t="s">
        <v>3641</v>
      </c>
      <c r="F772" s="255">
        <f>IF(ISBLANK('4K'!J14),"##BLANK",'4K'!J14)</f>
        <v>0</v>
      </c>
    </row>
    <row r="773" spans="2:6">
      <c r="B773" s="219" t="str">
        <f>'4K'!AM14</f>
        <v>WWS01006SDT</v>
      </c>
      <c r="C773" s="219" t="s">
        <v>5778</v>
      </c>
      <c r="E773" s="249" t="s">
        <v>3641</v>
      </c>
      <c r="F773" s="255">
        <f>IF(ISBLANK('4K'!K14),"##BLANK",'4K'!K14)</f>
        <v>0.20799999999999999</v>
      </c>
    </row>
    <row r="774" spans="2:6">
      <c r="B774" s="219" t="str">
        <f>'4K'!AN14</f>
        <v>WWS01006SDD</v>
      </c>
      <c r="C774" s="219" t="s">
        <v>5779</v>
      </c>
      <c r="E774" s="249" t="s">
        <v>3641</v>
      </c>
      <c r="F774" s="255">
        <f>IF(ISBLANK('4K'!L14),"##BLANK",'4K'!L14)</f>
        <v>6.0000000000000001E-3</v>
      </c>
    </row>
    <row r="775" spans="2:6">
      <c r="B775" s="219" t="str">
        <f>'4K'!AO14</f>
        <v>WWS01006CAS</v>
      </c>
      <c r="C775" s="219" t="s">
        <v>5780</v>
      </c>
      <c r="E775" s="249" t="s">
        <v>3641</v>
      </c>
      <c r="F775" s="255">
        <f>IF(ISBLANK('4K'!M14),"##BLANK",'4K'!M14)</f>
        <v>2.8260000000000001</v>
      </c>
    </row>
    <row r="776" spans="2:6">
      <c r="B776" s="219" t="str">
        <f>'4K'!AG15</f>
        <v>WWS01007FL</v>
      </c>
      <c r="C776" s="219" t="s">
        <v>5781</v>
      </c>
      <c r="E776" s="249" t="s">
        <v>3641</v>
      </c>
      <c r="F776" s="255">
        <f>IF(ISBLANK('4K'!E15),"##BLANK",'4K'!E15)</f>
        <v>7.7649999999999997</v>
      </c>
    </row>
    <row r="777" spans="2:6">
      <c r="B777" s="219" t="str">
        <f>'4K'!AH15</f>
        <v>WWS01007SWD</v>
      </c>
      <c r="C777" s="219" t="s">
        <v>5782</v>
      </c>
      <c r="E777" s="249" t="s">
        <v>3641</v>
      </c>
      <c r="F777" s="255">
        <f>IF(ISBLANK('4K'!F15),"##BLANK",'4K'!F15)</f>
        <v>12.843</v>
      </c>
    </row>
    <row r="778" spans="2:6">
      <c r="B778" s="219" t="str">
        <f>'4K'!AI15</f>
        <v>WWS01007HD</v>
      </c>
      <c r="C778" s="219" t="s">
        <v>5783</v>
      </c>
      <c r="E778" s="249" t="s">
        <v>3641</v>
      </c>
      <c r="F778" s="255">
        <f>IF(ISBLANK('4K'!G15),"##BLANK",'4K'!G15)</f>
        <v>6.9020000000000001</v>
      </c>
    </row>
    <row r="779" spans="2:6">
      <c r="B779" s="219" t="str">
        <f>'4K'!AJ15</f>
        <v>WWS01007STD</v>
      </c>
      <c r="C779" s="219" t="s">
        <v>5784</v>
      </c>
      <c r="E779" s="249" t="s">
        <v>3641</v>
      </c>
      <c r="F779" s="255">
        <f>IF(ISBLANK('4K'!H15),"##BLANK",'4K'!H15)</f>
        <v>29.324000000000002</v>
      </c>
    </row>
    <row r="780" spans="2:6">
      <c r="B780" s="219" t="str">
        <f>'4K'!AK15</f>
        <v>WWS01007SLT</v>
      </c>
      <c r="C780" s="219" t="s">
        <v>5785</v>
      </c>
      <c r="E780" s="249" t="s">
        <v>3641</v>
      </c>
      <c r="F780" s="255">
        <f>IF(ISBLANK('4K'!I15),"##BLANK",'4K'!I15)</f>
        <v>1.6539999999999999</v>
      </c>
    </row>
    <row r="781" spans="2:6">
      <c r="B781" s="219" t="str">
        <f>'4K'!AL15</f>
        <v>WWS01007STP</v>
      </c>
      <c r="C781" s="219" t="s">
        <v>5786</v>
      </c>
      <c r="E781" s="249" t="s">
        <v>3641</v>
      </c>
      <c r="F781" s="255">
        <f>IF(ISBLANK('4K'!J15),"##BLANK",'4K'!J15)</f>
        <v>3.8809999999999998</v>
      </c>
    </row>
    <row r="782" spans="2:6">
      <c r="B782" s="219" t="str">
        <f>'4K'!AM15</f>
        <v>WWS01007SDT</v>
      </c>
      <c r="C782" s="219" t="s">
        <v>5787</v>
      </c>
      <c r="E782" s="249" t="s">
        <v>3641</v>
      </c>
      <c r="F782" s="255">
        <f>IF(ISBLANK('4K'!K15),"##BLANK",'4K'!K15)</f>
        <v>8.2620000000000005</v>
      </c>
    </row>
    <row r="783" spans="2:6">
      <c r="B783" s="219" t="str">
        <f>'4K'!AN15</f>
        <v>WWS01007SDD</v>
      </c>
      <c r="C783" s="219" t="s">
        <v>5788</v>
      </c>
      <c r="E783" s="249" t="s">
        <v>3641</v>
      </c>
      <c r="F783" s="255">
        <f>IF(ISBLANK('4K'!L15),"##BLANK",'4K'!L15)</f>
        <v>1.141</v>
      </c>
    </row>
    <row r="784" spans="2:6">
      <c r="B784" s="219" t="str">
        <f>'4K'!AO15</f>
        <v>WWS01007CAS</v>
      </c>
      <c r="C784" s="219" t="s">
        <v>5789</v>
      </c>
      <c r="E784" s="249" t="s">
        <v>3641</v>
      </c>
      <c r="F784" s="255">
        <f>IF(ISBLANK('4K'!M15),"##BLANK",'4K'!M15)</f>
        <v>71.772000000000006</v>
      </c>
    </row>
    <row r="785" spans="2:6">
      <c r="B785" s="219" t="str">
        <f>'4K'!AG16</f>
        <v>WWS1008FL</v>
      </c>
      <c r="C785" s="219" t="s">
        <v>5790</v>
      </c>
      <c r="E785" s="249" t="s">
        <v>3641</v>
      </c>
      <c r="F785" s="255">
        <f>IF(ISBLANK('4K'!E16),"##BLANK",'4K'!E16)</f>
        <v>0.04</v>
      </c>
    </row>
    <row r="786" spans="2:6">
      <c r="B786" s="219" t="str">
        <f>'4K'!AH16</f>
        <v>WWS1008SWD</v>
      </c>
      <c r="C786" s="219" t="s">
        <v>5791</v>
      </c>
      <c r="E786" s="249" t="s">
        <v>3641</v>
      </c>
      <c r="F786" s="255">
        <f>IF(ISBLANK('4K'!F16),"##BLANK",'4K'!F16)</f>
        <v>6.7000000000000004E-2</v>
      </c>
    </row>
    <row r="787" spans="2:6">
      <c r="B787" s="219" t="str">
        <f>'4K'!AI16</f>
        <v>WWS1008HD</v>
      </c>
      <c r="C787" s="219" t="s">
        <v>5792</v>
      </c>
      <c r="E787" s="249" t="s">
        <v>3641</v>
      </c>
      <c r="F787" s="255">
        <f>IF(ISBLANK('4K'!G16),"##BLANK",'4K'!G16)</f>
        <v>3.5999999999999997E-2</v>
      </c>
    </row>
    <row r="788" spans="2:6">
      <c r="B788" s="219" t="str">
        <f>'4K'!AJ16</f>
        <v>WWS1008STD</v>
      </c>
      <c r="C788" s="219" t="s">
        <v>5793</v>
      </c>
      <c r="E788" s="249" t="s">
        <v>3641</v>
      </c>
      <c r="F788" s="255">
        <f>IF(ISBLANK('4K'!H16),"##BLANK",'4K'!H16)</f>
        <v>7.5739999999999998</v>
      </c>
    </row>
    <row r="789" spans="2:6">
      <c r="B789" s="219" t="str">
        <f>'4K'!AK16</f>
        <v>WWS1008SLT</v>
      </c>
      <c r="C789" s="219" t="s">
        <v>5794</v>
      </c>
      <c r="E789" s="249" t="s">
        <v>3641</v>
      </c>
      <c r="F789" s="255">
        <f>IF(ISBLANK('4K'!I16),"##BLANK",'4K'!I16)</f>
        <v>0</v>
      </c>
    </row>
    <row r="790" spans="2:6">
      <c r="B790" s="219" t="str">
        <f>'4K'!AL16</f>
        <v>WWS1008STP</v>
      </c>
      <c r="C790" s="219" t="s">
        <v>5795</v>
      </c>
      <c r="E790" s="249" t="s">
        <v>3641</v>
      </c>
      <c r="F790" s="255">
        <f>IF(ISBLANK('4K'!J16),"##BLANK",'4K'!J16)</f>
        <v>0</v>
      </c>
    </row>
    <row r="791" spans="2:6">
      <c r="B791" s="219" t="str">
        <f>'4K'!AM16</f>
        <v>WWS1008SDT</v>
      </c>
      <c r="C791" s="219" t="s">
        <v>5796</v>
      </c>
      <c r="E791" s="249" t="s">
        <v>3641</v>
      </c>
      <c r="F791" s="255">
        <f>IF(ISBLANK('4K'!K16),"##BLANK",'4K'!K16)</f>
        <v>1.615</v>
      </c>
    </row>
    <row r="792" spans="2:6">
      <c r="B792" s="219" t="str">
        <f>'4K'!AN16</f>
        <v>WWS1008SDD</v>
      </c>
      <c r="C792" s="219" t="s">
        <v>5797</v>
      </c>
      <c r="E792" s="249" t="s">
        <v>3641</v>
      </c>
      <c r="F792" s="255">
        <f>IF(ISBLANK('4K'!L16),"##BLANK",'4K'!L16)</f>
        <v>0</v>
      </c>
    </row>
    <row r="793" spans="2:6">
      <c r="B793" s="219" t="str">
        <f>'4K'!AO16</f>
        <v>WWS1008CAS</v>
      </c>
      <c r="C793" s="219" t="s">
        <v>4307</v>
      </c>
      <c r="E793" s="249" t="s">
        <v>3641</v>
      </c>
      <c r="F793" s="255">
        <f>IF(ISBLANK('4K'!M16),"##BLANK",'4K'!M16)</f>
        <v>9.331999999999999</v>
      </c>
    </row>
    <row r="794" spans="2:6">
      <c r="B794" s="219" t="str">
        <f>'4K'!AG19</f>
        <v>WWS1100FL</v>
      </c>
      <c r="C794" s="219" t="s">
        <v>5798</v>
      </c>
      <c r="E794" s="249" t="s">
        <v>3641</v>
      </c>
      <c r="F794" s="255">
        <f>IF(ISBLANK('4K'!E19),"##BLANK",'4K'!E19)</f>
        <v>0</v>
      </c>
    </row>
    <row r="795" spans="2:6">
      <c r="B795" s="219" t="str">
        <f>'4K'!AH19</f>
        <v>WWS1100SWD</v>
      </c>
      <c r="C795" s="219" t="s">
        <v>5799</v>
      </c>
      <c r="E795" s="249" t="s">
        <v>3641</v>
      </c>
      <c r="F795" s="255">
        <f>IF(ISBLANK('4K'!F19),"##BLANK",'4K'!F19)</f>
        <v>0</v>
      </c>
    </row>
    <row r="796" spans="2:6">
      <c r="B796" s="219" t="str">
        <f>'4K'!AI19</f>
        <v>WWS1100HD</v>
      </c>
      <c r="C796" s="219" t="s">
        <v>5800</v>
      </c>
      <c r="E796" s="249" t="s">
        <v>3641</v>
      </c>
      <c r="F796" s="255">
        <f>IF(ISBLANK('4K'!G19),"##BLANK",'4K'!G19)</f>
        <v>0</v>
      </c>
    </row>
    <row r="797" spans="2:6">
      <c r="B797" s="219" t="str">
        <f>'4K'!AJ19</f>
        <v>WWS1100STD</v>
      </c>
      <c r="C797" s="219" t="s">
        <v>5801</v>
      </c>
      <c r="E797" s="249" t="s">
        <v>3641</v>
      </c>
      <c r="F797" s="255">
        <f>IF(ISBLANK('4K'!H19),"##BLANK",'4K'!H19)</f>
        <v>0</v>
      </c>
    </row>
    <row r="798" spans="2:6">
      <c r="B798" s="219" t="str">
        <f>'4K'!AK19</f>
        <v>WWS1100SLT</v>
      </c>
      <c r="C798" s="219" t="s">
        <v>5802</v>
      </c>
      <c r="E798" s="249" t="s">
        <v>3641</v>
      </c>
      <c r="F798" s="255">
        <f>IF(ISBLANK('4K'!I19),"##BLANK",'4K'!I19)</f>
        <v>0</v>
      </c>
    </row>
    <row r="799" spans="2:6">
      <c r="B799" s="219" t="str">
        <f>'4K'!AL19</f>
        <v>WWS1100STP</v>
      </c>
      <c r="C799" s="219" t="s">
        <v>5803</v>
      </c>
      <c r="E799" s="249" t="s">
        <v>3641</v>
      </c>
      <c r="F799" s="255">
        <f>IF(ISBLANK('4K'!J19),"##BLANK",'4K'!J19)</f>
        <v>0</v>
      </c>
    </row>
    <row r="800" spans="2:6">
      <c r="B800" s="219" t="str">
        <f>'4K'!AM19</f>
        <v>WWS1100SDT</v>
      </c>
      <c r="C800" s="219" t="s">
        <v>5804</v>
      </c>
      <c r="E800" s="249" t="s">
        <v>3641</v>
      </c>
      <c r="F800" s="255">
        <f>IF(ISBLANK('4K'!K19),"##BLANK",'4K'!K19)</f>
        <v>0</v>
      </c>
    </row>
    <row r="801" spans="2:6">
      <c r="B801" s="219" t="str">
        <f>'4K'!AN19</f>
        <v>WWS1100SDD</v>
      </c>
      <c r="C801" s="219" t="s">
        <v>5805</v>
      </c>
      <c r="E801" s="249" t="s">
        <v>3641</v>
      </c>
      <c r="F801" s="255">
        <f>IF(ISBLANK('4K'!L19),"##BLANK",'4K'!L19)</f>
        <v>0</v>
      </c>
    </row>
    <row r="802" spans="2:6">
      <c r="B802" s="219" t="str">
        <f>'4K'!AO19</f>
        <v>WWS1100CAS</v>
      </c>
      <c r="C802" s="219" t="s">
        <v>5806</v>
      </c>
      <c r="E802" s="249" t="s">
        <v>3641</v>
      </c>
      <c r="F802" s="255">
        <f>IF(ISBLANK('4K'!M19),"##BLANK",'4K'!M19)</f>
        <v>0</v>
      </c>
    </row>
    <row r="803" spans="2:6">
      <c r="B803" s="219" t="str">
        <f>'4K'!AG20</f>
        <v>WWS1101FL</v>
      </c>
      <c r="C803" s="219" t="s">
        <v>5807</v>
      </c>
      <c r="E803" s="249" t="s">
        <v>3641</v>
      </c>
      <c r="F803" s="255">
        <f>IF(ISBLANK('4K'!E20),"##BLANK",'4K'!E20)</f>
        <v>1.756</v>
      </c>
    </row>
    <row r="804" spans="2:6">
      <c r="B804" s="219" t="str">
        <f>'4K'!AH20</f>
        <v>WWS1101SWD</v>
      </c>
      <c r="C804" s="219" t="s">
        <v>5808</v>
      </c>
      <c r="E804" s="249" t="s">
        <v>3641</v>
      </c>
      <c r="F804" s="255">
        <f>IF(ISBLANK('4K'!F20),"##BLANK",'4K'!F20)</f>
        <v>0</v>
      </c>
    </row>
    <row r="805" spans="2:6">
      <c r="B805" s="219" t="str">
        <f>'4K'!AI20</f>
        <v>WWS1101HD</v>
      </c>
      <c r="C805" s="219" t="s">
        <v>5809</v>
      </c>
      <c r="E805" s="249" t="s">
        <v>3641</v>
      </c>
      <c r="F805" s="255">
        <f>IF(ISBLANK('4K'!G20),"##BLANK",'4K'!G20)</f>
        <v>0</v>
      </c>
    </row>
    <row r="806" spans="2:6">
      <c r="B806" s="219" t="str">
        <f>'4K'!AJ20</f>
        <v>WWS1101STD</v>
      </c>
      <c r="C806" s="219" t="s">
        <v>5810</v>
      </c>
      <c r="E806" s="249" t="s">
        <v>3641</v>
      </c>
      <c r="F806" s="255">
        <f>IF(ISBLANK('4K'!H20),"##BLANK",'4K'!H20)</f>
        <v>2.0099999999999998</v>
      </c>
    </row>
    <row r="807" spans="2:6">
      <c r="B807" s="219" t="str">
        <f>'4K'!AK20</f>
        <v>WWS1101SLT</v>
      </c>
      <c r="C807" s="219" t="s">
        <v>5811</v>
      </c>
      <c r="E807" s="249" t="s">
        <v>3641</v>
      </c>
      <c r="F807" s="255">
        <f>IF(ISBLANK('4K'!I20),"##BLANK",'4K'!I20)</f>
        <v>0</v>
      </c>
    </row>
    <row r="808" spans="2:6">
      <c r="B808" s="219" t="str">
        <f>'4K'!AL20</f>
        <v>WWS1101STP</v>
      </c>
      <c r="C808" s="219" t="s">
        <v>5812</v>
      </c>
      <c r="E808" s="249" t="s">
        <v>3641</v>
      </c>
      <c r="F808" s="255">
        <f>IF(ISBLANK('4K'!J20),"##BLANK",'4K'!J20)</f>
        <v>0</v>
      </c>
    </row>
    <row r="809" spans="2:6">
      <c r="B809" s="219" t="str">
        <f>'4K'!AM20</f>
        <v>WWS1101SDT</v>
      </c>
      <c r="C809" s="219" t="s">
        <v>5813</v>
      </c>
      <c r="E809" s="249" t="s">
        <v>3641</v>
      </c>
      <c r="F809" s="255">
        <f>IF(ISBLANK('4K'!K20),"##BLANK",'4K'!K20)</f>
        <v>0</v>
      </c>
    </row>
    <row r="810" spans="2:6">
      <c r="B810" s="219" t="str">
        <f>'4K'!AN20</f>
        <v>WWS1101SDD</v>
      </c>
      <c r="C810" s="219" t="s">
        <v>5814</v>
      </c>
      <c r="E810" s="249" t="s">
        <v>3641</v>
      </c>
      <c r="F810" s="255">
        <f>IF(ISBLANK('4K'!L20),"##BLANK",'4K'!L20)</f>
        <v>0</v>
      </c>
    </row>
    <row r="811" spans="2:6">
      <c r="B811" s="219" t="str">
        <f>'4K'!AO20</f>
        <v>WWS1101CAS</v>
      </c>
      <c r="C811" s="219" t="s">
        <v>5815</v>
      </c>
      <c r="E811" s="249" t="s">
        <v>3641</v>
      </c>
      <c r="F811" s="255">
        <f>IF(ISBLANK('4K'!M20),"##BLANK",'4K'!M20)</f>
        <v>3.766</v>
      </c>
    </row>
    <row r="812" spans="2:6">
      <c r="B812" s="219" t="str">
        <f>'4K'!AG21</f>
        <v>WWS1102FL</v>
      </c>
      <c r="C812" s="219" t="s">
        <v>5816</v>
      </c>
      <c r="E812" s="249" t="s">
        <v>3641</v>
      </c>
      <c r="F812" s="255">
        <f>IF(ISBLANK('4K'!E21),"##BLANK",'4K'!E21)</f>
        <v>0</v>
      </c>
    </row>
    <row r="813" spans="2:6">
      <c r="B813" s="219" t="str">
        <f>'4K'!AH21</f>
        <v>WWS1102SWD</v>
      </c>
      <c r="C813" s="219" t="s">
        <v>5817</v>
      </c>
      <c r="E813" s="249" t="s">
        <v>3641</v>
      </c>
      <c r="F813" s="255">
        <f>IF(ISBLANK('4K'!F21),"##BLANK",'4K'!F21)</f>
        <v>0</v>
      </c>
    </row>
    <row r="814" spans="2:6">
      <c r="B814" s="219" t="str">
        <f>'4K'!AI21</f>
        <v>WWS1102HD</v>
      </c>
      <c r="C814" s="219" t="s">
        <v>5818</v>
      </c>
      <c r="E814" s="249" t="s">
        <v>3641</v>
      </c>
      <c r="F814" s="255">
        <f>IF(ISBLANK('4K'!G21),"##BLANK",'4K'!G21)</f>
        <v>0</v>
      </c>
    </row>
    <row r="815" spans="2:6">
      <c r="B815" s="219" t="str">
        <f>'4K'!AJ21</f>
        <v>WWS1102STD</v>
      </c>
      <c r="C815" s="219" t="s">
        <v>5819</v>
      </c>
      <c r="E815" s="249" t="s">
        <v>3641</v>
      </c>
      <c r="F815" s="255">
        <f>IF(ISBLANK('4K'!H21),"##BLANK",'4K'!H21)</f>
        <v>0</v>
      </c>
    </row>
    <row r="816" spans="2:6">
      <c r="B816" s="219" t="str">
        <f>'4K'!AK21</f>
        <v>WWS1102SLT</v>
      </c>
      <c r="C816" s="219" t="s">
        <v>5820</v>
      </c>
      <c r="E816" s="249" t="s">
        <v>3641</v>
      </c>
      <c r="F816" s="255">
        <f>IF(ISBLANK('4K'!I21),"##BLANK",'4K'!I21)</f>
        <v>0</v>
      </c>
    </row>
    <row r="817" spans="2:6">
      <c r="B817" s="219" t="str">
        <f>'4K'!AL21</f>
        <v>WWS1102STP</v>
      </c>
      <c r="C817" s="219" t="s">
        <v>5821</v>
      </c>
      <c r="E817" s="249" t="s">
        <v>3641</v>
      </c>
      <c r="F817" s="255">
        <f>IF(ISBLANK('4K'!J21),"##BLANK",'4K'!J21)</f>
        <v>0</v>
      </c>
    </row>
    <row r="818" spans="2:6">
      <c r="B818" s="219" t="str">
        <f>'4K'!AM21</f>
        <v>WWS1102SDT</v>
      </c>
      <c r="C818" s="219" t="s">
        <v>5822</v>
      </c>
      <c r="E818" s="249" t="s">
        <v>3641</v>
      </c>
      <c r="F818" s="255">
        <f>IF(ISBLANK('4K'!K21),"##BLANK",'4K'!K21)</f>
        <v>0</v>
      </c>
    </row>
    <row r="819" spans="2:6">
      <c r="B819" s="219" t="str">
        <f>'4K'!AN21</f>
        <v>WWS1102SDD</v>
      </c>
      <c r="C819" s="219" t="s">
        <v>5823</v>
      </c>
      <c r="E819" s="249" t="s">
        <v>3641</v>
      </c>
      <c r="F819" s="255">
        <f>IF(ISBLANK('4K'!L21),"##BLANK",'4K'!L21)</f>
        <v>0</v>
      </c>
    </row>
    <row r="820" spans="2:6">
      <c r="B820" s="219" t="str">
        <f>'4K'!AO21</f>
        <v>WWS1102CAS</v>
      </c>
      <c r="C820" s="219" t="s">
        <v>5824</v>
      </c>
      <c r="E820" s="249" t="s">
        <v>3641</v>
      </c>
      <c r="F820" s="255">
        <f>IF(ISBLANK('4K'!M21),"##BLANK",'4K'!M21)</f>
        <v>0</v>
      </c>
    </row>
    <row r="821" spans="2:6">
      <c r="B821" s="219" t="str">
        <f>'4K'!AG24</f>
        <v>WWS1103FL</v>
      </c>
      <c r="C821" s="219" t="s">
        <v>5825</v>
      </c>
      <c r="E821" s="249" t="s">
        <v>3641</v>
      </c>
      <c r="F821" s="255">
        <f>IF(ISBLANK('4K'!E24),"##BLANK",'4K'!E24)</f>
        <v>2.1000000000000001E-2</v>
      </c>
    </row>
    <row r="822" spans="2:6">
      <c r="B822" s="219" t="str">
        <f>'4K'!AH24</f>
        <v>WWS1103SWD</v>
      </c>
      <c r="C822" s="219" t="s">
        <v>5826</v>
      </c>
      <c r="E822" s="249" t="s">
        <v>3641</v>
      </c>
      <c r="F822" s="255">
        <f>IF(ISBLANK('4K'!F24),"##BLANK",'4K'!F24)</f>
        <v>0</v>
      </c>
    </row>
    <row r="823" spans="2:6">
      <c r="B823" s="219" t="str">
        <f>'4K'!AI24</f>
        <v>WWS1103HD</v>
      </c>
      <c r="C823" s="219" t="s">
        <v>5827</v>
      </c>
      <c r="E823" s="249" t="s">
        <v>3641</v>
      </c>
      <c r="F823" s="255">
        <f>IF(ISBLANK('4K'!G24),"##BLANK",'4K'!G24)</f>
        <v>0</v>
      </c>
    </row>
    <row r="824" spans="2:6">
      <c r="B824" s="219" t="str">
        <f>'4K'!AJ24</f>
        <v>WWS1103STD</v>
      </c>
      <c r="C824" s="219" t="s">
        <v>5828</v>
      </c>
      <c r="E824" s="249" t="s">
        <v>3641</v>
      </c>
      <c r="F824" s="255">
        <f>IF(ISBLANK('4K'!H24),"##BLANK",'4K'!H24)</f>
        <v>0</v>
      </c>
    </row>
    <row r="825" spans="2:6">
      <c r="B825" s="219" t="str">
        <f>'4K'!AK24</f>
        <v>WWS1103SLT</v>
      </c>
      <c r="C825" s="219" t="s">
        <v>5829</v>
      </c>
      <c r="E825" s="249" t="s">
        <v>3641</v>
      </c>
      <c r="F825" s="255">
        <f>IF(ISBLANK('4K'!I24),"##BLANK",'4K'!I24)</f>
        <v>0</v>
      </c>
    </row>
    <row r="826" spans="2:6">
      <c r="B826" s="219" t="str">
        <f>'4K'!AL24</f>
        <v>WWS1103STP</v>
      </c>
      <c r="C826" s="219" t="s">
        <v>5830</v>
      </c>
      <c r="E826" s="249" t="s">
        <v>3641</v>
      </c>
      <c r="F826" s="255">
        <f>IF(ISBLANK('4K'!J24),"##BLANK",'4K'!J24)</f>
        <v>0</v>
      </c>
    </row>
    <row r="827" spans="2:6">
      <c r="B827" s="219" t="str">
        <f>'4K'!AM24</f>
        <v>WWS1103SDT</v>
      </c>
      <c r="C827" s="219" t="s">
        <v>5831</v>
      </c>
      <c r="E827" s="249" t="s">
        <v>3641</v>
      </c>
      <c r="F827" s="255">
        <f>IF(ISBLANK('4K'!K24),"##BLANK",'4K'!K24)</f>
        <v>0</v>
      </c>
    </row>
    <row r="828" spans="2:6">
      <c r="B828" s="219" t="str">
        <f>'4K'!AN24</f>
        <v>WWS1103SDD</v>
      </c>
      <c r="C828" s="219" t="s">
        <v>5832</v>
      </c>
      <c r="E828" s="249" t="s">
        <v>3641</v>
      </c>
      <c r="F828" s="255">
        <f>IF(ISBLANK('4K'!L24),"##BLANK",'4K'!L24)</f>
        <v>0</v>
      </c>
    </row>
    <row r="829" spans="2:6">
      <c r="B829" s="219" t="str">
        <f>'4K'!AO24</f>
        <v>WWS1103CAS</v>
      </c>
      <c r="C829" s="219" t="s">
        <v>5833</v>
      </c>
      <c r="E829" s="249" t="s">
        <v>3641</v>
      </c>
      <c r="F829" s="255">
        <f>IF(ISBLANK('4K'!M24),"##BLANK",'4K'!M24)</f>
        <v>2.1000000000000001E-2</v>
      </c>
    </row>
    <row r="830" spans="2:6">
      <c r="B830" s="219" t="str">
        <f>'4K'!AG25</f>
        <v>WWS1104FL</v>
      </c>
      <c r="C830" s="219" t="s">
        <v>5834</v>
      </c>
      <c r="E830" s="249" t="s">
        <v>3641</v>
      </c>
      <c r="F830" s="255">
        <f>IF(ISBLANK('4K'!E25),"##BLANK",'4K'!E25)</f>
        <v>0</v>
      </c>
    </row>
    <row r="831" spans="2:6">
      <c r="B831" s="219" t="str">
        <f>'4K'!AH25</f>
        <v>WWS1104SWD</v>
      </c>
      <c r="C831" s="219" t="s">
        <v>5835</v>
      </c>
      <c r="E831" s="249" t="s">
        <v>3641</v>
      </c>
      <c r="F831" s="255">
        <f>IF(ISBLANK('4K'!F25),"##BLANK",'4K'!F25)</f>
        <v>0</v>
      </c>
    </row>
    <row r="832" spans="2:6">
      <c r="B832" s="219" t="str">
        <f>'4K'!AI25</f>
        <v>WWS1104HD</v>
      </c>
      <c r="C832" s="219" t="s">
        <v>5836</v>
      </c>
      <c r="E832" s="249" t="s">
        <v>3641</v>
      </c>
      <c r="F832" s="255">
        <f>IF(ISBLANK('4K'!G25),"##BLANK",'4K'!G25)</f>
        <v>0</v>
      </c>
    </row>
    <row r="833" spans="2:6">
      <c r="B833" s="219" t="str">
        <f>'4K'!AJ25</f>
        <v>WWS1104STD</v>
      </c>
      <c r="C833" s="219" t="s">
        <v>5837</v>
      </c>
      <c r="E833" s="249" t="s">
        <v>3641</v>
      </c>
      <c r="F833" s="255">
        <f>IF(ISBLANK('4K'!H25),"##BLANK",'4K'!H25)</f>
        <v>0</v>
      </c>
    </row>
    <row r="834" spans="2:6">
      <c r="B834" s="219" t="str">
        <f>'4K'!AK25</f>
        <v>WWS1104SLT</v>
      </c>
      <c r="C834" s="219" t="s">
        <v>5838</v>
      </c>
      <c r="E834" s="249" t="s">
        <v>3641</v>
      </c>
      <c r="F834" s="255">
        <f>IF(ISBLANK('4K'!I25),"##BLANK",'4K'!I25)</f>
        <v>0</v>
      </c>
    </row>
    <row r="835" spans="2:6">
      <c r="B835" s="219" t="str">
        <f>'4K'!AL25</f>
        <v>WWS1104STP</v>
      </c>
      <c r="C835" s="219" t="s">
        <v>5839</v>
      </c>
      <c r="E835" s="249" t="s">
        <v>3641</v>
      </c>
      <c r="F835" s="255">
        <f>IF(ISBLANK('4K'!J25),"##BLANK",'4K'!J25)</f>
        <v>0</v>
      </c>
    </row>
    <row r="836" spans="2:6">
      <c r="B836" s="219" t="str">
        <f>'4K'!AM25</f>
        <v>WWS1104SDT</v>
      </c>
      <c r="C836" s="219" t="s">
        <v>5840</v>
      </c>
      <c r="E836" s="249" t="s">
        <v>3641</v>
      </c>
      <c r="F836" s="255">
        <f>IF(ISBLANK('4K'!K25),"##BLANK",'4K'!K25)</f>
        <v>0</v>
      </c>
    </row>
    <row r="837" spans="2:6">
      <c r="B837" s="219" t="str">
        <f>'4K'!AN25</f>
        <v>WWS1104SDD</v>
      </c>
      <c r="C837" s="219" t="s">
        <v>5841</v>
      </c>
      <c r="E837" s="249" t="s">
        <v>3641</v>
      </c>
      <c r="F837" s="255">
        <f>IF(ISBLANK('4K'!L25),"##BLANK",'4K'!L25)</f>
        <v>0</v>
      </c>
    </row>
    <row r="838" spans="2:6">
      <c r="B838" s="219" t="str">
        <f>'4K'!AO25</f>
        <v>WWS1104CAS</v>
      </c>
      <c r="C838" s="219" t="s">
        <v>5842</v>
      </c>
      <c r="E838" s="249" t="s">
        <v>3641</v>
      </c>
      <c r="F838" s="255">
        <f>IF(ISBLANK('4K'!M25),"##BLANK",'4K'!M25)</f>
        <v>0</v>
      </c>
    </row>
    <row r="839" spans="2:6">
      <c r="B839" s="219" t="str">
        <f>'4K'!AG26</f>
        <v>WWS1105FL</v>
      </c>
      <c r="C839" s="219" t="s">
        <v>5843</v>
      </c>
      <c r="E839" s="249" t="s">
        <v>3641</v>
      </c>
      <c r="F839" s="255">
        <f>IF(ISBLANK('4K'!E26),"##BLANK",'4K'!E26)</f>
        <v>0</v>
      </c>
    </row>
    <row r="840" spans="2:6">
      <c r="B840" s="219" t="str">
        <f>'4K'!AH26</f>
        <v>WWS1105SWD</v>
      </c>
      <c r="C840" s="219" t="s">
        <v>5844</v>
      </c>
      <c r="E840" s="249" t="s">
        <v>3641</v>
      </c>
      <c r="F840" s="255">
        <f>IF(ISBLANK('4K'!F26),"##BLANK",'4K'!F26)</f>
        <v>0</v>
      </c>
    </row>
    <row r="841" spans="2:6">
      <c r="B841" s="219" t="str">
        <f>'4K'!AI26</f>
        <v>WWS1105HD</v>
      </c>
      <c r="C841" s="219" t="s">
        <v>5845</v>
      </c>
      <c r="E841" s="249" t="s">
        <v>3641</v>
      </c>
      <c r="F841" s="255">
        <f>IF(ISBLANK('4K'!G26),"##BLANK",'4K'!G26)</f>
        <v>0</v>
      </c>
    </row>
    <row r="842" spans="2:6">
      <c r="B842" s="219" t="str">
        <f>'4K'!AJ26</f>
        <v>WWS1105STD</v>
      </c>
      <c r="C842" s="219" t="s">
        <v>5846</v>
      </c>
      <c r="E842" s="249" t="s">
        <v>3641</v>
      </c>
      <c r="F842" s="255">
        <f>IF(ISBLANK('4K'!H26),"##BLANK",'4K'!H26)</f>
        <v>0</v>
      </c>
    </row>
    <row r="843" spans="2:6">
      <c r="B843" s="219" t="str">
        <f>'4K'!AK26</f>
        <v>WWS1105SLT</v>
      </c>
      <c r="C843" s="219" t="s">
        <v>5847</v>
      </c>
      <c r="E843" s="249" t="s">
        <v>3641</v>
      </c>
      <c r="F843" s="255">
        <f>IF(ISBLANK('4K'!I26),"##BLANK",'4K'!I26)</f>
        <v>0</v>
      </c>
    </row>
    <row r="844" spans="2:6">
      <c r="B844" s="219" t="str">
        <f>'4K'!AL26</f>
        <v>WWS1105STP</v>
      </c>
      <c r="C844" s="219" t="s">
        <v>5848</v>
      </c>
      <c r="E844" s="249" t="s">
        <v>3641</v>
      </c>
      <c r="F844" s="255">
        <f>IF(ISBLANK('4K'!J26),"##BLANK",'4K'!J26)</f>
        <v>0</v>
      </c>
    </row>
    <row r="845" spans="2:6">
      <c r="B845" s="219" t="str">
        <f>'4K'!AM26</f>
        <v>WWS1105SDT</v>
      </c>
      <c r="C845" s="219" t="s">
        <v>5849</v>
      </c>
      <c r="E845" s="249" t="s">
        <v>3641</v>
      </c>
      <c r="F845" s="255">
        <f>IF(ISBLANK('4K'!K26),"##BLANK",'4K'!K26)</f>
        <v>0</v>
      </c>
    </row>
    <row r="846" spans="2:6">
      <c r="B846" s="219" t="str">
        <f>'4K'!AN26</f>
        <v>WWS1105SDD</v>
      </c>
      <c r="C846" s="219" t="s">
        <v>5850</v>
      </c>
      <c r="E846" s="249" t="s">
        <v>3641</v>
      </c>
      <c r="F846" s="255">
        <f>IF(ISBLANK('4K'!L26),"##BLANK",'4K'!L26)</f>
        <v>0</v>
      </c>
    </row>
    <row r="847" spans="2:6">
      <c r="B847" s="219" t="str">
        <f>'4K'!AO26</f>
        <v>WWS1105CAS</v>
      </c>
      <c r="C847" s="219" t="s">
        <v>5851</v>
      </c>
      <c r="E847" s="249" t="s">
        <v>3641</v>
      </c>
      <c r="F847" s="255">
        <f>IF(ISBLANK('4K'!M26),"##BLANK",'4K'!M26)</f>
        <v>0</v>
      </c>
    </row>
    <row r="848" spans="2:6">
      <c r="B848" s="219" t="str">
        <f>'4K'!AG28</f>
        <v>WWS1106FL</v>
      </c>
      <c r="C848" s="219" t="s">
        <v>5852</v>
      </c>
      <c r="E848" s="249" t="s">
        <v>3641</v>
      </c>
      <c r="F848" s="255">
        <f>IF(ISBLANK('4K'!E28),"##BLANK",'4K'!E28)</f>
        <v>14.196999999999999</v>
      </c>
    </row>
    <row r="849" spans="2:6">
      <c r="B849" s="219" t="str">
        <f>'4K'!AH28</f>
        <v>WWS1106SWD</v>
      </c>
      <c r="C849" s="219" t="s">
        <v>5853</v>
      </c>
      <c r="E849" s="249" t="s">
        <v>3641</v>
      </c>
      <c r="F849" s="255">
        <f>IF(ISBLANK('4K'!F28),"##BLANK",'4K'!F28)</f>
        <v>20.559000000000001</v>
      </c>
    </row>
    <row r="850" spans="2:6">
      <c r="B850" s="219" t="str">
        <f>'4K'!AI28</f>
        <v>WWS1106HD</v>
      </c>
      <c r="C850" s="219" t="s">
        <v>5854</v>
      </c>
      <c r="E850" s="249" t="s">
        <v>3641</v>
      </c>
      <c r="F850" s="255">
        <f>IF(ISBLANK('4K'!G28),"##BLANK",'4K'!G28)</f>
        <v>11.057</v>
      </c>
    </row>
    <row r="851" spans="2:6">
      <c r="B851" s="219" t="str">
        <f>'4K'!AJ28</f>
        <v>WWS1106STD</v>
      </c>
      <c r="C851" s="219" t="s">
        <v>5855</v>
      </c>
      <c r="E851" s="249" t="s">
        <v>3641</v>
      </c>
      <c r="F851" s="255">
        <f>IF(ISBLANK('4K'!H28),"##BLANK",'4K'!H28)</f>
        <v>64.966999999999999</v>
      </c>
    </row>
    <row r="852" spans="2:6">
      <c r="B852" s="219" t="str">
        <f>'4K'!AK28</f>
        <v>WWS1106SLT</v>
      </c>
      <c r="C852" s="219" t="s">
        <v>5856</v>
      </c>
      <c r="E852" s="249" t="s">
        <v>3641</v>
      </c>
      <c r="F852" s="255">
        <f>IF(ISBLANK('4K'!I28),"##BLANK",'4K'!I28)</f>
        <v>7.0590000000000002</v>
      </c>
    </row>
    <row r="853" spans="2:6">
      <c r="B853" s="219" t="str">
        <f>'4K'!AL28</f>
        <v>WWS1106STP</v>
      </c>
      <c r="C853" s="219" t="s">
        <v>5857</v>
      </c>
      <c r="E853" s="249" t="s">
        <v>3641</v>
      </c>
      <c r="F853" s="255">
        <f>IF(ISBLANK('4K'!J28),"##BLANK",'4K'!J28)</f>
        <v>5.4740000000000002</v>
      </c>
    </row>
    <row r="854" spans="2:6">
      <c r="B854" s="219" t="str">
        <f>'4K'!AM28</f>
        <v>WWS1106SDT</v>
      </c>
      <c r="C854" s="219" t="s">
        <v>5858</v>
      </c>
      <c r="E854" s="249" t="s">
        <v>3641</v>
      </c>
      <c r="F854" s="255">
        <f>IF(ISBLANK('4K'!K28),"##BLANK",'4K'!K28)</f>
        <v>-5.7910000000000004</v>
      </c>
    </row>
    <row r="855" spans="2:6">
      <c r="B855" s="1783" t="str">
        <f>'4K'!AN28</f>
        <v>WWS1106SDD</v>
      </c>
      <c r="C855" s="219" t="s">
        <v>5859</v>
      </c>
      <c r="E855" s="249" t="s">
        <v>3641</v>
      </c>
      <c r="F855" s="255">
        <f>IF(ISBLANK('4K'!L28),"##BLANK",'4K'!L28)</f>
        <v>1.1479999999999999</v>
      </c>
    </row>
    <row r="856" spans="2:6">
      <c r="B856" s="1783" t="str">
        <f>'4K'!AO28</f>
        <v>WWS1106CAS</v>
      </c>
      <c r="C856" s="219" t="s">
        <v>4202</v>
      </c>
      <c r="E856" s="249" t="s">
        <v>3641</v>
      </c>
      <c r="F856" s="255">
        <f>IF(ISBLANK('4K'!M28),"##BLANK",'4K'!M28)</f>
        <v>118.67</v>
      </c>
    </row>
    <row r="857" spans="2:6">
      <c r="B857" s="1783" t="str">
        <f>'4K'!AG31</f>
        <v>WWS1012FL</v>
      </c>
      <c r="C857" s="219" t="s">
        <v>5860</v>
      </c>
      <c r="E857" s="249" t="s">
        <v>3641</v>
      </c>
      <c r="F857" s="255">
        <f>IF(ISBLANK('4K'!E31),"##BLANK",'4K'!E31)</f>
        <v>9.4439999999999991</v>
      </c>
    </row>
    <row r="858" spans="2:6">
      <c r="B858" s="1783" t="str">
        <f>'4K'!AH31</f>
        <v>WWS1012SWD</v>
      </c>
      <c r="C858" s="219" t="s">
        <v>5861</v>
      </c>
      <c r="E858" s="249" t="s">
        <v>3641</v>
      </c>
      <c r="F858" s="255">
        <f>IF(ISBLANK('4K'!F31),"##BLANK",'4K'!F31)</f>
        <v>15.651999999999999</v>
      </c>
    </row>
    <row r="859" spans="2:6">
      <c r="B859" s="1783" t="str">
        <f>'4K'!AI31</f>
        <v>WWS1012HD</v>
      </c>
      <c r="C859" s="219" t="s">
        <v>5862</v>
      </c>
      <c r="E859" s="249" t="s">
        <v>3641</v>
      </c>
      <c r="F859" s="255">
        <f>IF(ISBLANK('4K'!G31),"##BLANK",'4K'!G31)</f>
        <v>8.4280000000000008</v>
      </c>
    </row>
    <row r="860" spans="2:6">
      <c r="B860" s="1783" t="str">
        <f>'4K'!AJ31</f>
        <v>WWS1012STD</v>
      </c>
      <c r="C860" s="219" t="s">
        <v>5863</v>
      </c>
      <c r="E860" s="249" t="s">
        <v>3641</v>
      </c>
      <c r="F860" s="255">
        <f>IF(ISBLANK('4K'!H31),"##BLANK",'4K'!H31)</f>
        <v>0.10299999999999999</v>
      </c>
    </row>
    <row r="861" spans="2:6">
      <c r="B861" s="1783" t="str">
        <f>'4K'!AK31</f>
        <v>WWS1012SLT</v>
      </c>
      <c r="C861" s="219" t="s">
        <v>5864</v>
      </c>
      <c r="E861" s="249" t="s">
        <v>3641</v>
      </c>
      <c r="F861" s="255">
        <f>IF(ISBLANK('4K'!I31),"##BLANK",'4K'!I31)</f>
        <v>0</v>
      </c>
    </row>
    <row r="862" spans="2:6">
      <c r="B862" s="1783" t="str">
        <f>'4K'!AL31</f>
        <v>WWS1012STP</v>
      </c>
      <c r="C862" s="219" t="s">
        <v>5865</v>
      </c>
      <c r="E862" s="249" t="s">
        <v>3641</v>
      </c>
      <c r="F862" s="255">
        <f>IF(ISBLANK('4K'!J31),"##BLANK",'4K'!J31)</f>
        <v>0</v>
      </c>
    </row>
    <row r="863" spans="2:6">
      <c r="B863" s="1783" t="str">
        <f>'4K'!AM31</f>
        <v>WWS1012SDT</v>
      </c>
      <c r="C863" s="219" t="s">
        <v>5866</v>
      </c>
      <c r="E863" s="249" t="s">
        <v>3641</v>
      </c>
      <c r="F863" s="255">
        <f>IF(ISBLANK('4K'!K31),"##BLANK",'4K'!K31)</f>
        <v>0</v>
      </c>
    </row>
    <row r="864" spans="2:6">
      <c r="B864" s="1783" t="str">
        <f>'4K'!AN31</f>
        <v>WWS1012SDD</v>
      </c>
      <c r="C864" s="219" t="s">
        <v>5867</v>
      </c>
      <c r="E864" s="249" t="s">
        <v>3641</v>
      </c>
      <c r="F864" s="255">
        <f>IF(ISBLANK('4K'!L31),"##BLANK",'4K'!L31)</f>
        <v>0</v>
      </c>
    </row>
    <row r="865" spans="2:6">
      <c r="B865" s="1783" t="str">
        <f>'4K'!AO31</f>
        <v>WWS1012CAS</v>
      </c>
      <c r="C865" s="219" t="s">
        <v>5717</v>
      </c>
      <c r="E865" s="249" t="s">
        <v>3641</v>
      </c>
      <c r="F865" s="255">
        <f>IF(ISBLANK('4K'!M31),"##BLANK",'4K'!M31)</f>
        <v>33.627000000000002</v>
      </c>
    </row>
    <row r="866" spans="2:6">
      <c r="B866" s="1783" t="str">
        <f>'4K'!AG32</f>
        <v>WWS1013FL</v>
      </c>
      <c r="C866" s="219" t="s">
        <v>5868</v>
      </c>
      <c r="E866" s="249" t="s">
        <v>3641</v>
      </c>
      <c r="F866" s="255">
        <f>IF(ISBLANK('4K'!E32),"##BLANK",'4K'!E32)</f>
        <v>2.177</v>
      </c>
    </row>
    <row r="867" spans="2:6">
      <c r="B867" s="1783" t="str">
        <f>'4K'!AH32</f>
        <v>WWS1013SWD</v>
      </c>
      <c r="C867" s="219" t="s">
        <v>5869</v>
      </c>
      <c r="E867" s="249" t="s">
        <v>3641</v>
      </c>
      <c r="F867" s="255">
        <f>IF(ISBLANK('4K'!F32),"##BLANK",'4K'!F32)</f>
        <v>3.61</v>
      </c>
    </row>
    <row r="868" spans="2:6">
      <c r="B868" s="1783" t="str">
        <f>'4K'!AI32</f>
        <v>WWS1013HD</v>
      </c>
      <c r="C868" s="219" t="s">
        <v>5870</v>
      </c>
      <c r="E868" s="249" t="s">
        <v>3641</v>
      </c>
      <c r="F868" s="255">
        <f>IF(ISBLANK('4K'!G32),"##BLANK",'4K'!G32)</f>
        <v>1.944</v>
      </c>
    </row>
    <row r="869" spans="2:6">
      <c r="B869" s="1783" t="str">
        <f>'4K'!AJ32</f>
        <v>WWS1013STD</v>
      </c>
      <c r="C869" s="219" t="s">
        <v>5871</v>
      </c>
      <c r="E869" s="249" t="s">
        <v>3641</v>
      </c>
      <c r="F869" s="255">
        <f>IF(ISBLANK('4K'!H32),"##BLANK",'4K'!H32)</f>
        <v>25.561</v>
      </c>
    </row>
    <row r="870" spans="2:6">
      <c r="B870" s="1783" t="str">
        <f>'4K'!AK32</f>
        <v>WWS1013SLT</v>
      </c>
      <c r="C870" s="219" t="s">
        <v>5872</v>
      </c>
      <c r="E870" s="249" t="s">
        <v>3641</v>
      </c>
      <c r="F870" s="255">
        <f>IF(ISBLANK('4K'!I32),"##BLANK",'4K'!I32)</f>
        <v>0</v>
      </c>
    </row>
    <row r="871" spans="2:6">
      <c r="B871" s="1783" t="str">
        <f>'4K'!AL32</f>
        <v>WWS1013STP</v>
      </c>
      <c r="C871" s="219" t="s">
        <v>5873</v>
      </c>
      <c r="E871" s="249" t="s">
        <v>3641</v>
      </c>
      <c r="F871" s="255">
        <f>IF(ISBLANK('4K'!J32),"##BLANK",'4K'!J32)</f>
        <v>0.504</v>
      </c>
    </row>
    <row r="872" spans="2:6">
      <c r="B872" s="1783" t="str">
        <f>'4K'!AM32</f>
        <v>WWS1013SDT</v>
      </c>
      <c r="C872" s="219" t="s">
        <v>5874</v>
      </c>
      <c r="E872" s="249" t="s">
        <v>3641</v>
      </c>
      <c r="F872" s="255">
        <f>IF(ISBLANK('4K'!K32),"##BLANK",'4K'!K32)</f>
        <v>3.0179999999999998</v>
      </c>
    </row>
    <row r="873" spans="2:6">
      <c r="B873" s="1783" t="str">
        <f>'4K'!AN32</f>
        <v>WWS1013SDD</v>
      </c>
      <c r="C873" s="219" t="s">
        <v>5875</v>
      </c>
      <c r="E873" s="249" t="s">
        <v>3641</v>
      </c>
      <c r="F873" s="255">
        <f>IF(ISBLANK('4K'!L32),"##BLANK",'4K'!L32)</f>
        <v>1E-3</v>
      </c>
    </row>
    <row r="874" spans="2:6">
      <c r="B874" s="1783" t="str">
        <f>'4K'!AO32</f>
        <v>WWS1013CAS</v>
      </c>
      <c r="C874" s="219" t="s">
        <v>5723</v>
      </c>
      <c r="E874" s="249" t="s">
        <v>3641</v>
      </c>
      <c r="F874" s="255">
        <f>IF(ISBLANK('4K'!M32),"##BLANK",'4K'!M32)</f>
        <v>36.814999999999998</v>
      </c>
    </row>
    <row r="875" spans="2:6">
      <c r="B875" s="1783" t="str">
        <f>'4K'!AG33</f>
        <v>WWS1107FL</v>
      </c>
      <c r="C875" s="219" t="s">
        <v>5876</v>
      </c>
      <c r="E875" s="249" t="s">
        <v>3641</v>
      </c>
      <c r="F875" s="255">
        <f>IF(ISBLANK('4K'!E33),"##BLANK",'4K'!E33)</f>
        <v>11.620999999999999</v>
      </c>
    </row>
    <row r="876" spans="2:6">
      <c r="B876" s="1783" t="str">
        <f>'4K'!AH33</f>
        <v>WWS1107SWD</v>
      </c>
      <c r="C876" s="219" t="s">
        <v>5877</v>
      </c>
      <c r="E876" s="249" t="s">
        <v>3641</v>
      </c>
      <c r="F876" s="255">
        <f>IF(ISBLANK('4K'!F33),"##BLANK",'4K'!F33)</f>
        <v>19.262</v>
      </c>
    </row>
    <row r="877" spans="2:6">
      <c r="B877" s="1783" t="str">
        <f>'4K'!AI33</f>
        <v>WWS1107HD</v>
      </c>
      <c r="C877" s="219" t="s">
        <v>5878</v>
      </c>
      <c r="E877" s="249" t="s">
        <v>3641</v>
      </c>
      <c r="F877" s="255">
        <f>IF(ISBLANK('4K'!G33),"##BLANK",'4K'!G33)</f>
        <v>10.372</v>
      </c>
    </row>
    <row r="878" spans="2:6">
      <c r="B878" s="1783" t="str">
        <f>'4K'!AJ33</f>
        <v>WWS1107STD</v>
      </c>
      <c r="C878" s="219" t="s">
        <v>5879</v>
      </c>
      <c r="E878" s="249" t="s">
        <v>3641</v>
      </c>
      <c r="F878" s="255">
        <f>IF(ISBLANK('4K'!H33),"##BLANK",'4K'!H33)</f>
        <v>25.664000000000001</v>
      </c>
    </row>
    <row r="879" spans="2:6">
      <c r="B879" s="1783" t="str">
        <f>'4K'!AK33</f>
        <v>WWS1107SLT</v>
      </c>
      <c r="C879" s="219" t="s">
        <v>5880</v>
      </c>
      <c r="E879" s="249" t="s">
        <v>3641</v>
      </c>
      <c r="F879" s="255">
        <f>IF(ISBLANK('4K'!I33),"##BLANK",'4K'!I33)</f>
        <v>0</v>
      </c>
    </row>
    <row r="880" spans="2:6">
      <c r="B880" s="1783" t="str">
        <f>'4K'!AL33</f>
        <v>WWS1107STP</v>
      </c>
      <c r="C880" s="219" t="s">
        <v>5881</v>
      </c>
      <c r="E880" s="249" t="s">
        <v>3641</v>
      </c>
      <c r="F880" s="255">
        <f>IF(ISBLANK('4K'!J33),"##BLANK",'4K'!J33)</f>
        <v>0.504</v>
      </c>
    </row>
    <row r="881" spans="2:6">
      <c r="B881" s="1783" t="str">
        <f>'4K'!AM33</f>
        <v>WWS1107SDT</v>
      </c>
      <c r="C881" s="219" t="s">
        <v>5882</v>
      </c>
      <c r="E881" s="249" t="s">
        <v>3641</v>
      </c>
      <c r="F881" s="255">
        <f>IF(ISBLANK('4K'!K33),"##BLANK",'4K'!K33)</f>
        <v>3.0179999999999998</v>
      </c>
    </row>
    <row r="882" spans="2:6">
      <c r="B882" s="1783" t="str">
        <f>'4K'!AN33</f>
        <v>WWS1107SDD</v>
      </c>
      <c r="C882" s="219" t="s">
        <v>5883</v>
      </c>
      <c r="E882" s="249" t="s">
        <v>3641</v>
      </c>
      <c r="F882" s="255">
        <f>IF(ISBLANK('4K'!L33),"##BLANK",'4K'!L33)</f>
        <v>1E-3</v>
      </c>
    </row>
    <row r="883" spans="2:6">
      <c r="B883" s="1783" t="str">
        <f>'4K'!AO33</f>
        <v>WWS1107CAS</v>
      </c>
      <c r="C883" s="219" t="s">
        <v>5729</v>
      </c>
      <c r="E883" s="249" t="s">
        <v>3641</v>
      </c>
      <c r="F883" s="255">
        <f>IF(ISBLANK('4K'!M33),"##BLANK",'4K'!M33)</f>
        <v>70.442000000000007</v>
      </c>
    </row>
    <row r="884" spans="2:6">
      <c r="B884" s="1783" t="str">
        <f>'4K'!AG36</f>
        <v>WWS1108FL</v>
      </c>
      <c r="C884" s="219" t="s">
        <v>5884</v>
      </c>
      <c r="E884" s="249" t="s">
        <v>3641</v>
      </c>
      <c r="F884" s="255">
        <f>IF(ISBLANK('4K'!E36),"##BLANK",'4K'!E36)</f>
        <v>402</v>
      </c>
    </row>
    <row r="885" spans="2:6">
      <c r="B885" s="1783" t="str">
        <f>'4K'!AH36</f>
        <v>WWS1108SWD</v>
      </c>
      <c r="C885" s="219" t="s">
        <v>5885</v>
      </c>
      <c r="E885" s="249" t="s">
        <v>3641</v>
      </c>
      <c r="F885" s="255">
        <f>IF(ISBLANK('4K'!F36),"##BLANK",'4K'!F36)</f>
        <v>0</v>
      </c>
    </row>
    <row r="886" spans="2:6">
      <c r="B886" s="1783" t="str">
        <f>'4K'!AI36</f>
        <v>WWS1108HD</v>
      </c>
      <c r="C886" s="219" t="s">
        <v>5886</v>
      </c>
      <c r="E886" s="249" t="s">
        <v>3641</v>
      </c>
      <c r="F886" s="255">
        <f>IF(ISBLANK('4K'!G36),"##BLANK",'4K'!G36)</f>
        <v>0</v>
      </c>
    </row>
    <row r="887" spans="2:6">
      <c r="B887" s="1783" t="str">
        <f>'4K'!AJ36</f>
        <v>WWS1108STD</v>
      </c>
      <c r="C887" s="219" t="s">
        <v>5887</v>
      </c>
      <c r="E887" s="249" t="s">
        <v>3641</v>
      </c>
      <c r="F887" s="255">
        <f>IF(ISBLANK('4K'!H36),"##BLANK",'4K'!H36)</f>
        <v>0</v>
      </c>
    </row>
    <row r="888" spans="2:6">
      <c r="B888" s="1783" t="str">
        <f>'4K'!AK36</f>
        <v>WWS1108SLT</v>
      </c>
      <c r="C888" s="219" t="s">
        <v>5888</v>
      </c>
      <c r="E888" s="249" t="s">
        <v>3641</v>
      </c>
      <c r="F888" s="255">
        <f>IF(ISBLANK('4K'!I36),"##BLANK",'4K'!I36)</f>
        <v>0</v>
      </c>
    </row>
    <row r="889" spans="2:6">
      <c r="B889" s="1783" t="str">
        <f>'4K'!AL36</f>
        <v>WWS1108STP</v>
      </c>
      <c r="C889" s="219" t="s">
        <v>5889</v>
      </c>
      <c r="E889" s="249" t="s">
        <v>3641</v>
      </c>
      <c r="F889" s="255">
        <f>IF(ISBLANK('4K'!J36),"##BLANK",'4K'!J36)</f>
        <v>0</v>
      </c>
    </row>
    <row r="890" spans="2:6">
      <c r="B890" s="1783" t="str">
        <f>'4K'!AM36</f>
        <v>WWS1108SDT</v>
      </c>
      <c r="C890" s="219" t="s">
        <v>5890</v>
      </c>
      <c r="E890" s="249" t="s">
        <v>3641</v>
      </c>
      <c r="F890" s="255">
        <f>IF(ISBLANK('4K'!K36),"##BLANK",'4K'!K36)</f>
        <v>0</v>
      </c>
    </row>
    <row r="891" spans="2:6">
      <c r="B891" s="1783" t="str">
        <f>'4K'!AN36</f>
        <v>WWS1108SDD</v>
      </c>
      <c r="C891" s="219" t="s">
        <v>5891</v>
      </c>
      <c r="E891" s="249" t="s">
        <v>3641</v>
      </c>
      <c r="F891" s="255">
        <f>IF(ISBLANK('4K'!L36),"##BLANK",'4K'!L36)</f>
        <v>0</v>
      </c>
    </row>
    <row r="892" spans="2:6">
      <c r="B892" s="1783" t="str">
        <f>'4K'!AO36</f>
        <v>WWS1108CAS</v>
      </c>
      <c r="C892" s="219" t="s">
        <v>5735</v>
      </c>
      <c r="E892" s="249" t="s">
        <v>3641</v>
      </c>
      <c r="F892" s="255">
        <f>IF(ISBLANK('4K'!M36),"##BLANK",'4K'!M36)</f>
        <v>402</v>
      </c>
    </row>
    <row r="893" spans="2:6">
      <c r="B893" s="1783" t="str">
        <f>'4K'!AG39</f>
        <v>WWS01001FL_AMP</v>
      </c>
      <c r="C893" s="219" t="s">
        <v>5892</v>
      </c>
      <c r="E893" s="249" t="s">
        <v>3641</v>
      </c>
      <c r="F893" s="255">
        <f>IF(ISBLANK('4K'!E39),"##BLANK",'4K'!E39)</f>
        <v>3.8580000000000001</v>
      </c>
    </row>
    <row r="894" spans="2:6">
      <c r="B894" s="1783" t="str">
        <f>'4K'!AH39</f>
        <v>WWS01001SWD_AMP</v>
      </c>
      <c r="C894" s="219" t="s">
        <v>5893</v>
      </c>
      <c r="E894" s="249" t="s">
        <v>3641</v>
      </c>
      <c r="F894" s="255">
        <f>IF(ISBLANK('4K'!F39),"##BLANK",'4K'!F39)</f>
        <v>6.3949999999999996</v>
      </c>
    </row>
    <row r="895" spans="2:6">
      <c r="B895" s="1783" t="str">
        <f>'4K'!AI39</f>
        <v>WWS01001HD_AMP</v>
      </c>
      <c r="C895" s="219" t="s">
        <v>5894</v>
      </c>
      <c r="E895" s="249" t="s">
        <v>3641</v>
      </c>
      <c r="F895" s="255">
        <f>IF(ISBLANK('4K'!G39),"##BLANK",'4K'!G39)</f>
        <v>3.444</v>
      </c>
    </row>
    <row r="896" spans="2:6">
      <c r="B896" s="1783" t="str">
        <f>'4K'!AJ39</f>
        <v>WWS01001STD_AMP</v>
      </c>
      <c r="C896" s="219" t="s">
        <v>5895</v>
      </c>
      <c r="E896" s="249" t="s">
        <v>3641</v>
      </c>
      <c r="F896" s="255">
        <f>IF(ISBLANK('4K'!H39),"##BLANK",'4K'!H39)</f>
        <v>24.486000000000001</v>
      </c>
    </row>
    <row r="897" spans="2:6">
      <c r="B897" s="1783" t="str">
        <f>'4K'!AK39</f>
        <v>WWS01001SLT_AMP</v>
      </c>
      <c r="C897" s="219" t="s">
        <v>5896</v>
      </c>
      <c r="E897" s="249" t="s">
        <v>3641</v>
      </c>
      <c r="F897" s="255">
        <f>IF(ISBLANK('4K'!I39),"##BLANK",'4K'!I39)</f>
        <v>5.4050000000000002</v>
      </c>
    </row>
    <row r="898" spans="2:6">
      <c r="B898" s="1783" t="str">
        <f>'4K'!AL39</f>
        <v>WWS01001STP_AMP</v>
      </c>
      <c r="C898" s="219" t="s">
        <v>5897</v>
      </c>
      <c r="E898" s="249" t="s">
        <v>3641</v>
      </c>
      <c r="F898" s="255">
        <f>IF(ISBLANK('4K'!J39),"##BLANK",'4K'!J39)</f>
        <v>1.593</v>
      </c>
    </row>
    <row r="899" spans="2:6">
      <c r="B899" s="1783" t="str">
        <f>'4K'!AM39</f>
        <v>WWS01001SDT_AMP</v>
      </c>
      <c r="C899" s="219" t="s">
        <v>5898</v>
      </c>
      <c r="E899" s="249" t="s">
        <v>3641</v>
      </c>
      <c r="F899" s="255">
        <f>IF(ISBLANK('4K'!K39),"##BLANK",'4K'!K39)</f>
        <v>3.5870000000000002</v>
      </c>
    </row>
    <row r="900" spans="2:6">
      <c r="B900" s="1783" t="str">
        <f>'4K'!AN39</f>
        <v>WWS01001SDD_AMP</v>
      </c>
      <c r="C900" s="219" t="s">
        <v>5899</v>
      </c>
      <c r="E900" s="249" t="s">
        <v>3641</v>
      </c>
      <c r="F900" s="255">
        <f>IF(ISBLANK('4K'!L39),"##BLANK",'4K'!L39)</f>
        <v>1E-3</v>
      </c>
    </row>
    <row r="901" spans="2:6">
      <c r="B901" s="1783" t="str">
        <f>'4K'!AO39</f>
        <v>WWS01001CAS_AMP</v>
      </c>
      <c r="C901" s="219" t="s">
        <v>5900</v>
      </c>
      <c r="E901" s="249" t="s">
        <v>3641</v>
      </c>
      <c r="F901" s="255">
        <f>IF(ISBLANK('4K'!M39),"##BLANK",'4K'!M39)</f>
        <v>48.768999999999998</v>
      </c>
    </row>
    <row r="902" spans="2:6">
      <c r="B902" s="1783" t="str">
        <f>'4K'!AG40</f>
        <v>WWS01002FL_AMP</v>
      </c>
      <c r="C902" s="219" t="s">
        <v>5901</v>
      </c>
      <c r="E902" s="249" t="s">
        <v>3641</v>
      </c>
      <c r="F902" s="255">
        <f>IF(ISBLANK('4K'!E40),"##BLANK",'4K'!E40)</f>
        <v>0</v>
      </c>
    </row>
    <row r="903" spans="2:6">
      <c r="B903" s="1783" t="str">
        <f>'4K'!AH40</f>
        <v>WWS01002SWD_AMP</v>
      </c>
      <c r="C903" s="219" t="s">
        <v>5902</v>
      </c>
      <c r="E903" s="249" t="s">
        <v>3641</v>
      </c>
      <c r="F903" s="255">
        <f>IF(ISBLANK('4K'!F40),"##BLANK",'4K'!F40)</f>
        <v>0</v>
      </c>
    </row>
    <row r="904" spans="2:6">
      <c r="B904" s="1783" t="str">
        <f>'4K'!AI40</f>
        <v>WWS01002HD_AMP</v>
      </c>
      <c r="C904" s="219" t="s">
        <v>5903</v>
      </c>
      <c r="E904" s="249" t="s">
        <v>3641</v>
      </c>
      <c r="F904" s="255">
        <f>IF(ISBLANK('4K'!G40),"##BLANK",'4K'!G40)</f>
        <v>0</v>
      </c>
    </row>
    <row r="905" spans="2:6">
      <c r="B905" s="1783" t="str">
        <f>'4K'!AJ40</f>
        <v>WWS01002STD_AMP</v>
      </c>
      <c r="C905" s="219" t="s">
        <v>5904</v>
      </c>
      <c r="E905" s="249" t="s">
        <v>3641</v>
      </c>
      <c r="F905" s="255">
        <f>IF(ISBLANK('4K'!H40),"##BLANK",'4K'!H40)</f>
        <v>0</v>
      </c>
    </row>
    <row r="906" spans="2:6">
      <c r="B906" s="1783" t="str">
        <f>'4K'!AK40</f>
        <v>WWS01002SLT_AMP</v>
      </c>
      <c r="C906" s="219" t="s">
        <v>5905</v>
      </c>
      <c r="E906" s="249" t="s">
        <v>3641</v>
      </c>
      <c r="F906" s="255">
        <f>IF(ISBLANK('4K'!I40),"##BLANK",'4K'!I40)</f>
        <v>0</v>
      </c>
    </row>
    <row r="907" spans="2:6">
      <c r="B907" s="1783" t="str">
        <f>'4K'!AL40</f>
        <v>WWS01002STP_AMP</v>
      </c>
      <c r="C907" s="219" t="s">
        <v>5906</v>
      </c>
      <c r="E907" s="249" t="s">
        <v>3641</v>
      </c>
      <c r="F907" s="255">
        <f>IF(ISBLANK('4K'!J40),"##BLANK",'4K'!J40)</f>
        <v>0</v>
      </c>
    </row>
    <row r="908" spans="2:6">
      <c r="B908" s="1783" t="str">
        <f>'4K'!AM40</f>
        <v>WWS01002SDT_AMP</v>
      </c>
      <c r="C908" s="219" t="s">
        <v>5907</v>
      </c>
      <c r="E908" s="249" t="s">
        <v>3641</v>
      </c>
      <c r="F908" s="255">
        <f>IF(ISBLANK('4K'!K40),"##BLANK",'4K'!K40)</f>
        <v>-19.463000000000001</v>
      </c>
    </row>
    <row r="909" spans="2:6">
      <c r="B909" s="1783" t="str">
        <f>'4K'!AN40</f>
        <v>WWS01002SDD_AMP</v>
      </c>
      <c r="C909" s="219" t="s">
        <v>5908</v>
      </c>
      <c r="E909" s="249" t="s">
        <v>3641</v>
      </c>
      <c r="F909" s="255">
        <f>IF(ISBLANK('4K'!L40),"##BLANK",'4K'!L40)</f>
        <v>0</v>
      </c>
    </row>
    <row r="910" spans="2:6">
      <c r="B910" s="1783" t="str">
        <f>'4K'!AO40</f>
        <v>WWS01002CAS_AMP</v>
      </c>
      <c r="C910" s="219" t="s">
        <v>5909</v>
      </c>
      <c r="E910" s="249" t="s">
        <v>3641</v>
      </c>
      <c r="F910" s="255">
        <f>IF(ISBLANK('4K'!M40),"##BLANK",'4K'!M40)</f>
        <v>-19.463000000000001</v>
      </c>
    </row>
    <row r="911" spans="2:6">
      <c r="B911" s="219" t="str">
        <f>'4N'!X9</f>
        <v>B0201DSCTDWNC</v>
      </c>
      <c r="C911" s="219" t="s">
        <v>5910</v>
      </c>
      <c r="E911" s="249" t="s">
        <v>3641</v>
      </c>
      <c r="F911" s="255">
        <f>IF(ISBLANK('4N'!E9),"##BLANK",'4N'!E9)</f>
        <v>7.7039999999999997</v>
      </c>
    </row>
    <row r="912" spans="2:6">
      <c r="B912" s="219" t="str">
        <f>'4N'!Y9</f>
        <v>B0201DSCTDWNO</v>
      </c>
      <c r="C912" s="219" t="s">
        <v>5911</v>
      </c>
      <c r="E912" s="249" t="s">
        <v>3641</v>
      </c>
      <c r="F912" s="255">
        <f>IF(ISBLANK('4N'!F9),"##BLANK",'4N'!F9)</f>
        <v>0</v>
      </c>
    </row>
    <row r="913" spans="2:6">
      <c r="B913" s="219" t="str">
        <f>'4N'!Z9</f>
        <v>B0201DSCTDWNT</v>
      </c>
      <c r="C913" s="219" t="s">
        <v>5912</v>
      </c>
      <c r="E913" s="249" t="s">
        <v>3641</v>
      </c>
      <c r="F913" s="255">
        <f>IF(ISBLANK('4N'!G9),"##BLANK",'4N'!G9)</f>
        <v>7.7039999999999997</v>
      </c>
    </row>
    <row r="914" spans="2:6">
      <c r="B914" s="219" t="str">
        <f>'4N'!X10</f>
        <v>B0201DSRTDWNC</v>
      </c>
      <c r="C914" s="219" t="s">
        <v>5913</v>
      </c>
      <c r="E914" s="249" t="s">
        <v>3641</v>
      </c>
      <c r="F914" s="255">
        <f>IF(ISBLANK('4N'!E10),"##BLANK",'4N'!E10)</f>
        <v>5.1059999999999999</v>
      </c>
    </row>
    <row r="915" spans="2:6">
      <c r="B915" s="219" t="str">
        <f>'4N'!Y10</f>
        <v>B0201DSRTDWNO</v>
      </c>
      <c r="C915" s="219" t="s">
        <v>5914</v>
      </c>
      <c r="E915" s="249" t="s">
        <v>3641</v>
      </c>
      <c r="F915" s="255">
        <f>IF(ISBLANK('4N'!F10),"##BLANK",'4N'!F10)</f>
        <v>0</v>
      </c>
    </row>
    <row r="916" spans="2:6">
      <c r="B916" s="219" t="str">
        <f>'4N'!Z10</f>
        <v>B0201DSRTDWNT</v>
      </c>
      <c r="C916" s="219" t="s">
        <v>5915</v>
      </c>
      <c r="E916" s="249" t="s">
        <v>3641</v>
      </c>
      <c r="F916" s="255">
        <f>IF(ISBLANK('4N'!G10),"##BLANK",'4N'!G10)</f>
        <v>5.1059999999999999</v>
      </c>
    </row>
    <row r="917" spans="2:6">
      <c r="B917" s="219" t="str">
        <f>'4N'!X11</f>
        <v>B0201DSITDWNC</v>
      </c>
      <c r="C917" s="219" t="s">
        <v>5916</v>
      </c>
      <c r="E917" s="249" t="s">
        <v>3641</v>
      </c>
      <c r="F917" s="255">
        <f>IF(ISBLANK('4N'!E11),"##BLANK",'4N'!E11)</f>
        <v>5.0049999999999999</v>
      </c>
    </row>
    <row r="918" spans="2:6">
      <c r="B918" s="219" t="str">
        <f>'4N'!Y11</f>
        <v>B0201DSITDWNO</v>
      </c>
      <c r="C918" s="219" t="s">
        <v>5917</v>
      </c>
      <c r="E918" s="249" t="s">
        <v>3641</v>
      </c>
      <c r="F918" s="255">
        <f>IF(ISBLANK('4N'!F11),"##BLANK",'4N'!F11)</f>
        <v>0</v>
      </c>
    </row>
    <row r="919" spans="2:6">
      <c r="B919" s="219" t="str">
        <f>'4N'!Z11</f>
        <v>B0201DSITDWNT</v>
      </c>
      <c r="C919" s="219" t="s">
        <v>5918</v>
      </c>
      <c r="E919" s="249" t="s">
        <v>3641</v>
      </c>
      <c r="F919" s="255">
        <f>IF(ISBLANK('4N'!G11),"##BLANK",'4N'!G11)</f>
        <v>5.0049999999999999</v>
      </c>
    </row>
    <row r="920" spans="2:6">
      <c r="B920" s="219" t="str">
        <f>'4N'!X12</f>
        <v>B0201DSDTDWNC</v>
      </c>
      <c r="C920" s="219" t="s">
        <v>5919</v>
      </c>
      <c r="E920" s="249" t="s">
        <v>3641</v>
      </c>
      <c r="F920" s="255">
        <f>IF(ISBLANK('4N'!E12),"##BLANK",'4N'!E12)</f>
        <v>1.7190000000000001</v>
      </c>
    </row>
    <row r="921" spans="2:6">
      <c r="B921" s="219" t="str">
        <f>'4N'!Y12</f>
        <v>B0201DSDTDWNO</v>
      </c>
      <c r="C921" s="219" t="s">
        <v>5920</v>
      </c>
      <c r="E921" s="249" t="s">
        <v>3641</v>
      </c>
      <c r="F921" s="255">
        <f>IF(ISBLANK('4N'!F12),"##BLANK",'4N'!F12)</f>
        <v>0</v>
      </c>
    </row>
    <row r="922" spans="2:6">
      <c r="B922" s="219" t="str">
        <f>'4N'!Z12</f>
        <v>B0201DSDTDWNT</v>
      </c>
      <c r="C922" s="219" t="s">
        <v>5921</v>
      </c>
      <c r="E922" s="249" t="s">
        <v>3641</v>
      </c>
      <c r="F922" s="255">
        <f>IF(ISBLANK('4N'!G12),"##BLANK",'4N'!G12)</f>
        <v>1.7190000000000001</v>
      </c>
    </row>
    <row r="923" spans="2:6">
      <c r="B923" s="219" t="str">
        <f>'4N'!X13</f>
        <v>B0201DSOTDWNC</v>
      </c>
      <c r="C923" s="219" t="s">
        <v>5922</v>
      </c>
      <c r="E923" s="249" t="s">
        <v>3641</v>
      </c>
      <c r="F923" s="255">
        <f>IF(ISBLANK('4N'!E13),"##BLANK",'4N'!E13)</f>
        <v>0.128</v>
      </c>
    </row>
    <row r="924" spans="2:6">
      <c r="B924" s="219" t="str">
        <f>'4N'!Y13</f>
        <v>B0201DSOTDWNO</v>
      </c>
      <c r="C924" s="219" t="s">
        <v>5923</v>
      </c>
      <c r="E924" s="249" t="s">
        <v>3641</v>
      </c>
      <c r="F924" s="255">
        <f>IF(ISBLANK('4N'!F13),"##BLANK",'4N'!F13)</f>
        <v>0</v>
      </c>
    </row>
    <row r="925" spans="2:6">
      <c r="B925" s="219" t="str">
        <f>'4N'!Z13</f>
        <v>B0201DSOTDWNT</v>
      </c>
      <c r="C925" s="219" t="s">
        <v>5924</v>
      </c>
      <c r="E925" s="249" t="s">
        <v>3641</v>
      </c>
      <c r="F925" s="255">
        <f>IF(ISBLANK('4N'!G13),"##BLANK",'4N'!G13)</f>
        <v>0.128</v>
      </c>
    </row>
    <row r="926" spans="2:6">
      <c r="B926" s="219" t="str">
        <f>'4N'!X14</f>
        <v>B0201DSTDWNTC</v>
      </c>
      <c r="C926" s="219" t="s">
        <v>5925</v>
      </c>
      <c r="E926" s="249" t="s">
        <v>3641</v>
      </c>
      <c r="F926" s="255">
        <f>IF(ISBLANK('4N'!E14),"##BLANK",'4N'!E14)</f>
        <v>19.661999999999999</v>
      </c>
    </row>
    <row r="927" spans="2:6">
      <c r="B927" s="219" t="str">
        <f>'4N'!Y14</f>
        <v>B0201DSTDWNTO</v>
      </c>
      <c r="C927" s="219" t="s">
        <v>5926</v>
      </c>
      <c r="E927" s="249" t="s">
        <v>3641</v>
      </c>
      <c r="F927" s="255">
        <f>IF(ISBLANK('4N'!F14),"##BLANK",'4N'!F14)</f>
        <v>0</v>
      </c>
    </row>
    <row r="928" spans="2:6">
      <c r="B928" s="219" t="str">
        <f>'4N'!Z14</f>
        <v>B0201DSTDWNT</v>
      </c>
      <c r="C928" s="219" t="s">
        <v>5927</v>
      </c>
      <c r="E928" s="249" t="s">
        <v>3641</v>
      </c>
      <c r="F928" s="255">
        <f>IF(ISBLANK('4N'!G14),"##BLANK",'4N'!G14)</f>
        <v>19.661999999999999</v>
      </c>
    </row>
    <row r="929" spans="2:6">
      <c r="B929" s="219" t="str">
        <f>'4O'!AD10</f>
        <v>B0401NCF</v>
      </c>
      <c r="C929" s="219" t="s">
        <v>5928</v>
      </c>
      <c r="E929" s="249" t="s">
        <v>3641</v>
      </c>
      <c r="F929" s="255">
        <f>IF(ISBLANK('4O'!E10),"##BLANK",'4O'!E10)</f>
        <v>0</v>
      </c>
    </row>
    <row r="930" spans="2:6">
      <c r="B930" s="219" t="str">
        <f>'4O'!AE10</f>
        <v>B0401NCSWD</v>
      </c>
      <c r="C930" s="219" t="s">
        <v>5929</v>
      </c>
      <c r="E930" s="249" t="s">
        <v>3641</v>
      </c>
      <c r="F930" s="255">
        <f>IF(ISBLANK('4O'!F10),"##BLANK",'4O'!F10)</f>
        <v>1E-3</v>
      </c>
    </row>
    <row r="931" spans="2:6">
      <c r="B931" s="219" t="str">
        <f>'4O'!AF10</f>
        <v>B0401NCHD</v>
      </c>
      <c r="C931" s="219" t="s">
        <v>5930</v>
      </c>
      <c r="E931" s="249" t="s">
        <v>3641</v>
      </c>
      <c r="F931" s="255">
        <f>IF(ISBLANK('4O'!G10),"##BLANK",'4O'!G10)</f>
        <v>0</v>
      </c>
    </row>
    <row r="932" spans="2:6">
      <c r="B932" s="219" t="str">
        <f>'4O'!AG10</f>
        <v>B0401NCSTD</v>
      </c>
      <c r="C932" s="219" t="s">
        <v>5931</v>
      </c>
      <c r="E932" s="249" t="s">
        <v>3641</v>
      </c>
      <c r="F932" s="255">
        <f>IF(ISBLANK('4O'!H10),"##BLANK",'4O'!H10)</f>
        <v>0</v>
      </c>
    </row>
    <row r="933" spans="2:6">
      <c r="B933" s="219" t="str">
        <f>'4O'!AH10</f>
        <v>B0401NCSLT</v>
      </c>
      <c r="C933" s="219" t="s">
        <v>5932</v>
      </c>
      <c r="E933" s="249" t="s">
        <v>3641</v>
      </c>
      <c r="F933" s="255">
        <f>IF(ISBLANK('4O'!I10),"##BLANK",'4O'!I10)</f>
        <v>0</v>
      </c>
    </row>
    <row r="934" spans="2:6">
      <c r="B934" s="219" t="str">
        <f>'4O'!AI10</f>
        <v>B0401NCTOT</v>
      </c>
      <c r="C934" s="219" t="s">
        <v>5933</v>
      </c>
      <c r="E934" s="249" t="s">
        <v>3641</v>
      </c>
      <c r="F934" s="255">
        <f>IF(ISBLANK('4O'!J10),"##BLANK",'4O'!J10)</f>
        <v>1E-3</v>
      </c>
    </row>
    <row r="935" spans="2:6">
      <c r="B935" s="219" t="str">
        <f>'4O'!AD11</f>
        <v>B0401RSF</v>
      </c>
      <c r="C935" s="219" t="s">
        <v>5934</v>
      </c>
      <c r="E935" s="249" t="s">
        <v>3641</v>
      </c>
      <c r="F935" s="255">
        <f>IF(ISBLANK('4O'!E11),"##BLANK",'4O'!E11)</f>
        <v>4.0000000000000001E-3</v>
      </c>
    </row>
    <row r="936" spans="2:6">
      <c r="B936" s="219" t="str">
        <f>'4O'!AE11</f>
        <v>B0401RSSWD</v>
      </c>
      <c r="C936" s="219" t="s">
        <v>5935</v>
      </c>
      <c r="E936" s="249" t="s">
        <v>3641</v>
      </c>
      <c r="F936" s="255">
        <f>IF(ISBLANK('4O'!F11),"##BLANK",'4O'!F11)</f>
        <v>7.0000000000000001E-3</v>
      </c>
    </row>
    <row r="937" spans="2:6">
      <c r="B937" s="219" t="str">
        <f>'4O'!AF11</f>
        <v>B0401RSHD</v>
      </c>
      <c r="C937" s="219" t="s">
        <v>5936</v>
      </c>
      <c r="E937" s="249" t="s">
        <v>3641</v>
      </c>
      <c r="F937" s="255">
        <f>IF(ISBLANK('4O'!G11),"##BLANK",'4O'!G11)</f>
        <v>3.0000000000000001E-3</v>
      </c>
    </row>
    <row r="938" spans="2:6">
      <c r="B938" s="219" t="str">
        <f>'4O'!AG11</f>
        <v>B0401RSSTD</v>
      </c>
      <c r="C938" s="219" t="s">
        <v>5937</v>
      </c>
      <c r="E938" s="249" t="s">
        <v>3641</v>
      </c>
      <c r="F938" s="255">
        <f>IF(ISBLANK('4O'!H11),"##BLANK",'4O'!H11)</f>
        <v>0</v>
      </c>
    </row>
    <row r="939" spans="2:6">
      <c r="B939" s="219" t="str">
        <f>'4O'!AH11</f>
        <v>B0401RSSLT</v>
      </c>
      <c r="C939" s="219" t="s">
        <v>5938</v>
      </c>
      <c r="E939" s="249" t="s">
        <v>3641</v>
      </c>
      <c r="F939" s="255">
        <f>IF(ISBLANK('4O'!I11),"##BLANK",'4O'!I11)</f>
        <v>0</v>
      </c>
    </row>
    <row r="940" spans="2:6">
      <c r="B940" s="219" t="str">
        <f>'4O'!AI11</f>
        <v>B0401RSTOT</v>
      </c>
      <c r="C940" s="219" t="s">
        <v>5939</v>
      </c>
      <c r="E940" s="249" t="s">
        <v>3641</v>
      </c>
      <c r="F940" s="255">
        <f>IF(ISBLANK('4O'!J11),"##BLANK",'4O'!J11)</f>
        <v>1.3999999999999999E-2</v>
      </c>
    </row>
    <row r="941" spans="2:6">
      <c r="B941" s="219" t="str">
        <f>'4O'!AD12</f>
        <v>B0200DSIFWWC</v>
      </c>
      <c r="C941" s="219" t="s">
        <v>5940</v>
      </c>
      <c r="E941" s="249" t="s">
        <v>3641</v>
      </c>
      <c r="F941" s="255">
        <f>IF(ISBLANK('4O'!E12),"##BLANK",'4O'!E12)</f>
        <v>1.2999999999999999E-2</v>
      </c>
    </row>
    <row r="942" spans="2:6">
      <c r="B942" s="219" t="str">
        <f>'4O'!AE12</f>
        <v>B0200DSIWDWWC</v>
      </c>
      <c r="C942" s="219" t="s">
        <v>5941</v>
      </c>
      <c r="E942" s="249" t="s">
        <v>3641</v>
      </c>
      <c r="F942" s="255">
        <f>IF(ISBLANK('4O'!F12),"##BLANK",'4O'!F12)</f>
        <v>2.1999999999999999E-2</v>
      </c>
    </row>
    <row r="943" spans="2:6">
      <c r="B943" s="219" t="str">
        <f>'4O'!AF12</f>
        <v>B0200DSIHDWWC</v>
      </c>
      <c r="C943" s="219" t="s">
        <v>5942</v>
      </c>
      <c r="E943" s="249" t="s">
        <v>3641</v>
      </c>
      <c r="F943" s="255">
        <f>IF(ISBLANK('4O'!G12),"##BLANK",'4O'!G12)</f>
        <v>1.2E-2</v>
      </c>
    </row>
    <row r="944" spans="2:6">
      <c r="B944" s="219" t="str">
        <f>'4O'!AG12</f>
        <v>B0200DSISTWWC</v>
      </c>
      <c r="C944" s="219" t="s">
        <v>5943</v>
      </c>
      <c r="E944" s="249" t="s">
        <v>3641</v>
      </c>
      <c r="F944" s="255">
        <f>IF(ISBLANK('4O'!H12),"##BLANK",'4O'!H12)</f>
        <v>0</v>
      </c>
    </row>
    <row r="945" spans="2:6">
      <c r="B945" s="219" t="str">
        <f>'4O'!AH12</f>
        <v>B0200DSISLWWC</v>
      </c>
      <c r="C945" s="219" t="s">
        <v>5944</v>
      </c>
      <c r="E945" s="249" t="s">
        <v>3641</v>
      </c>
      <c r="F945" s="255">
        <f>IF(ISBLANK('4O'!I12),"##BLANK",'4O'!I12)</f>
        <v>0</v>
      </c>
    </row>
    <row r="946" spans="2:6">
      <c r="B946" s="219" t="str">
        <f>'4O'!AI12</f>
        <v>B0401INRTOT</v>
      </c>
      <c r="C946" s="219" t="s">
        <v>5945</v>
      </c>
      <c r="E946" s="249" t="s">
        <v>3641</v>
      </c>
      <c r="F946" s="255">
        <f>IF(ISBLANK('4O'!J12),"##BLANK",'4O'!J12)</f>
        <v>4.7E-2</v>
      </c>
    </row>
    <row r="947" spans="2:6">
      <c r="B947" s="219" t="str">
        <f>'4O'!AD13</f>
        <v>B0200DSDFWWC</v>
      </c>
      <c r="C947" s="219" t="s">
        <v>5946</v>
      </c>
      <c r="E947" s="249" t="s">
        <v>3641</v>
      </c>
      <c r="F947" s="255">
        <f>IF(ISBLANK('4O'!E13),"##BLANK",'4O'!E13)</f>
        <v>6.9000000000000006E-2</v>
      </c>
    </row>
    <row r="948" spans="2:6">
      <c r="B948" s="219" t="str">
        <f>'4O'!AE13</f>
        <v>B0200DSDWDWWC</v>
      </c>
      <c r="C948" s="219" t="s">
        <v>5947</v>
      </c>
      <c r="E948" s="249" t="s">
        <v>3641</v>
      </c>
      <c r="F948" s="255">
        <f>IF(ISBLANK('4O'!F13),"##BLANK",'4O'!F13)</f>
        <v>0.114</v>
      </c>
    </row>
    <row r="949" spans="2:6">
      <c r="B949" s="219" t="str">
        <f>'4O'!AF13</f>
        <v>B0200DSDHDWWC</v>
      </c>
      <c r="C949" s="219" t="s">
        <v>5948</v>
      </c>
      <c r="E949" s="249" t="s">
        <v>3641</v>
      </c>
      <c r="F949" s="255">
        <f>IF(ISBLANK('4O'!G13),"##BLANK",'4O'!G13)</f>
        <v>6.2E-2</v>
      </c>
    </row>
    <row r="950" spans="2:6">
      <c r="B950" s="219" t="str">
        <f>'4O'!AG13</f>
        <v>B0200DSDSTWWC</v>
      </c>
      <c r="C950" s="219" t="s">
        <v>5949</v>
      </c>
      <c r="E950" s="249" t="s">
        <v>3641</v>
      </c>
      <c r="F950" s="255">
        <f>IF(ISBLANK('4O'!H13),"##BLANK",'4O'!H13)</f>
        <v>0</v>
      </c>
    </row>
    <row r="951" spans="2:6">
      <c r="B951" s="219" t="str">
        <f>'4O'!AH13</f>
        <v>B0200DSDSLWWC</v>
      </c>
      <c r="C951" s="219" t="s">
        <v>5950</v>
      </c>
      <c r="E951" s="249" t="s">
        <v>3641</v>
      </c>
      <c r="F951" s="255">
        <f>IF(ISBLANK('4O'!I13),"##BLANK",'4O'!I13)</f>
        <v>0</v>
      </c>
    </row>
    <row r="952" spans="2:6">
      <c r="B952" s="219" t="str">
        <f>'4O'!AI13</f>
        <v>B0401185TOT</v>
      </c>
      <c r="C952" s="219" t="s">
        <v>5951</v>
      </c>
      <c r="E952" s="249" t="s">
        <v>3641</v>
      </c>
      <c r="F952" s="255">
        <f>IF(ISBLANK('4O'!J13),"##BLANK",'4O'!J13)</f>
        <v>0.245</v>
      </c>
    </row>
    <row r="953" spans="2:6">
      <c r="B953" s="219" t="str">
        <f>'4O'!AD14</f>
        <v>B0200DSOFWWC</v>
      </c>
      <c r="C953" s="219" t="s">
        <v>5952</v>
      </c>
      <c r="E953" s="249" t="s">
        <v>3641</v>
      </c>
      <c r="F953" s="255">
        <f>IF(ISBLANK('4O'!E14),"##BLANK",'4O'!E14)</f>
        <v>0.245</v>
      </c>
    </row>
    <row r="954" spans="2:6">
      <c r="B954" s="219" t="str">
        <f>'4O'!AE14</f>
        <v>B0200DSOWDWWC</v>
      </c>
      <c r="C954" s="219" t="s">
        <v>5953</v>
      </c>
      <c r="E954" s="249" t="s">
        <v>3641</v>
      </c>
      <c r="F954" s="255">
        <f>IF(ISBLANK('4O'!F14),"##BLANK",'4O'!F14)</f>
        <v>0.40600000000000003</v>
      </c>
    </row>
    <row r="955" spans="2:6">
      <c r="B955" s="219" t="str">
        <f>'4O'!AF14</f>
        <v>B0200DSOHDWWC</v>
      </c>
      <c r="C955" s="219" t="s">
        <v>5954</v>
      </c>
      <c r="E955" s="249" t="s">
        <v>3641</v>
      </c>
      <c r="F955" s="255">
        <f>IF(ISBLANK('4O'!G14),"##BLANK",'4O'!G14)</f>
        <v>0.219</v>
      </c>
    </row>
    <row r="956" spans="2:6">
      <c r="B956" s="219" t="str">
        <f>'4O'!AG14</f>
        <v>B0200DSOSTWWC</v>
      </c>
      <c r="C956" s="219" t="s">
        <v>5955</v>
      </c>
      <c r="E956" s="249" t="s">
        <v>3641</v>
      </c>
      <c r="F956" s="255">
        <f>IF(ISBLANK('4O'!H14),"##BLANK",'4O'!H14)</f>
        <v>0</v>
      </c>
    </row>
    <row r="957" spans="2:6">
      <c r="B957" s="219" t="str">
        <f>'4O'!AH14</f>
        <v>B0200DSOSLWWC</v>
      </c>
      <c r="C957" s="219" t="s">
        <v>5956</v>
      </c>
      <c r="E957" s="249" t="s">
        <v>3641</v>
      </c>
      <c r="F957" s="255">
        <f>IF(ISBLANK('4O'!I14),"##BLANK",'4O'!I14)</f>
        <v>0</v>
      </c>
    </row>
    <row r="958" spans="2:6">
      <c r="B958" s="219" t="str">
        <f>'4O'!AI14</f>
        <v>B0401OPCTOT</v>
      </c>
      <c r="C958" s="219" t="s">
        <v>5957</v>
      </c>
      <c r="E958" s="249" t="s">
        <v>3641</v>
      </c>
      <c r="F958" s="255">
        <f>IF(ISBLANK('4O'!J14),"##BLANK",'4O'!J14)</f>
        <v>0.87</v>
      </c>
    </row>
    <row r="959" spans="2:6">
      <c r="B959" s="219" t="str">
        <f>'4O'!AD15</f>
        <v>B0200DSFWWTC</v>
      </c>
      <c r="C959" s="219" t="s">
        <v>5958</v>
      </c>
      <c r="E959" s="249" t="s">
        <v>3641</v>
      </c>
      <c r="F959" s="255">
        <f>IF(ISBLANK('4O'!E15),"##BLANK",'4O'!E15)</f>
        <v>0.33100000000000002</v>
      </c>
    </row>
    <row r="960" spans="2:6">
      <c r="B960" s="219" t="str">
        <f>'4O'!AE15</f>
        <v>B0200DSWDWWTC</v>
      </c>
      <c r="C960" s="219" t="s">
        <v>5959</v>
      </c>
      <c r="E960" s="249" t="s">
        <v>3641</v>
      </c>
      <c r="F960" s="255">
        <f>IF(ISBLANK('4O'!F15),"##BLANK",'4O'!F15)</f>
        <v>0.55000000000000004</v>
      </c>
    </row>
    <row r="961" spans="2:6">
      <c r="B961" s="219" t="str">
        <f>'4O'!AF15</f>
        <v>B0200DSHDWWTC</v>
      </c>
      <c r="C961" s="219" t="s">
        <v>5960</v>
      </c>
      <c r="E961" s="249" t="s">
        <v>3641</v>
      </c>
      <c r="F961" s="255">
        <f>IF(ISBLANK('4O'!G15),"##BLANK",'4O'!G15)</f>
        <v>0.29599999999999999</v>
      </c>
    </row>
    <row r="962" spans="2:6">
      <c r="B962" s="219" t="str">
        <f>'4O'!AG15</f>
        <v>B0200DSSTWWTC</v>
      </c>
      <c r="C962" s="219" t="s">
        <v>5961</v>
      </c>
      <c r="E962" s="249" t="s">
        <v>3641</v>
      </c>
      <c r="F962" s="255">
        <f>IF(ISBLANK('4O'!H15),"##BLANK",'4O'!H15)</f>
        <v>0</v>
      </c>
    </row>
    <row r="963" spans="2:6">
      <c r="B963" s="219" t="str">
        <f>'4O'!AH15</f>
        <v>B0200DSSLWWTC</v>
      </c>
      <c r="C963" s="219" t="s">
        <v>5962</v>
      </c>
      <c r="E963" s="249" t="s">
        <v>3641</v>
      </c>
      <c r="F963" s="255">
        <f>IF(ISBLANK('4O'!I15),"##BLANK",'4O'!I15)</f>
        <v>0</v>
      </c>
    </row>
    <row r="964" spans="2:6">
      <c r="B964" s="219" t="str">
        <f>'4O'!AI15</f>
        <v>B0401TDETOT</v>
      </c>
      <c r="C964" s="219" t="s">
        <v>5963</v>
      </c>
      <c r="E964" s="249" t="s">
        <v>3641</v>
      </c>
      <c r="F964" s="255">
        <f>IF(ISBLANK('4O'!J15),"##BLANK",'4O'!J15)</f>
        <v>1.177</v>
      </c>
    </row>
    <row r="965" spans="2:6">
      <c r="B965" s="219" t="str">
        <f>'4O'!AD18</f>
        <v>B0801NCF</v>
      </c>
      <c r="C965" s="219" t="s">
        <v>5964</v>
      </c>
      <c r="E965" s="249" t="s">
        <v>3641</v>
      </c>
      <c r="F965" s="255">
        <f>IF(ISBLANK('4O'!E18),"##BLANK",'4O'!E18)</f>
        <v>0</v>
      </c>
    </row>
    <row r="966" spans="2:6">
      <c r="B966" s="219" t="str">
        <f>'4O'!AE18</f>
        <v>B0801NCSWD</v>
      </c>
      <c r="C966" s="219" t="s">
        <v>5965</v>
      </c>
      <c r="E966" s="249" t="s">
        <v>3641</v>
      </c>
      <c r="F966" s="255">
        <f>IF(ISBLANK('4O'!F18),"##BLANK",'4O'!F18)</f>
        <v>0</v>
      </c>
    </row>
    <row r="967" spans="2:6">
      <c r="B967" s="219" t="str">
        <f>'4O'!AF18</f>
        <v>B0801NCHD</v>
      </c>
      <c r="C967" s="219" t="s">
        <v>5966</v>
      </c>
      <c r="E967" s="249" t="s">
        <v>3641</v>
      </c>
      <c r="F967" s="255">
        <f>IF(ISBLANK('4O'!G18),"##BLANK",'4O'!G18)</f>
        <v>0</v>
      </c>
    </row>
    <row r="968" spans="2:6">
      <c r="B968" s="219" t="str">
        <f>'4O'!AG18</f>
        <v>B0801NCSTD</v>
      </c>
      <c r="C968" s="219" t="s">
        <v>5967</v>
      </c>
      <c r="E968" s="249" t="s">
        <v>3641</v>
      </c>
      <c r="F968" s="255">
        <f>IF(ISBLANK('4O'!H18),"##BLANK",'4O'!H18)</f>
        <v>0</v>
      </c>
    </row>
    <row r="969" spans="2:6">
      <c r="B969" s="219" t="str">
        <f>'4O'!AH18</f>
        <v>B0801NCSLT</v>
      </c>
      <c r="C969" s="219" t="s">
        <v>5968</v>
      </c>
      <c r="E969" s="249" t="s">
        <v>3641</v>
      </c>
      <c r="F969" s="255">
        <f>IF(ISBLANK('4O'!I18),"##BLANK",'4O'!I18)</f>
        <v>0</v>
      </c>
    </row>
    <row r="970" spans="2:6">
      <c r="B970" s="219" t="str">
        <f>'4O'!AI18</f>
        <v>B0801NCTOT</v>
      </c>
      <c r="C970" s="219" t="s">
        <v>5969</v>
      </c>
      <c r="E970" s="249" t="s">
        <v>3641</v>
      </c>
      <c r="F970" s="255">
        <f>IF(ISBLANK('4O'!J18),"##BLANK",'4O'!J18)</f>
        <v>0</v>
      </c>
    </row>
    <row r="971" spans="2:6">
      <c r="B971" s="219" t="str">
        <f>'4O'!AD19</f>
        <v>B0801RSF</v>
      </c>
      <c r="C971" s="219" t="s">
        <v>5970</v>
      </c>
      <c r="E971" s="249" t="s">
        <v>3641</v>
      </c>
      <c r="F971" s="255">
        <f>IF(ISBLANK('4O'!E19),"##BLANK",'4O'!E19)</f>
        <v>0</v>
      </c>
    </row>
    <row r="972" spans="2:6">
      <c r="B972" s="219" t="str">
        <f>'4O'!AE19</f>
        <v>B0801RSSWD</v>
      </c>
      <c r="C972" s="219" t="s">
        <v>5971</v>
      </c>
      <c r="E972" s="249" t="s">
        <v>3641</v>
      </c>
      <c r="F972" s="255">
        <f>IF(ISBLANK('4O'!F19),"##BLANK",'4O'!F19)</f>
        <v>0</v>
      </c>
    </row>
    <row r="973" spans="2:6">
      <c r="B973" s="219" t="str">
        <f>'4O'!AF19</f>
        <v>B0801RSHD</v>
      </c>
      <c r="C973" s="219" t="s">
        <v>5972</v>
      </c>
      <c r="E973" s="249" t="s">
        <v>3641</v>
      </c>
      <c r="F973" s="255">
        <f>IF(ISBLANK('4O'!G19),"##BLANK",'4O'!G19)</f>
        <v>0</v>
      </c>
    </row>
    <row r="974" spans="2:6">
      <c r="B974" s="219" t="str">
        <f>'4O'!AG19</f>
        <v>B0801RSSTD</v>
      </c>
      <c r="C974" s="219" t="s">
        <v>5973</v>
      </c>
      <c r="E974" s="249" t="s">
        <v>3641</v>
      </c>
      <c r="F974" s="255">
        <f>IF(ISBLANK('4O'!H19),"##BLANK",'4O'!H19)</f>
        <v>0</v>
      </c>
    </row>
    <row r="975" spans="2:6">
      <c r="B975" s="219" t="str">
        <f>'4O'!AH19</f>
        <v>B0801RSSLT</v>
      </c>
      <c r="C975" s="219" t="s">
        <v>5974</v>
      </c>
      <c r="E975" s="249" t="s">
        <v>3641</v>
      </c>
      <c r="F975" s="255">
        <f>IF(ISBLANK('4O'!I19),"##BLANK",'4O'!I19)</f>
        <v>0</v>
      </c>
    </row>
    <row r="976" spans="2:6">
      <c r="B976" s="219" t="str">
        <f>'4O'!AI19</f>
        <v>B0801RSTOT</v>
      </c>
      <c r="C976" s="219" t="s">
        <v>5975</v>
      </c>
      <c r="E976" s="249" t="s">
        <v>3641</v>
      </c>
      <c r="F976" s="255">
        <f>IF(ISBLANK('4O'!J19),"##BLANK",'4O'!J19)</f>
        <v>0</v>
      </c>
    </row>
    <row r="977" spans="2:6">
      <c r="B977" s="219" t="str">
        <f>'4O'!AD20</f>
        <v>B0200DSIFWWO</v>
      </c>
      <c r="C977" s="219" t="s">
        <v>5976</v>
      </c>
      <c r="E977" s="249" t="s">
        <v>3641</v>
      </c>
      <c r="F977" s="255">
        <f>IF(ISBLANK('4O'!E20),"##BLANK",'4O'!E20)</f>
        <v>0</v>
      </c>
    </row>
    <row r="978" spans="2:6">
      <c r="B978" s="219" t="str">
        <f>'4O'!AE20</f>
        <v>B0200DSIWDWWO</v>
      </c>
      <c r="C978" s="219" t="s">
        <v>5977</v>
      </c>
      <c r="E978" s="249" t="s">
        <v>3641</v>
      </c>
      <c r="F978" s="255">
        <f>IF(ISBLANK('4O'!F20),"##BLANK",'4O'!F20)</f>
        <v>0</v>
      </c>
    </row>
    <row r="979" spans="2:6">
      <c r="B979" s="219" t="str">
        <f>'4O'!AF20</f>
        <v>B0200DSIHDWWO</v>
      </c>
      <c r="C979" s="219" t="s">
        <v>5978</v>
      </c>
      <c r="E979" s="249" t="s">
        <v>3641</v>
      </c>
      <c r="F979" s="255">
        <f>IF(ISBLANK('4O'!G20),"##BLANK",'4O'!G20)</f>
        <v>0</v>
      </c>
    </row>
    <row r="980" spans="2:6">
      <c r="B980" s="219" t="str">
        <f>'4O'!AG20</f>
        <v>B0200DSISTWWO</v>
      </c>
      <c r="C980" s="219" t="s">
        <v>5979</v>
      </c>
      <c r="E980" s="249" t="s">
        <v>3641</v>
      </c>
      <c r="F980" s="255">
        <f>IF(ISBLANK('4O'!H20),"##BLANK",'4O'!H20)</f>
        <v>0</v>
      </c>
    </row>
    <row r="981" spans="2:6">
      <c r="B981" s="219" t="str">
        <f>'4O'!AH20</f>
        <v>B0200DSISLWWO</v>
      </c>
      <c r="C981" s="219" t="s">
        <v>5980</v>
      </c>
      <c r="E981" s="249" t="s">
        <v>3641</v>
      </c>
      <c r="F981" s="255">
        <f>IF(ISBLANK('4O'!I20),"##BLANK",'4O'!I20)</f>
        <v>0</v>
      </c>
    </row>
    <row r="982" spans="2:6">
      <c r="B982" s="219" t="str">
        <f>'4O'!AI20</f>
        <v>B0801INRTOT</v>
      </c>
      <c r="C982" s="219" t="s">
        <v>5981</v>
      </c>
      <c r="E982" s="249" t="s">
        <v>3641</v>
      </c>
      <c r="F982" s="255">
        <f>IF(ISBLANK('4O'!J20),"##BLANK",'4O'!J20)</f>
        <v>0</v>
      </c>
    </row>
    <row r="983" spans="2:6">
      <c r="B983" s="219" t="str">
        <f>'4O'!AD21</f>
        <v>B0200DSDFWWO</v>
      </c>
      <c r="C983" s="219" t="s">
        <v>5982</v>
      </c>
      <c r="E983" s="249" t="s">
        <v>3641</v>
      </c>
      <c r="F983" s="255">
        <f>IF(ISBLANK('4O'!E21),"##BLANK",'4O'!E21)</f>
        <v>0</v>
      </c>
    </row>
    <row r="984" spans="2:6">
      <c r="B984" s="219" t="str">
        <f>'4O'!AE21</f>
        <v>B0200DSDWDWWO</v>
      </c>
      <c r="C984" s="219" t="s">
        <v>5983</v>
      </c>
      <c r="E984" s="249" t="s">
        <v>3641</v>
      </c>
      <c r="F984" s="255">
        <f>IF(ISBLANK('4O'!F21),"##BLANK",'4O'!F21)</f>
        <v>0</v>
      </c>
    </row>
    <row r="985" spans="2:6">
      <c r="B985" s="219" t="str">
        <f>'4O'!AF21</f>
        <v>B0200DSDHDWWO</v>
      </c>
      <c r="C985" s="219" t="s">
        <v>5984</v>
      </c>
      <c r="E985" s="249" t="s">
        <v>3641</v>
      </c>
      <c r="F985" s="255">
        <f>IF(ISBLANK('4O'!G21),"##BLANK",'4O'!G21)</f>
        <v>0</v>
      </c>
    </row>
    <row r="986" spans="2:6">
      <c r="B986" s="219" t="str">
        <f>'4O'!AG21</f>
        <v>B0200DSDSTWWO</v>
      </c>
      <c r="C986" s="219" t="s">
        <v>5985</v>
      </c>
      <c r="E986" s="249" t="s">
        <v>3641</v>
      </c>
      <c r="F986" s="255">
        <f>IF(ISBLANK('4O'!H21),"##BLANK",'4O'!H21)</f>
        <v>0</v>
      </c>
    </row>
    <row r="987" spans="2:6">
      <c r="B987" s="219" t="str">
        <f>'4O'!AH21</f>
        <v>B0200DSDSLWWO</v>
      </c>
      <c r="C987" s="219" t="s">
        <v>5986</v>
      </c>
      <c r="E987" s="249" t="s">
        <v>3641</v>
      </c>
      <c r="F987" s="255">
        <f>IF(ISBLANK('4O'!I21),"##BLANK",'4O'!I21)</f>
        <v>0</v>
      </c>
    </row>
    <row r="988" spans="2:6">
      <c r="B988" s="219" t="str">
        <f>'4O'!AI21</f>
        <v>B0801185TOT</v>
      </c>
      <c r="C988" s="219" t="s">
        <v>5987</v>
      </c>
      <c r="E988" s="249" t="s">
        <v>3641</v>
      </c>
      <c r="F988" s="255">
        <f>IF(ISBLANK('4O'!J21),"##BLANK",'4O'!J21)</f>
        <v>0</v>
      </c>
    </row>
    <row r="989" spans="2:6">
      <c r="B989" s="219" t="str">
        <f>'4O'!AD22</f>
        <v>B0200DSOFWWO</v>
      </c>
      <c r="C989" s="219" t="s">
        <v>5988</v>
      </c>
      <c r="E989" s="249" t="s">
        <v>3641</v>
      </c>
      <c r="F989" s="255">
        <f>IF(ISBLANK('4O'!E22),"##BLANK",'4O'!E22)</f>
        <v>0</v>
      </c>
    </row>
    <row r="990" spans="2:6">
      <c r="B990" s="219" t="str">
        <f>'4O'!AE22</f>
        <v>B0200DSOWDWWO</v>
      </c>
      <c r="C990" s="219" t="s">
        <v>5989</v>
      </c>
      <c r="E990" s="249" t="s">
        <v>3641</v>
      </c>
      <c r="F990" s="255">
        <f>IF(ISBLANK('4O'!F22),"##BLANK",'4O'!F22)</f>
        <v>0</v>
      </c>
    </row>
    <row r="991" spans="2:6">
      <c r="B991" s="219" t="str">
        <f>'4O'!AF22</f>
        <v>B0200DSOHDWWO</v>
      </c>
      <c r="C991" s="219" t="s">
        <v>5990</v>
      </c>
      <c r="E991" s="249" t="s">
        <v>3641</v>
      </c>
      <c r="F991" s="255">
        <f>IF(ISBLANK('4O'!G22),"##BLANK",'4O'!G22)</f>
        <v>0</v>
      </c>
    </row>
    <row r="992" spans="2:6">
      <c r="B992" s="219" t="str">
        <f>'4O'!AG22</f>
        <v>B0200DSOSTWWO</v>
      </c>
      <c r="C992" s="219" t="s">
        <v>5991</v>
      </c>
      <c r="E992" s="249" t="s">
        <v>3641</v>
      </c>
      <c r="F992" s="255">
        <f>IF(ISBLANK('4O'!H22),"##BLANK",'4O'!H22)</f>
        <v>0</v>
      </c>
    </row>
    <row r="993" spans="2:6">
      <c r="B993" s="219" t="str">
        <f>'4O'!AH22</f>
        <v>B0200DSOSLWWO</v>
      </c>
      <c r="C993" s="219" t="s">
        <v>5992</v>
      </c>
      <c r="E993" s="249" t="s">
        <v>3641</v>
      </c>
      <c r="F993" s="255">
        <f>IF(ISBLANK('4O'!I22),"##BLANK",'4O'!I22)</f>
        <v>0</v>
      </c>
    </row>
    <row r="994" spans="2:6">
      <c r="B994" s="219" t="str">
        <f>'4O'!AI22</f>
        <v>B0801OPCTOT</v>
      </c>
      <c r="C994" s="219" t="s">
        <v>5993</v>
      </c>
      <c r="E994" s="249" t="s">
        <v>3641</v>
      </c>
      <c r="F994" s="255">
        <f>IF(ISBLANK('4O'!J22),"##BLANK",'4O'!J22)</f>
        <v>0</v>
      </c>
    </row>
    <row r="995" spans="2:6">
      <c r="B995" s="219" t="str">
        <f>'4O'!AD23</f>
        <v>B0200DSFWWTO</v>
      </c>
      <c r="C995" s="219" t="s">
        <v>5994</v>
      </c>
      <c r="E995" s="249" t="s">
        <v>3641</v>
      </c>
      <c r="F995" s="255">
        <f>IF(ISBLANK('4O'!E23),"##BLANK",'4O'!E23)</f>
        <v>0</v>
      </c>
    </row>
    <row r="996" spans="2:6">
      <c r="B996" s="219" t="str">
        <f>'4O'!AE23</f>
        <v>B0200DSWDWWTO</v>
      </c>
      <c r="C996" s="219" t="s">
        <v>5995</v>
      </c>
      <c r="E996" s="249" t="s">
        <v>3641</v>
      </c>
      <c r="F996" s="255">
        <f>IF(ISBLANK('4O'!F23),"##BLANK",'4O'!F23)</f>
        <v>0</v>
      </c>
    </row>
    <row r="997" spans="2:6">
      <c r="B997" s="219" t="str">
        <f>'4O'!AF23</f>
        <v>B0200DSHDWWTO</v>
      </c>
      <c r="C997" s="219" t="s">
        <v>5996</v>
      </c>
      <c r="E997" s="249" t="s">
        <v>3641</v>
      </c>
      <c r="F997" s="255">
        <f>IF(ISBLANK('4O'!G23),"##BLANK",'4O'!G23)</f>
        <v>0</v>
      </c>
    </row>
    <row r="998" spans="2:6">
      <c r="B998" s="219" t="str">
        <f>'4O'!AG23</f>
        <v>B0200DSSTWWTO</v>
      </c>
      <c r="C998" s="219" t="s">
        <v>5997</v>
      </c>
      <c r="E998" s="249" t="s">
        <v>3641</v>
      </c>
      <c r="F998" s="255">
        <f>IF(ISBLANK('4O'!H23),"##BLANK",'4O'!H23)</f>
        <v>0</v>
      </c>
    </row>
    <row r="999" spans="2:6">
      <c r="B999" s="219" t="str">
        <f>'4O'!AH23</f>
        <v>B0200DSSLWWTO</v>
      </c>
      <c r="C999" s="219" t="s">
        <v>5998</v>
      </c>
      <c r="E999" s="249" t="s">
        <v>3641</v>
      </c>
      <c r="F999" s="255">
        <f>IF(ISBLANK('4O'!I23),"##BLANK",'4O'!I23)</f>
        <v>0</v>
      </c>
    </row>
    <row r="1000" spans="2:6">
      <c r="B1000" s="219" t="str">
        <f>'4O'!AI23</f>
        <v>B0801TDETOT</v>
      </c>
      <c r="C1000" s="219" t="s">
        <v>5999</v>
      </c>
      <c r="E1000" s="249" t="s">
        <v>3641</v>
      </c>
      <c r="F1000" s="255">
        <f>IF(ISBLANK('4O'!J23),"##BLANK",'4O'!J23)</f>
        <v>0</v>
      </c>
    </row>
    <row r="1001" spans="2:6">
      <c r="B1001" s="219" t="str">
        <f>'4O'!AD26</f>
        <v>B0200DSFWWT</v>
      </c>
      <c r="C1001" s="219" t="s">
        <v>6000</v>
      </c>
      <c r="E1001" s="249" t="s">
        <v>3641</v>
      </c>
      <c r="F1001" s="255">
        <f>IF(ISBLANK('4O'!E26),"##BLANK",'4O'!E26)</f>
        <v>0.33100000000000002</v>
      </c>
    </row>
    <row r="1002" spans="2:6">
      <c r="B1002" s="219" t="str">
        <f>'4O'!AE26</f>
        <v>B0200DSWDWWT</v>
      </c>
      <c r="C1002" s="219" t="s">
        <v>6001</v>
      </c>
      <c r="E1002" s="249" t="s">
        <v>3641</v>
      </c>
      <c r="F1002" s="255">
        <f>IF(ISBLANK('4O'!F26),"##BLANK",'4O'!F26)</f>
        <v>0.55000000000000004</v>
      </c>
    </row>
    <row r="1003" spans="2:6">
      <c r="B1003" s="219" t="str">
        <f>'4O'!AF26</f>
        <v>B0200DSHDWWT</v>
      </c>
      <c r="C1003" s="219" t="s">
        <v>6002</v>
      </c>
      <c r="E1003" s="249" t="s">
        <v>3641</v>
      </c>
      <c r="F1003" s="255">
        <f>IF(ISBLANK('4O'!G26),"##BLANK",'4O'!G26)</f>
        <v>0.29599999999999999</v>
      </c>
    </row>
    <row r="1004" spans="2:6">
      <c r="B1004" s="219" t="str">
        <f>'4O'!AG26</f>
        <v>B0200DSSTWWT</v>
      </c>
      <c r="C1004" s="219" t="s">
        <v>6003</v>
      </c>
      <c r="E1004" s="249" t="s">
        <v>3641</v>
      </c>
      <c r="F1004" s="255">
        <f>IF(ISBLANK('4O'!H26),"##BLANK",'4O'!H26)</f>
        <v>0</v>
      </c>
    </row>
    <row r="1005" spans="2:6">
      <c r="B1005" s="219" t="str">
        <f>'4O'!AH26</f>
        <v>B0200DSSLWWT</v>
      </c>
      <c r="C1005" s="219" t="s">
        <v>6004</v>
      </c>
      <c r="E1005" s="249" t="s">
        <v>3641</v>
      </c>
      <c r="F1005" s="255">
        <f>IF(ISBLANK('4O'!I26),"##BLANK",'4O'!I26)</f>
        <v>0</v>
      </c>
    </row>
    <row r="1006" spans="2:6">
      <c r="B1006" s="219" t="str">
        <f>'4O'!AI26</f>
        <v>B0200TDSET</v>
      </c>
      <c r="C1006" s="219" t="s">
        <v>6005</v>
      </c>
      <c r="E1006" s="249" t="s">
        <v>3641</v>
      </c>
      <c r="F1006" s="255">
        <f>IF(ISBLANK('4O'!J26),"##BLANK",'4O'!J26)</f>
        <v>1.177</v>
      </c>
    </row>
    <row r="1007" spans="2:6">
      <c r="B1007" s="219" t="str">
        <f>'4Q'!U8</f>
        <v>B0007DSCRW</v>
      </c>
      <c r="C1007" s="219" t="s">
        <v>6006</v>
      </c>
      <c r="E1007" s="249" t="s">
        <v>3641</v>
      </c>
      <c r="F1007" s="255">
        <f>IF(ISBLANK('4Q'!E8),"##BLANK",'4Q'!E8)</f>
        <v>9580</v>
      </c>
    </row>
    <row r="1008" spans="2:6">
      <c r="B1008" s="219" t="str">
        <f>'4Q'!V8</f>
        <v>B0007DSCRWW</v>
      </c>
      <c r="C1008" s="219" t="s">
        <v>6007</v>
      </c>
      <c r="E1008" s="249" t="s">
        <v>3641</v>
      </c>
      <c r="F1008" s="255">
        <f>IF(ISBLANK('4Q'!F8),"##BLANK",'4Q'!F8)</f>
        <v>14124</v>
      </c>
    </row>
    <row r="1009" spans="2:6">
      <c r="B1009" s="219" t="str">
        <f>'4Q'!W8</f>
        <v>B0007DSCRT</v>
      </c>
      <c r="C1009" s="219" t="s">
        <v>6008</v>
      </c>
      <c r="E1009" s="249" t="s">
        <v>3641</v>
      </c>
      <c r="F1009" s="255">
        <f>IF(ISBLANK('4Q'!G8),"##BLANK",'4Q'!G8)</f>
        <v>23704</v>
      </c>
    </row>
    <row r="1010" spans="2:6">
      <c r="B1010" s="219" t="str">
        <f>'4Q'!U9</f>
        <v>B0007DSCBW</v>
      </c>
      <c r="C1010" s="219" t="s">
        <v>6009</v>
      </c>
      <c r="E1010" s="249" t="s">
        <v>3641</v>
      </c>
      <c r="F1010" s="255">
        <f>IF(ISBLANK('4Q'!E9),"##BLANK",'4Q'!E9)</f>
        <v>525</v>
      </c>
    </row>
    <row r="1011" spans="2:6">
      <c r="B1011" s="219" t="str">
        <f>'4Q'!V9</f>
        <v>B0007DSCBWW</v>
      </c>
      <c r="C1011" s="219" t="s">
        <v>6010</v>
      </c>
      <c r="E1011" s="249" t="s">
        <v>3641</v>
      </c>
      <c r="F1011" s="255">
        <f>IF(ISBLANK('4Q'!F9),"##BLANK",'4Q'!F9)</f>
        <v>760</v>
      </c>
    </row>
    <row r="1012" spans="2:6">
      <c r="B1012" s="219" t="str">
        <f>'4Q'!W9</f>
        <v>B0007DSCBT</v>
      </c>
      <c r="C1012" s="219" t="s">
        <v>6011</v>
      </c>
      <c r="E1012" s="249" t="s">
        <v>3641</v>
      </c>
      <c r="F1012" s="255">
        <f>IF(ISBLANK('4Q'!G9),"##BLANK",'4Q'!G9)</f>
        <v>1285</v>
      </c>
    </row>
    <row r="1013" spans="2:6">
      <c r="B1013" s="219" t="str">
        <f>'4Q'!U10</f>
        <v>B0007DSCIWT</v>
      </c>
      <c r="C1013" s="219" t="s">
        <v>6012</v>
      </c>
      <c r="E1013" s="249" t="s">
        <v>3641</v>
      </c>
      <c r="F1013" s="255">
        <f>IF(ISBLANK('4Q'!E10),"##BLANK",'4Q'!E10)</f>
        <v>10105</v>
      </c>
    </row>
    <row r="1014" spans="2:6">
      <c r="B1014" s="219" t="str">
        <f>'4Q'!V10</f>
        <v>B0007DSCIWWT</v>
      </c>
      <c r="C1014" s="219" t="s">
        <v>6013</v>
      </c>
      <c r="E1014" s="249" t="s">
        <v>3641</v>
      </c>
      <c r="F1014" s="255">
        <f>IF(ISBLANK('4Q'!F10),"##BLANK",'4Q'!F10)</f>
        <v>14884</v>
      </c>
    </row>
    <row r="1015" spans="2:6">
      <c r="B1015" s="219" t="str">
        <f>'4Q'!W10</f>
        <v>B0007DSCIT</v>
      </c>
      <c r="C1015" s="219" t="s">
        <v>6014</v>
      </c>
      <c r="E1015" s="249" t="s">
        <v>3641</v>
      </c>
      <c r="F1015" s="255">
        <f>IF(ISBLANK('4Q'!G10),"##BLANK",'4Q'!G10)</f>
        <v>24989</v>
      </c>
    </row>
    <row r="1016" spans="2:6">
      <c r="B1016" s="219" t="str">
        <f>'4Q'!U12</f>
        <v>B0007DSCSLP</v>
      </c>
      <c r="C1016" s="219" t="s">
        <v>6015</v>
      </c>
      <c r="E1016" s="249" t="s">
        <v>3641</v>
      </c>
      <c r="F1016" s="255">
        <f>IF(ISBLANK('4Q'!E12),"##BLANK",'4Q'!E12)</f>
        <v>2160</v>
      </c>
    </row>
    <row r="1017" spans="2:6">
      <c r="B1017" s="219" t="str">
        <f>'4Q'!U15</f>
        <v>B0007DSPRW</v>
      </c>
      <c r="C1017" s="219" t="s">
        <v>6016</v>
      </c>
      <c r="E1017" s="249" t="s">
        <v>3641</v>
      </c>
      <c r="F1017" s="255">
        <f>IF(ISBLANK('4Q'!E15),"##BLANK",'4Q'!E15)</f>
        <v>11945</v>
      </c>
    </row>
    <row r="1018" spans="2:6">
      <c r="B1018" s="219" t="str">
        <f>'4Q'!V15</f>
        <v>B0007DSPRWW</v>
      </c>
      <c r="C1018" s="219" t="s">
        <v>6017</v>
      </c>
      <c r="E1018" s="249" t="s">
        <v>3641</v>
      </c>
      <c r="F1018" s="255">
        <f>IF(ISBLANK('4Q'!F15),"##BLANK",'4Q'!F15)</f>
        <v>6086</v>
      </c>
    </row>
    <row r="1019" spans="2:6">
      <c r="B1019" s="219" t="str">
        <f>'4Q'!W15</f>
        <v>B0007DSPRT</v>
      </c>
      <c r="C1019" s="219" t="s">
        <v>6018</v>
      </c>
      <c r="E1019" s="249" t="s">
        <v>3641</v>
      </c>
      <c r="F1019" s="255">
        <f>IF(ISBLANK('4Q'!G15),"##BLANK",'4Q'!G15)</f>
        <v>18031</v>
      </c>
    </row>
    <row r="1020" spans="2:6">
      <c r="B1020" s="219" t="str">
        <f>'4Q'!U16</f>
        <v>B0007DSPBW</v>
      </c>
      <c r="C1020" s="219" t="s">
        <v>6019</v>
      </c>
      <c r="E1020" s="249" t="s">
        <v>3641</v>
      </c>
      <c r="F1020" s="255">
        <f>IF(ISBLANK('4Q'!E16),"##BLANK",'4Q'!E16)</f>
        <v>529</v>
      </c>
    </row>
    <row r="1021" spans="2:6">
      <c r="B1021" s="219" t="str">
        <f>'4Q'!V16</f>
        <v>B0007DSPBWW</v>
      </c>
      <c r="C1021" s="219" t="s">
        <v>6020</v>
      </c>
      <c r="E1021" s="249" t="s">
        <v>3641</v>
      </c>
      <c r="F1021" s="255">
        <f>IF(ISBLANK('4Q'!F16),"##BLANK",'4Q'!F16)</f>
        <v>357</v>
      </c>
    </row>
    <row r="1022" spans="2:6">
      <c r="B1022" s="219" t="str">
        <f>'4Q'!W16</f>
        <v>B0007DSPBT</v>
      </c>
      <c r="C1022" s="219" t="s">
        <v>6021</v>
      </c>
      <c r="E1022" s="249" t="s">
        <v>3641</v>
      </c>
      <c r="F1022" s="255">
        <f>IF(ISBLANK('4Q'!G16),"##BLANK",'4Q'!G16)</f>
        <v>886</v>
      </c>
    </row>
    <row r="1023" spans="2:6">
      <c r="B1023" s="219" t="str">
        <f>'4Q'!U17</f>
        <v>B0007DSPIWT</v>
      </c>
      <c r="C1023" s="219" t="s">
        <v>6022</v>
      </c>
      <c r="E1023" s="249" t="s">
        <v>3641</v>
      </c>
      <c r="F1023" s="255">
        <f>IF(ISBLANK('4Q'!E17),"##BLANK",'4Q'!E17)</f>
        <v>12474</v>
      </c>
    </row>
    <row r="1024" spans="2:6">
      <c r="B1024" s="219" t="str">
        <f>'4Q'!V17</f>
        <v>B0007DSPIWWT</v>
      </c>
      <c r="C1024" s="219" t="s">
        <v>6023</v>
      </c>
      <c r="E1024" s="249" t="s">
        <v>3641</v>
      </c>
      <c r="F1024" s="255">
        <f>IF(ISBLANK('4Q'!F17),"##BLANK",'4Q'!F17)</f>
        <v>6443</v>
      </c>
    </row>
    <row r="1025" spans="2:6">
      <c r="B1025" s="219" t="str">
        <f>'4Q'!W17</f>
        <v>B0007DSPIT</v>
      </c>
      <c r="C1025" s="219" t="s">
        <v>6024</v>
      </c>
      <c r="E1025" s="249" t="s">
        <v>3641</v>
      </c>
      <c r="F1025" s="255">
        <f>IF(ISBLANK('4Q'!G17),"##BLANK",'4Q'!G17)</f>
        <v>18917</v>
      </c>
    </row>
    <row r="1026" spans="2:6">
      <c r="B1026" s="219" t="str">
        <f>'4Q'!U18</f>
        <v>B0007DSPRNAVW</v>
      </c>
      <c r="C1026" s="219" t="s">
        <v>6025</v>
      </c>
      <c r="E1026" s="249" t="s">
        <v>3641</v>
      </c>
      <c r="F1026" s="255">
        <f>IF(ISBLANK('4Q'!E18),"##BLANK",'4Q'!E18)</f>
        <v>1678</v>
      </c>
    </row>
    <row r="1027" spans="2:6">
      <c r="B1027" s="219" t="str">
        <f>'4Q'!V18</f>
        <v>B0007DSPRNAVWW</v>
      </c>
      <c r="C1027" s="219" t="s">
        <v>6026</v>
      </c>
      <c r="E1027" s="249" t="s">
        <v>3641</v>
      </c>
      <c r="F1027" s="255">
        <f>IF(ISBLANK('4Q'!F18),"##BLANK",'4Q'!F18)</f>
        <v>261</v>
      </c>
    </row>
    <row r="1028" spans="2:6">
      <c r="B1028" s="219" t="str">
        <f>'4Q'!W18</f>
        <v>B0007DSPRNAVT</v>
      </c>
      <c r="C1028" s="219" t="s">
        <v>6027</v>
      </c>
      <c r="E1028" s="249" t="s">
        <v>3641</v>
      </c>
      <c r="F1028" s="255">
        <f>IF(ISBLANK('4Q'!G18),"##BLANK",'4Q'!G18)</f>
        <v>1939</v>
      </c>
    </row>
    <row r="1029" spans="2:6">
      <c r="B1029" s="219" t="str">
        <f>'4Q'!U19</f>
        <v>B0007DSPBNAVW</v>
      </c>
      <c r="C1029" s="219" t="s">
        <v>6028</v>
      </c>
      <c r="E1029" s="249" t="s">
        <v>3641</v>
      </c>
      <c r="F1029" s="255">
        <f>IF(ISBLANK('4Q'!E19),"##BLANK",'4Q'!E19)</f>
        <v>27</v>
      </c>
    </row>
    <row r="1030" spans="2:6">
      <c r="B1030" s="219" t="str">
        <f>'4Q'!V19</f>
        <v>B0007DSPBNAVWW</v>
      </c>
      <c r="C1030" s="219" t="s">
        <v>6029</v>
      </c>
      <c r="E1030" s="249" t="s">
        <v>3641</v>
      </c>
      <c r="F1030" s="255">
        <f>IF(ISBLANK('4Q'!F19),"##BLANK",'4Q'!F19)</f>
        <v>0</v>
      </c>
    </row>
    <row r="1031" spans="2:6">
      <c r="B1031" s="219" t="str">
        <f>'4Q'!W19</f>
        <v>B0007DSPBNAVT</v>
      </c>
      <c r="C1031" s="219" t="s">
        <v>6030</v>
      </c>
      <c r="E1031" s="249" t="s">
        <v>3641</v>
      </c>
      <c r="F1031" s="255">
        <f>IF(ISBLANK('4Q'!G19),"##BLANK",'4Q'!G19)</f>
        <v>27</v>
      </c>
    </row>
    <row r="1032" spans="2:6">
      <c r="B1032" s="219" t="str">
        <f>'4Q'!U20</f>
        <v>B0007DSPNAVWT</v>
      </c>
      <c r="C1032" s="219" t="s">
        <v>6031</v>
      </c>
      <c r="E1032" s="249" t="s">
        <v>3641</v>
      </c>
      <c r="F1032" s="255">
        <f>IF(ISBLANK('4Q'!E20),"##BLANK",'4Q'!E20)</f>
        <v>1705</v>
      </c>
    </row>
    <row r="1033" spans="2:6">
      <c r="B1033" s="219" t="str">
        <f>'4Q'!V20</f>
        <v>B0007DSPNAVWWT</v>
      </c>
      <c r="C1033" s="219" t="s">
        <v>6032</v>
      </c>
      <c r="E1033" s="249" t="s">
        <v>3641</v>
      </c>
      <c r="F1033" s="255">
        <f>IF(ISBLANK('4Q'!F20),"##BLANK",'4Q'!F20)</f>
        <v>261</v>
      </c>
    </row>
    <row r="1034" spans="2:6">
      <c r="B1034" s="219" t="str">
        <f>'4Q'!W20</f>
        <v>B0007DSPNAVT</v>
      </c>
      <c r="C1034" s="219" t="s">
        <v>6033</v>
      </c>
      <c r="E1034" s="249" t="s">
        <v>3641</v>
      </c>
      <c r="F1034" s="255">
        <f>IF(ISBLANK('4Q'!G20),"##BLANK",'4Q'!G20)</f>
        <v>1966</v>
      </c>
    </row>
    <row r="1035" spans="2:6">
      <c r="B1035" s="219" t="str">
        <f>'4Q'!U21</f>
        <v>B0007DSPWT</v>
      </c>
      <c r="C1035" s="219" t="s">
        <v>6034</v>
      </c>
      <c r="E1035" s="249" t="s">
        <v>3641</v>
      </c>
      <c r="F1035" s="255">
        <f>IF(ISBLANK('4Q'!E21),"##BLANK",'4Q'!E21)</f>
        <v>14179</v>
      </c>
    </row>
    <row r="1036" spans="2:6">
      <c r="B1036" s="219" t="str">
        <f>'4Q'!V21</f>
        <v>B0007DSPWWT</v>
      </c>
      <c r="C1036" s="219" t="s">
        <v>6035</v>
      </c>
      <c r="E1036" s="249" t="s">
        <v>3641</v>
      </c>
      <c r="F1036" s="255">
        <f>IF(ISBLANK('4Q'!F21),"##BLANK",'4Q'!F21)</f>
        <v>6704</v>
      </c>
    </row>
    <row r="1037" spans="2:6">
      <c r="B1037" s="219" t="str">
        <f>'4Q'!W21</f>
        <v>B0007DSPTOT</v>
      </c>
      <c r="C1037" s="219" t="s">
        <v>6036</v>
      </c>
      <c r="E1037" s="249" t="s">
        <v>3641</v>
      </c>
      <c r="F1037" s="255">
        <f>IF(ISBLANK('4Q'!G21),"##BLANK",'4Q'!G21)</f>
        <v>20883</v>
      </c>
    </row>
    <row r="1038" spans="2:6">
      <c r="B1038" s="219" t="str">
        <f>'4Q'!U23</f>
        <v>B0007DSPSLP</v>
      </c>
      <c r="C1038" s="219" t="s">
        <v>6037</v>
      </c>
      <c r="E1038" s="249" t="s">
        <v>3641</v>
      </c>
      <c r="F1038" s="255">
        <f>IF(ISBLANK('4Q'!E23),"##BLANK",'4Q'!E23)</f>
        <v>2160</v>
      </c>
    </row>
    <row r="1039" spans="2:6">
      <c r="B1039" s="257" t="str">
        <f>'4Q'!U26</f>
        <v>B0007DSDLREQ</v>
      </c>
      <c r="C1039" s="219" t="s">
        <v>6038</v>
      </c>
      <c r="E1039" s="249" t="s">
        <v>3641</v>
      </c>
      <c r="F1039" s="255">
        <f>IF(ISBLANK('4Q'!E26),"##BLANK",'4Q'!E26)</f>
        <v>49.2</v>
      </c>
    </row>
    <row r="1040" spans="2:6">
      <c r="B1040" s="257" t="str">
        <f>'4Q'!U27</f>
        <v>B0007DSDLSLP</v>
      </c>
      <c r="C1040" s="219" t="s">
        <v>6039</v>
      </c>
      <c r="E1040" s="249" t="s">
        <v>3641</v>
      </c>
      <c r="F1040" s="255">
        <f>IF(ISBLANK('4Q'!E27),"##BLANK",'4Q'!E27)</f>
        <v>23</v>
      </c>
    </row>
    <row r="1041" spans="2:6">
      <c r="B1041" s="219" t="str">
        <f>'4R'!AX8</f>
        <v>R3017</v>
      </c>
      <c r="C1041" s="219" t="s">
        <v>6040</v>
      </c>
      <c r="E1041" s="249" t="s">
        <v>3641</v>
      </c>
      <c r="F1041" s="255">
        <f>IF(ISBLANK('4R'!E8),"##BLANK",'4R'!E8)</f>
        <v>268.11099999999999</v>
      </c>
    </row>
    <row r="1042" spans="2:6">
      <c r="B1042" s="219" t="str">
        <f>'4R'!AY8</f>
        <v>R3018</v>
      </c>
      <c r="C1042" s="219" t="s">
        <v>6041</v>
      </c>
      <c r="E1042" s="249" t="s">
        <v>3641</v>
      </c>
      <c r="F1042" s="255">
        <f>IF(ISBLANK('4R'!F8),"##BLANK",'4R'!F8)</f>
        <v>509.786</v>
      </c>
    </row>
    <row r="1043" spans="2:6">
      <c r="B1043" s="219" t="str">
        <f>'4R'!AZ8</f>
        <v>R3042TOT</v>
      </c>
      <c r="C1043" s="219" t="s">
        <v>6042</v>
      </c>
      <c r="E1043" s="249" t="s">
        <v>3641</v>
      </c>
      <c r="F1043" s="255">
        <f>IF(ISBLANK('4R'!G8),"##BLANK",'4R'!G8)</f>
        <v>777.89699999999993</v>
      </c>
    </row>
    <row r="1044" spans="2:6">
      <c r="B1044" s="219" t="str">
        <f>'4R'!BA8</f>
        <v>R3042VOI</v>
      </c>
      <c r="C1044" s="219" t="s">
        <v>6043</v>
      </c>
      <c r="E1044" s="249" t="s">
        <v>3641</v>
      </c>
      <c r="F1044" s="255">
        <f>IF(ISBLANK('4R'!H8),"##BLANK",'4R'!H8)</f>
        <v>22.332999999999998</v>
      </c>
    </row>
    <row r="1045" spans="2:6">
      <c r="B1045" s="219" t="str">
        <f>'4R'!AX9</f>
        <v>R3019</v>
      </c>
      <c r="C1045" s="219" t="s">
        <v>6044</v>
      </c>
      <c r="E1045" s="249" t="s">
        <v>3641</v>
      </c>
      <c r="F1045" s="255">
        <f>IF(ISBLANK('4R'!E9),"##BLANK",'4R'!E9)</f>
        <v>27.036999999999999</v>
      </c>
    </row>
    <row r="1046" spans="2:6">
      <c r="B1046" s="219" t="str">
        <f>'4R'!AY9</f>
        <v>R3020</v>
      </c>
      <c r="C1046" s="219" t="s">
        <v>6045</v>
      </c>
      <c r="E1046" s="249" t="s">
        <v>3641</v>
      </c>
      <c r="F1046" s="255">
        <f>IF(ISBLANK('4R'!F9),"##BLANK",'4R'!F9)</f>
        <v>41.487000000000002</v>
      </c>
    </row>
    <row r="1047" spans="2:6">
      <c r="B1047" s="219" t="str">
        <f>'4R'!AZ9</f>
        <v>R3043TOT</v>
      </c>
      <c r="C1047" s="219" t="s">
        <v>6046</v>
      </c>
      <c r="E1047" s="249" t="s">
        <v>3641</v>
      </c>
      <c r="F1047" s="255">
        <f>IF(ISBLANK('4R'!G9),"##BLANK",'4R'!G9)</f>
        <v>68.524000000000001</v>
      </c>
    </row>
    <row r="1048" spans="2:6">
      <c r="B1048" s="219" t="str">
        <f>'4R'!BA9</f>
        <v>R3043VOI</v>
      </c>
      <c r="C1048" s="219" t="s">
        <v>6047</v>
      </c>
      <c r="E1048" s="249" t="s">
        <v>3641</v>
      </c>
      <c r="F1048" s="255">
        <f>IF(ISBLANK('4R'!H9),"##BLANK",'4R'!H9)</f>
        <v>3.1379999999999999</v>
      </c>
    </row>
    <row r="1049" spans="2:6">
      <c r="B1049" s="219" t="str">
        <f>'4R'!AX10</f>
        <v>R3021</v>
      </c>
      <c r="C1049" s="219" t="s">
        <v>6048</v>
      </c>
      <c r="E1049" s="249" t="s">
        <v>3641</v>
      </c>
      <c r="F1049" s="255">
        <f>IF(ISBLANK('4R'!E10),"##BLANK",'4R'!E10)</f>
        <v>636.56399999999996</v>
      </c>
    </row>
    <row r="1050" spans="2:6">
      <c r="B1050" s="219" t="str">
        <f>'4R'!AY10</f>
        <v>R3022</v>
      </c>
      <c r="C1050" s="219" t="s">
        <v>6049</v>
      </c>
      <c r="E1050" s="249" t="s">
        <v>3641</v>
      </c>
      <c r="F1050" s="255">
        <f>IF(ISBLANK('4R'!F10),"##BLANK",'4R'!F10)</f>
        <v>488.72199999999998</v>
      </c>
    </row>
    <row r="1051" spans="2:6">
      <c r="B1051" s="219" t="str">
        <f>'4R'!AZ10</f>
        <v>R3044TOT</v>
      </c>
      <c r="C1051" s="219" t="s">
        <v>6050</v>
      </c>
      <c r="E1051" s="249" t="s">
        <v>3641</v>
      </c>
      <c r="F1051" s="255">
        <f>IF(ISBLANK('4R'!G10),"##BLANK",'4R'!G10)</f>
        <v>1125.2860000000001</v>
      </c>
    </row>
    <row r="1052" spans="2:6">
      <c r="B1052" s="219" t="str">
        <f>'4R'!BA10</f>
        <v>R3044VOI</v>
      </c>
      <c r="C1052" s="219" t="s">
        <v>6051</v>
      </c>
      <c r="E1052" s="249" t="s">
        <v>3641</v>
      </c>
      <c r="F1052" s="255">
        <f>IF(ISBLANK('4R'!H10),"##BLANK",'4R'!H10)</f>
        <v>43.968000000000004</v>
      </c>
    </row>
    <row r="1053" spans="2:6">
      <c r="B1053" s="219" t="str">
        <f>'4R'!AX11</f>
        <v>R1005UTO</v>
      </c>
      <c r="C1053" s="219" t="s">
        <v>6052</v>
      </c>
      <c r="E1053" s="249" t="s">
        <v>3641</v>
      </c>
      <c r="F1053" s="255">
        <f>IF(ISBLANK('4R'!E11),"##BLANK",'4R'!E11)</f>
        <v>931.71199999999999</v>
      </c>
    </row>
    <row r="1054" spans="2:6">
      <c r="B1054" s="219" t="str">
        <f>'4R'!AY11</f>
        <v>R1005MTO</v>
      </c>
      <c r="C1054" s="219" t="s">
        <v>6053</v>
      </c>
      <c r="E1054" s="249" t="s">
        <v>3641</v>
      </c>
      <c r="F1054" s="255">
        <f>IF(ISBLANK('4R'!F11),"##BLANK",'4R'!F11)</f>
        <v>1039.9949999999999</v>
      </c>
    </row>
    <row r="1055" spans="2:6">
      <c r="B1055" s="219" t="str">
        <f>'4R'!AZ11</f>
        <v>R1005TOT</v>
      </c>
      <c r="C1055" s="219" t="s">
        <v>6054</v>
      </c>
      <c r="E1055" s="249" t="s">
        <v>3641</v>
      </c>
      <c r="F1055" s="255">
        <f>IF(ISBLANK('4R'!G11),"##BLANK",'4R'!G11)</f>
        <v>1971.7069999999999</v>
      </c>
    </row>
    <row r="1056" spans="2:6">
      <c r="B1056" s="219" t="str">
        <f>'4R'!BA11</f>
        <v>R1005VOI</v>
      </c>
      <c r="C1056" s="219" t="s">
        <v>6055</v>
      </c>
      <c r="E1056" s="249" t="s">
        <v>3641</v>
      </c>
      <c r="F1056" s="255">
        <f>IF(ISBLANK('4R'!H11),"##BLANK",'4R'!H11)</f>
        <v>69.438999999999993</v>
      </c>
    </row>
    <row r="1057" spans="2:6">
      <c r="B1057" s="219" t="str">
        <f>'4R'!AX12</f>
        <v>R3032UTO</v>
      </c>
      <c r="C1057" s="219" t="s">
        <v>6056</v>
      </c>
      <c r="E1057" s="249" t="s">
        <v>3641</v>
      </c>
      <c r="F1057" s="255">
        <f>IF(ISBLANK('4R'!E12),"##BLANK",'4R'!E12)</f>
        <v>3.1579999999999999</v>
      </c>
    </row>
    <row r="1058" spans="2:6">
      <c r="B1058" s="219" t="str">
        <f>'4R'!AY12</f>
        <v>R3032MTO</v>
      </c>
      <c r="C1058" s="219" t="s">
        <v>6057</v>
      </c>
      <c r="E1058" s="249" t="s">
        <v>3641</v>
      </c>
      <c r="F1058" s="255">
        <f>IF(ISBLANK('4R'!F12),"##BLANK",'4R'!F12)</f>
        <v>38.726999999999997</v>
      </c>
    </row>
    <row r="1059" spans="2:6">
      <c r="B1059" s="219" t="str">
        <f>'4R'!AZ12</f>
        <v>R3032TOT</v>
      </c>
      <c r="C1059" s="219" t="s">
        <v>6058</v>
      </c>
      <c r="E1059" s="249" t="s">
        <v>3641</v>
      </c>
      <c r="F1059" s="255">
        <f>IF(ISBLANK('4R'!G12),"##BLANK",'4R'!G12)</f>
        <v>41.884999999999998</v>
      </c>
    </row>
    <row r="1060" spans="2:6">
      <c r="B1060" s="219" t="str">
        <f>'4R'!BA12</f>
        <v>R3032VOI</v>
      </c>
      <c r="C1060" s="219" t="s">
        <v>6059</v>
      </c>
      <c r="E1060" s="249" t="s">
        <v>3641</v>
      </c>
      <c r="F1060" s="255">
        <f>IF(ISBLANK('4R'!H12),"##BLANK",'4R'!H12)</f>
        <v>9.4499999999999993</v>
      </c>
    </row>
    <row r="1061" spans="2:6">
      <c r="B1061" s="219" t="str">
        <f>'4R'!AX13</f>
        <v>R3034UTO</v>
      </c>
      <c r="C1061" s="219" t="s">
        <v>6060</v>
      </c>
      <c r="E1061" s="249" t="s">
        <v>3641</v>
      </c>
      <c r="F1061" s="255">
        <f>IF(ISBLANK('4R'!E13),"##BLANK",'4R'!E13)</f>
        <v>4.351</v>
      </c>
    </row>
    <row r="1062" spans="2:6">
      <c r="B1062" s="219" t="str">
        <f>'4R'!AY13</f>
        <v>R3034MTO</v>
      </c>
      <c r="C1062" s="219" t="s">
        <v>6061</v>
      </c>
      <c r="E1062" s="249" t="s">
        <v>3641</v>
      </c>
      <c r="F1062" s="255">
        <f>IF(ISBLANK('4R'!F13),"##BLANK",'4R'!F13)</f>
        <v>1.22</v>
      </c>
    </row>
    <row r="1063" spans="2:6">
      <c r="B1063" s="219" t="str">
        <f>'4R'!AZ13</f>
        <v>R3034TOT</v>
      </c>
      <c r="C1063" s="219" t="s">
        <v>6062</v>
      </c>
      <c r="E1063" s="249" t="s">
        <v>3641</v>
      </c>
      <c r="F1063" s="255">
        <f>IF(ISBLANK('4R'!G13),"##BLANK",'4R'!G13)</f>
        <v>5.5709999999999997</v>
      </c>
    </row>
    <row r="1064" spans="2:6">
      <c r="B1064" s="219" t="str">
        <f>'4R'!BA13</f>
        <v>R3034VOI</v>
      </c>
      <c r="C1064" s="219" t="s">
        <v>6063</v>
      </c>
      <c r="E1064" s="249" t="s">
        <v>3641</v>
      </c>
      <c r="F1064" s="255">
        <f>IF(ISBLANK('4R'!H13),"##BLANK",'4R'!H13)</f>
        <v>3.984</v>
      </c>
    </row>
    <row r="1065" spans="2:6">
      <c r="B1065" s="219" t="str">
        <f>'4R'!AX14</f>
        <v>R3036UTO</v>
      </c>
      <c r="C1065" s="219" t="s">
        <v>6064</v>
      </c>
      <c r="E1065" s="249" t="s">
        <v>3641</v>
      </c>
      <c r="F1065" s="255">
        <f>IF(ISBLANK('4R'!E14),"##BLANK",'4R'!E14)</f>
        <v>4.5720000000000001</v>
      </c>
    </row>
    <row r="1066" spans="2:6">
      <c r="B1066" s="219" t="str">
        <f>'4R'!AY14</f>
        <v>R3036MTO</v>
      </c>
      <c r="C1066" s="219" t="s">
        <v>6065</v>
      </c>
      <c r="E1066" s="249" t="s">
        <v>3641</v>
      </c>
      <c r="F1066" s="255">
        <f>IF(ISBLANK('4R'!F14),"##BLANK",'4R'!F14)</f>
        <v>38.161999999999999</v>
      </c>
    </row>
    <row r="1067" spans="2:6">
      <c r="B1067" s="219" t="str">
        <f>'4R'!AZ14</f>
        <v>R3036TOT</v>
      </c>
      <c r="C1067" s="219" t="s">
        <v>6066</v>
      </c>
      <c r="E1067" s="249" t="s">
        <v>3641</v>
      </c>
      <c r="F1067" s="255">
        <f>IF(ISBLANK('4R'!G14),"##BLANK",'4R'!G14)</f>
        <v>42.734000000000002</v>
      </c>
    </row>
    <row r="1068" spans="2:6">
      <c r="B1068" s="219" t="str">
        <f>'4R'!BA14</f>
        <v>R3036VOI</v>
      </c>
      <c r="C1068" s="219" t="s">
        <v>6067</v>
      </c>
      <c r="E1068" s="249" t="s">
        <v>3641</v>
      </c>
      <c r="F1068" s="255">
        <f>IF(ISBLANK('4R'!H14),"##BLANK",'4R'!H14)</f>
        <v>13.468</v>
      </c>
    </row>
    <row r="1069" spans="2:6">
      <c r="B1069" s="219" t="str">
        <f>'4R'!AX15</f>
        <v>R3038UTO</v>
      </c>
      <c r="C1069" s="219" t="s">
        <v>6068</v>
      </c>
      <c r="E1069" s="249" t="s">
        <v>3641</v>
      </c>
      <c r="F1069" s="255">
        <f>IF(ISBLANK('4R'!E15),"##BLANK",'4R'!E15)</f>
        <v>12.081</v>
      </c>
    </row>
    <row r="1070" spans="2:6">
      <c r="B1070" s="219" t="str">
        <f>'4R'!AY15</f>
        <v>R3038MTO</v>
      </c>
      <c r="C1070" s="219" t="s">
        <v>6069</v>
      </c>
      <c r="E1070" s="249" t="s">
        <v>3641</v>
      </c>
      <c r="F1070" s="255">
        <f>IF(ISBLANK('4R'!F15),"##BLANK",'4R'!F15)</f>
        <v>78.108999999999995</v>
      </c>
    </row>
    <row r="1071" spans="2:6">
      <c r="B1071" s="219" t="str">
        <f>'4R'!AZ15</f>
        <v>R3038TOT</v>
      </c>
      <c r="C1071" s="219" t="s">
        <v>6070</v>
      </c>
      <c r="E1071" s="249" t="s">
        <v>3641</v>
      </c>
      <c r="F1071" s="255">
        <f>IF(ISBLANK('4R'!G15),"##BLANK",'4R'!G15)</f>
        <v>90.19</v>
      </c>
    </row>
    <row r="1072" spans="2:6">
      <c r="B1072" s="219" t="str">
        <f>'4R'!BA15</f>
        <v>R3038VOI</v>
      </c>
      <c r="C1072" s="219" t="s">
        <v>6071</v>
      </c>
      <c r="E1072" s="249" t="s">
        <v>3641</v>
      </c>
      <c r="F1072" s="255">
        <f>IF(ISBLANK('4R'!H15),"##BLANK",'4R'!H15)</f>
        <v>26.902000000000001</v>
      </c>
    </row>
    <row r="1073" spans="2:6">
      <c r="B1073" s="219" t="str">
        <f>'4R'!AX16</f>
        <v>R3040UTO</v>
      </c>
      <c r="C1073" s="219" t="s">
        <v>6072</v>
      </c>
      <c r="E1073" s="249" t="s">
        <v>3641</v>
      </c>
      <c r="F1073" s="255">
        <f>IF(ISBLANK('4R'!E16),"##BLANK",'4R'!E16)</f>
        <v>943.79300000000001</v>
      </c>
    </row>
    <row r="1074" spans="2:6">
      <c r="B1074" s="219" t="str">
        <f>'4R'!AY16</f>
        <v>R3040MTO</v>
      </c>
      <c r="C1074" s="219" t="s">
        <v>6073</v>
      </c>
      <c r="E1074" s="249" t="s">
        <v>3641</v>
      </c>
      <c r="F1074" s="255">
        <f>IF(ISBLANK('4R'!F16),"##BLANK",'4R'!F16)</f>
        <v>1118.1039999999998</v>
      </c>
    </row>
    <row r="1075" spans="2:6">
      <c r="B1075" s="219" t="str">
        <f>'4R'!AZ16</f>
        <v>R3040TOT</v>
      </c>
      <c r="C1075" s="219" t="s">
        <v>6074</v>
      </c>
      <c r="E1075" s="249" t="s">
        <v>3641</v>
      </c>
      <c r="F1075" s="255">
        <f>IF(ISBLANK('4R'!G16),"##BLANK",'4R'!G16)</f>
        <v>2061.8969999999999</v>
      </c>
    </row>
    <row r="1076" spans="2:6">
      <c r="B1076" s="219" t="str">
        <f>'4R'!BA16</f>
        <v>R3040VOI</v>
      </c>
      <c r="C1076" s="219" t="s">
        <v>6075</v>
      </c>
      <c r="E1076" s="249" t="s">
        <v>3641</v>
      </c>
      <c r="F1076" s="255">
        <f>IF(ISBLANK('4R'!H16),"##BLANK",'4R'!H16)</f>
        <v>96.340999999999994</v>
      </c>
    </row>
    <row r="1077" spans="2:6">
      <c r="B1077" s="219" t="str">
        <f>'4R'!AX22</f>
        <v>BN2100UTO</v>
      </c>
      <c r="C1077" s="219" t="s">
        <v>6076</v>
      </c>
      <c r="E1077" s="249" t="s">
        <v>3641</v>
      </c>
      <c r="F1077" s="255">
        <f>IF(ISBLANK('4R'!E22),"##BLANK",'4R'!E22)</f>
        <v>904.67499999999995</v>
      </c>
    </row>
    <row r="1078" spans="2:6">
      <c r="B1078" s="219" t="str">
        <f>'4R'!AY22</f>
        <v>BN2100MTO</v>
      </c>
      <c r="C1078" s="219" t="s">
        <v>6077</v>
      </c>
      <c r="E1078" s="249" t="s">
        <v>3641</v>
      </c>
      <c r="F1078" s="255">
        <f>IF(ISBLANK('4R'!F22),"##BLANK",'4R'!F22)</f>
        <v>998.50800000000004</v>
      </c>
    </row>
    <row r="1079" spans="2:6">
      <c r="B1079" s="219" t="str">
        <f>'4R'!AZ22</f>
        <v>BN2100TOT</v>
      </c>
      <c r="C1079" s="219" t="s">
        <v>6078</v>
      </c>
      <c r="E1079" s="249" t="s">
        <v>3641</v>
      </c>
      <c r="F1079" s="255">
        <f>IF(ISBLANK('4R'!G22),"##BLANK",'4R'!G22)</f>
        <v>1903.183</v>
      </c>
    </row>
    <row r="1080" spans="2:6">
      <c r="B1080" s="219" t="str">
        <f>'4R'!BA22</f>
        <v>BN2130</v>
      </c>
      <c r="C1080" s="219" t="s">
        <v>6079</v>
      </c>
      <c r="E1080" s="249" t="s">
        <v>3641</v>
      </c>
      <c r="F1080" s="255">
        <f>IF(ISBLANK('4R'!H22),"##BLANK",'4R'!H22)</f>
        <v>663.601</v>
      </c>
    </row>
    <row r="1081" spans="2:6">
      <c r="B1081" s="219" t="str">
        <f>'4R'!BB22</f>
        <v>BN2140</v>
      </c>
      <c r="C1081" s="219" t="s">
        <v>6080</v>
      </c>
      <c r="E1081" s="249" t="s">
        <v>3641</v>
      </c>
      <c r="F1081" s="255">
        <f>IF(ISBLANK('4R'!I22),"##BLANK",'4R'!I22)</f>
        <v>530.20876923076901</v>
      </c>
    </row>
    <row r="1082" spans="2:6">
      <c r="B1082" s="219" t="str">
        <f>'4R'!BC22</f>
        <v>BN2150</v>
      </c>
      <c r="C1082" s="219" t="s">
        <v>6081</v>
      </c>
      <c r="E1082" s="249" t="s">
        <v>3641</v>
      </c>
      <c r="F1082" s="255">
        <f>IF(ISBLANK('4R'!J22),"##BLANK",'4R'!J22)</f>
        <v>1193.809769230769</v>
      </c>
    </row>
    <row r="1083" spans="2:6">
      <c r="B1083" s="219" t="str">
        <f>'4R'!AZ23</f>
        <v>BN2300A</v>
      </c>
      <c r="C1083" s="219" t="s">
        <v>6082</v>
      </c>
      <c r="E1083" s="249" t="s">
        <v>3641</v>
      </c>
      <c r="F1083" s="255">
        <f>IF(ISBLANK('4R'!G23),"##BLANK",'4R'!G23)</f>
        <v>66.301000000000002</v>
      </c>
    </row>
    <row r="1084" spans="2:6">
      <c r="B1084" s="219" t="str">
        <f>'4R'!BC23</f>
        <v>BN2310A</v>
      </c>
      <c r="C1084" s="219" t="s">
        <v>6083</v>
      </c>
      <c r="E1084" s="249" t="s">
        <v>3641</v>
      </c>
      <c r="F1084" s="255">
        <f>IF(ISBLANK('4R'!J23),"##BLANK",'4R'!J23)</f>
        <v>47.106000000000002</v>
      </c>
    </row>
    <row r="1085" spans="2:6">
      <c r="B1085" s="219" t="str">
        <f>'4R'!AZ24</f>
        <v>BN2400</v>
      </c>
      <c r="C1085" s="219" t="s">
        <v>6084</v>
      </c>
      <c r="E1085" s="249" t="s">
        <v>3641</v>
      </c>
      <c r="F1085" s="255">
        <f>IF(ISBLANK('4R'!G24),"##BLANK",'4R'!G24)</f>
        <v>1969.4839999999999</v>
      </c>
    </row>
    <row r="1086" spans="2:6">
      <c r="B1086" s="219" t="str">
        <f>'4R'!BC24</f>
        <v>BN2410</v>
      </c>
      <c r="C1086" s="219" t="s">
        <v>6085</v>
      </c>
      <c r="E1086" s="249" t="s">
        <v>3641</v>
      </c>
      <c r="F1086" s="255">
        <f>IF(ISBLANK('4R'!J24),"##BLANK",'4R'!J24)</f>
        <v>1240.915769230769</v>
      </c>
    </row>
    <row r="1087" spans="2:6">
      <c r="B1087" s="219" t="str">
        <f>'4R'!AX25</f>
        <v>BN2200</v>
      </c>
      <c r="C1087" s="219" t="s">
        <v>6086</v>
      </c>
      <c r="E1087" s="249" t="s">
        <v>3641</v>
      </c>
      <c r="F1087" s="255">
        <f>IF(ISBLANK('4R'!E25),"##BLANK",'4R'!E25)</f>
        <v>7.73</v>
      </c>
    </row>
    <row r="1088" spans="2:6">
      <c r="B1088" s="219" t="str">
        <f>'4R'!AY25</f>
        <v>BN2210</v>
      </c>
      <c r="C1088" s="219" t="s">
        <v>6087</v>
      </c>
      <c r="E1088" s="249" t="s">
        <v>3641</v>
      </c>
      <c r="F1088" s="255">
        <f>IF(ISBLANK('4R'!F25),"##BLANK",'4R'!F25)</f>
        <v>76.888999999999996</v>
      </c>
    </row>
    <row r="1089" spans="2:6">
      <c r="B1089" s="219" t="str">
        <f>'4R'!AZ25</f>
        <v>BN2220A</v>
      </c>
      <c r="C1089" s="219" t="s">
        <v>6088</v>
      </c>
      <c r="E1089" s="249" t="s">
        <v>3641</v>
      </c>
      <c r="F1089" s="255">
        <f>IF(ISBLANK('4R'!G25),"##BLANK",'4R'!G25)</f>
        <v>84.619</v>
      </c>
    </row>
    <row r="1090" spans="2:6">
      <c r="B1090" s="219" t="str">
        <f>'4R'!BA25</f>
        <v>BN2250</v>
      </c>
      <c r="C1090" s="219" t="s">
        <v>6089</v>
      </c>
      <c r="E1090" s="249" t="s">
        <v>3641</v>
      </c>
      <c r="F1090" s="255">
        <f>IF(ISBLANK('4R'!H25),"##BLANK",'4R'!H25)</f>
        <v>8.923</v>
      </c>
    </row>
    <row r="1091" spans="2:6">
      <c r="B1091" s="219" t="str">
        <f>'4R'!BB25</f>
        <v>BN2260</v>
      </c>
      <c r="C1091" s="219" t="s">
        <v>6090</v>
      </c>
      <c r="E1091" s="249" t="s">
        <v>3641</v>
      </c>
      <c r="F1091" s="255">
        <f>IF(ISBLANK('4R'!I25),"##BLANK",'4R'!I25)</f>
        <v>39.381999999999998</v>
      </c>
    </row>
    <row r="1092" spans="2:6">
      <c r="B1092" s="219" t="str">
        <f>'4R'!BC25</f>
        <v>BN2270</v>
      </c>
      <c r="C1092" s="219" t="s">
        <v>6091</v>
      </c>
      <c r="E1092" s="249" t="s">
        <v>3641</v>
      </c>
      <c r="F1092" s="255">
        <f>IF(ISBLANK('4R'!J25),"##BLANK",'4R'!J25)</f>
        <v>48.305</v>
      </c>
    </row>
    <row r="1093" spans="2:6">
      <c r="B1093" s="219" t="str">
        <f>'4R'!AZ26</f>
        <v>BN2500</v>
      </c>
      <c r="C1093" s="219" t="s">
        <v>6092</v>
      </c>
      <c r="E1093" s="249" t="s">
        <v>3641</v>
      </c>
      <c r="F1093" s="255">
        <f>IF(ISBLANK('4R'!G26),"##BLANK",'4R'!G26)</f>
        <v>22.917999999999999</v>
      </c>
    </row>
    <row r="1094" spans="2:6">
      <c r="B1094" s="219" t="str">
        <f>'4R'!BC26</f>
        <v>BN2510</v>
      </c>
      <c r="C1094" s="219" t="s">
        <v>6093</v>
      </c>
      <c r="E1094" s="249" t="s">
        <v>3641</v>
      </c>
      <c r="F1094" s="255">
        <f>IF(ISBLANK('4R'!J26),"##BLANK",'4R'!J26)</f>
        <v>17.452000000000002</v>
      </c>
    </row>
    <row r="1095" spans="2:6">
      <c r="B1095" s="219" t="str">
        <f>'4R'!AZ27</f>
        <v>BN2600A</v>
      </c>
      <c r="C1095" s="219" t="s">
        <v>6094</v>
      </c>
      <c r="E1095" s="249" t="s">
        <v>3641</v>
      </c>
      <c r="F1095" s="255">
        <f>IF(ISBLANK('4R'!G27),"##BLANK",'4R'!G27)</f>
        <v>107.53700000000001</v>
      </c>
    </row>
    <row r="1096" spans="2:6">
      <c r="B1096" s="219" t="str">
        <f>'4R'!BC27</f>
        <v>BN2610A</v>
      </c>
      <c r="C1096" s="219" t="s">
        <v>6095</v>
      </c>
      <c r="E1096" s="249" t="s">
        <v>3641</v>
      </c>
      <c r="F1096" s="255">
        <f>IF(ISBLANK('4R'!J27),"##BLANK",'4R'!J27)</f>
        <v>65.757000000000005</v>
      </c>
    </row>
    <row r="1097" spans="2:6">
      <c r="B1097" s="219" t="str">
        <f>'4R'!AZ28</f>
        <v>BN2700</v>
      </c>
      <c r="C1097" s="219" t="s">
        <v>6096</v>
      </c>
      <c r="E1097" s="249" t="s">
        <v>3641</v>
      </c>
      <c r="F1097" s="255">
        <f>IF(ISBLANK('4R'!G28),"##BLANK",'4R'!G28)</f>
        <v>2077.0209999999997</v>
      </c>
    </row>
    <row r="1098" spans="2:6">
      <c r="B1098" s="219" t="str">
        <f>'4R'!BC28</f>
        <v>BN2710</v>
      </c>
      <c r="C1098" s="219" t="s">
        <v>6097</v>
      </c>
      <c r="E1098" s="249" t="s">
        <v>3641</v>
      </c>
      <c r="F1098" s="255">
        <f>IF(ISBLANK('4R'!J28),"##BLANK",'4R'!J28)</f>
        <v>1306.6727692307691</v>
      </c>
    </row>
    <row r="1099" spans="2:6">
      <c r="B1099" s="219" t="str">
        <f>'4R'!AX35</f>
        <v>B0202UNO</v>
      </c>
      <c r="C1099" s="219" t="s">
        <v>6098</v>
      </c>
      <c r="E1099" s="249" t="s">
        <v>3641</v>
      </c>
      <c r="F1099" s="255">
        <f>IF(ISBLANK('4R'!E35),"##BLANK",'4R'!E35)</f>
        <v>0</v>
      </c>
    </row>
    <row r="1100" spans="2:6">
      <c r="B1100" s="219" t="str">
        <f>'4R'!AY35</f>
        <v>B0202UBM</v>
      </c>
      <c r="C1100" s="219" t="s">
        <v>6099</v>
      </c>
      <c r="E1100" s="249" t="s">
        <v>3641</v>
      </c>
      <c r="F1100" s="255">
        <f>IF(ISBLANK('4R'!F35),"##BLANK",'4R'!F35)</f>
        <v>0</v>
      </c>
    </row>
    <row r="1101" spans="2:6">
      <c r="B1101" s="219" t="str">
        <f>'4R'!AZ35</f>
        <v>B0402RPAMR_UM</v>
      </c>
      <c r="C1101" s="219" t="s">
        <v>6100</v>
      </c>
      <c r="E1101" s="249" t="s">
        <v>3641</v>
      </c>
      <c r="F1101" s="255">
        <f>IF(ISBLANK('4R'!G35),"##BLANK",'4R'!G35)</f>
        <v>0</v>
      </c>
    </row>
    <row r="1102" spans="2:6">
      <c r="B1102" s="219" t="str">
        <f>'4R'!BA35</f>
        <v>B0402RPAMR_UC</v>
      </c>
      <c r="C1102" s="219" t="s">
        <v>6101</v>
      </c>
      <c r="E1102" s="249" t="s">
        <v>3641</v>
      </c>
      <c r="F1102" s="255">
        <f>IF(ISBLANK('4R'!H35),"##BLANK",'4R'!H35)</f>
        <v>0</v>
      </c>
    </row>
    <row r="1103" spans="2:6">
      <c r="B1103" s="219" t="str">
        <f>'4R'!BB35</f>
        <v>B0402RPAMR_UA</v>
      </c>
      <c r="C1103" s="219" t="s">
        <v>6102</v>
      </c>
      <c r="E1103" s="249" t="s">
        <v>3641</v>
      </c>
      <c r="F1103" s="255">
        <f>IF(ISBLANK('4R'!I35),"##BLANK",'4R'!I35)</f>
        <v>0</v>
      </c>
    </row>
    <row r="1104" spans="2:6">
      <c r="B1104" s="219" t="str">
        <f>'4R'!BC35</f>
        <v>B0402RPC__UT</v>
      </c>
      <c r="C1104" s="219" t="s">
        <v>6103</v>
      </c>
      <c r="E1104" s="249" t="s">
        <v>3641</v>
      </c>
      <c r="F1104" s="255">
        <f>IF(ISBLANK('4R'!J35),"##BLANK",'4R'!J35)</f>
        <v>0</v>
      </c>
    </row>
    <row r="1105" spans="2:6">
      <c r="B1105" s="219" t="str">
        <f>'4R'!BD35</f>
        <v>B0202MNO</v>
      </c>
      <c r="C1105" s="219" t="s">
        <v>6104</v>
      </c>
      <c r="E1105" s="249" t="s">
        <v>3641</v>
      </c>
      <c r="F1105" s="255">
        <f>IF(ISBLANK('4R'!K35),"##BLANK",'4R'!K35)</f>
        <v>0</v>
      </c>
    </row>
    <row r="1106" spans="2:6">
      <c r="B1106" s="219" t="str">
        <f>'4R'!BE35</f>
        <v>B0202MBM</v>
      </c>
      <c r="C1106" s="219" t="s">
        <v>6105</v>
      </c>
      <c r="E1106" s="249" t="s">
        <v>3641</v>
      </c>
      <c r="F1106" s="255">
        <f>IF(ISBLANK('4R'!L35),"##BLANK",'4R'!L35)</f>
        <v>8.4000000000000005E-2</v>
      </c>
    </row>
    <row r="1107" spans="2:6">
      <c r="B1107" s="219" t="str">
        <f>'4R'!BF35</f>
        <v>B0402RPAMR_MM</v>
      </c>
      <c r="C1107" s="219" t="s">
        <v>6106</v>
      </c>
      <c r="E1107" s="249" t="s">
        <v>3641</v>
      </c>
      <c r="F1107" s="255">
        <f>IF(ISBLANK('4R'!M35),"##BLANK",'4R'!M35)</f>
        <v>0.80800000000000005</v>
      </c>
    </row>
    <row r="1108" spans="2:6">
      <c r="B1108" s="219" t="str">
        <f>'4R'!BG35</f>
        <v>B0402RPAMR_MC</v>
      </c>
      <c r="C1108" s="219" t="s">
        <v>6107</v>
      </c>
      <c r="E1108" s="249" t="s">
        <v>3641</v>
      </c>
      <c r="F1108" s="255">
        <f>IF(ISBLANK('4R'!N35),"##BLANK",'4R'!N35)</f>
        <v>12.297000000000001</v>
      </c>
    </row>
    <row r="1109" spans="2:6">
      <c r="B1109" s="219" t="str">
        <f>'4R'!BH35</f>
        <v>B0402RPAMR_MA</v>
      </c>
      <c r="C1109" s="219" t="s">
        <v>6108</v>
      </c>
      <c r="E1109" s="249" t="s">
        <v>3641</v>
      </c>
      <c r="F1109" s="255">
        <f>IF(ISBLANK('4R'!O35),"##BLANK",'4R'!O35)</f>
        <v>1E-3</v>
      </c>
    </row>
    <row r="1110" spans="2:6">
      <c r="B1110" s="219" t="str">
        <f>'4R'!BI35</f>
        <v>B0402RPC__MT</v>
      </c>
      <c r="C1110" s="219" t="s">
        <v>6109</v>
      </c>
      <c r="E1110" s="249" t="s">
        <v>3641</v>
      </c>
      <c r="F1110" s="255">
        <f>IF(ISBLANK('4R'!P35),"##BLANK",'4R'!P35)</f>
        <v>13.19</v>
      </c>
    </row>
    <row r="1111" spans="2:6">
      <c r="B1111" s="219" t="str">
        <f>'4R'!BM35</f>
        <v>B0402RPC__TOT</v>
      </c>
      <c r="C1111" s="219" t="s">
        <v>6110</v>
      </c>
      <c r="E1111" s="249" t="s">
        <v>3641</v>
      </c>
      <c r="F1111" s="255">
        <f>IF(ISBLANK('4R'!T35),"##BLANK",'4R'!T35)</f>
        <v>13.19</v>
      </c>
    </row>
    <row r="1112" spans="2:6">
      <c r="B1112" s="219" t="str">
        <f>'4R'!AX36</f>
        <v>B0203UNO</v>
      </c>
      <c r="C1112" s="219" t="s">
        <v>6111</v>
      </c>
      <c r="E1112" s="249" t="s">
        <v>3641</v>
      </c>
      <c r="F1112" s="255">
        <f>IF(ISBLANK('4R'!E36),"##BLANK",'4R'!E36)</f>
        <v>0</v>
      </c>
    </row>
    <row r="1113" spans="2:6">
      <c r="B1113" s="219" t="str">
        <f>'4R'!AY36</f>
        <v>B0203UBM</v>
      </c>
      <c r="C1113" s="219" t="s">
        <v>6112</v>
      </c>
      <c r="E1113" s="249" t="s">
        <v>3641</v>
      </c>
      <c r="F1113" s="255">
        <f>IF(ISBLANK('4R'!F36),"##BLANK",'4R'!F36)</f>
        <v>0</v>
      </c>
    </row>
    <row r="1114" spans="2:6">
      <c r="B1114" s="219" t="str">
        <f>'4R'!AZ36</f>
        <v>B0402BPAMR_UM</v>
      </c>
      <c r="C1114" s="219" t="s">
        <v>6113</v>
      </c>
      <c r="E1114" s="249" t="s">
        <v>3641</v>
      </c>
      <c r="F1114" s="255">
        <f>IF(ISBLANK('4R'!G36),"##BLANK",'4R'!G36)</f>
        <v>0</v>
      </c>
    </row>
    <row r="1115" spans="2:6">
      <c r="B1115" s="219" t="str">
        <f>'4R'!BA36</f>
        <v>B0402BPAMR_UC</v>
      </c>
      <c r="C1115" s="219" t="s">
        <v>6114</v>
      </c>
      <c r="E1115" s="249" t="s">
        <v>3641</v>
      </c>
      <c r="F1115" s="255">
        <f>IF(ISBLANK('4R'!H36),"##BLANK",'4R'!H36)</f>
        <v>0</v>
      </c>
    </row>
    <row r="1116" spans="2:6">
      <c r="B1116" s="219" t="str">
        <f>'4R'!BB36</f>
        <v>B0402BPAMR_UA</v>
      </c>
      <c r="C1116" s="219" t="s">
        <v>6115</v>
      </c>
      <c r="E1116" s="249" t="s">
        <v>3641</v>
      </c>
      <c r="F1116" s="255">
        <f>IF(ISBLANK('4R'!I36),"##BLANK",'4R'!I36)</f>
        <v>0</v>
      </c>
    </row>
    <row r="1117" spans="2:6">
      <c r="B1117" s="219" t="str">
        <f>'4R'!BC36</f>
        <v>B0402BPC__UT</v>
      </c>
      <c r="C1117" s="219" t="s">
        <v>6116</v>
      </c>
      <c r="E1117" s="249" t="s">
        <v>3641</v>
      </c>
      <c r="F1117" s="255">
        <f>IF(ISBLANK('4R'!J36),"##BLANK",'4R'!J36)</f>
        <v>0</v>
      </c>
    </row>
    <row r="1118" spans="2:6">
      <c r="B1118" s="219" t="str">
        <f>'4R'!BD36</f>
        <v>B0203MNO</v>
      </c>
      <c r="C1118" s="219" t="s">
        <v>6117</v>
      </c>
      <c r="E1118" s="249" t="s">
        <v>3641</v>
      </c>
      <c r="F1118" s="255">
        <f>IF(ISBLANK('4R'!K36),"##BLANK",'4R'!K36)</f>
        <v>0</v>
      </c>
    </row>
    <row r="1119" spans="2:6">
      <c r="B1119" s="219" t="str">
        <f>'4R'!BE36</f>
        <v>B0203MBM</v>
      </c>
      <c r="C1119" s="219" t="s">
        <v>6118</v>
      </c>
      <c r="E1119" s="249" t="s">
        <v>3641</v>
      </c>
      <c r="F1119" s="255">
        <f>IF(ISBLANK('4R'!L36),"##BLANK",'4R'!L36)</f>
        <v>0.115</v>
      </c>
    </row>
    <row r="1120" spans="2:6">
      <c r="B1120" s="219" t="str">
        <f>'4R'!BF36</f>
        <v>B0402BPAMR_MM</v>
      </c>
      <c r="C1120" s="219" t="s">
        <v>6119</v>
      </c>
      <c r="E1120" s="249" t="s">
        <v>3641</v>
      </c>
      <c r="F1120" s="255">
        <f>IF(ISBLANK('4R'!M36),"##BLANK",'4R'!M36)</f>
        <v>5.0000000000000001E-3</v>
      </c>
    </row>
    <row r="1121" spans="2:6">
      <c r="B1121" s="219" t="str">
        <f>'4R'!BG36</f>
        <v>B0402BPAMR_MC</v>
      </c>
      <c r="C1121" s="219" t="s">
        <v>6120</v>
      </c>
      <c r="E1121" s="249" t="s">
        <v>3641</v>
      </c>
      <c r="F1121" s="255">
        <f>IF(ISBLANK('4R'!N36),"##BLANK",'4R'!N36)</f>
        <v>0.45</v>
      </c>
    </row>
    <row r="1122" spans="2:6">
      <c r="B1122" s="219" t="str">
        <f>'4R'!BH36</f>
        <v>B0402BPAMR_MA</v>
      </c>
      <c r="C1122" s="219" t="s">
        <v>6121</v>
      </c>
      <c r="E1122" s="249" t="s">
        <v>3641</v>
      </c>
      <c r="F1122" s="255">
        <f>IF(ISBLANK('4R'!O36),"##BLANK",'4R'!O36)</f>
        <v>0</v>
      </c>
    </row>
    <row r="1123" spans="2:6">
      <c r="B1123" s="219" t="str">
        <f>'4R'!BI36</f>
        <v>B0402BPC__MT</v>
      </c>
      <c r="C1123" s="219" t="s">
        <v>6122</v>
      </c>
      <c r="E1123" s="249" t="s">
        <v>3641</v>
      </c>
      <c r="F1123" s="255">
        <f>IF(ISBLANK('4R'!P36),"##BLANK",'4R'!P36)</f>
        <v>0.57000000000000006</v>
      </c>
    </row>
    <row r="1124" spans="2:6">
      <c r="B1124" s="219" t="str">
        <f>'4R'!BM36</f>
        <v>B0402BPC__TOT</v>
      </c>
      <c r="C1124" s="219" t="s">
        <v>6123</v>
      </c>
      <c r="E1124" s="249" t="s">
        <v>3641</v>
      </c>
      <c r="F1124" s="255">
        <f>IF(ISBLANK('4R'!T36),"##BLANK",'4R'!T36)</f>
        <v>0.57000000000000006</v>
      </c>
    </row>
    <row r="1125" spans="2:6">
      <c r="B1125" s="219" t="str">
        <f>'4R'!AX37</f>
        <v>B0204UNO</v>
      </c>
      <c r="C1125" s="219" t="s">
        <v>6124</v>
      </c>
      <c r="E1125" s="249" t="s">
        <v>3641</v>
      </c>
      <c r="F1125" s="255">
        <f>IF(ISBLANK('4R'!E37),"##BLANK",'4R'!E37)</f>
        <v>866.47299999999996</v>
      </c>
    </row>
    <row r="1126" spans="2:6">
      <c r="B1126" s="219" t="str">
        <f>'4R'!AY37</f>
        <v>B0204UBM</v>
      </c>
      <c r="C1126" s="219" t="s">
        <v>6125</v>
      </c>
      <c r="E1126" s="249" t="s">
        <v>3641</v>
      </c>
      <c r="F1126" s="255">
        <f>IF(ISBLANK('4R'!F37),"##BLANK",'4R'!F37)</f>
        <v>3.3370000000000002</v>
      </c>
    </row>
    <row r="1127" spans="2:6">
      <c r="B1127" s="219" t="str">
        <f>'4R'!AZ37</f>
        <v>B0402RPBAMR_UM</v>
      </c>
      <c r="C1127" s="219" t="s">
        <v>6126</v>
      </c>
      <c r="E1127" s="249" t="s">
        <v>3641</v>
      </c>
      <c r="F1127" s="255">
        <f>IF(ISBLANK('4R'!G37),"##BLANK",'4R'!G37)</f>
        <v>0.13800000000000001</v>
      </c>
    </row>
    <row r="1128" spans="2:6">
      <c r="B1128" s="219" t="str">
        <f>'4R'!BA37</f>
        <v>B0402RPBAMR_UC</v>
      </c>
      <c r="C1128" s="219" t="s">
        <v>6127</v>
      </c>
      <c r="E1128" s="249" t="s">
        <v>3641</v>
      </c>
      <c r="F1128" s="255">
        <f>IF(ISBLANK('4R'!H37),"##BLANK",'4R'!H37)</f>
        <v>16.113</v>
      </c>
    </row>
    <row r="1129" spans="2:6">
      <c r="B1129" s="219" t="str">
        <f>'4R'!BB37</f>
        <v>B0402RPBAMR_UA</v>
      </c>
      <c r="C1129" s="219" t="s">
        <v>6128</v>
      </c>
      <c r="E1129" s="249" t="s">
        <v>3641</v>
      </c>
      <c r="F1129" s="255">
        <f>IF(ISBLANK('4R'!I37),"##BLANK",'4R'!I37)</f>
        <v>8.8469999999999995</v>
      </c>
    </row>
    <row r="1130" spans="2:6">
      <c r="B1130" s="219" t="str">
        <f>'4R'!BC37</f>
        <v>B0402RPBC__UT</v>
      </c>
      <c r="C1130" s="219" t="s">
        <v>6129</v>
      </c>
      <c r="E1130" s="249" t="s">
        <v>3641</v>
      </c>
      <c r="F1130" s="255">
        <f>IF(ISBLANK('4R'!J37),"##BLANK",'4R'!J37)</f>
        <v>894.9079999999999</v>
      </c>
    </row>
    <row r="1131" spans="2:6">
      <c r="B1131" s="219" t="str">
        <f>'4R'!BD37</f>
        <v>B0204MNO</v>
      </c>
      <c r="C1131" s="219" t="s">
        <v>6130</v>
      </c>
      <c r="E1131" s="249" t="s">
        <v>3641</v>
      </c>
      <c r="F1131" s="255">
        <f>IF(ISBLANK('4R'!K37),"##BLANK",'4R'!K37)</f>
        <v>0</v>
      </c>
    </row>
    <row r="1132" spans="2:6">
      <c r="B1132" s="219" t="str">
        <f>'4R'!BE37</f>
        <v>B0204MBM</v>
      </c>
      <c r="C1132" s="219" t="s">
        <v>6131</v>
      </c>
      <c r="E1132" s="249" t="s">
        <v>3641</v>
      </c>
      <c r="F1132" s="255">
        <f>IF(ISBLANK('4R'!L37),"##BLANK",'4R'!L37)</f>
        <v>863.64</v>
      </c>
    </row>
    <row r="1133" spans="2:6">
      <c r="B1133" s="219" t="str">
        <f>'4R'!BF37</f>
        <v>B0402RPBAMR_MM</v>
      </c>
      <c r="C1133" s="219" t="s">
        <v>6132</v>
      </c>
      <c r="E1133" s="249" t="s">
        <v>3641</v>
      </c>
      <c r="F1133" s="255">
        <f>IF(ISBLANK('4R'!M37),"##BLANK",'4R'!M37)</f>
        <v>85.340999999999994</v>
      </c>
    </row>
    <row r="1134" spans="2:6">
      <c r="B1134" s="219" t="str">
        <f>'4R'!BG37</f>
        <v>B0402RPBAMR_MC</v>
      </c>
      <c r="C1134" s="219" t="s">
        <v>6133</v>
      </c>
      <c r="E1134" s="249" t="s">
        <v>3641</v>
      </c>
      <c r="F1134" s="255">
        <f>IF(ISBLANK('4R'!N37),"##BLANK",'4R'!N37)</f>
        <v>54.698999999999998</v>
      </c>
    </row>
    <row r="1135" spans="2:6">
      <c r="B1135" s="219" t="str">
        <f>'4R'!BH37</f>
        <v>B0402RPBAMR_MA</v>
      </c>
      <c r="C1135" s="219" t="s">
        <v>6134</v>
      </c>
      <c r="E1135" s="249" t="s">
        <v>3641</v>
      </c>
      <c r="F1135" s="255">
        <f>IF(ISBLANK('4R'!O37),"##BLANK",'4R'!O37)</f>
        <v>8.1820000000000004</v>
      </c>
    </row>
    <row r="1136" spans="2:6">
      <c r="B1136" s="219" t="str">
        <f>'4R'!BI37</f>
        <v>B0402RPB__MT</v>
      </c>
      <c r="C1136" s="219" t="s">
        <v>6135</v>
      </c>
      <c r="E1136" s="249" t="s">
        <v>3641</v>
      </c>
      <c r="F1136" s="255">
        <f>IF(ISBLANK('4R'!P37),"##BLANK",'4R'!P37)</f>
        <v>1011.862</v>
      </c>
    </row>
    <row r="1137" spans="2:6">
      <c r="B1137" s="219" t="str">
        <f>'4R'!BM37</f>
        <v>B0402RPB__TOT</v>
      </c>
      <c r="C1137" s="219" t="s">
        <v>6136</v>
      </c>
      <c r="E1137" s="249" t="s">
        <v>3641</v>
      </c>
      <c r="F1137" s="255">
        <f>IF(ISBLANK('4R'!T37),"##BLANK",'4R'!T37)</f>
        <v>1906.77</v>
      </c>
    </row>
    <row r="1138" spans="2:6">
      <c r="B1138" s="219" t="str">
        <f>'4R'!BJ38</f>
        <v>B0402RP_UU</v>
      </c>
      <c r="C1138" s="219" t="s">
        <v>6137</v>
      </c>
      <c r="E1138" s="249" t="s">
        <v>3641</v>
      </c>
      <c r="F1138" s="255">
        <f>IF(ISBLANK('4R'!Q38),"##BLANK",'4R'!Q38)</f>
        <v>0</v>
      </c>
    </row>
    <row r="1139" spans="2:6">
      <c r="B1139" s="219" t="str">
        <f>'4R'!BK38</f>
        <v>B0402RP_UO</v>
      </c>
      <c r="C1139" s="219" t="s">
        <v>6138</v>
      </c>
      <c r="E1139" s="249" t="s">
        <v>3641</v>
      </c>
      <c r="F1139" s="255">
        <f>IF(ISBLANK('4R'!R38),"##BLANK",'4R'!R38)</f>
        <v>4.2000000000000003E-2</v>
      </c>
    </row>
    <row r="1140" spans="2:6">
      <c r="B1140" s="219" t="str">
        <f>'4R'!BL38</f>
        <v>B0402RP_UT</v>
      </c>
      <c r="C1140" s="219" t="s">
        <v>6139</v>
      </c>
      <c r="E1140" s="249" t="s">
        <v>3641</v>
      </c>
      <c r="F1140" s="255">
        <f>IF(ISBLANK('4R'!S38),"##BLANK",'4R'!S38)</f>
        <v>4.2000000000000003E-2</v>
      </c>
    </row>
    <row r="1141" spans="2:6">
      <c r="B1141" s="219" t="str">
        <f>'4R'!BC39</f>
        <v>B0205UTO</v>
      </c>
      <c r="C1141" s="219" t="s">
        <v>6140</v>
      </c>
      <c r="E1141" s="249" t="s">
        <v>3641</v>
      </c>
      <c r="F1141" s="255">
        <f>IF(ISBLANK('4R'!J39),"##BLANK",'4R'!J39)</f>
        <v>36.724417648283129</v>
      </c>
    </row>
    <row r="1142" spans="2:6">
      <c r="B1142" s="219" t="str">
        <f>'4R'!BI39</f>
        <v>B0402RVP__MT</v>
      </c>
      <c r="C1142" s="219" t="s">
        <v>6141</v>
      </c>
      <c r="E1142" s="249" t="s">
        <v>3641</v>
      </c>
      <c r="F1142" s="255">
        <f>IF(ISBLANK('4R'!P39),"##BLANK",'4R'!P39)</f>
        <v>33.462999999999994</v>
      </c>
    </row>
    <row r="1143" spans="2:6">
      <c r="B1143" s="219" t="str">
        <f>'4R'!BM39</f>
        <v>B0402RPBC__TOT</v>
      </c>
      <c r="C1143" s="219" t="s">
        <v>6142</v>
      </c>
      <c r="E1143" s="249" t="s">
        <v>3641</v>
      </c>
      <c r="F1143" s="255">
        <f>IF(ISBLANK('4R'!T39),"##BLANK",'4R'!T39)</f>
        <v>70.187417648283116</v>
      </c>
    </row>
    <row r="1144" spans="2:6">
      <c r="B1144" s="219" t="str">
        <f>'4R'!BC40</f>
        <v>BN2161UTO</v>
      </c>
      <c r="C1144" s="219" t="s">
        <v>6143</v>
      </c>
      <c r="E1144" s="249" t="s">
        <v>3641</v>
      </c>
      <c r="F1144" s="255">
        <f>IF(ISBLANK('4R'!J40),"##BLANK",'4R'!J40)</f>
        <v>931.63241764828308</v>
      </c>
    </row>
    <row r="1145" spans="2:6">
      <c r="B1145" s="219" t="str">
        <f>'4R'!BI40</f>
        <v>B0402CRP__MT</v>
      </c>
      <c r="C1145" s="219" t="s">
        <v>6144</v>
      </c>
      <c r="E1145" s="249" t="s">
        <v>3641</v>
      </c>
      <c r="F1145" s="255">
        <f>IF(ISBLANK('4R'!P40),"##BLANK",'4R'!P40)</f>
        <v>1045.325</v>
      </c>
    </row>
    <row r="1146" spans="2:6">
      <c r="B1146" s="219" t="str">
        <f>'4R'!BM40</f>
        <v>B0402CRP__TOT</v>
      </c>
      <c r="C1146" s="219" t="s">
        <v>6145</v>
      </c>
      <c r="E1146" s="249" t="s">
        <v>3641</v>
      </c>
      <c r="F1146" s="255">
        <f>IF(ISBLANK('4R'!T40),"##BLANK",'4R'!T40)</f>
        <v>1976.999417648283</v>
      </c>
    </row>
    <row r="1147" spans="2:6">
      <c r="B1147" s="219" t="str">
        <f>'4R'!AX41</f>
        <v>B0207UNO</v>
      </c>
      <c r="C1147" s="219" t="s">
        <v>6146</v>
      </c>
      <c r="E1147" s="249" t="s">
        <v>3641</v>
      </c>
      <c r="F1147" s="255">
        <f>IF(ISBLANK('4R'!E41),"##BLANK",'4R'!E41)</f>
        <v>7.2089999999999996</v>
      </c>
    </row>
    <row r="1148" spans="2:6">
      <c r="B1148" s="219" t="str">
        <f>'4R'!AY41</f>
        <v>B0207UBM</v>
      </c>
      <c r="C1148" s="219" t="s">
        <v>6147</v>
      </c>
      <c r="E1148" s="249" t="s">
        <v>3641</v>
      </c>
      <c r="F1148" s="255">
        <f>IF(ISBLANK('4R'!F41),"##BLANK",'4R'!F41)</f>
        <v>0.52</v>
      </c>
    </row>
    <row r="1149" spans="2:6">
      <c r="B1149" s="219" t="str">
        <f>'4R'!AZ41</f>
        <v>B0403BPB_AUM</v>
      </c>
      <c r="C1149" s="219" t="s">
        <v>6148</v>
      </c>
      <c r="E1149" s="249" t="s">
        <v>3641</v>
      </c>
      <c r="F1149" s="255">
        <f>IF(ISBLANK('4R'!G41),"##BLANK",'4R'!G41)</f>
        <v>2E-3</v>
      </c>
    </row>
    <row r="1150" spans="2:6">
      <c r="B1150" s="219" t="str">
        <f>'4R'!BA41</f>
        <v>B0403BPB_CUM</v>
      </c>
      <c r="C1150" s="219" t="s">
        <v>6149</v>
      </c>
      <c r="E1150" s="249" t="s">
        <v>3641</v>
      </c>
      <c r="F1150" s="255">
        <f>IF(ISBLANK('4R'!H41),"##BLANK",'4R'!H41)</f>
        <v>0</v>
      </c>
    </row>
    <row r="1151" spans="2:6">
      <c r="B1151" s="219" t="str">
        <f>'4R'!BB41</f>
        <v>B0403BPB_TUM</v>
      </c>
      <c r="C1151" s="219" t="s">
        <v>6150</v>
      </c>
      <c r="E1151" s="249" t="s">
        <v>3641</v>
      </c>
      <c r="F1151" s="255">
        <f>IF(ISBLANK('4R'!I41),"##BLANK",'4R'!I41)</f>
        <v>0</v>
      </c>
    </row>
    <row r="1152" spans="2:6">
      <c r="B1152" s="219" t="str">
        <f>'4R'!BC41</f>
        <v>B0207UTO</v>
      </c>
      <c r="C1152" s="219" t="s">
        <v>6151</v>
      </c>
      <c r="E1152" s="249" t="s">
        <v>3641</v>
      </c>
      <c r="F1152" s="255">
        <f>IF(ISBLANK('4R'!J41),"##BLANK",'4R'!J41)</f>
        <v>7.730999999999999</v>
      </c>
    </row>
    <row r="1153" spans="2:6">
      <c r="B1153" s="219" t="str">
        <f>'4R'!BD41</f>
        <v>B0207MNO</v>
      </c>
      <c r="C1153" s="219" t="s">
        <v>6152</v>
      </c>
      <c r="E1153" s="249" t="s">
        <v>3641</v>
      </c>
      <c r="F1153" s="255">
        <f>IF(ISBLANK('4R'!K41),"##BLANK",'4R'!K41)</f>
        <v>0</v>
      </c>
    </row>
    <row r="1154" spans="2:6">
      <c r="B1154" s="219" t="str">
        <f>'4R'!BE41</f>
        <v>B0207MBM</v>
      </c>
      <c r="C1154" s="219" t="s">
        <v>6153</v>
      </c>
      <c r="E1154" s="249" t="s">
        <v>3641</v>
      </c>
      <c r="F1154" s="255">
        <f>IF(ISBLANK('4R'!L41),"##BLANK",'4R'!L41)</f>
        <v>73.241</v>
      </c>
    </row>
    <row r="1155" spans="2:6">
      <c r="B1155" s="219" t="str">
        <f>'4R'!BF41</f>
        <v>B0403BPB_AM</v>
      </c>
      <c r="C1155" s="219" t="s">
        <v>6154</v>
      </c>
      <c r="E1155" s="249" t="s">
        <v>3641</v>
      </c>
      <c r="F1155" s="255">
        <f>IF(ISBLANK('4R'!M41),"##BLANK",'4R'!M41)</f>
        <v>1.1890000000000001</v>
      </c>
    </row>
    <row r="1156" spans="2:6">
      <c r="B1156" s="219" t="str">
        <f>'4R'!BG41</f>
        <v>B0403BPB_CM</v>
      </c>
      <c r="C1156" s="219" t="s">
        <v>6155</v>
      </c>
      <c r="E1156" s="249" t="s">
        <v>3641</v>
      </c>
      <c r="F1156" s="255">
        <f>IF(ISBLANK('4R'!N41),"##BLANK",'4R'!N41)</f>
        <v>1.778</v>
      </c>
    </row>
    <row r="1157" spans="2:6">
      <c r="B1157" s="219" t="str">
        <f>'4R'!BH41</f>
        <v>B0403BPB_TM</v>
      </c>
      <c r="C1157" s="219" t="s">
        <v>6156</v>
      </c>
      <c r="E1157" s="249" t="s">
        <v>3641</v>
      </c>
      <c r="F1157" s="255">
        <f>IF(ISBLANK('4R'!O41),"##BLANK",'4R'!O41)</f>
        <v>1E-3</v>
      </c>
    </row>
    <row r="1158" spans="2:6">
      <c r="B1158" s="219" t="str">
        <f>'4R'!BI41</f>
        <v>B0403BPB_MTOT</v>
      </c>
      <c r="C1158" s="219" t="s">
        <v>6157</v>
      </c>
      <c r="E1158" s="249" t="s">
        <v>3641</v>
      </c>
      <c r="F1158" s="255">
        <f>IF(ISBLANK('4R'!P41),"##BLANK",'4R'!P41)</f>
        <v>76.209000000000017</v>
      </c>
    </row>
    <row r="1159" spans="2:6">
      <c r="B1159" s="219" t="str">
        <f>'4R'!BM41</f>
        <v>B0403BPB_TOT</v>
      </c>
      <c r="C1159" s="219" t="s">
        <v>6158</v>
      </c>
      <c r="E1159" s="249" t="s">
        <v>3641</v>
      </c>
      <c r="F1159" s="255">
        <f>IF(ISBLANK('4R'!T41),"##BLANK",'4R'!T41)</f>
        <v>83.940000000000012</v>
      </c>
    </row>
    <row r="1160" spans="2:6">
      <c r="B1160" s="219" t="str">
        <f>'4R'!BJ42</f>
        <v>B0403BPU_UU</v>
      </c>
      <c r="C1160" s="219" t="s">
        <v>6159</v>
      </c>
      <c r="E1160" s="249" t="s">
        <v>3641</v>
      </c>
      <c r="F1160" s="255">
        <f>IF(ISBLANK('4R'!Q42),"##BLANK",'4R'!Q42)</f>
        <v>0</v>
      </c>
    </row>
    <row r="1161" spans="2:6">
      <c r="B1161" s="219" t="str">
        <f>'4R'!BK42</f>
        <v>B0403BPU_UO</v>
      </c>
      <c r="C1161" s="219" t="s">
        <v>6160</v>
      </c>
      <c r="E1161" s="249" t="s">
        <v>3641</v>
      </c>
      <c r="F1161" s="255">
        <f>IF(ISBLANK('4R'!R42),"##BLANK",'4R'!R42)</f>
        <v>0.40699999999999997</v>
      </c>
    </row>
    <row r="1162" spans="2:6">
      <c r="B1162" s="219" t="str">
        <f>'4R'!BL42</f>
        <v>B0403BPU_UT</v>
      </c>
      <c r="C1162" s="219" t="s">
        <v>6160</v>
      </c>
      <c r="E1162" s="249" t="s">
        <v>3641</v>
      </c>
      <c r="F1162" s="255">
        <f>IF(ISBLANK('4R'!S42),"##BLANK",'4R'!S42)</f>
        <v>0.40699999999999997</v>
      </c>
    </row>
    <row r="1163" spans="2:6">
      <c r="B1163" s="219" t="str">
        <f>'4R'!BC43</f>
        <v>B0208UTO</v>
      </c>
      <c r="C1163" s="219" t="s">
        <v>6161</v>
      </c>
      <c r="E1163" s="249" t="s">
        <v>3641</v>
      </c>
      <c r="F1163" s="255">
        <f>IF(ISBLANK('4R'!J43),"##BLANK",'4R'!J43)</f>
        <v>4.2370000000000001</v>
      </c>
    </row>
    <row r="1164" spans="2:6">
      <c r="B1164" s="219" t="str">
        <f>'4R'!BI43</f>
        <v>B0404BVP__MT</v>
      </c>
      <c r="C1164" s="219" t="s">
        <v>6162</v>
      </c>
      <c r="E1164" s="249" t="s">
        <v>3641</v>
      </c>
      <c r="F1164" s="255">
        <f>IF(ISBLANK('4R'!P43),"##BLANK",'4R'!P43)</f>
        <v>19.242999999999999</v>
      </c>
    </row>
    <row r="1165" spans="2:6">
      <c r="B1165" s="219" t="str">
        <f>'4R'!BM43</f>
        <v>B0404BVP_TOT</v>
      </c>
      <c r="C1165" s="219" t="s">
        <v>6163</v>
      </c>
      <c r="E1165" s="249" t="s">
        <v>3641</v>
      </c>
      <c r="F1165" s="255">
        <f>IF(ISBLANK('4R'!T43),"##BLANK",'4R'!T43)</f>
        <v>23.479999999999997</v>
      </c>
    </row>
    <row r="1166" spans="2:6">
      <c r="B1166" s="219" t="str">
        <f>'4R'!BC44</f>
        <v>BN2221UTO</v>
      </c>
      <c r="C1166" s="219" t="s">
        <v>6164</v>
      </c>
      <c r="E1166" s="249" t="s">
        <v>3641</v>
      </c>
      <c r="F1166" s="255">
        <f>IF(ISBLANK('4R'!J44),"##BLANK",'4R'!J44)</f>
        <v>11.968</v>
      </c>
    </row>
    <row r="1167" spans="2:6">
      <c r="B1167" s="219" t="str">
        <f>'4R'!BI44</f>
        <v>B0405CBP__MT</v>
      </c>
      <c r="C1167" s="219" t="s">
        <v>6165</v>
      </c>
      <c r="E1167" s="249" t="s">
        <v>3641</v>
      </c>
      <c r="F1167" s="255">
        <f>IF(ISBLANK('4R'!P44),"##BLANK",'4R'!P44)</f>
        <v>95.452000000000012</v>
      </c>
    </row>
    <row r="1168" spans="2:6">
      <c r="B1168" s="219" t="str">
        <f>'4R'!BM44</f>
        <v>B0405CBP__TOT</v>
      </c>
      <c r="C1168" s="219" t="s">
        <v>6166</v>
      </c>
      <c r="E1168" s="249" t="s">
        <v>3641</v>
      </c>
      <c r="F1168" s="255">
        <f>IF(ISBLANK('4R'!T44),"##BLANK",'4R'!T44)</f>
        <v>107.827</v>
      </c>
    </row>
    <row r="1169" spans="2:6">
      <c r="B1169" s="219" t="str">
        <f>'4R'!BC45</f>
        <v>BN1001UTO</v>
      </c>
      <c r="C1169" s="219" t="s">
        <v>6167</v>
      </c>
      <c r="E1169" s="249" t="s">
        <v>3641</v>
      </c>
      <c r="F1169" s="255">
        <f>IF(ISBLANK('4R'!J45),"##BLANK",'4R'!J45)</f>
        <v>943.60041764828304</v>
      </c>
    </row>
    <row r="1170" spans="2:6">
      <c r="B1170" s="219" t="str">
        <f>'4R'!BI45</f>
        <v>B0406CP__MT</v>
      </c>
      <c r="C1170" s="219" t="s">
        <v>6168</v>
      </c>
      <c r="E1170" s="249" t="s">
        <v>3641</v>
      </c>
      <c r="F1170" s="255">
        <f>IF(ISBLANK('4R'!P45),"##BLANK",'4R'!P45)</f>
        <v>1140.777</v>
      </c>
    </row>
    <row r="1171" spans="2:6">
      <c r="B1171" s="219" t="str">
        <f>'4R'!BM45</f>
        <v>BN1001</v>
      </c>
      <c r="C1171" s="219" t="s">
        <v>6169</v>
      </c>
      <c r="E1171" s="249" t="s">
        <v>3641</v>
      </c>
      <c r="F1171" s="255">
        <f>IF(ISBLANK('4R'!T45),"##BLANK",'4R'!T45)</f>
        <v>2084.826417648283</v>
      </c>
    </row>
    <row r="1172" spans="2:6">
      <c r="B1172" s="219" t="str">
        <f>'4R'!AX50</f>
        <v>BN2590</v>
      </c>
      <c r="C1172" s="219" t="s">
        <v>6170</v>
      </c>
      <c r="E1172" s="249" t="s">
        <v>3641</v>
      </c>
      <c r="F1172" s="255">
        <f>IF(ISBLANK('4R'!E50),"##BLANK",'4R'!E50)</f>
        <v>4796.8370000000004</v>
      </c>
    </row>
    <row r="1173" spans="2:6">
      <c r="B1173" s="219" t="str">
        <f>'4R'!AY50</f>
        <v>BN2630</v>
      </c>
      <c r="C1173" s="219" t="s">
        <v>6171</v>
      </c>
      <c r="E1173" s="249" t="s">
        <v>3641</v>
      </c>
      <c r="F1173" s="255">
        <f>IF(ISBLANK('4R'!F50),"##BLANK",'4R'!F50)</f>
        <v>2763.94</v>
      </c>
    </row>
    <row r="1174" spans="2:6">
      <c r="B1174" s="219" t="str">
        <f>'4R'!AY51</f>
        <v>BN2620</v>
      </c>
      <c r="C1174" s="219" t="s">
        <v>6172</v>
      </c>
      <c r="E1174" s="249" t="s">
        <v>3641</v>
      </c>
      <c r="F1174" s="255">
        <f>IF(ISBLANK('4R'!F51),"##BLANK",'4R'!F51)</f>
        <v>35.893999999999998</v>
      </c>
    </row>
    <row r="1175" spans="2:6">
      <c r="B1175" s="219" t="str">
        <f>'4R'!AX55</f>
        <v>B0407HP_RP</v>
      </c>
      <c r="C1175" s="219" t="s">
        <v>6173</v>
      </c>
      <c r="E1175" s="249" t="s">
        <v>3641</v>
      </c>
      <c r="F1175" s="255">
        <f>IF(ISBLANK('4R'!E55),"##BLANK",'4R'!E55)</f>
        <v>4732.2389999999996</v>
      </c>
    </row>
    <row r="1176" spans="2:6">
      <c r="B1176" s="219" t="str">
        <f>'4R'!AY55</f>
        <v>B0407HP_NRP</v>
      </c>
      <c r="C1176" s="219" t="s">
        <v>6174</v>
      </c>
      <c r="E1176" s="249" t="s">
        <v>3641</v>
      </c>
      <c r="F1176" s="255" t="str">
        <f>IF(ISBLANK('4R'!F55),"##BLANK",'4R'!F55)</f>
        <v>##BLANK</v>
      </c>
    </row>
    <row r="1177" spans="2:6">
      <c r="B1177" s="219" t="str">
        <f>'4R'!AZ55</f>
        <v>B0407HP_TOT</v>
      </c>
      <c r="C1177" s="219" t="s">
        <v>6175</v>
      </c>
      <c r="E1177" s="249" t="s">
        <v>3641</v>
      </c>
      <c r="F1177" s="255">
        <f>IF(ISBLANK('4R'!G55),"##BLANK",'4R'!G55)</f>
        <v>4732.2389999999996</v>
      </c>
    </row>
    <row r="1178" spans="2:6">
      <c r="B1178" s="219" t="str">
        <f>'4R'!AX56</f>
        <v>B0408MHP_RP</v>
      </c>
      <c r="C1178" s="219" t="s">
        <v>6176</v>
      </c>
      <c r="E1178" s="249" t="s">
        <v>3641</v>
      </c>
      <c r="F1178" s="255">
        <f>IF(ISBLANK('4R'!E56),"##BLANK",'4R'!E56)</f>
        <v>2083.0720000000001</v>
      </c>
    </row>
    <row r="1179" spans="2:6">
      <c r="B1179" s="219" t="str">
        <f>'4R'!AY56</f>
        <v>B0408MHP_NRP</v>
      </c>
      <c r="C1179" s="219" t="s">
        <v>6177</v>
      </c>
      <c r="E1179" s="249" t="s">
        <v>3641</v>
      </c>
      <c r="F1179" s="255" t="str">
        <f>IF(ISBLANK('4R'!F56),"##BLANK",'4R'!F56)</f>
        <v>##BLANK</v>
      </c>
    </row>
    <row r="1180" spans="2:6">
      <c r="B1180" s="219" t="str">
        <f>'4R'!AZ56</f>
        <v>B0408MHP_TOT</v>
      </c>
      <c r="C1180" s="219" t="s">
        <v>6178</v>
      </c>
      <c r="E1180" s="249" t="s">
        <v>3641</v>
      </c>
      <c r="F1180" s="255">
        <f>IF(ISBLANK('4R'!G56),"##BLANK",'4R'!G56)</f>
        <v>2083.0720000000001</v>
      </c>
    </row>
    <row r="1181" spans="2:6">
      <c r="B1181" s="219" t="str">
        <f>'4R'!AX57</f>
        <v>B0409UHP_RP</v>
      </c>
      <c r="C1181" s="219" t="s">
        <v>6179</v>
      </c>
      <c r="E1181" s="249" t="s">
        <v>3641</v>
      </c>
      <c r="F1181" s="255">
        <f>IF(ISBLANK('4R'!E57),"##BLANK",'4R'!E57)</f>
        <v>2649.1669999999999</v>
      </c>
    </row>
    <row r="1182" spans="2:6">
      <c r="B1182" s="219" t="str">
        <f>'4R'!AY57</f>
        <v>B0409UHP_NRP</v>
      </c>
      <c r="C1182" s="219" t="s">
        <v>6180</v>
      </c>
      <c r="E1182" s="249" t="s">
        <v>3641</v>
      </c>
      <c r="F1182" s="255" t="str">
        <f>IF(ISBLANK('4R'!F57),"##BLANK",'4R'!F57)</f>
        <v>##BLANK</v>
      </c>
    </row>
    <row r="1183" spans="2:6">
      <c r="B1183" s="219" t="str">
        <f>'4R'!AZ57</f>
        <v>B0409UHP_TOT</v>
      </c>
      <c r="C1183" s="219" t="s">
        <v>6181</v>
      </c>
      <c r="E1183" s="249" t="s">
        <v>3641</v>
      </c>
      <c r="F1183" s="255">
        <f>IF(ISBLANK('4R'!G57),"##BLANK",'4R'!G57)</f>
        <v>2649.1669999999999</v>
      </c>
    </row>
    <row r="1184" spans="2:6">
      <c r="B1184" s="2554" t="str">
        <f>'4S'!AO10</f>
        <v>B0757GRCE_WR</v>
      </c>
      <c r="C1184" s="219" t="s">
        <v>6182</v>
      </c>
      <c r="E1184" s="249" t="s">
        <v>3641</v>
      </c>
      <c r="F1184" s="255" t="str">
        <f>IF(ISBLANK('4S'!F10),"##BLANK",'4S'!F10)</f>
        <v>##BLANK</v>
      </c>
    </row>
    <row r="1185" spans="2:6">
      <c r="B1185" s="219" t="str">
        <f>'4S'!AP10</f>
        <v>B0768GRCE_RW</v>
      </c>
      <c r="C1185" s="219" t="s">
        <v>6183</v>
      </c>
      <c r="E1185" s="249" t="s">
        <v>3641</v>
      </c>
      <c r="F1185" s="255" t="str">
        <f>IF(ISBLANK('4S'!G10),"##BLANK",'4S'!G10)</f>
        <v>##BLANK</v>
      </c>
    </row>
    <row r="1186" spans="2:6">
      <c r="B1186" s="219" t="str">
        <f>'4S'!AQ10</f>
        <v>B0779GRCE_SW</v>
      </c>
      <c r="C1186" s="219" t="s">
        <v>6184</v>
      </c>
      <c r="E1186" s="249" t="s">
        <v>3641</v>
      </c>
      <c r="F1186" s="255" t="str">
        <f>IF(ISBLANK('4S'!H10),"##BLANK",'4S'!H10)</f>
        <v>##BLANK</v>
      </c>
    </row>
    <row r="1187" spans="2:6">
      <c r="B1187" s="219" t="str">
        <f>'4S'!AR10</f>
        <v>B0790GRCE_TW</v>
      </c>
      <c r="C1187" s="219" t="s">
        <v>6185</v>
      </c>
      <c r="E1187" s="249" t="s">
        <v>3641</v>
      </c>
      <c r="F1187" s="255" t="str">
        <f>IF(ISBLANK('4S'!I10),"##BLANK",'4S'!I10)</f>
        <v>##BLANK</v>
      </c>
    </row>
    <row r="1188" spans="2:6">
      <c r="B1188" s="219" t="str">
        <f>'4S'!AS10</f>
        <v>B0801GRCE_DW</v>
      </c>
      <c r="C1188" s="219" t="s">
        <v>6186</v>
      </c>
      <c r="E1188" s="249" t="s">
        <v>3641</v>
      </c>
      <c r="F1188" s="255" t="str">
        <f>IF(ISBLANK('4S'!J10),"##BLANK",'4S'!J10)</f>
        <v>##BLANK</v>
      </c>
    </row>
    <row r="1189" spans="2:6">
      <c r="B1189" s="219" t="str">
        <f>'4S'!AT10</f>
        <v>B0442GRCE_TO</v>
      </c>
      <c r="C1189" s="219" t="s">
        <v>6187</v>
      </c>
      <c r="E1189" s="249" t="s">
        <v>3641</v>
      </c>
      <c r="F1189" s="255">
        <f>IF(ISBLANK('4S'!K10),"##BLANK",'4S'!K10)</f>
        <v>0</v>
      </c>
    </row>
    <row r="1190" spans="2:6">
      <c r="B1190" s="219" t="str">
        <f>'4S'!AU10</f>
        <v>B0812GRCC_WR</v>
      </c>
      <c r="C1190" s="219" t="s">
        <v>6188</v>
      </c>
      <c r="E1190" s="249" t="s">
        <v>3641</v>
      </c>
      <c r="F1190" s="255" t="str">
        <f>IF(ISBLANK('4S'!L10),"##BLANK",'4S'!L10)</f>
        <v>##BLANK</v>
      </c>
    </row>
    <row r="1191" spans="2:6">
      <c r="B1191" s="219" t="str">
        <f>'4S'!AV10</f>
        <v>B0823GRCC_RW</v>
      </c>
      <c r="C1191" s="219" t="s">
        <v>6189</v>
      </c>
      <c r="E1191" s="249" t="s">
        <v>3641</v>
      </c>
      <c r="F1191" s="255" t="str">
        <f>IF(ISBLANK('4S'!M10),"##BLANK",'4S'!M10)</f>
        <v>##BLANK</v>
      </c>
    </row>
    <row r="1192" spans="2:6">
      <c r="B1192" s="219" t="str">
        <f>'4S'!AW10</f>
        <v>B0834GRCC_SW</v>
      </c>
      <c r="C1192" s="219" t="s">
        <v>6190</v>
      </c>
      <c r="E1192" s="249" t="s">
        <v>3641</v>
      </c>
      <c r="F1192" s="255" t="str">
        <f>IF(ISBLANK('4S'!N10),"##BLANK",'4S'!N10)</f>
        <v>##BLANK</v>
      </c>
    </row>
    <row r="1193" spans="2:6">
      <c r="B1193" s="219" t="str">
        <f>'4S'!AX10</f>
        <v>B0845GRCC_TW</v>
      </c>
      <c r="C1193" s="219" t="s">
        <v>6191</v>
      </c>
      <c r="E1193" s="249" t="s">
        <v>3641</v>
      </c>
      <c r="F1193" s="255" t="str">
        <f>IF(ISBLANK('4S'!O10),"##BLANK",'4S'!O10)</f>
        <v>##BLANK</v>
      </c>
    </row>
    <row r="1194" spans="2:6">
      <c r="B1194" s="219" t="str">
        <f>'4S'!AY10</f>
        <v>B0856GRCC_DW</v>
      </c>
      <c r="C1194" s="219" t="s">
        <v>6192</v>
      </c>
      <c r="E1194" s="249" t="s">
        <v>3641</v>
      </c>
      <c r="F1194" s="255" t="str">
        <f>IF(ISBLANK('4S'!P10),"##BLANK",'4S'!P10)</f>
        <v>##BLANK</v>
      </c>
    </row>
    <row r="1195" spans="2:6">
      <c r="B1195" s="219" t="str">
        <f>'4S'!AZ10</f>
        <v>B0492GRCC_TO</v>
      </c>
      <c r="C1195" s="219" t="s">
        <v>6193</v>
      </c>
      <c r="E1195" s="249" t="s">
        <v>3641</v>
      </c>
      <c r="F1195" s="255">
        <f>IF(ISBLANK('4S'!Q10),"##BLANK",'4S'!Q10)</f>
        <v>0</v>
      </c>
    </row>
    <row r="1196" spans="2:6">
      <c r="B1196" s="219" t="str">
        <f>'4S'!AO11</f>
        <v>B0758GROE_WR</v>
      </c>
      <c r="C1196" s="219" t="s">
        <v>6194</v>
      </c>
      <c r="E1196" s="249" t="s">
        <v>3641</v>
      </c>
      <c r="F1196" s="255" t="str">
        <f>IF(ISBLANK('4S'!F11),"##BLANK",'4S'!F11)</f>
        <v>##BLANK</v>
      </c>
    </row>
    <row r="1197" spans="2:6">
      <c r="B1197" s="219" t="str">
        <f>'4S'!AP11</f>
        <v>B0769GROE_RW</v>
      </c>
      <c r="C1197" s="219" t="s">
        <v>6195</v>
      </c>
      <c r="E1197" s="249" t="s">
        <v>3641</v>
      </c>
      <c r="F1197" s="255" t="str">
        <f>IF(ISBLANK('4S'!G11),"##BLANK",'4S'!G11)</f>
        <v>##BLANK</v>
      </c>
    </row>
    <row r="1198" spans="2:6">
      <c r="B1198" s="219" t="str">
        <f>'4S'!AQ11</f>
        <v>B0780GROE_SW</v>
      </c>
      <c r="C1198" s="219" t="s">
        <v>6196</v>
      </c>
      <c r="E1198" s="249" t="s">
        <v>3641</v>
      </c>
      <c r="F1198" s="255" t="str">
        <f>IF(ISBLANK('4S'!H11),"##BLANK",'4S'!H11)</f>
        <v>##BLANK</v>
      </c>
    </row>
    <row r="1199" spans="2:6">
      <c r="B1199" s="219" t="str">
        <f>'4S'!AR11</f>
        <v>B0791GROE_TW</v>
      </c>
      <c r="C1199" s="219" t="s">
        <v>6197</v>
      </c>
      <c r="E1199" s="249" t="s">
        <v>3641</v>
      </c>
      <c r="F1199" s="255" t="str">
        <f>IF(ISBLANK('4S'!I11),"##BLANK",'4S'!I11)</f>
        <v>##BLANK</v>
      </c>
    </row>
    <row r="1200" spans="2:6">
      <c r="B1200" s="219" t="str">
        <f>'4S'!AS11</f>
        <v>B0802GROE_DW</v>
      </c>
      <c r="C1200" s="219" t="s">
        <v>6198</v>
      </c>
      <c r="E1200" s="249" t="s">
        <v>3641</v>
      </c>
      <c r="F1200" s="255" t="str">
        <f>IF(ISBLANK('4S'!J11),"##BLANK",'4S'!J11)</f>
        <v>##BLANK</v>
      </c>
    </row>
    <row r="1201" spans="2:6">
      <c r="B1201" s="219" t="str">
        <f>'4S'!AT11</f>
        <v>B0443GROE_TO</v>
      </c>
      <c r="C1201" s="219" t="s">
        <v>6199</v>
      </c>
      <c r="E1201" s="249" t="s">
        <v>3641</v>
      </c>
      <c r="F1201" s="255">
        <f>IF(ISBLANK('4S'!K11),"##BLANK",'4S'!K11)</f>
        <v>0</v>
      </c>
    </row>
    <row r="1202" spans="2:6">
      <c r="B1202" s="219" t="str">
        <f>'4S'!AU11</f>
        <v>B0813GROC_WR</v>
      </c>
      <c r="C1202" s="219" t="s">
        <v>6200</v>
      </c>
      <c r="E1202" s="249" t="s">
        <v>3641</v>
      </c>
      <c r="F1202" s="255" t="str">
        <f>IF(ISBLANK('4S'!L11),"##BLANK",'4S'!L11)</f>
        <v>##BLANK</v>
      </c>
    </row>
    <row r="1203" spans="2:6">
      <c r="B1203" s="219" t="str">
        <f>'4S'!AV11</f>
        <v>B0824GROC_RW</v>
      </c>
      <c r="C1203" s="219" t="s">
        <v>6201</v>
      </c>
      <c r="E1203" s="249" t="s">
        <v>3641</v>
      </c>
      <c r="F1203" s="255" t="str">
        <f>IF(ISBLANK('4S'!M11),"##BLANK",'4S'!M11)</f>
        <v>##BLANK</v>
      </c>
    </row>
    <row r="1204" spans="2:6">
      <c r="B1204" s="219" t="str">
        <f>'4S'!AW11</f>
        <v>B0835GROC_SW</v>
      </c>
      <c r="C1204" s="219" t="s">
        <v>6202</v>
      </c>
      <c r="E1204" s="249" t="s">
        <v>3641</v>
      </c>
      <c r="F1204" s="255" t="str">
        <f>IF(ISBLANK('4S'!N11),"##BLANK",'4S'!N11)</f>
        <v>##BLANK</v>
      </c>
    </row>
    <row r="1205" spans="2:6">
      <c r="B1205" s="219" t="str">
        <f>'4S'!AX11</f>
        <v>B0846GROC_TW</v>
      </c>
      <c r="C1205" s="219" t="s">
        <v>6203</v>
      </c>
      <c r="E1205" s="249" t="s">
        <v>3641</v>
      </c>
      <c r="F1205" s="255" t="str">
        <f>IF(ISBLANK('4S'!O11),"##BLANK",'4S'!O11)</f>
        <v>##BLANK</v>
      </c>
    </row>
    <row r="1206" spans="2:6">
      <c r="B1206" s="219" t="str">
        <f>'4S'!AY11</f>
        <v>B0857GROC_DW</v>
      </c>
      <c r="C1206" s="219" t="s">
        <v>6204</v>
      </c>
      <c r="E1206" s="249" t="s">
        <v>3641</v>
      </c>
      <c r="F1206" s="255" t="str">
        <f>IF(ISBLANK('4S'!P11),"##BLANK",'4S'!P11)</f>
        <v>##BLANK</v>
      </c>
    </row>
    <row r="1207" spans="2:6">
      <c r="B1207" s="219" t="str">
        <f>'4S'!AZ11</f>
        <v>B0493GROC_TO</v>
      </c>
      <c r="C1207" s="219" t="s">
        <v>6205</v>
      </c>
      <c r="E1207" s="249" t="s">
        <v>3641</v>
      </c>
      <c r="F1207" s="255">
        <f>IF(ISBLANK('4S'!Q11),"##BLANK",'4S'!Q11)</f>
        <v>0</v>
      </c>
    </row>
    <row r="1208" spans="2:6">
      <c r="B1208" s="219" t="str">
        <f>'4S'!AO12</f>
        <v>B0407GRTE_WR</v>
      </c>
      <c r="C1208" s="219" t="s">
        <v>6206</v>
      </c>
      <c r="E1208" s="249" t="s">
        <v>3641</v>
      </c>
      <c r="F1208" s="255">
        <f>IF(ISBLANK('4S'!F12),"##BLANK",'4S'!F12)</f>
        <v>0</v>
      </c>
    </row>
    <row r="1209" spans="2:6">
      <c r="B1209" s="219" t="str">
        <f>'4S'!AP12</f>
        <v>B0414GRTE_RW</v>
      </c>
      <c r="C1209" s="219" t="s">
        <v>6207</v>
      </c>
      <c r="E1209" s="249" t="s">
        <v>3641</v>
      </c>
      <c r="F1209" s="255">
        <f>IF(ISBLANK('4S'!G12),"##BLANK",'4S'!G12)</f>
        <v>0</v>
      </c>
    </row>
    <row r="1210" spans="2:6">
      <c r="B1210" s="219" t="str">
        <f>'4S'!AQ12</f>
        <v>B0421GRTE_SW</v>
      </c>
      <c r="C1210" s="219" t="s">
        <v>6208</v>
      </c>
      <c r="E1210" s="249" t="s">
        <v>3641</v>
      </c>
      <c r="F1210" s="255">
        <f>IF(ISBLANK('4S'!H12),"##BLANK",'4S'!H12)</f>
        <v>0</v>
      </c>
    </row>
    <row r="1211" spans="2:6">
      <c r="B1211" s="219" t="str">
        <f>'4S'!AR12</f>
        <v>B0428GRTE_TW</v>
      </c>
      <c r="C1211" s="219" t="s">
        <v>6209</v>
      </c>
      <c r="E1211" s="249" t="s">
        <v>3641</v>
      </c>
      <c r="F1211" s="255">
        <f>IF(ISBLANK('4S'!I12),"##BLANK",'4S'!I12)</f>
        <v>0</v>
      </c>
    </row>
    <row r="1212" spans="2:6">
      <c r="B1212" s="219" t="str">
        <f>'4S'!AS12</f>
        <v>B0435GRTE_DW</v>
      </c>
      <c r="C1212" s="219" t="s">
        <v>6210</v>
      </c>
      <c r="E1212" s="249" t="s">
        <v>3641</v>
      </c>
      <c r="F1212" s="255">
        <f>IF(ISBLANK('4S'!J12),"##BLANK",'4S'!J12)</f>
        <v>0</v>
      </c>
    </row>
    <row r="1213" spans="2:6">
      <c r="B1213" s="219" t="str">
        <f>'4S'!AT12</f>
        <v>B0444GRTE_TO</v>
      </c>
      <c r="C1213" s="219" t="s">
        <v>6211</v>
      </c>
      <c r="E1213" s="249" t="s">
        <v>3641</v>
      </c>
      <c r="F1213" s="255">
        <f>IF(ISBLANK('4S'!K12),"##BLANK",'4S'!K12)</f>
        <v>0</v>
      </c>
    </row>
    <row r="1214" spans="2:6">
      <c r="B1214" s="219" t="str">
        <f>'4S'!AU12</f>
        <v>B0457GRTC_WR</v>
      </c>
      <c r="C1214" s="219" t="s">
        <v>6212</v>
      </c>
      <c r="E1214" s="249" t="s">
        <v>3641</v>
      </c>
      <c r="F1214" s="255">
        <f>IF(ISBLANK('4S'!L12),"##BLANK",'4S'!L12)</f>
        <v>0</v>
      </c>
    </row>
    <row r="1215" spans="2:6">
      <c r="B1215" s="219" t="str">
        <f>'4S'!AV12</f>
        <v>B0464GRTC_RW</v>
      </c>
      <c r="C1215" s="219" t="s">
        <v>6213</v>
      </c>
      <c r="E1215" s="249" t="s">
        <v>3641</v>
      </c>
      <c r="F1215" s="255">
        <f>IF(ISBLANK('4S'!M12),"##BLANK",'4S'!M12)</f>
        <v>0</v>
      </c>
    </row>
    <row r="1216" spans="2:6">
      <c r="B1216" s="219" t="str">
        <f>'4S'!AW12</f>
        <v>B0471GRTC_SW</v>
      </c>
      <c r="C1216" s="219" t="s">
        <v>6214</v>
      </c>
      <c r="E1216" s="249" t="s">
        <v>3641</v>
      </c>
      <c r="F1216" s="255">
        <f>IF(ISBLANK('4S'!N12),"##BLANK",'4S'!N12)</f>
        <v>0</v>
      </c>
    </row>
    <row r="1217" spans="2:6">
      <c r="B1217" s="219" t="str">
        <f>'4S'!AX12</f>
        <v>B0478GRTC_TW</v>
      </c>
      <c r="C1217" s="219" t="s">
        <v>6215</v>
      </c>
      <c r="E1217" s="249" t="s">
        <v>3641</v>
      </c>
      <c r="F1217" s="255">
        <f>IF(ISBLANK('4S'!O12),"##BLANK",'4S'!O12)</f>
        <v>0</v>
      </c>
    </row>
    <row r="1218" spans="2:6">
      <c r="B1218" s="219" t="str">
        <f>'4S'!AY12</f>
        <v>B0485GRTC_DW</v>
      </c>
      <c r="C1218" s="219" t="s">
        <v>6216</v>
      </c>
      <c r="E1218" s="249" t="s">
        <v>3641</v>
      </c>
      <c r="F1218" s="255">
        <f>IF(ISBLANK('4S'!P12),"##BLANK",'4S'!P12)</f>
        <v>0</v>
      </c>
    </row>
    <row r="1219" spans="2:6">
      <c r="B1219" s="219" t="str">
        <f>'4S'!AZ12</f>
        <v>B0494GRTC_TO</v>
      </c>
      <c r="C1219" s="219" t="s">
        <v>6217</v>
      </c>
      <c r="E1219" s="249" t="s">
        <v>3641</v>
      </c>
      <c r="F1219" s="255">
        <f>IF(ISBLANK('4S'!Q12),"##BLANK",'4S'!Q12)</f>
        <v>0</v>
      </c>
    </row>
    <row r="1220" spans="2:6">
      <c r="B1220" s="219" t="str">
        <f>'4S'!AO13</f>
        <v>B0760GRCE_WR</v>
      </c>
      <c r="C1220" s="219" t="s">
        <v>6218</v>
      </c>
      <c r="E1220" s="249" t="s">
        <v>3641</v>
      </c>
      <c r="F1220" s="255" t="str">
        <f>IF(ISBLANK('4S'!F13),"##BLANK",'4S'!F13)</f>
        <v>##BLANK</v>
      </c>
    </row>
    <row r="1221" spans="2:6">
      <c r="B1221" s="219" t="str">
        <f>'4S'!AP13</f>
        <v>B0771GRCE_RW</v>
      </c>
      <c r="C1221" s="219" t="s">
        <v>6219</v>
      </c>
      <c r="E1221" s="249" t="s">
        <v>3641</v>
      </c>
      <c r="F1221" s="255" t="str">
        <f>IF(ISBLANK('4S'!G13),"##BLANK",'4S'!G13)</f>
        <v>##BLANK</v>
      </c>
    </row>
    <row r="1222" spans="2:6">
      <c r="B1222" s="219" t="str">
        <f>'4S'!AQ13</f>
        <v>B0782GRCE_SW</v>
      </c>
      <c r="C1222" s="219" t="s">
        <v>6220</v>
      </c>
      <c r="E1222" s="249" t="s">
        <v>3641</v>
      </c>
      <c r="F1222" s="255" t="str">
        <f>IF(ISBLANK('4S'!H13),"##BLANK",'4S'!H13)</f>
        <v>##BLANK</v>
      </c>
    </row>
    <row r="1223" spans="2:6">
      <c r="B1223" s="219" t="str">
        <f>'4S'!AR13</f>
        <v>B0793GRCE_TW</v>
      </c>
      <c r="C1223" s="219" t="s">
        <v>6221</v>
      </c>
      <c r="E1223" s="249" t="s">
        <v>3641</v>
      </c>
      <c r="F1223" s="255" t="str">
        <f>IF(ISBLANK('4S'!I13),"##BLANK",'4S'!I13)</f>
        <v>##BLANK</v>
      </c>
    </row>
    <row r="1224" spans="2:6">
      <c r="B1224" s="219" t="str">
        <f>'4S'!AS13</f>
        <v>B0804GRCE_DW</v>
      </c>
      <c r="C1224" s="219" t="s">
        <v>6222</v>
      </c>
      <c r="E1224" s="249" t="s">
        <v>3641</v>
      </c>
      <c r="F1224" s="255" t="str">
        <f>IF(ISBLANK('4S'!J13),"##BLANK",'4S'!J13)</f>
        <v>##BLANK</v>
      </c>
    </row>
    <row r="1225" spans="2:6">
      <c r="B1225" s="219" t="str">
        <f>'4S'!AT13</f>
        <v>B0445GRCE_TO</v>
      </c>
      <c r="C1225" s="219" t="s">
        <v>6223</v>
      </c>
      <c r="E1225" s="249" t="s">
        <v>3641</v>
      </c>
      <c r="F1225" s="255">
        <f>IF(ISBLANK('4S'!K13),"##BLANK",'4S'!K13)</f>
        <v>0</v>
      </c>
    </row>
    <row r="1226" spans="2:6">
      <c r="B1226" s="219" t="str">
        <f>'4S'!AU13</f>
        <v>B0815GRCC_WR</v>
      </c>
      <c r="C1226" s="219" t="s">
        <v>6224</v>
      </c>
      <c r="E1226" s="249" t="s">
        <v>3641</v>
      </c>
      <c r="F1226" s="255" t="str">
        <f>IF(ISBLANK('4S'!L13),"##BLANK",'4S'!L13)</f>
        <v>##BLANK</v>
      </c>
    </row>
    <row r="1227" spans="2:6">
      <c r="B1227" s="219" t="str">
        <f>'4S'!AV13</f>
        <v>B0826GRCC_RW</v>
      </c>
      <c r="C1227" s="219" t="s">
        <v>6225</v>
      </c>
      <c r="E1227" s="249" t="s">
        <v>3641</v>
      </c>
      <c r="F1227" s="255" t="str">
        <f>IF(ISBLANK('4S'!M13),"##BLANK",'4S'!M13)</f>
        <v>##BLANK</v>
      </c>
    </row>
    <row r="1228" spans="2:6">
      <c r="B1228" s="219" t="str">
        <f>'4S'!AW13</f>
        <v>B0837GRCC_SW</v>
      </c>
      <c r="C1228" s="219" t="s">
        <v>6226</v>
      </c>
      <c r="E1228" s="249" t="s">
        <v>3641</v>
      </c>
      <c r="F1228" s="255" t="str">
        <f>IF(ISBLANK('4S'!N13),"##BLANK",'4S'!N13)</f>
        <v>##BLANK</v>
      </c>
    </row>
    <row r="1229" spans="2:6">
      <c r="B1229" s="219" t="str">
        <f>'4S'!AX13</f>
        <v>B0848GRCC_TW</v>
      </c>
      <c r="C1229" s="219" t="s">
        <v>6227</v>
      </c>
      <c r="E1229" s="249" t="s">
        <v>3641</v>
      </c>
      <c r="F1229" s="255" t="str">
        <f>IF(ISBLANK('4S'!O13),"##BLANK",'4S'!O13)</f>
        <v>##BLANK</v>
      </c>
    </row>
    <row r="1230" spans="2:6">
      <c r="B1230" s="219" t="str">
        <f>'4S'!AY13</f>
        <v>B0859GRCC_DW</v>
      </c>
      <c r="C1230" s="219" t="s">
        <v>6228</v>
      </c>
      <c r="E1230" s="249" t="s">
        <v>3641</v>
      </c>
      <c r="F1230" s="255" t="str">
        <f>IF(ISBLANK('4S'!P13),"##BLANK",'4S'!P13)</f>
        <v>##BLANK</v>
      </c>
    </row>
    <row r="1231" spans="2:6">
      <c r="B1231" s="219" t="str">
        <f>'4S'!AZ13</f>
        <v>B0495GRCC_TO</v>
      </c>
      <c r="C1231" s="219" t="s">
        <v>6229</v>
      </c>
      <c r="E1231" s="249" t="s">
        <v>3641</v>
      </c>
      <c r="F1231" s="255">
        <f>IF(ISBLANK('4S'!Q13),"##BLANK",'4S'!Q13)</f>
        <v>0</v>
      </c>
    </row>
    <row r="1232" spans="2:6">
      <c r="B1232" s="219" t="str">
        <f>'4S'!AO14</f>
        <v>B0761GROE_WR</v>
      </c>
      <c r="C1232" s="219" t="s">
        <v>6230</v>
      </c>
      <c r="E1232" s="249" t="s">
        <v>3641</v>
      </c>
      <c r="F1232" s="255" t="str">
        <f>IF(ISBLANK('4S'!F14),"##BLANK",'4S'!F14)</f>
        <v>##BLANK</v>
      </c>
    </row>
    <row r="1233" spans="2:6">
      <c r="B1233" s="219" t="str">
        <f>'4S'!AP14</f>
        <v>B0772GROE_RW</v>
      </c>
      <c r="C1233" s="219" t="s">
        <v>6231</v>
      </c>
      <c r="E1233" s="249" t="s">
        <v>3641</v>
      </c>
      <c r="F1233" s="255" t="str">
        <f>IF(ISBLANK('4S'!G14),"##BLANK",'4S'!G14)</f>
        <v>##BLANK</v>
      </c>
    </row>
    <row r="1234" spans="2:6">
      <c r="B1234" s="219" t="str">
        <f>'4S'!AQ14</f>
        <v>B0783GROE_SW</v>
      </c>
      <c r="C1234" s="219" t="s">
        <v>6232</v>
      </c>
      <c r="E1234" s="249" t="s">
        <v>3641</v>
      </c>
      <c r="F1234" s="255" t="str">
        <f>IF(ISBLANK('4S'!H14),"##BLANK",'4S'!H14)</f>
        <v>##BLANK</v>
      </c>
    </row>
    <row r="1235" spans="2:6">
      <c r="B1235" s="219" t="str">
        <f>'4S'!AR14</f>
        <v>B0794GROE_TW</v>
      </c>
      <c r="C1235" s="219" t="s">
        <v>6233</v>
      </c>
      <c r="E1235" s="249" t="s">
        <v>3641</v>
      </c>
      <c r="F1235" s="255" t="str">
        <f>IF(ISBLANK('4S'!I14),"##BLANK",'4S'!I14)</f>
        <v>##BLANK</v>
      </c>
    </row>
    <row r="1236" spans="2:6">
      <c r="B1236" s="219" t="str">
        <f>'4S'!AS14</f>
        <v>B0805GROE_DW</v>
      </c>
      <c r="C1236" s="219" t="s">
        <v>6234</v>
      </c>
      <c r="E1236" s="249" t="s">
        <v>3641</v>
      </c>
      <c r="F1236" s="255" t="str">
        <f>IF(ISBLANK('4S'!J14),"##BLANK",'4S'!J14)</f>
        <v>##BLANK</v>
      </c>
    </row>
    <row r="1237" spans="2:6">
      <c r="B1237" s="219" t="str">
        <f>'4S'!AT14</f>
        <v>B0446GROE_TO</v>
      </c>
      <c r="C1237" s="219" t="s">
        <v>6235</v>
      </c>
      <c r="E1237" s="249" t="s">
        <v>3641</v>
      </c>
      <c r="F1237" s="255">
        <f>IF(ISBLANK('4S'!K14),"##BLANK",'4S'!K14)</f>
        <v>0</v>
      </c>
    </row>
    <row r="1238" spans="2:6">
      <c r="B1238" s="219" t="str">
        <f>'4S'!AU14</f>
        <v>B0816GROC_WR</v>
      </c>
      <c r="C1238" s="219" t="s">
        <v>6236</v>
      </c>
      <c r="E1238" s="249" t="s">
        <v>3641</v>
      </c>
      <c r="F1238" s="255" t="str">
        <f>IF(ISBLANK('4S'!L14),"##BLANK",'4S'!L14)</f>
        <v>##BLANK</v>
      </c>
    </row>
    <row r="1239" spans="2:6">
      <c r="B1239" s="219" t="str">
        <f>'4S'!AV14</f>
        <v>B0827GROC_RW</v>
      </c>
      <c r="C1239" s="219" t="s">
        <v>6237</v>
      </c>
      <c r="E1239" s="249" t="s">
        <v>3641</v>
      </c>
      <c r="F1239" s="255" t="str">
        <f>IF(ISBLANK('4S'!M14),"##BLANK",'4S'!M14)</f>
        <v>##BLANK</v>
      </c>
    </row>
    <row r="1240" spans="2:6">
      <c r="B1240" s="219" t="str">
        <f>'4S'!AW14</f>
        <v>B0838GROC_SW</v>
      </c>
      <c r="C1240" s="219" t="s">
        <v>6238</v>
      </c>
      <c r="E1240" s="249" t="s">
        <v>3641</v>
      </c>
      <c r="F1240" s="255" t="str">
        <f>IF(ISBLANK('4S'!N14),"##BLANK",'4S'!N14)</f>
        <v>##BLANK</v>
      </c>
    </row>
    <row r="1241" spans="2:6">
      <c r="B1241" s="219" t="str">
        <f>'4S'!AX14</f>
        <v>B0849GROC_TW</v>
      </c>
      <c r="C1241" s="219" t="s">
        <v>6239</v>
      </c>
      <c r="E1241" s="249" t="s">
        <v>3641</v>
      </c>
      <c r="F1241" s="255" t="str">
        <f>IF(ISBLANK('4S'!O14),"##BLANK",'4S'!O14)</f>
        <v>##BLANK</v>
      </c>
    </row>
    <row r="1242" spans="2:6">
      <c r="B1242" s="219" t="str">
        <f>'4S'!AY14</f>
        <v>B0860GROC_DW</v>
      </c>
      <c r="C1242" s="219" t="s">
        <v>6240</v>
      </c>
      <c r="E1242" s="249" t="s">
        <v>3641</v>
      </c>
      <c r="F1242" s="255" t="str">
        <f>IF(ISBLANK('4S'!P14),"##BLANK",'4S'!P14)</f>
        <v>##BLANK</v>
      </c>
    </row>
    <row r="1243" spans="2:6">
      <c r="B1243" s="219" t="str">
        <f>'4S'!AZ14</f>
        <v>B0496GROC_TO</v>
      </c>
      <c r="C1243" s="219" t="s">
        <v>6241</v>
      </c>
      <c r="E1243" s="249" t="s">
        <v>3641</v>
      </c>
      <c r="F1243" s="255">
        <f>IF(ISBLANK('4S'!Q14),"##BLANK",'4S'!Q14)</f>
        <v>0</v>
      </c>
    </row>
    <row r="1244" spans="2:6">
      <c r="B1244" s="219" t="str">
        <f>'4S'!AO15</f>
        <v>B0408GRTE_WR</v>
      </c>
      <c r="C1244" s="219" t="s">
        <v>6242</v>
      </c>
      <c r="E1244" s="249" t="s">
        <v>3641</v>
      </c>
      <c r="F1244" s="255">
        <f>IF(ISBLANK('4S'!F15),"##BLANK",'4S'!F15)</f>
        <v>0</v>
      </c>
    </row>
    <row r="1245" spans="2:6">
      <c r="B1245" s="219" t="str">
        <f>'4S'!AP15</f>
        <v>B0415GRTE_RW</v>
      </c>
      <c r="C1245" s="219" t="s">
        <v>6243</v>
      </c>
      <c r="E1245" s="249" t="s">
        <v>3641</v>
      </c>
      <c r="F1245" s="255">
        <f>IF(ISBLANK('4S'!G15),"##BLANK",'4S'!G15)</f>
        <v>0</v>
      </c>
    </row>
    <row r="1246" spans="2:6">
      <c r="B1246" s="219" t="str">
        <f>'4S'!AQ15</f>
        <v>B0422GRTE_SW</v>
      </c>
      <c r="C1246" s="219" t="s">
        <v>6244</v>
      </c>
      <c r="E1246" s="249" t="s">
        <v>3641</v>
      </c>
      <c r="F1246" s="255">
        <f>IF(ISBLANK('4S'!H15),"##BLANK",'4S'!H15)</f>
        <v>0</v>
      </c>
    </row>
    <row r="1247" spans="2:6">
      <c r="B1247" s="219" t="str">
        <f>'4S'!AR15</f>
        <v>B0429GRTE_TW</v>
      </c>
      <c r="C1247" s="219" t="s">
        <v>6245</v>
      </c>
      <c r="E1247" s="249" t="s">
        <v>3641</v>
      </c>
      <c r="F1247" s="255">
        <f>IF(ISBLANK('4S'!I15),"##BLANK",'4S'!I15)</f>
        <v>0</v>
      </c>
    </row>
    <row r="1248" spans="2:6">
      <c r="B1248" s="219" t="str">
        <f>'4S'!AS15</f>
        <v>B0436GRTE_DW</v>
      </c>
      <c r="C1248" s="219" t="s">
        <v>6246</v>
      </c>
      <c r="E1248" s="249" t="s">
        <v>3641</v>
      </c>
      <c r="F1248" s="255">
        <f>IF(ISBLANK('4S'!J15),"##BLANK",'4S'!J15)</f>
        <v>0</v>
      </c>
    </row>
    <row r="1249" spans="2:6">
      <c r="B1249" s="219" t="str">
        <f>'4S'!AT15</f>
        <v>B0447GRTE_TO</v>
      </c>
      <c r="C1249" s="219" t="s">
        <v>6247</v>
      </c>
      <c r="E1249" s="249" t="s">
        <v>3641</v>
      </c>
      <c r="F1249" s="255">
        <f>IF(ISBLANK('4S'!K15),"##BLANK",'4S'!K15)</f>
        <v>0</v>
      </c>
    </row>
    <row r="1250" spans="2:6">
      <c r="B1250" s="219" t="str">
        <f>'4S'!AU15</f>
        <v>B0458GRTC_WR</v>
      </c>
      <c r="C1250" s="219" t="s">
        <v>6248</v>
      </c>
      <c r="E1250" s="249" t="s">
        <v>3641</v>
      </c>
      <c r="F1250" s="255">
        <f>IF(ISBLANK('4S'!L15),"##BLANK",'4S'!L15)</f>
        <v>0</v>
      </c>
    </row>
    <row r="1251" spans="2:6">
      <c r="B1251" s="219" t="str">
        <f>'4S'!AV15</f>
        <v>B0465GRTC_RW</v>
      </c>
      <c r="C1251" s="219" t="s">
        <v>6249</v>
      </c>
      <c r="E1251" s="249" t="s">
        <v>3641</v>
      </c>
      <c r="F1251" s="255">
        <f>IF(ISBLANK('4S'!M15),"##BLANK",'4S'!M15)</f>
        <v>0</v>
      </c>
    </row>
    <row r="1252" spans="2:6">
      <c r="B1252" s="219" t="str">
        <f>'4S'!AW15</f>
        <v>B0472GRTC_SW</v>
      </c>
      <c r="C1252" s="219" t="s">
        <v>6250</v>
      </c>
      <c r="E1252" s="249" t="s">
        <v>3641</v>
      </c>
      <c r="F1252" s="255">
        <f>IF(ISBLANK('4S'!N15),"##BLANK",'4S'!N15)</f>
        <v>0</v>
      </c>
    </row>
    <row r="1253" spans="2:6">
      <c r="B1253" s="219" t="str">
        <f>'4S'!AX15</f>
        <v>B0479GRTC_TW</v>
      </c>
      <c r="C1253" s="219" t="s">
        <v>6251</v>
      </c>
      <c r="E1253" s="249" t="s">
        <v>3641</v>
      </c>
      <c r="F1253" s="255">
        <f>IF(ISBLANK('4S'!O15),"##BLANK",'4S'!O15)</f>
        <v>0</v>
      </c>
    </row>
    <row r="1254" spans="2:6">
      <c r="B1254" s="219" t="str">
        <f>'4S'!AY15</f>
        <v>B0486GRTC_DW</v>
      </c>
      <c r="C1254" s="219" t="s">
        <v>6252</v>
      </c>
      <c r="E1254" s="249" t="s">
        <v>3641</v>
      </c>
      <c r="F1254" s="255">
        <f>IF(ISBLANK('4S'!P15),"##BLANK",'4S'!P15)</f>
        <v>0</v>
      </c>
    </row>
    <row r="1255" spans="2:6">
      <c r="B1255" s="219" t="str">
        <f>'4S'!AZ15</f>
        <v>B0497GRTC_TO</v>
      </c>
      <c r="C1255" s="219" t="s">
        <v>6253</v>
      </c>
      <c r="E1255" s="249" t="s">
        <v>3641</v>
      </c>
      <c r="F1255" s="255">
        <f>IF(ISBLANK('4S'!Q15),"##BLANK",'4S'!Q15)</f>
        <v>0</v>
      </c>
    </row>
    <row r="1256" spans="2:6">
      <c r="B1256" s="219" t="str">
        <f>'4S'!AO16</f>
        <v>B0763GRCE_WR</v>
      </c>
      <c r="C1256" s="219" t="s">
        <v>6254</v>
      </c>
      <c r="E1256" s="249" t="s">
        <v>3641</v>
      </c>
      <c r="F1256" s="255" t="str">
        <f>IF(ISBLANK('4S'!F16),"##BLANK",'4S'!F16)</f>
        <v>##BLANK</v>
      </c>
    </row>
    <row r="1257" spans="2:6">
      <c r="B1257" s="219" t="str">
        <f>'4S'!AP16</f>
        <v>B0774GRCE_RW</v>
      </c>
      <c r="C1257" s="219" t="s">
        <v>6255</v>
      </c>
      <c r="E1257" s="249" t="s">
        <v>3641</v>
      </c>
      <c r="F1257" s="255" t="str">
        <f>IF(ISBLANK('4S'!G16),"##BLANK",'4S'!G16)</f>
        <v>##BLANK</v>
      </c>
    </row>
    <row r="1258" spans="2:6">
      <c r="B1258" s="219" t="str">
        <f>'4S'!AQ16</f>
        <v>B0785GRCE_SW</v>
      </c>
      <c r="C1258" s="219" t="s">
        <v>6256</v>
      </c>
      <c r="E1258" s="249" t="s">
        <v>3641</v>
      </c>
      <c r="F1258" s="255" t="str">
        <f>IF(ISBLANK('4S'!H16),"##BLANK",'4S'!H16)</f>
        <v>##BLANK</v>
      </c>
    </row>
    <row r="1259" spans="2:6">
      <c r="B1259" s="219" t="str">
        <f>'4S'!AR16</f>
        <v>B0796GRCE_TW</v>
      </c>
      <c r="C1259" s="219" t="s">
        <v>6257</v>
      </c>
      <c r="E1259" s="249" t="s">
        <v>3641</v>
      </c>
      <c r="F1259" s="255" t="str">
        <f>IF(ISBLANK('4S'!I16),"##BLANK",'4S'!I16)</f>
        <v>##BLANK</v>
      </c>
    </row>
    <row r="1260" spans="2:6">
      <c r="B1260" s="219" t="str">
        <f>'4S'!AS16</f>
        <v>B0807GRCE_DW</v>
      </c>
      <c r="C1260" s="219" t="s">
        <v>6258</v>
      </c>
      <c r="E1260" s="249" t="s">
        <v>3641</v>
      </c>
      <c r="F1260" s="255" t="str">
        <f>IF(ISBLANK('4S'!J16),"##BLANK",'4S'!J16)</f>
        <v>##BLANK</v>
      </c>
    </row>
    <row r="1261" spans="2:6">
      <c r="B1261" s="219" t="str">
        <f>'4S'!AT16</f>
        <v>B0448GRCE_TO</v>
      </c>
      <c r="C1261" s="219" t="s">
        <v>6259</v>
      </c>
      <c r="E1261" s="249" t="s">
        <v>3641</v>
      </c>
      <c r="F1261" s="255">
        <f>IF(ISBLANK('4S'!K16),"##BLANK",'4S'!K16)</f>
        <v>0</v>
      </c>
    </row>
    <row r="1262" spans="2:6">
      <c r="B1262" s="219" t="str">
        <f>'4S'!AU16</f>
        <v>B0818GRCC_WR</v>
      </c>
      <c r="C1262" s="219" t="s">
        <v>6260</v>
      </c>
      <c r="E1262" s="249" t="s">
        <v>3641</v>
      </c>
      <c r="F1262" s="255" t="str">
        <f>IF(ISBLANK('4S'!L16),"##BLANK",'4S'!L16)</f>
        <v>##BLANK</v>
      </c>
    </row>
    <row r="1263" spans="2:6">
      <c r="B1263" s="219" t="str">
        <f>'4S'!AV16</f>
        <v>B0829GRCC_RW</v>
      </c>
      <c r="C1263" s="219" t="s">
        <v>6261</v>
      </c>
      <c r="E1263" s="249" t="s">
        <v>3641</v>
      </c>
      <c r="F1263" s="255" t="str">
        <f>IF(ISBLANK('4S'!M16),"##BLANK",'4S'!M16)</f>
        <v>##BLANK</v>
      </c>
    </row>
    <row r="1264" spans="2:6">
      <c r="B1264" s="219" t="str">
        <f>'4S'!AW16</f>
        <v>B0840GRCC_SW</v>
      </c>
      <c r="C1264" s="219" t="s">
        <v>6262</v>
      </c>
      <c r="E1264" s="249" t="s">
        <v>3641</v>
      </c>
      <c r="F1264" s="255" t="str">
        <f>IF(ISBLANK('4S'!N16),"##BLANK",'4S'!N16)</f>
        <v>##BLANK</v>
      </c>
    </row>
    <row r="1265" spans="2:6">
      <c r="B1265" s="219" t="str">
        <f>'4S'!AX16</f>
        <v>B0851GRCC_TW</v>
      </c>
      <c r="C1265" s="219" t="s">
        <v>6263</v>
      </c>
      <c r="E1265" s="249" t="s">
        <v>3641</v>
      </c>
      <c r="F1265" s="255" t="str">
        <f>IF(ISBLANK('4S'!O16),"##BLANK",'4S'!O16)</f>
        <v>##BLANK</v>
      </c>
    </row>
    <row r="1266" spans="2:6">
      <c r="B1266" s="219" t="str">
        <f>'4S'!AY16</f>
        <v>B0862GRCC_DW</v>
      </c>
      <c r="C1266" s="219" t="s">
        <v>6264</v>
      </c>
      <c r="E1266" s="249" t="s">
        <v>3641</v>
      </c>
      <c r="F1266" s="255" t="str">
        <f>IF(ISBLANK('4S'!P16),"##BLANK",'4S'!P16)</f>
        <v>##BLANK</v>
      </c>
    </row>
    <row r="1267" spans="2:6">
      <c r="B1267" s="219" t="str">
        <f>'4S'!AZ16</f>
        <v>B0498GRCC_TO</v>
      </c>
      <c r="C1267" s="219" t="s">
        <v>6265</v>
      </c>
      <c r="E1267" s="249" t="s">
        <v>3641</v>
      </c>
      <c r="F1267" s="255">
        <f>IF(ISBLANK('4S'!Q16),"##BLANK",'4S'!Q16)</f>
        <v>0</v>
      </c>
    </row>
    <row r="1268" spans="2:6">
      <c r="B1268" s="219" t="str">
        <f>'4S'!AO17</f>
        <v>B0764GROE_WR</v>
      </c>
      <c r="C1268" s="219" t="s">
        <v>6266</v>
      </c>
      <c r="E1268" s="249" t="s">
        <v>3641</v>
      </c>
      <c r="F1268" s="255" t="str">
        <f>IF(ISBLANK('4S'!F17),"##BLANK",'4S'!F17)</f>
        <v>##BLANK</v>
      </c>
    </row>
    <row r="1269" spans="2:6">
      <c r="B1269" s="219" t="str">
        <f>'4S'!AP17</f>
        <v>B0775GROE_RW</v>
      </c>
      <c r="C1269" s="219" t="s">
        <v>6267</v>
      </c>
      <c r="E1269" s="249" t="s">
        <v>3641</v>
      </c>
      <c r="F1269" s="255" t="str">
        <f>IF(ISBLANK('4S'!G17),"##BLANK",'4S'!G17)</f>
        <v>##BLANK</v>
      </c>
    </row>
    <row r="1270" spans="2:6">
      <c r="B1270" s="219" t="str">
        <f>'4S'!AQ17</f>
        <v>B0786GROE_SW</v>
      </c>
      <c r="C1270" s="219" t="s">
        <v>6268</v>
      </c>
      <c r="E1270" s="249" t="s">
        <v>3641</v>
      </c>
      <c r="F1270" s="255" t="str">
        <f>IF(ISBLANK('4S'!H17),"##BLANK",'4S'!H17)</f>
        <v>##BLANK</v>
      </c>
    </row>
    <row r="1271" spans="2:6">
      <c r="B1271" s="219" t="str">
        <f>'4S'!AR17</f>
        <v>B0797GROE_TW</v>
      </c>
      <c r="C1271" s="219" t="s">
        <v>6269</v>
      </c>
      <c r="E1271" s="249" t="s">
        <v>3641</v>
      </c>
      <c r="F1271" s="255" t="str">
        <f>IF(ISBLANK('4S'!I17),"##BLANK",'4S'!I17)</f>
        <v>##BLANK</v>
      </c>
    </row>
    <row r="1272" spans="2:6">
      <c r="B1272" s="219" t="str">
        <f>'4S'!AS17</f>
        <v>B0808GROE_DW</v>
      </c>
      <c r="C1272" s="219" t="s">
        <v>6270</v>
      </c>
      <c r="E1272" s="249" t="s">
        <v>3641</v>
      </c>
      <c r="F1272" s="255" t="str">
        <f>IF(ISBLANK('4S'!J17),"##BLANK",'4S'!J17)</f>
        <v>##BLANK</v>
      </c>
    </row>
    <row r="1273" spans="2:6">
      <c r="B1273" s="219" t="str">
        <f>'4S'!AT17</f>
        <v>B0449GROE_TO</v>
      </c>
      <c r="C1273" s="219" t="s">
        <v>6271</v>
      </c>
      <c r="E1273" s="249" t="s">
        <v>3641</v>
      </c>
      <c r="F1273" s="255">
        <f>IF(ISBLANK('4S'!K17),"##BLANK",'4S'!K17)</f>
        <v>0</v>
      </c>
    </row>
    <row r="1274" spans="2:6">
      <c r="B1274" s="219" t="str">
        <f>'4S'!AU17</f>
        <v>B0819GROC_WR</v>
      </c>
      <c r="C1274" s="219" t="s">
        <v>6272</v>
      </c>
      <c r="E1274" s="249" t="s">
        <v>3641</v>
      </c>
      <c r="F1274" s="255" t="str">
        <f>IF(ISBLANK('4S'!L17),"##BLANK",'4S'!L17)</f>
        <v>##BLANK</v>
      </c>
    </row>
    <row r="1275" spans="2:6">
      <c r="B1275" s="219" t="str">
        <f>'4S'!AV17</f>
        <v>B0830GROC_RW</v>
      </c>
      <c r="C1275" s="219" t="s">
        <v>6273</v>
      </c>
      <c r="E1275" s="249" t="s">
        <v>3641</v>
      </c>
      <c r="F1275" s="255" t="str">
        <f>IF(ISBLANK('4S'!M17),"##BLANK",'4S'!M17)</f>
        <v>##BLANK</v>
      </c>
    </row>
    <row r="1276" spans="2:6">
      <c r="B1276" s="219" t="str">
        <f>'4S'!AW17</f>
        <v>B0841GROC_SW</v>
      </c>
      <c r="C1276" s="219" t="s">
        <v>6274</v>
      </c>
      <c r="E1276" s="249" t="s">
        <v>3641</v>
      </c>
      <c r="F1276" s="255" t="str">
        <f>IF(ISBLANK('4S'!N17),"##BLANK",'4S'!N17)</f>
        <v>##BLANK</v>
      </c>
    </row>
    <row r="1277" spans="2:6">
      <c r="B1277" s="219" t="str">
        <f>'4S'!AX17</f>
        <v>B0852GROC_TW</v>
      </c>
      <c r="C1277" s="219" t="s">
        <v>6275</v>
      </c>
      <c r="E1277" s="249" t="s">
        <v>3641</v>
      </c>
      <c r="F1277" s="255" t="str">
        <f>IF(ISBLANK('4S'!O17),"##BLANK",'4S'!O17)</f>
        <v>##BLANK</v>
      </c>
    </row>
    <row r="1278" spans="2:6">
      <c r="B1278" s="219" t="str">
        <f>'4S'!AY17</f>
        <v>B0863GROC_DW</v>
      </c>
      <c r="C1278" s="219" t="s">
        <v>6276</v>
      </c>
      <c r="E1278" s="249" t="s">
        <v>3641</v>
      </c>
      <c r="F1278" s="255" t="str">
        <f>IF(ISBLANK('4S'!P17),"##BLANK",'4S'!P17)</f>
        <v>##BLANK</v>
      </c>
    </row>
    <row r="1279" spans="2:6">
      <c r="B1279" s="219" t="str">
        <f>'4S'!AZ17</f>
        <v>B0499GROC_TO</v>
      </c>
      <c r="C1279" s="219" t="s">
        <v>6277</v>
      </c>
      <c r="E1279" s="249" t="s">
        <v>3641</v>
      </c>
      <c r="F1279" s="255">
        <f>IF(ISBLANK('4S'!Q17),"##BLANK",'4S'!Q17)</f>
        <v>0</v>
      </c>
    </row>
    <row r="1280" spans="2:6">
      <c r="B1280" s="219" t="str">
        <f>'4S'!AO18</f>
        <v>B0409GRTE_WR</v>
      </c>
      <c r="C1280" s="219" t="s">
        <v>6278</v>
      </c>
      <c r="E1280" s="249" t="s">
        <v>3641</v>
      </c>
      <c r="F1280" s="255">
        <f>IF(ISBLANK('4S'!F18),"##BLANK",'4S'!F18)</f>
        <v>0</v>
      </c>
    </row>
    <row r="1281" spans="2:6">
      <c r="B1281" s="219" t="str">
        <f>'4S'!AP18</f>
        <v>B0416GRTE_RW</v>
      </c>
      <c r="C1281" s="219" t="s">
        <v>6279</v>
      </c>
      <c r="E1281" s="249" t="s">
        <v>3641</v>
      </c>
      <c r="F1281" s="255">
        <f>IF(ISBLANK('4S'!G18),"##BLANK",'4S'!G18)</f>
        <v>0</v>
      </c>
    </row>
    <row r="1282" spans="2:6">
      <c r="B1282" s="219" t="str">
        <f>'4S'!AQ18</f>
        <v>B0423GRTE_SW</v>
      </c>
      <c r="C1282" s="219" t="s">
        <v>6280</v>
      </c>
      <c r="E1282" s="249" t="s">
        <v>3641</v>
      </c>
      <c r="F1282" s="255">
        <f>IF(ISBLANK('4S'!H18),"##BLANK",'4S'!H18)</f>
        <v>0</v>
      </c>
    </row>
    <row r="1283" spans="2:6">
      <c r="B1283" s="219" t="str">
        <f>'4S'!AR18</f>
        <v>B0430GRTE_TW</v>
      </c>
      <c r="C1283" s="219" t="s">
        <v>6281</v>
      </c>
      <c r="E1283" s="249" t="s">
        <v>3641</v>
      </c>
      <c r="F1283" s="255">
        <f>IF(ISBLANK('4S'!I18),"##BLANK",'4S'!I18)</f>
        <v>0</v>
      </c>
    </row>
    <row r="1284" spans="2:6">
      <c r="B1284" s="219" t="str">
        <f>'4S'!AS18</f>
        <v>B0437GRTE_DW</v>
      </c>
      <c r="C1284" s="219" t="s">
        <v>6282</v>
      </c>
      <c r="E1284" s="249" t="s">
        <v>3641</v>
      </c>
      <c r="F1284" s="255">
        <f>IF(ISBLANK('4S'!J18),"##BLANK",'4S'!J18)</f>
        <v>0</v>
      </c>
    </row>
    <row r="1285" spans="2:6">
      <c r="B1285" s="219" t="str">
        <f>'4S'!AT18</f>
        <v>B0450GRTE_TO</v>
      </c>
      <c r="C1285" s="219" t="s">
        <v>6283</v>
      </c>
      <c r="E1285" s="249" t="s">
        <v>3641</v>
      </c>
      <c r="F1285" s="255">
        <f>IF(ISBLANK('4S'!K18),"##BLANK",'4S'!K18)</f>
        <v>0</v>
      </c>
    </row>
    <row r="1286" spans="2:6">
      <c r="B1286" s="219" t="str">
        <f>'4S'!AU18</f>
        <v>B0459GRTC_WR</v>
      </c>
      <c r="C1286" s="219" t="s">
        <v>6284</v>
      </c>
      <c r="E1286" s="249" t="s">
        <v>3641</v>
      </c>
      <c r="F1286" s="255">
        <f>IF(ISBLANK('4S'!L18),"##BLANK",'4S'!L18)</f>
        <v>0</v>
      </c>
    </row>
    <row r="1287" spans="2:6">
      <c r="B1287" s="219" t="str">
        <f>'4S'!AV18</f>
        <v>B0466GRTC_RW</v>
      </c>
      <c r="C1287" s="219" t="s">
        <v>6285</v>
      </c>
      <c r="E1287" s="249" t="s">
        <v>3641</v>
      </c>
      <c r="F1287" s="255">
        <f>IF(ISBLANK('4S'!M18),"##BLANK",'4S'!M18)</f>
        <v>0</v>
      </c>
    </row>
    <row r="1288" spans="2:6">
      <c r="B1288" s="219" t="str">
        <f>'4S'!AW18</f>
        <v>B0473GRTC_SW</v>
      </c>
      <c r="C1288" s="219" t="s">
        <v>6286</v>
      </c>
      <c r="E1288" s="249" t="s">
        <v>3641</v>
      </c>
      <c r="F1288" s="255">
        <f>IF(ISBLANK('4S'!N18),"##BLANK",'4S'!N18)</f>
        <v>0</v>
      </c>
    </row>
    <row r="1289" spans="2:6">
      <c r="B1289" s="219" t="str">
        <f>'4S'!AX18</f>
        <v>B0480GRTC_TW</v>
      </c>
      <c r="C1289" s="219" t="s">
        <v>6287</v>
      </c>
      <c r="E1289" s="249" t="s">
        <v>3641</v>
      </c>
      <c r="F1289" s="255">
        <f>IF(ISBLANK('4S'!O18),"##BLANK",'4S'!O18)</f>
        <v>0</v>
      </c>
    </row>
    <row r="1290" spans="2:6">
      <c r="B1290" s="219" t="str">
        <f>'4S'!AY18</f>
        <v>B0487GRTC_DW</v>
      </c>
      <c r="C1290" s="219" t="s">
        <v>6288</v>
      </c>
      <c r="E1290" s="249" t="s">
        <v>3641</v>
      </c>
      <c r="F1290" s="255">
        <f>IF(ISBLANK('4S'!P18),"##BLANK",'4S'!P18)</f>
        <v>0</v>
      </c>
    </row>
    <row r="1291" spans="2:6">
      <c r="B1291" s="219" t="str">
        <f>'4S'!AZ18</f>
        <v>B0500GRTC_TO</v>
      </c>
      <c r="C1291" s="219" t="s">
        <v>6289</v>
      </c>
      <c r="E1291" s="249" t="s">
        <v>3641</v>
      </c>
      <c r="F1291" s="255">
        <f>IF(ISBLANK('4S'!Q18),"##BLANK",'4S'!Q18)</f>
        <v>0</v>
      </c>
    </row>
    <row r="1292" spans="2:6">
      <c r="B1292" s="219" t="str">
        <f>'4S'!AO19</f>
        <v>B0766GRCE_WR</v>
      </c>
      <c r="C1292" s="219" t="s">
        <v>6290</v>
      </c>
      <c r="E1292" s="249" t="s">
        <v>3641</v>
      </c>
      <c r="F1292" s="255" t="str">
        <f>IF(ISBLANK('4S'!F19),"##BLANK",'4S'!F19)</f>
        <v>##BLANK</v>
      </c>
    </row>
    <row r="1293" spans="2:6">
      <c r="B1293" s="219" t="str">
        <f>'4S'!AP19</f>
        <v>B0777GRCE_RW</v>
      </c>
      <c r="C1293" s="219" t="s">
        <v>6291</v>
      </c>
      <c r="E1293" s="249" t="s">
        <v>3641</v>
      </c>
      <c r="F1293" s="255" t="str">
        <f>IF(ISBLANK('4S'!G19),"##BLANK",'4S'!G19)</f>
        <v>##BLANK</v>
      </c>
    </row>
    <row r="1294" spans="2:6">
      <c r="B1294" s="219" t="str">
        <f>'4S'!AQ19</f>
        <v>B0788GRCE_SW</v>
      </c>
      <c r="C1294" s="219" t="s">
        <v>6292</v>
      </c>
      <c r="E1294" s="249" t="s">
        <v>3641</v>
      </c>
      <c r="F1294" s="255" t="str">
        <f>IF(ISBLANK('4S'!H19),"##BLANK",'4S'!H19)</f>
        <v>##BLANK</v>
      </c>
    </row>
    <row r="1295" spans="2:6">
      <c r="B1295" s="219" t="str">
        <f>'4S'!AR19</f>
        <v>B0799GRCE_TW</v>
      </c>
      <c r="C1295" s="219" t="s">
        <v>6293</v>
      </c>
      <c r="E1295" s="249" t="s">
        <v>3641</v>
      </c>
      <c r="F1295" s="255" t="str">
        <f>IF(ISBLANK('4S'!I19),"##BLANK",'4S'!I19)</f>
        <v>##BLANK</v>
      </c>
    </row>
    <row r="1296" spans="2:6">
      <c r="B1296" s="219" t="str">
        <f>'4S'!AS19</f>
        <v>B0810GRCE_DW</v>
      </c>
      <c r="C1296" s="219" t="s">
        <v>6294</v>
      </c>
      <c r="E1296" s="249" t="s">
        <v>3641</v>
      </c>
      <c r="F1296" s="255" t="str">
        <f>IF(ISBLANK('4S'!J19),"##BLANK",'4S'!J19)</f>
        <v>##BLANK</v>
      </c>
    </row>
    <row r="1297" spans="2:6">
      <c r="B1297" s="219" t="str">
        <f>'4S'!AT19</f>
        <v>B0451GRCE_TO</v>
      </c>
      <c r="C1297" s="219" t="s">
        <v>6295</v>
      </c>
      <c r="E1297" s="249" t="s">
        <v>3641</v>
      </c>
      <c r="F1297" s="255">
        <f>IF(ISBLANK('4S'!K19),"##BLANK",'4S'!K19)</f>
        <v>0</v>
      </c>
    </row>
    <row r="1298" spans="2:6">
      <c r="B1298" s="219" t="str">
        <f>'4S'!AU19</f>
        <v>B0821GRCC_WR</v>
      </c>
      <c r="C1298" s="219" t="s">
        <v>6296</v>
      </c>
      <c r="E1298" s="249" t="s">
        <v>3641</v>
      </c>
      <c r="F1298" s="255" t="str">
        <f>IF(ISBLANK('4S'!L19),"##BLANK",'4S'!L19)</f>
        <v>##BLANK</v>
      </c>
    </row>
    <row r="1299" spans="2:6">
      <c r="B1299" s="219" t="str">
        <f>'4S'!AV19</f>
        <v>B0832GRCC_RW</v>
      </c>
      <c r="C1299" s="219" t="s">
        <v>6297</v>
      </c>
      <c r="E1299" s="249" t="s">
        <v>3641</v>
      </c>
      <c r="F1299" s="255" t="str">
        <f>IF(ISBLANK('4S'!M19),"##BLANK",'4S'!M19)</f>
        <v>##BLANK</v>
      </c>
    </row>
    <row r="1300" spans="2:6">
      <c r="B1300" s="219" t="str">
        <f>'4S'!AW19</f>
        <v>B0843GRCC_SW</v>
      </c>
      <c r="C1300" s="219" t="s">
        <v>6298</v>
      </c>
      <c r="E1300" s="249" t="s">
        <v>3641</v>
      </c>
      <c r="F1300" s="255" t="str">
        <f>IF(ISBLANK('4S'!N19),"##BLANK",'4S'!N19)</f>
        <v>##BLANK</v>
      </c>
    </row>
    <row r="1301" spans="2:6">
      <c r="B1301" s="219" t="str">
        <f>'4S'!AX19</f>
        <v>B0854GRCC_TW</v>
      </c>
      <c r="C1301" s="219" t="s">
        <v>6299</v>
      </c>
      <c r="E1301" s="249" t="s">
        <v>3641</v>
      </c>
      <c r="F1301" s="255" t="str">
        <f>IF(ISBLANK('4S'!O19),"##BLANK",'4S'!O19)</f>
        <v>##BLANK</v>
      </c>
    </row>
    <row r="1302" spans="2:6">
      <c r="B1302" s="219" t="str">
        <f>'4S'!AY19</f>
        <v>B0865GRCC_DW</v>
      </c>
      <c r="C1302" s="219" t="s">
        <v>6300</v>
      </c>
      <c r="E1302" s="249" t="s">
        <v>3641</v>
      </c>
      <c r="F1302" s="255" t="str">
        <f>IF(ISBLANK('4S'!P19),"##BLANK",'4S'!P19)</f>
        <v>##BLANK</v>
      </c>
    </row>
    <row r="1303" spans="2:6">
      <c r="B1303" s="219" t="str">
        <f>'4S'!AZ19</f>
        <v>B0501GRCC_TO</v>
      </c>
      <c r="C1303" s="219" t="s">
        <v>6301</v>
      </c>
      <c r="E1303" s="249" t="s">
        <v>3641</v>
      </c>
      <c r="F1303" s="255">
        <f>IF(ISBLANK('4S'!Q19),"##BLANK",'4S'!Q19)</f>
        <v>0</v>
      </c>
    </row>
    <row r="1304" spans="2:6">
      <c r="B1304" s="219" t="str">
        <f>'4S'!AO20</f>
        <v>B0767GROE_WR</v>
      </c>
      <c r="C1304" s="219" t="s">
        <v>6302</v>
      </c>
      <c r="E1304" s="249" t="s">
        <v>3641</v>
      </c>
      <c r="F1304" s="255" t="str">
        <f>IF(ISBLANK('4S'!F20),"##BLANK",'4S'!F20)</f>
        <v>##BLANK</v>
      </c>
    </row>
    <row r="1305" spans="2:6">
      <c r="B1305" s="219" t="str">
        <f>'4S'!AP20</f>
        <v>B0778GROE_RW</v>
      </c>
      <c r="C1305" s="219" t="s">
        <v>6303</v>
      </c>
      <c r="E1305" s="249" t="s">
        <v>3641</v>
      </c>
      <c r="F1305" s="255" t="str">
        <f>IF(ISBLANK('4S'!G20),"##BLANK",'4S'!G20)</f>
        <v>##BLANK</v>
      </c>
    </row>
    <row r="1306" spans="2:6">
      <c r="B1306" s="219" t="str">
        <f>'4S'!AQ20</f>
        <v>B0789GROE_SW</v>
      </c>
      <c r="C1306" s="219" t="s">
        <v>6304</v>
      </c>
      <c r="E1306" s="249" t="s">
        <v>3641</v>
      </c>
      <c r="F1306" s="255" t="str">
        <f>IF(ISBLANK('4S'!H20),"##BLANK",'4S'!H20)</f>
        <v>##BLANK</v>
      </c>
    </row>
    <row r="1307" spans="2:6">
      <c r="B1307" s="219" t="str">
        <f>'4S'!AR20</f>
        <v>B0800GROE_TW</v>
      </c>
      <c r="C1307" s="219" t="s">
        <v>6305</v>
      </c>
      <c r="E1307" s="249" t="s">
        <v>3641</v>
      </c>
      <c r="F1307" s="255" t="str">
        <f>IF(ISBLANK('4S'!I20),"##BLANK",'4S'!I20)</f>
        <v>##BLANK</v>
      </c>
    </row>
    <row r="1308" spans="2:6">
      <c r="B1308" s="219" t="str">
        <f>'4S'!AS20</f>
        <v>B0811GROE_DW</v>
      </c>
      <c r="C1308" s="219" t="s">
        <v>6306</v>
      </c>
      <c r="E1308" s="249" t="s">
        <v>3641</v>
      </c>
      <c r="F1308" s="255" t="str">
        <f>IF(ISBLANK('4S'!J20),"##BLANK",'4S'!J20)</f>
        <v>##BLANK</v>
      </c>
    </row>
    <row r="1309" spans="2:6">
      <c r="B1309" s="219" t="str">
        <f>'4S'!AT20</f>
        <v>B0452GROE_TO</v>
      </c>
      <c r="C1309" s="219" t="s">
        <v>6307</v>
      </c>
      <c r="E1309" s="249" t="s">
        <v>3641</v>
      </c>
      <c r="F1309" s="255">
        <f>IF(ISBLANK('4S'!K20),"##BLANK",'4S'!K20)</f>
        <v>0</v>
      </c>
    </row>
    <row r="1310" spans="2:6">
      <c r="B1310" s="219" t="str">
        <f>'4S'!AU20</f>
        <v>B0822GROC_WR</v>
      </c>
      <c r="C1310" s="219" t="s">
        <v>6308</v>
      </c>
      <c r="E1310" s="249" t="s">
        <v>3641</v>
      </c>
      <c r="F1310" s="255" t="str">
        <f>IF(ISBLANK('4S'!L20),"##BLANK",'4S'!L20)</f>
        <v>##BLANK</v>
      </c>
    </row>
    <row r="1311" spans="2:6">
      <c r="B1311" s="219" t="str">
        <f>'4S'!AV20</f>
        <v>B0833GROC_RW</v>
      </c>
      <c r="C1311" s="219" t="s">
        <v>6309</v>
      </c>
      <c r="E1311" s="249" t="s">
        <v>3641</v>
      </c>
      <c r="F1311" s="255" t="str">
        <f>IF(ISBLANK('4S'!M20),"##BLANK",'4S'!M20)</f>
        <v>##BLANK</v>
      </c>
    </row>
    <row r="1312" spans="2:6">
      <c r="B1312" s="219" t="str">
        <f>'4S'!AW20</f>
        <v>B0844GROC_SW</v>
      </c>
      <c r="C1312" s="219" t="s">
        <v>6310</v>
      </c>
      <c r="E1312" s="249" t="s">
        <v>3641</v>
      </c>
      <c r="F1312" s="255" t="str">
        <f>IF(ISBLANK('4S'!N20),"##BLANK",'4S'!N20)</f>
        <v>##BLANK</v>
      </c>
    </row>
    <row r="1313" spans="2:6">
      <c r="B1313" s="219" t="str">
        <f>'4S'!AX20</f>
        <v>B0855GROC_TW</v>
      </c>
      <c r="C1313" s="219" t="s">
        <v>6311</v>
      </c>
      <c r="E1313" s="249" t="s">
        <v>3641</v>
      </c>
      <c r="F1313" s="255" t="str">
        <f>IF(ISBLANK('4S'!O20),"##BLANK",'4S'!O20)</f>
        <v>##BLANK</v>
      </c>
    </row>
    <row r="1314" spans="2:6">
      <c r="B1314" s="219" t="str">
        <f>'4S'!AY20</f>
        <v>B0866GROC_DW</v>
      </c>
      <c r="C1314" s="219" t="s">
        <v>6312</v>
      </c>
      <c r="E1314" s="249" t="s">
        <v>3641</v>
      </c>
      <c r="F1314" s="255" t="str">
        <f>IF(ISBLANK('4S'!P20),"##BLANK",'4S'!P20)</f>
        <v>##BLANK</v>
      </c>
    </row>
    <row r="1315" spans="2:6">
      <c r="B1315" s="219" t="str">
        <f>'4S'!AZ20</f>
        <v>B0502GROC_TO</v>
      </c>
      <c r="C1315" s="219" t="s">
        <v>6313</v>
      </c>
      <c r="E1315" s="249" t="s">
        <v>3641</v>
      </c>
      <c r="F1315" s="255">
        <f>IF(ISBLANK('4S'!Q20),"##BLANK",'4S'!Q20)</f>
        <v>0</v>
      </c>
    </row>
    <row r="1316" spans="2:6">
      <c r="B1316" s="219" t="str">
        <f>'4S'!AO21</f>
        <v>B0410GRTE_WR</v>
      </c>
      <c r="C1316" s="219" t="s">
        <v>6314</v>
      </c>
      <c r="E1316" s="249" t="s">
        <v>3641</v>
      </c>
      <c r="F1316" s="255">
        <f>IF(ISBLANK('4S'!F21),"##BLANK",'4S'!F21)</f>
        <v>0</v>
      </c>
    </row>
    <row r="1317" spans="2:6">
      <c r="B1317" s="219" t="str">
        <f>'4S'!AP21</f>
        <v>B0417GRTE_RW</v>
      </c>
      <c r="C1317" s="219" t="s">
        <v>6315</v>
      </c>
      <c r="E1317" s="249" t="s">
        <v>3641</v>
      </c>
      <c r="F1317" s="255">
        <f>IF(ISBLANK('4S'!G21),"##BLANK",'4S'!G21)</f>
        <v>0</v>
      </c>
    </row>
    <row r="1318" spans="2:6">
      <c r="B1318" s="219" t="str">
        <f>'4S'!AQ21</f>
        <v>B0424GRTE_SW</v>
      </c>
      <c r="C1318" s="219" t="s">
        <v>6316</v>
      </c>
      <c r="E1318" s="249" t="s">
        <v>3641</v>
      </c>
      <c r="F1318" s="255">
        <f>IF(ISBLANK('4S'!H21),"##BLANK",'4S'!H21)</f>
        <v>0</v>
      </c>
    </row>
    <row r="1319" spans="2:6">
      <c r="B1319" s="219" t="str">
        <f>'4S'!AR21</f>
        <v>B0431GRTE_TW</v>
      </c>
      <c r="C1319" s="219" t="s">
        <v>6317</v>
      </c>
      <c r="E1319" s="249" t="s">
        <v>3641</v>
      </c>
      <c r="F1319" s="255">
        <f>IF(ISBLANK('4S'!I21),"##BLANK",'4S'!I21)</f>
        <v>0</v>
      </c>
    </row>
    <row r="1320" spans="2:6">
      <c r="B1320" s="219" t="str">
        <f>'4S'!AS21</f>
        <v>B0438GRTE_DW</v>
      </c>
      <c r="C1320" s="219" t="s">
        <v>6318</v>
      </c>
      <c r="E1320" s="249" t="s">
        <v>3641</v>
      </c>
      <c r="F1320" s="255">
        <f>IF(ISBLANK('4S'!J21),"##BLANK",'4S'!J21)</f>
        <v>0</v>
      </c>
    </row>
    <row r="1321" spans="2:6">
      <c r="B1321" s="219" t="str">
        <f>'4S'!AT21</f>
        <v>B0453GRTE_TO</v>
      </c>
      <c r="C1321" s="219" t="s">
        <v>6319</v>
      </c>
      <c r="E1321" s="249" t="s">
        <v>3641</v>
      </c>
      <c r="F1321" s="255">
        <f>IF(ISBLANK('4S'!K21),"##BLANK",'4S'!K21)</f>
        <v>0</v>
      </c>
    </row>
    <row r="1322" spans="2:6">
      <c r="B1322" s="219" t="str">
        <f>'4S'!AU21</f>
        <v>B0460GRTC_WR</v>
      </c>
      <c r="C1322" s="219" t="s">
        <v>6320</v>
      </c>
      <c r="E1322" s="249" t="s">
        <v>3641</v>
      </c>
      <c r="F1322" s="255">
        <f>IF(ISBLANK('4S'!L21),"##BLANK",'4S'!L21)</f>
        <v>0</v>
      </c>
    </row>
    <row r="1323" spans="2:6">
      <c r="B1323" s="219" t="str">
        <f>'4S'!AV21</f>
        <v>B0467GRTC_RW</v>
      </c>
      <c r="C1323" s="219" t="s">
        <v>6321</v>
      </c>
      <c r="E1323" s="249" t="s">
        <v>3641</v>
      </c>
      <c r="F1323" s="255">
        <f>IF(ISBLANK('4S'!M21),"##BLANK",'4S'!M21)</f>
        <v>0</v>
      </c>
    </row>
    <row r="1324" spans="2:6">
      <c r="B1324" s="219" t="str">
        <f>'4S'!AW21</f>
        <v>B0474GRTC_SW</v>
      </c>
      <c r="C1324" s="219" t="s">
        <v>6322</v>
      </c>
      <c r="E1324" s="249" t="s">
        <v>3641</v>
      </c>
      <c r="F1324" s="255">
        <f>IF(ISBLANK('4S'!N21),"##BLANK",'4S'!N21)</f>
        <v>0</v>
      </c>
    </row>
    <row r="1325" spans="2:6">
      <c r="B1325" s="219" t="str">
        <f>'4S'!AX21</f>
        <v>B0481GRTC_TW</v>
      </c>
      <c r="C1325" s="219" t="s">
        <v>6323</v>
      </c>
      <c r="E1325" s="249" t="s">
        <v>3641</v>
      </c>
      <c r="F1325" s="255">
        <f>IF(ISBLANK('4S'!O21),"##BLANK",'4S'!O21)</f>
        <v>0</v>
      </c>
    </row>
    <row r="1326" spans="2:6">
      <c r="B1326" s="219" t="str">
        <f>'4S'!AY21</f>
        <v>B0488GRTC_DW</v>
      </c>
      <c r="C1326" s="219" t="s">
        <v>6324</v>
      </c>
      <c r="E1326" s="249" t="s">
        <v>3641</v>
      </c>
      <c r="F1326" s="255">
        <f>IF(ISBLANK('4S'!P21),"##BLANK",'4S'!P21)</f>
        <v>0</v>
      </c>
    </row>
    <row r="1327" spans="2:6">
      <c r="B1327" s="219" t="str">
        <f>'4S'!AZ21</f>
        <v>B0503GRTC_TO</v>
      </c>
      <c r="C1327" s="219" t="s">
        <v>6325</v>
      </c>
      <c r="E1327" s="249" t="s">
        <v>3641</v>
      </c>
      <c r="F1327" s="255">
        <f>IF(ISBLANK('4S'!Q21),"##BLANK",'4S'!Q21)</f>
        <v>0</v>
      </c>
    </row>
    <row r="1328" spans="2:6">
      <c r="B1328" s="219" t="str">
        <f>'4S'!AO22</f>
        <v>B0411TGCE_WR</v>
      </c>
      <c r="C1328" s="219" t="s">
        <v>6326</v>
      </c>
      <c r="E1328" s="249" t="s">
        <v>3641</v>
      </c>
      <c r="F1328" s="255">
        <f>IF(ISBLANK('4S'!F22),"##BLANK",'4S'!F22)</f>
        <v>0</v>
      </c>
    </row>
    <row r="1329" spans="2:6">
      <c r="B1329" s="219" t="str">
        <f>'4S'!AP22</f>
        <v>B0418TGCE_RW</v>
      </c>
      <c r="C1329" s="219" t="s">
        <v>6327</v>
      </c>
      <c r="E1329" s="249" t="s">
        <v>3641</v>
      </c>
      <c r="F1329" s="255">
        <f>IF(ISBLANK('4S'!G22),"##BLANK",'4S'!G22)</f>
        <v>0</v>
      </c>
    </row>
    <row r="1330" spans="2:6">
      <c r="B1330" s="219" t="str">
        <f>'4S'!AQ22</f>
        <v>B0425TGCE_SW</v>
      </c>
      <c r="C1330" s="219" t="s">
        <v>6328</v>
      </c>
      <c r="E1330" s="249" t="s">
        <v>3641</v>
      </c>
      <c r="F1330" s="255">
        <f>IF(ISBLANK('4S'!H22),"##BLANK",'4S'!H22)</f>
        <v>0</v>
      </c>
    </row>
    <row r="1331" spans="2:6">
      <c r="B1331" s="219" t="str">
        <f>'4S'!AR22</f>
        <v>B0432TGCE_TW</v>
      </c>
      <c r="C1331" s="219" t="s">
        <v>6329</v>
      </c>
      <c r="E1331" s="249" t="s">
        <v>3641</v>
      </c>
      <c r="F1331" s="255">
        <f>IF(ISBLANK('4S'!I22),"##BLANK",'4S'!I22)</f>
        <v>0</v>
      </c>
    </row>
    <row r="1332" spans="2:6">
      <c r="B1332" s="219" t="str">
        <f>'4S'!AS22</f>
        <v>B0439TGCE_DW</v>
      </c>
      <c r="C1332" s="219" t="s">
        <v>6330</v>
      </c>
      <c r="E1332" s="249" t="s">
        <v>3641</v>
      </c>
      <c r="F1332" s="255">
        <f>IF(ISBLANK('4S'!J22),"##BLANK",'4S'!J22)</f>
        <v>0</v>
      </c>
    </row>
    <row r="1333" spans="2:6">
      <c r="B1333" s="219" t="str">
        <f>'4S'!AT22</f>
        <v>B0454TGCE_TO</v>
      </c>
      <c r="C1333" s="219" t="s">
        <v>6331</v>
      </c>
      <c r="E1333" s="249" t="s">
        <v>3641</v>
      </c>
      <c r="F1333" s="255">
        <f>IF(ISBLANK('4S'!K22),"##BLANK",'4S'!K22)</f>
        <v>0</v>
      </c>
    </row>
    <row r="1334" spans="2:6">
      <c r="B1334" s="219" t="str">
        <f>'4S'!AU22</f>
        <v>B0461TGCC_WR</v>
      </c>
      <c r="C1334" s="219" t="s">
        <v>6332</v>
      </c>
      <c r="E1334" s="249" t="s">
        <v>3641</v>
      </c>
      <c r="F1334" s="255">
        <f>IF(ISBLANK('4S'!L22),"##BLANK",'4S'!L22)</f>
        <v>0</v>
      </c>
    </row>
    <row r="1335" spans="2:6">
      <c r="B1335" s="219" t="str">
        <f>'4S'!AV22</f>
        <v>B0468TGCC_RW</v>
      </c>
      <c r="C1335" s="219" t="s">
        <v>6333</v>
      </c>
      <c r="E1335" s="249" t="s">
        <v>3641</v>
      </c>
      <c r="F1335" s="255">
        <f>IF(ISBLANK('4S'!M22),"##BLANK",'4S'!M22)</f>
        <v>0</v>
      </c>
    </row>
    <row r="1336" spans="2:6">
      <c r="B1336" s="219" t="str">
        <f>'4S'!AW22</f>
        <v>B0475TGCC_SW</v>
      </c>
      <c r="C1336" s="219" t="s">
        <v>6334</v>
      </c>
      <c r="E1336" s="249" t="s">
        <v>3641</v>
      </c>
      <c r="F1336" s="255">
        <f>IF(ISBLANK('4S'!N22),"##BLANK",'4S'!N22)</f>
        <v>0</v>
      </c>
    </row>
    <row r="1337" spans="2:6">
      <c r="B1337" s="219" t="str">
        <f>'4S'!AX22</f>
        <v>B0482TGCC_TW</v>
      </c>
      <c r="C1337" s="219" t="s">
        <v>6335</v>
      </c>
      <c r="E1337" s="249" t="s">
        <v>3641</v>
      </c>
      <c r="F1337" s="255">
        <f>IF(ISBLANK('4S'!O22),"##BLANK",'4S'!O22)</f>
        <v>0</v>
      </c>
    </row>
    <row r="1338" spans="2:6">
      <c r="B1338" s="219" t="str">
        <f>'4S'!AY22</f>
        <v>B0489TGCC_DW</v>
      </c>
      <c r="C1338" s="219" t="s">
        <v>6336</v>
      </c>
      <c r="E1338" s="249" t="s">
        <v>3641</v>
      </c>
      <c r="F1338" s="255">
        <f>IF(ISBLANK('4S'!P22),"##BLANK",'4S'!P22)</f>
        <v>0</v>
      </c>
    </row>
    <row r="1339" spans="2:6">
      <c r="B1339" s="219" t="str">
        <f>'4S'!AZ22</f>
        <v>B0504TGCC_TO</v>
      </c>
      <c r="C1339" s="219" t="s">
        <v>6337</v>
      </c>
      <c r="E1339" s="249" t="s">
        <v>3641</v>
      </c>
      <c r="F1339" s="255">
        <f>IF(ISBLANK('4S'!Q22),"##BLANK",'4S'!Q22)</f>
        <v>0</v>
      </c>
    </row>
    <row r="1340" spans="2:6">
      <c r="B1340" s="219" t="str">
        <f>'4S'!AO23</f>
        <v>B0412TGOE_WR</v>
      </c>
      <c r="C1340" s="219" t="s">
        <v>6338</v>
      </c>
      <c r="E1340" s="249" t="s">
        <v>3641</v>
      </c>
      <c r="F1340" s="255">
        <f>IF(ISBLANK('4S'!F23),"##BLANK",'4S'!F23)</f>
        <v>0</v>
      </c>
    </row>
    <row r="1341" spans="2:6">
      <c r="B1341" s="219" t="str">
        <f>'4S'!AP23</f>
        <v>B0419TGOE_RW</v>
      </c>
      <c r="C1341" s="219" t="s">
        <v>6339</v>
      </c>
      <c r="E1341" s="249" t="s">
        <v>3641</v>
      </c>
      <c r="F1341" s="255">
        <f>IF(ISBLANK('4S'!G23),"##BLANK",'4S'!G23)</f>
        <v>0</v>
      </c>
    </row>
    <row r="1342" spans="2:6">
      <c r="B1342" s="219" t="str">
        <f>'4S'!AQ23</f>
        <v>B0426TGOE_SW</v>
      </c>
      <c r="C1342" s="219" t="s">
        <v>6340</v>
      </c>
      <c r="E1342" s="249" t="s">
        <v>3641</v>
      </c>
      <c r="F1342" s="255">
        <f>IF(ISBLANK('4S'!H23),"##BLANK",'4S'!H23)</f>
        <v>0</v>
      </c>
    </row>
    <row r="1343" spans="2:6">
      <c r="B1343" s="219" t="str">
        <f>'4S'!AR23</f>
        <v>B0433TGOE_TW</v>
      </c>
      <c r="C1343" s="219" t="s">
        <v>6341</v>
      </c>
      <c r="E1343" s="249" t="s">
        <v>3641</v>
      </c>
      <c r="F1343" s="255">
        <f>IF(ISBLANK('4S'!I23),"##BLANK",'4S'!I23)</f>
        <v>0</v>
      </c>
    </row>
    <row r="1344" spans="2:6">
      <c r="B1344" s="219" t="str">
        <f>'4S'!AS23</f>
        <v>B0440TGOE_DW</v>
      </c>
      <c r="C1344" s="219" t="s">
        <v>6342</v>
      </c>
      <c r="E1344" s="249" t="s">
        <v>3641</v>
      </c>
      <c r="F1344" s="255">
        <f>IF(ISBLANK('4S'!J23),"##BLANK",'4S'!J23)</f>
        <v>0</v>
      </c>
    </row>
    <row r="1345" spans="2:6">
      <c r="B1345" s="219" t="str">
        <f>'4S'!AT23</f>
        <v>B0455TGOE_TO</v>
      </c>
      <c r="C1345" s="219" t="s">
        <v>6343</v>
      </c>
      <c r="E1345" s="249" t="s">
        <v>3641</v>
      </c>
      <c r="F1345" s="255">
        <f>IF(ISBLANK('4S'!K23),"##BLANK",'4S'!K23)</f>
        <v>0</v>
      </c>
    </row>
    <row r="1346" spans="2:6">
      <c r="B1346" s="219" t="str">
        <f>'4S'!AU23</f>
        <v>B0462TGOC_WR</v>
      </c>
      <c r="C1346" s="219" t="s">
        <v>6344</v>
      </c>
      <c r="E1346" s="249" t="s">
        <v>3641</v>
      </c>
      <c r="F1346" s="255">
        <f>IF(ISBLANK('4S'!L23),"##BLANK",'4S'!L23)</f>
        <v>0</v>
      </c>
    </row>
    <row r="1347" spans="2:6">
      <c r="B1347" s="219" t="str">
        <f>'4S'!AV23</f>
        <v>B0469TGOC_RW</v>
      </c>
      <c r="C1347" s="219" t="s">
        <v>6345</v>
      </c>
      <c r="E1347" s="249" t="s">
        <v>3641</v>
      </c>
      <c r="F1347" s="255">
        <f>IF(ISBLANK('4S'!M23),"##BLANK",'4S'!M23)</f>
        <v>0</v>
      </c>
    </row>
    <row r="1348" spans="2:6">
      <c r="B1348" s="219" t="str">
        <f>'4S'!AW23</f>
        <v>B0476TGOC_SW</v>
      </c>
      <c r="C1348" s="219" t="s">
        <v>6346</v>
      </c>
      <c r="E1348" s="249" t="s">
        <v>3641</v>
      </c>
      <c r="F1348" s="255">
        <f>IF(ISBLANK('4S'!N23),"##BLANK",'4S'!N23)</f>
        <v>0</v>
      </c>
    </row>
    <row r="1349" spans="2:6">
      <c r="B1349" s="219" t="str">
        <f>'4S'!AX23</f>
        <v>B0483TGOC_TW</v>
      </c>
      <c r="C1349" s="219" t="s">
        <v>6347</v>
      </c>
      <c r="E1349" s="249" t="s">
        <v>3641</v>
      </c>
      <c r="F1349" s="255">
        <f>IF(ISBLANK('4S'!O23),"##BLANK",'4S'!O23)</f>
        <v>0</v>
      </c>
    </row>
    <row r="1350" spans="2:6">
      <c r="B1350" s="219" t="str">
        <f>'4S'!AY23</f>
        <v>B0490TGOC_DW</v>
      </c>
      <c r="C1350" s="219" t="s">
        <v>6348</v>
      </c>
      <c r="E1350" s="249" t="s">
        <v>3641</v>
      </c>
      <c r="F1350" s="255">
        <f>IF(ISBLANK('4S'!P23),"##BLANK",'4S'!P23)</f>
        <v>0</v>
      </c>
    </row>
    <row r="1351" spans="2:6">
      <c r="B1351" s="219" t="str">
        <f>'4S'!AZ23</f>
        <v>B0505TGOC_TO</v>
      </c>
      <c r="C1351" s="219" t="s">
        <v>6349</v>
      </c>
      <c r="E1351" s="249" t="s">
        <v>3641</v>
      </c>
      <c r="F1351" s="255">
        <f>IF(ISBLANK('4S'!Q23),"##BLANK",'4S'!Q23)</f>
        <v>0</v>
      </c>
    </row>
    <row r="1352" spans="2:6">
      <c r="B1352" s="219" t="str">
        <f>'4S'!AO24</f>
        <v>B0413TGTE_WR</v>
      </c>
      <c r="C1352" s="219" t="s">
        <v>6350</v>
      </c>
      <c r="E1352" s="249" t="s">
        <v>3641</v>
      </c>
      <c r="F1352" s="255">
        <f>IF(ISBLANK('4S'!F24),"##BLANK",'4S'!F24)</f>
        <v>0</v>
      </c>
    </row>
    <row r="1353" spans="2:6">
      <c r="B1353" s="219" t="str">
        <f>'4S'!AP24</f>
        <v>B0420TGTE_RW</v>
      </c>
      <c r="C1353" s="219" t="s">
        <v>6351</v>
      </c>
      <c r="E1353" s="249" t="s">
        <v>3641</v>
      </c>
      <c r="F1353" s="255">
        <f>IF(ISBLANK('4S'!G24),"##BLANK",'4S'!G24)</f>
        <v>0</v>
      </c>
    </row>
    <row r="1354" spans="2:6">
      <c r="B1354" s="219" t="str">
        <f>'4S'!AQ24</f>
        <v>B0427TGTE_SW</v>
      </c>
      <c r="C1354" s="219" t="s">
        <v>6352</v>
      </c>
      <c r="E1354" s="249" t="s">
        <v>3641</v>
      </c>
      <c r="F1354" s="255">
        <f>IF(ISBLANK('4S'!H24),"##BLANK",'4S'!H24)</f>
        <v>0</v>
      </c>
    </row>
    <row r="1355" spans="2:6">
      <c r="B1355" s="219" t="str">
        <f>'4S'!AR24</f>
        <v>B0434TGTE_TW</v>
      </c>
      <c r="C1355" s="219" t="s">
        <v>6353</v>
      </c>
      <c r="E1355" s="249" t="s">
        <v>3641</v>
      </c>
      <c r="F1355" s="255">
        <f>IF(ISBLANK('4S'!I24),"##BLANK",'4S'!I24)</f>
        <v>0</v>
      </c>
    </row>
    <row r="1356" spans="2:6">
      <c r="B1356" s="219" t="str">
        <f>'4S'!AS24</f>
        <v>B0441TGTE_DW</v>
      </c>
      <c r="C1356" s="219" t="s">
        <v>6354</v>
      </c>
      <c r="E1356" s="249" t="s">
        <v>3641</v>
      </c>
      <c r="F1356" s="255">
        <f>IF(ISBLANK('4S'!J24),"##BLANK",'4S'!J24)</f>
        <v>0</v>
      </c>
    </row>
    <row r="1357" spans="2:6">
      <c r="B1357" s="219" t="str">
        <f>'4S'!AT24</f>
        <v>B0456TGTE_TO</v>
      </c>
      <c r="C1357" s="219" t="s">
        <v>6355</v>
      </c>
      <c r="E1357" s="249" t="s">
        <v>3641</v>
      </c>
      <c r="F1357" s="255">
        <f>IF(ISBLANK('4S'!K24),"##BLANK",'4S'!K24)</f>
        <v>0</v>
      </c>
    </row>
    <row r="1358" spans="2:6">
      <c r="B1358" s="219" t="str">
        <f>'4S'!AU24</f>
        <v>B0463TGTC_WR</v>
      </c>
      <c r="C1358" s="219" t="s">
        <v>6356</v>
      </c>
      <c r="E1358" s="249" t="s">
        <v>3641</v>
      </c>
      <c r="F1358" s="255">
        <f>IF(ISBLANK('4S'!L24),"##BLANK",'4S'!L24)</f>
        <v>0</v>
      </c>
    </row>
    <row r="1359" spans="2:6">
      <c r="B1359" s="219" t="str">
        <f>'4S'!AV24</f>
        <v>B0470TGTC_RW</v>
      </c>
      <c r="C1359" s="219" t="s">
        <v>6357</v>
      </c>
      <c r="E1359" s="249" t="s">
        <v>3641</v>
      </c>
      <c r="F1359" s="255">
        <f>IF(ISBLANK('4S'!M24),"##BLANK",'4S'!M24)</f>
        <v>0</v>
      </c>
    </row>
    <row r="1360" spans="2:6">
      <c r="B1360" s="219" t="str">
        <f>'4S'!AW24</f>
        <v>B0477TGTC_SW</v>
      </c>
      <c r="C1360" s="219" t="s">
        <v>6358</v>
      </c>
      <c r="E1360" s="249" t="s">
        <v>3641</v>
      </c>
      <c r="F1360" s="255">
        <f>IF(ISBLANK('4S'!N24),"##BLANK",'4S'!N24)</f>
        <v>0</v>
      </c>
    </row>
    <row r="1361" spans="2:6">
      <c r="B1361" s="219" t="str">
        <f>'4S'!AX24</f>
        <v>B0484TGTC_TW</v>
      </c>
      <c r="C1361" s="219" t="s">
        <v>6359</v>
      </c>
      <c r="E1361" s="249" t="s">
        <v>3641</v>
      </c>
      <c r="F1361" s="255">
        <f>IF(ISBLANK('4S'!O24),"##BLANK",'4S'!O24)</f>
        <v>0</v>
      </c>
    </row>
    <row r="1362" spans="2:6">
      <c r="B1362" s="219" t="str">
        <f>'4S'!AY24</f>
        <v>B0491TGTC_DW</v>
      </c>
      <c r="C1362" s="219" t="s">
        <v>6360</v>
      </c>
      <c r="E1362" s="249" t="s">
        <v>3641</v>
      </c>
      <c r="F1362" s="255">
        <f>IF(ISBLANK('4S'!P24),"##BLANK",'4S'!P24)</f>
        <v>0</v>
      </c>
    </row>
    <row r="1363" spans="2:6">
      <c r="B1363" s="219" t="str">
        <f>'4S'!AZ24</f>
        <v>B0506TGTC_TO</v>
      </c>
      <c r="C1363" s="219" t="s">
        <v>6361</v>
      </c>
      <c r="E1363" s="249" t="s">
        <v>3641</v>
      </c>
      <c r="F1363" s="255">
        <f>IF(ISBLANK('4S'!Q24),"##BLANK",'4S'!Q24)</f>
        <v>0</v>
      </c>
    </row>
    <row r="1364" spans="2:6">
      <c r="B1364" s="219" t="str">
        <f>'4T'!BA10</f>
        <v>B0867GRCE_FOW</v>
      </c>
      <c r="C1364" s="219" t="s">
        <v>6362</v>
      </c>
      <c r="E1364" s="249" t="s">
        <v>3641</v>
      </c>
      <c r="F1364" s="255" t="str">
        <f>IF(ISBLANK('4T'!F10),"##BLANK",'4T'!F10)</f>
        <v>##BLANK</v>
      </c>
    </row>
    <row r="1365" spans="2:6">
      <c r="B1365" s="219" t="str">
        <f>'4T'!BB10</f>
        <v>B0878GRCE_SUW</v>
      </c>
      <c r="C1365" s="219" t="s">
        <v>6363</v>
      </c>
      <c r="E1365" s="249" t="s">
        <v>3641</v>
      </c>
      <c r="F1365" s="255" t="str">
        <f>IF(ISBLANK('4T'!G10),"##BLANK",'4T'!G10)</f>
        <v>##BLANK</v>
      </c>
    </row>
    <row r="1366" spans="2:6">
      <c r="B1366" s="219" t="str">
        <f>'4T'!BC10</f>
        <v>B0889GRCE_HDW</v>
      </c>
      <c r="C1366" s="219" t="s">
        <v>6364</v>
      </c>
      <c r="E1366" s="249" t="s">
        <v>3641</v>
      </c>
      <c r="F1366" s="255" t="str">
        <f>IF(ISBLANK('4T'!H10),"##BLANK",'4T'!H10)</f>
        <v>##BLANK</v>
      </c>
    </row>
    <row r="1367" spans="2:6">
      <c r="B1367" s="219" t="str">
        <f>'4T'!BD10</f>
        <v>B0900GRCE_STW</v>
      </c>
      <c r="C1367" s="219" t="s">
        <v>6365</v>
      </c>
      <c r="E1367" s="249" t="s">
        <v>3641</v>
      </c>
      <c r="F1367" s="255" t="str">
        <f>IF(ISBLANK('4T'!I10),"##BLANK",'4T'!I10)</f>
        <v>##BLANK</v>
      </c>
    </row>
    <row r="1368" spans="2:6">
      <c r="B1368" s="219" t="str">
        <f>'4T'!BE10</f>
        <v>B0911GRCE_SLW</v>
      </c>
      <c r="C1368" s="219" t="s">
        <v>6366</v>
      </c>
      <c r="E1368" s="249" t="s">
        <v>3641</v>
      </c>
      <c r="F1368" s="255" t="str">
        <f>IF(ISBLANK('4T'!J10),"##BLANK",'4T'!J10)</f>
        <v>##BLANK</v>
      </c>
    </row>
    <row r="1369" spans="2:6">
      <c r="B1369" s="219" t="str">
        <f>'4T'!BF10</f>
        <v>B0922GRCE_SAB</v>
      </c>
      <c r="C1369" s="219" t="s">
        <v>6367</v>
      </c>
      <c r="E1369" s="249" t="s">
        <v>3641</v>
      </c>
      <c r="F1369" s="255" t="str">
        <f>IF(ISBLANK('4T'!K10),"##BLANK",'4T'!K10)</f>
        <v>##BLANK</v>
      </c>
    </row>
    <row r="1370" spans="2:6">
      <c r="B1370" s="219" t="str">
        <f>'4T'!BG10</f>
        <v>B0933GRCE_SEB</v>
      </c>
      <c r="C1370" s="219" t="s">
        <v>6368</v>
      </c>
      <c r="E1370" s="249" t="s">
        <v>3641</v>
      </c>
      <c r="F1370" s="255" t="str">
        <f>IF(ISBLANK('4T'!L10),"##BLANK",'4T'!L10)</f>
        <v>##BLANK</v>
      </c>
    </row>
    <row r="1371" spans="2:6">
      <c r="B1371" s="219" t="str">
        <f>'4T'!BH10</f>
        <v>B0944GRCE_SDB</v>
      </c>
      <c r="C1371" s="219" t="s">
        <v>6369</v>
      </c>
      <c r="E1371" s="249" t="s">
        <v>3641</v>
      </c>
      <c r="F1371" s="255" t="str">
        <f>IF(ISBLANK('4T'!M10),"##BLANK",'4T'!M10)</f>
        <v>##BLANK</v>
      </c>
    </row>
    <row r="1372" spans="2:6">
      <c r="B1372" s="219" t="str">
        <f>'4T'!BI10</f>
        <v>B0542GRCE_TOB</v>
      </c>
      <c r="C1372" s="219" t="s">
        <v>6187</v>
      </c>
      <c r="E1372" s="249" t="s">
        <v>3641</v>
      </c>
      <c r="F1372" s="255">
        <f>IF(ISBLANK('4T'!N10),"##BLANK",'4T'!N10)</f>
        <v>0</v>
      </c>
    </row>
    <row r="1373" spans="2:6">
      <c r="B1373" s="219" t="str">
        <f>'4T'!BJ10</f>
        <v>B0955GRCC_FOW</v>
      </c>
      <c r="C1373" s="219" t="s">
        <v>6370</v>
      </c>
      <c r="E1373" s="249" t="s">
        <v>3641</v>
      </c>
      <c r="F1373" s="255" t="str">
        <f>IF(ISBLANK('4T'!O10),"##BLANK",'4T'!O10)</f>
        <v>##BLANK</v>
      </c>
    </row>
    <row r="1374" spans="2:6">
      <c r="B1374" s="219" t="str">
        <f>'4T'!BK10</f>
        <v>B0966GRCC_SUW</v>
      </c>
      <c r="C1374" s="219" t="s">
        <v>6371</v>
      </c>
      <c r="E1374" s="249" t="s">
        <v>3641</v>
      </c>
      <c r="F1374" s="255" t="str">
        <f>IF(ISBLANK('4T'!P10),"##BLANK",'4T'!P10)</f>
        <v>##BLANK</v>
      </c>
    </row>
    <row r="1375" spans="2:6">
      <c r="B1375" s="219" t="str">
        <f>'4T'!BL10</f>
        <v>B0977GRCC_HDW</v>
      </c>
      <c r="C1375" s="219" t="s">
        <v>6372</v>
      </c>
      <c r="E1375" s="249" t="s">
        <v>3641</v>
      </c>
      <c r="F1375" s="255" t="str">
        <f>IF(ISBLANK('4T'!Q10),"##BLANK",'4T'!Q10)</f>
        <v>##BLANK</v>
      </c>
    </row>
    <row r="1376" spans="2:6">
      <c r="B1376" s="219" t="str">
        <f>'4T'!BM10</f>
        <v>B0988GRCC_STW</v>
      </c>
      <c r="C1376" s="219" t="s">
        <v>6373</v>
      </c>
      <c r="E1376" s="249" t="s">
        <v>3641</v>
      </c>
      <c r="F1376" s="255" t="str">
        <f>IF(ISBLANK('4T'!R10),"##BLANK",'4T'!R10)</f>
        <v>##BLANK</v>
      </c>
    </row>
    <row r="1377" spans="2:6">
      <c r="B1377" s="219" t="str">
        <f>'4T'!BN10</f>
        <v>B1000GRCC_SLW</v>
      </c>
      <c r="C1377" s="219" t="s">
        <v>6374</v>
      </c>
      <c r="E1377" s="249" t="s">
        <v>3641</v>
      </c>
      <c r="F1377" s="255" t="str">
        <f>IF(ISBLANK('4T'!S10),"##BLANK",'4T'!S10)</f>
        <v>##BLANK</v>
      </c>
    </row>
    <row r="1378" spans="2:6">
      <c r="B1378" s="219" t="str">
        <f>'4T'!BO10</f>
        <v>B1011GRCC_SAB</v>
      </c>
      <c r="C1378" s="219" t="s">
        <v>6375</v>
      </c>
      <c r="E1378" s="249" t="s">
        <v>3641</v>
      </c>
      <c r="F1378" s="255" t="str">
        <f>IF(ISBLANK('4T'!T10),"##BLANK",'4T'!T10)</f>
        <v>##BLANK</v>
      </c>
    </row>
    <row r="1379" spans="2:6">
      <c r="B1379" s="219" t="str">
        <f>'4T'!BP10</f>
        <v>B1022GRCC_SEB</v>
      </c>
      <c r="C1379" s="219" t="s">
        <v>6376</v>
      </c>
      <c r="E1379" s="249" t="s">
        <v>3641</v>
      </c>
      <c r="F1379" s="255" t="str">
        <f>IF(ISBLANK('4T'!U10),"##BLANK",'4T'!U10)</f>
        <v>##BLANK</v>
      </c>
    </row>
    <row r="1380" spans="2:6">
      <c r="B1380" s="219" t="str">
        <f>'4T'!BQ10</f>
        <v>B1033GRCC_SDB</v>
      </c>
      <c r="C1380" s="219" t="s">
        <v>6377</v>
      </c>
      <c r="E1380" s="249" t="s">
        <v>3641</v>
      </c>
      <c r="F1380" s="255" t="str">
        <f>IF(ISBLANK('4T'!V10),"##BLANK",'4T'!V10)</f>
        <v>##BLANK</v>
      </c>
    </row>
    <row r="1381" spans="2:6">
      <c r="B1381" s="219" t="str">
        <f>'4T'!BR10</f>
        <v>B0542GRCC_TOB</v>
      </c>
      <c r="C1381" s="219" t="s">
        <v>6193</v>
      </c>
      <c r="E1381" s="249" t="s">
        <v>3641</v>
      </c>
      <c r="F1381" s="255">
        <f>IF(ISBLANK('4T'!W10),"##BLANK",'4T'!W10)</f>
        <v>0</v>
      </c>
    </row>
    <row r="1382" spans="2:6">
      <c r="B1382" s="219" t="str">
        <f>'4T'!BA11</f>
        <v>B0868GROE_FOW</v>
      </c>
      <c r="C1382" s="219" t="s">
        <v>6378</v>
      </c>
      <c r="E1382" s="249" t="s">
        <v>3641</v>
      </c>
      <c r="F1382" s="255" t="str">
        <f>IF(ISBLANK('4T'!F11),"##BLANK",'4T'!F11)</f>
        <v>##BLANK</v>
      </c>
    </row>
    <row r="1383" spans="2:6">
      <c r="B1383" s="219" t="str">
        <f>'4T'!BB11</f>
        <v>B0879GROE_SUW</v>
      </c>
      <c r="C1383" s="219" t="s">
        <v>6379</v>
      </c>
      <c r="E1383" s="249" t="s">
        <v>3641</v>
      </c>
      <c r="F1383" s="255" t="str">
        <f>IF(ISBLANK('4T'!G11),"##BLANK",'4T'!G11)</f>
        <v>##BLANK</v>
      </c>
    </row>
    <row r="1384" spans="2:6">
      <c r="B1384" s="219" t="str">
        <f>'4T'!BC11</f>
        <v>B0890GROE_HDW</v>
      </c>
      <c r="C1384" s="219" t="s">
        <v>6380</v>
      </c>
      <c r="E1384" s="249" t="s">
        <v>3641</v>
      </c>
      <c r="F1384" s="255" t="str">
        <f>IF(ISBLANK('4T'!H11),"##BLANK",'4T'!H11)</f>
        <v>##BLANK</v>
      </c>
    </row>
    <row r="1385" spans="2:6">
      <c r="B1385" s="219" t="str">
        <f>'4T'!BD11</f>
        <v>B0901GROE_STW</v>
      </c>
      <c r="C1385" s="219" t="s">
        <v>6381</v>
      </c>
      <c r="E1385" s="249" t="s">
        <v>3641</v>
      </c>
      <c r="F1385" s="255" t="str">
        <f>IF(ISBLANK('4T'!I11),"##BLANK",'4T'!I11)</f>
        <v>##BLANK</v>
      </c>
    </row>
    <row r="1386" spans="2:6">
      <c r="B1386" s="219" t="str">
        <f>'4T'!BE11</f>
        <v>B0912GROE_SLW</v>
      </c>
      <c r="C1386" s="219" t="s">
        <v>6382</v>
      </c>
      <c r="E1386" s="249" t="s">
        <v>3641</v>
      </c>
      <c r="F1386" s="255" t="str">
        <f>IF(ISBLANK('4T'!J11),"##BLANK",'4T'!J11)</f>
        <v>##BLANK</v>
      </c>
    </row>
    <row r="1387" spans="2:6">
      <c r="B1387" s="219" t="str">
        <f>'4T'!BF11</f>
        <v>B0923GROE_SAB</v>
      </c>
      <c r="C1387" s="219" t="s">
        <v>6383</v>
      </c>
      <c r="E1387" s="249" t="s">
        <v>3641</v>
      </c>
      <c r="F1387" s="255" t="str">
        <f>IF(ISBLANK('4T'!K11),"##BLANK",'4T'!K11)</f>
        <v>##BLANK</v>
      </c>
    </row>
    <row r="1388" spans="2:6">
      <c r="B1388" s="219" t="str">
        <f>'4T'!BG11</f>
        <v>B0934GROE_SEB</v>
      </c>
      <c r="C1388" s="219" t="s">
        <v>6384</v>
      </c>
      <c r="E1388" s="249" t="s">
        <v>3641</v>
      </c>
      <c r="F1388" s="255" t="str">
        <f>IF(ISBLANK('4T'!L11),"##BLANK",'4T'!L11)</f>
        <v>##BLANK</v>
      </c>
    </row>
    <row r="1389" spans="2:6">
      <c r="B1389" s="219" t="str">
        <f>'4T'!BH11</f>
        <v>B0945GROE_SDB</v>
      </c>
      <c r="C1389" s="219" t="s">
        <v>6385</v>
      </c>
      <c r="E1389" s="249" t="s">
        <v>3641</v>
      </c>
      <c r="F1389" s="255" t="str">
        <f>IF(ISBLANK('4T'!M11),"##BLANK",'4T'!M11)</f>
        <v>##BLANK</v>
      </c>
    </row>
    <row r="1390" spans="2:6">
      <c r="B1390" s="219" t="str">
        <f>'4T'!BI11</f>
        <v>B0543GROE_TOB</v>
      </c>
      <c r="C1390" s="219" t="s">
        <v>6199</v>
      </c>
      <c r="E1390" s="249" t="s">
        <v>3641</v>
      </c>
      <c r="F1390" s="255">
        <f>IF(ISBLANK('4T'!N11),"##BLANK",'4T'!N11)</f>
        <v>0</v>
      </c>
    </row>
    <row r="1391" spans="2:6">
      <c r="B1391" s="219" t="str">
        <f>'4T'!BJ11</f>
        <v>B0956GROC_FOW</v>
      </c>
      <c r="C1391" s="219" t="s">
        <v>6386</v>
      </c>
      <c r="E1391" s="249" t="s">
        <v>3641</v>
      </c>
      <c r="F1391" s="255" t="str">
        <f>IF(ISBLANK('4T'!O11),"##BLANK",'4T'!O11)</f>
        <v>##BLANK</v>
      </c>
    </row>
    <row r="1392" spans="2:6">
      <c r="B1392" s="219" t="str">
        <f>'4T'!BK11</f>
        <v>B0967GROC_SUW</v>
      </c>
      <c r="C1392" s="219" t="s">
        <v>6387</v>
      </c>
      <c r="E1392" s="249" t="s">
        <v>3641</v>
      </c>
      <c r="F1392" s="255" t="str">
        <f>IF(ISBLANK('4T'!P11),"##BLANK",'4T'!P11)</f>
        <v>##BLANK</v>
      </c>
    </row>
    <row r="1393" spans="2:6">
      <c r="B1393" s="219" t="str">
        <f>'4T'!BL11</f>
        <v>B0978GROC_HDW</v>
      </c>
      <c r="C1393" s="219" t="s">
        <v>6388</v>
      </c>
      <c r="E1393" s="249" t="s">
        <v>3641</v>
      </c>
      <c r="F1393" s="255" t="str">
        <f>IF(ISBLANK('4T'!Q11),"##BLANK",'4T'!Q11)</f>
        <v>##BLANK</v>
      </c>
    </row>
    <row r="1394" spans="2:6">
      <c r="B1394" s="219" t="str">
        <f>'4T'!BM11</f>
        <v>B0989GROC_STW</v>
      </c>
      <c r="C1394" s="219" t="s">
        <v>6389</v>
      </c>
      <c r="E1394" s="249" t="s">
        <v>3641</v>
      </c>
      <c r="F1394" s="255" t="str">
        <f>IF(ISBLANK('4T'!R11),"##BLANK",'4T'!R11)</f>
        <v>##BLANK</v>
      </c>
    </row>
    <row r="1395" spans="2:6">
      <c r="B1395" s="219" t="str">
        <f>'4T'!BN11</f>
        <v>B1001GROC_SLW</v>
      </c>
      <c r="C1395" s="219" t="s">
        <v>6390</v>
      </c>
      <c r="E1395" s="249" t="s">
        <v>3641</v>
      </c>
      <c r="F1395" s="255" t="str">
        <f>IF(ISBLANK('4T'!S11),"##BLANK",'4T'!S11)</f>
        <v>##BLANK</v>
      </c>
    </row>
    <row r="1396" spans="2:6">
      <c r="B1396" s="219" t="str">
        <f>'4T'!BO11</f>
        <v>B1012GROC_SAB</v>
      </c>
      <c r="C1396" s="219" t="s">
        <v>6391</v>
      </c>
      <c r="E1396" s="249" t="s">
        <v>3641</v>
      </c>
      <c r="F1396" s="255" t="str">
        <f>IF(ISBLANK('4T'!T11),"##BLANK",'4T'!T11)</f>
        <v>##BLANK</v>
      </c>
    </row>
    <row r="1397" spans="2:6">
      <c r="B1397" s="219" t="str">
        <f>'4T'!BP11</f>
        <v>B1023GROC_SEB</v>
      </c>
      <c r="C1397" s="219" t="s">
        <v>6392</v>
      </c>
      <c r="E1397" s="249" t="s">
        <v>3641</v>
      </c>
      <c r="F1397" s="255" t="str">
        <f>IF(ISBLANK('4T'!U11),"##BLANK",'4T'!U11)</f>
        <v>##BLANK</v>
      </c>
    </row>
    <row r="1398" spans="2:6">
      <c r="B1398" s="219" t="str">
        <f>'4T'!BQ11</f>
        <v>B1034GROC_SDB</v>
      </c>
      <c r="C1398" s="219" t="s">
        <v>6393</v>
      </c>
      <c r="E1398" s="249" t="s">
        <v>3641</v>
      </c>
      <c r="F1398" s="255" t="str">
        <f>IF(ISBLANK('4T'!V11),"##BLANK",'4T'!V11)</f>
        <v>##BLANK</v>
      </c>
    </row>
    <row r="1399" spans="2:6">
      <c r="B1399" s="219" t="str">
        <f>'4T'!BR11</f>
        <v>B0543GROC_TOB</v>
      </c>
      <c r="C1399" s="219" t="s">
        <v>6205</v>
      </c>
      <c r="E1399" s="249" t="s">
        <v>3641</v>
      </c>
      <c r="F1399" s="255">
        <f>IF(ISBLANK('4T'!W11),"##BLANK",'4T'!W11)</f>
        <v>0</v>
      </c>
    </row>
    <row r="1400" spans="2:6">
      <c r="B1400" s="219" t="str">
        <f>'4T'!BA12</f>
        <v>B0507GRTE_FOW</v>
      </c>
      <c r="C1400" s="219" t="s">
        <v>6394</v>
      </c>
      <c r="E1400" s="249" t="s">
        <v>3641</v>
      </c>
      <c r="F1400" s="255">
        <f>IF(ISBLANK('4T'!F12),"##BLANK",'4T'!F12)</f>
        <v>0</v>
      </c>
    </row>
    <row r="1401" spans="2:6">
      <c r="B1401" s="219" t="str">
        <f>'4T'!BB12</f>
        <v>B0514GRTE_SUW</v>
      </c>
      <c r="C1401" s="219" t="s">
        <v>6395</v>
      </c>
      <c r="E1401" s="249" t="s">
        <v>3641</v>
      </c>
      <c r="F1401" s="255">
        <f>IF(ISBLANK('4T'!G12),"##BLANK",'4T'!G12)</f>
        <v>0</v>
      </c>
    </row>
    <row r="1402" spans="2:6">
      <c r="B1402" s="219" t="str">
        <f>'4T'!BC12</f>
        <v>B0521GRTE_HDW</v>
      </c>
      <c r="C1402" s="219" t="s">
        <v>6396</v>
      </c>
      <c r="E1402" s="249" t="s">
        <v>3641</v>
      </c>
      <c r="F1402" s="255">
        <f>IF(ISBLANK('4T'!H12),"##BLANK",'4T'!H12)</f>
        <v>0</v>
      </c>
    </row>
    <row r="1403" spans="2:6">
      <c r="B1403" s="219" t="str">
        <f>'4T'!BD12</f>
        <v>B0528GRTE_STW</v>
      </c>
      <c r="C1403" s="219" t="s">
        <v>6397</v>
      </c>
      <c r="E1403" s="249" t="s">
        <v>3641</v>
      </c>
      <c r="F1403" s="255">
        <f>IF(ISBLANK('4T'!I12),"##BLANK",'4T'!I12)</f>
        <v>0</v>
      </c>
    </row>
    <row r="1404" spans="2:6">
      <c r="B1404" s="219" t="str">
        <f>'4T'!BE12</f>
        <v>B0535GRTE_SLW</v>
      </c>
      <c r="C1404" s="219" t="s">
        <v>6398</v>
      </c>
      <c r="E1404" s="249" t="s">
        <v>3641</v>
      </c>
      <c r="F1404" s="255">
        <f>IF(ISBLANK('4T'!J12),"##BLANK",'4T'!J12)</f>
        <v>0</v>
      </c>
    </row>
    <row r="1405" spans="2:6">
      <c r="B1405" s="219" t="str">
        <f>'4T'!BF12</f>
        <v>B0541GRTE_SAB</v>
      </c>
      <c r="C1405" s="219" t="s">
        <v>6399</v>
      </c>
      <c r="E1405" s="249" t="s">
        <v>3641</v>
      </c>
      <c r="F1405" s="255">
        <f>IF(ISBLANK('4T'!K12),"##BLANK",'4T'!K12)</f>
        <v>0</v>
      </c>
    </row>
    <row r="1406" spans="2:6">
      <c r="B1406" s="219" t="str">
        <f>'4T'!BG12</f>
        <v>B0548GRTE_SEB</v>
      </c>
      <c r="C1406" s="219" t="s">
        <v>6400</v>
      </c>
      <c r="E1406" s="249" t="s">
        <v>3641</v>
      </c>
      <c r="F1406" s="255">
        <f>IF(ISBLANK('4T'!L12),"##BLANK",'4T'!L12)</f>
        <v>0</v>
      </c>
    </row>
    <row r="1407" spans="2:6">
      <c r="B1407" s="219" t="str">
        <f>'4T'!BH12</f>
        <v>B0555GRTE_SDB</v>
      </c>
      <c r="C1407" s="219" t="s">
        <v>6401</v>
      </c>
      <c r="E1407" s="249" t="s">
        <v>3641</v>
      </c>
      <c r="F1407" s="255">
        <f>IF(ISBLANK('4T'!M12),"##BLANK",'4T'!M12)</f>
        <v>0</v>
      </c>
    </row>
    <row r="1408" spans="2:6">
      <c r="B1408" s="219" t="str">
        <f>'4T'!BI12</f>
        <v>B0562GRTE_TOB</v>
      </c>
      <c r="C1408" s="219" t="s">
        <v>6211</v>
      </c>
      <c r="E1408" s="249" t="s">
        <v>3641</v>
      </c>
      <c r="F1408" s="255">
        <f>IF(ISBLANK('4T'!N12),"##BLANK",'4T'!N12)</f>
        <v>0</v>
      </c>
    </row>
    <row r="1409" spans="2:6">
      <c r="B1409" s="219" t="str">
        <f>'4T'!BJ12</f>
        <v>B0569GRTC_FOW</v>
      </c>
      <c r="C1409" s="219" t="s">
        <v>6402</v>
      </c>
      <c r="E1409" s="249" t="s">
        <v>3641</v>
      </c>
      <c r="F1409" s="255">
        <f>IF(ISBLANK('4T'!O12),"##BLANK",'4T'!O12)</f>
        <v>0</v>
      </c>
    </row>
    <row r="1410" spans="2:6">
      <c r="B1410" s="219" t="str">
        <f>'4T'!BK12</f>
        <v>B0576GRTC_SUW</v>
      </c>
      <c r="C1410" s="219" t="s">
        <v>6403</v>
      </c>
      <c r="E1410" s="249" t="s">
        <v>3641</v>
      </c>
      <c r="F1410" s="255">
        <f>IF(ISBLANK('4T'!P12),"##BLANK",'4T'!P12)</f>
        <v>0</v>
      </c>
    </row>
    <row r="1411" spans="2:6">
      <c r="B1411" s="219" t="str">
        <f>'4T'!BL12</f>
        <v>B0583GRTC_HDW</v>
      </c>
      <c r="C1411" s="219" t="s">
        <v>6404</v>
      </c>
      <c r="E1411" s="249" t="s">
        <v>3641</v>
      </c>
      <c r="F1411" s="255">
        <f>IF(ISBLANK('4T'!Q12),"##BLANK",'4T'!Q12)</f>
        <v>0</v>
      </c>
    </row>
    <row r="1412" spans="2:6">
      <c r="B1412" s="219" t="str">
        <f>'4T'!BM12</f>
        <v>B0590GRTC_STW</v>
      </c>
      <c r="C1412" s="219" t="s">
        <v>6405</v>
      </c>
      <c r="E1412" s="249" t="s">
        <v>3641</v>
      </c>
      <c r="F1412" s="255">
        <f>IF(ISBLANK('4T'!R12),"##BLANK",'4T'!R12)</f>
        <v>0</v>
      </c>
    </row>
    <row r="1413" spans="2:6">
      <c r="B1413" s="219" t="str">
        <f>'4T'!BN12</f>
        <v>B0597GRTC_SLW</v>
      </c>
      <c r="C1413" s="219" t="s">
        <v>6406</v>
      </c>
      <c r="E1413" s="249" t="s">
        <v>3641</v>
      </c>
      <c r="F1413" s="255">
        <f>IF(ISBLANK('4T'!S12),"##BLANK",'4T'!S12)</f>
        <v>0</v>
      </c>
    </row>
    <row r="1414" spans="2:6">
      <c r="B1414" s="219" t="str">
        <f>'4T'!BO12</f>
        <v>B0604GRTC_SAB</v>
      </c>
      <c r="C1414" s="219" t="s">
        <v>6407</v>
      </c>
      <c r="E1414" s="249" t="s">
        <v>3641</v>
      </c>
      <c r="F1414" s="255">
        <f>IF(ISBLANK('4T'!T12),"##BLANK",'4T'!T12)</f>
        <v>0</v>
      </c>
    </row>
    <row r="1415" spans="2:6">
      <c r="B1415" s="219" t="str">
        <f>'4T'!BP12</f>
        <v>B0611GRTC_SEB</v>
      </c>
      <c r="C1415" s="219" t="s">
        <v>6408</v>
      </c>
      <c r="E1415" s="249" t="s">
        <v>3641</v>
      </c>
      <c r="F1415" s="255">
        <f>IF(ISBLANK('4T'!U12),"##BLANK",'4T'!U12)</f>
        <v>0</v>
      </c>
    </row>
    <row r="1416" spans="2:6">
      <c r="B1416" s="219" t="str">
        <f>'4T'!BQ12</f>
        <v>B0618GRTC_SDB</v>
      </c>
      <c r="C1416" s="219" t="s">
        <v>6409</v>
      </c>
      <c r="E1416" s="249" t="s">
        <v>3641</v>
      </c>
      <c r="F1416" s="255">
        <f>IF(ISBLANK('4T'!V12),"##BLANK",'4T'!V12)</f>
        <v>0</v>
      </c>
    </row>
    <row r="1417" spans="2:6">
      <c r="B1417" s="219" t="str">
        <f>'4T'!BR12</f>
        <v>B0625GRTC_TOB</v>
      </c>
      <c r="C1417" s="219" t="s">
        <v>6217</v>
      </c>
      <c r="E1417" s="249" t="s">
        <v>3641</v>
      </c>
      <c r="F1417" s="255">
        <f>IF(ISBLANK('4T'!W12),"##BLANK",'4T'!W12)</f>
        <v>0</v>
      </c>
    </row>
    <row r="1418" spans="2:6">
      <c r="B1418" s="219" t="str">
        <f>'4T'!BA13</f>
        <v>B0870GRCE_FOW</v>
      </c>
      <c r="C1418" s="219" t="s">
        <v>6410</v>
      </c>
      <c r="E1418" s="249" t="s">
        <v>3641</v>
      </c>
      <c r="F1418" s="255" t="str">
        <f>IF(ISBLANK('4T'!F13),"##BLANK",'4T'!F13)</f>
        <v>##BLANK</v>
      </c>
    </row>
    <row r="1419" spans="2:6">
      <c r="B1419" s="219" t="str">
        <f>'4T'!BB13</f>
        <v>B0881GRCE_SUW</v>
      </c>
      <c r="C1419" s="219" t="s">
        <v>6411</v>
      </c>
      <c r="E1419" s="249" t="s">
        <v>3641</v>
      </c>
      <c r="F1419" s="255" t="str">
        <f>IF(ISBLANK('4T'!G13),"##BLANK",'4T'!G13)</f>
        <v>##BLANK</v>
      </c>
    </row>
    <row r="1420" spans="2:6">
      <c r="B1420" s="219" t="str">
        <f>'4T'!BC13</f>
        <v>B0892GRCE_HDW</v>
      </c>
      <c r="C1420" s="219" t="s">
        <v>6412</v>
      </c>
      <c r="E1420" s="249" t="s">
        <v>3641</v>
      </c>
      <c r="F1420" s="255" t="str">
        <f>IF(ISBLANK('4T'!H13),"##BLANK",'4T'!H13)</f>
        <v>##BLANK</v>
      </c>
    </row>
    <row r="1421" spans="2:6">
      <c r="B1421" s="219" t="str">
        <f>'4T'!BD13</f>
        <v>B0903GRCE_STW</v>
      </c>
      <c r="C1421" s="219" t="s">
        <v>6413</v>
      </c>
      <c r="E1421" s="249" t="s">
        <v>3641</v>
      </c>
      <c r="F1421" s="255" t="str">
        <f>IF(ISBLANK('4T'!I13),"##BLANK",'4T'!I13)</f>
        <v>##BLANK</v>
      </c>
    </row>
    <row r="1422" spans="2:6">
      <c r="B1422" s="219" t="str">
        <f>'4T'!BE13</f>
        <v>B0914GRCE_SLW</v>
      </c>
      <c r="C1422" s="219" t="s">
        <v>6414</v>
      </c>
      <c r="E1422" s="249" t="s">
        <v>3641</v>
      </c>
      <c r="F1422" s="255" t="str">
        <f>IF(ISBLANK('4T'!J13),"##BLANK",'4T'!J13)</f>
        <v>##BLANK</v>
      </c>
    </row>
    <row r="1423" spans="2:6">
      <c r="B1423" s="219" t="str">
        <f>'4T'!BF13</f>
        <v>B0925GRCE_SAB</v>
      </c>
      <c r="C1423" s="219" t="s">
        <v>6415</v>
      </c>
      <c r="E1423" s="249" t="s">
        <v>3641</v>
      </c>
      <c r="F1423" s="255" t="str">
        <f>IF(ISBLANK('4T'!K13),"##BLANK",'4T'!K13)</f>
        <v>##BLANK</v>
      </c>
    </row>
    <row r="1424" spans="2:6">
      <c r="B1424" s="219" t="str">
        <f>'4T'!BG13</f>
        <v>B0936GRCE_SEB</v>
      </c>
      <c r="C1424" s="219" t="s">
        <v>6416</v>
      </c>
      <c r="E1424" s="249" t="s">
        <v>3641</v>
      </c>
      <c r="F1424" s="255" t="str">
        <f>IF(ISBLANK('4T'!L13),"##BLANK",'4T'!L13)</f>
        <v>##BLANK</v>
      </c>
    </row>
    <row r="1425" spans="2:6">
      <c r="B1425" s="219" t="str">
        <f>'4T'!BH13</f>
        <v>B0947GRCE_SDB</v>
      </c>
      <c r="C1425" s="219" t="s">
        <v>6417</v>
      </c>
      <c r="E1425" s="249" t="s">
        <v>3641</v>
      </c>
      <c r="F1425" s="255" t="str">
        <f>IF(ISBLANK('4T'!M13),"##BLANK",'4T'!M13)</f>
        <v>##BLANK</v>
      </c>
    </row>
    <row r="1426" spans="2:6">
      <c r="B1426" s="219" t="str">
        <f>'4T'!BI13</f>
        <v>B0756GRCE_TOB</v>
      </c>
      <c r="C1426" s="219" t="s">
        <v>6223</v>
      </c>
      <c r="E1426" s="249" t="s">
        <v>3641</v>
      </c>
      <c r="F1426" s="255">
        <f>IF(ISBLANK('4T'!N13),"##BLANK",'4T'!N13)</f>
        <v>0</v>
      </c>
    </row>
    <row r="1427" spans="2:6">
      <c r="B1427" s="219" t="str">
        <f>'4T'!BJ13</f>
        <v>B0958GRCC_FOW</v>
      </c>
      <c r="C1427" s="219" t="s">
        <v>6418</v>
      </c>
      <c r="E1427" s="249" t="s">
        <v>3641</v>
      </c>
      <c r="F1427" s="255" t="str">
        <f>IF(ISBLANK('4T'!O13),"##BLANK",'4T'!O13)</f>
        <v>##BLANK</v>
      </c>
    </row>
    <row r="1428" spans="2:6">
      <c r="B1428" s="219" t="str">
        <f>'4T'!BK13</f>
        <v>B0969GRCC_SUW</v>
      </c>
      <c r="C1428" s="219" t="s">
        <v>6419</v>
      </c>
      <c r="E1428" s="249" t="s">
        <v>3641</v>
      </c>
      <c r="F1428" s="255" t="str">
        <f>IF(ISBLANK('4T'!P13),"##BLANK",'4T'!P13)</f>
        <v>##BLANK</v>
      </c>
    </row>
    <row r="1429" spans="2:6">
      <c r="B1429" s="219" t="str">
        <f>'4T'!BL13</f>
        <v>B0980GRCC_HDW</v>
      </c>
      <c r="C1429" s="219" t="s">
        <v>6420</v>
      </c>
      <c r="E1429" s="249" t="s">
        <v>3641</v>
      </c>
      <c r="F1429" s="255" t="str">
        <f>IF(ISBLANK('4T'!Q13),"##BLANK",'4T'!Q13)</f>
        <v>##BLANK</v>
      </c>
    </row>
    <row r="1430" spans="2:6">
      <c r="B1430" s="219" t="str">
        <f>'4T'!BM13</f>
        <v>B0991GRCC_STW</v>
      </c>
      <c r="C1430" s="219" t="s">
        <v>6421</v>
      </c>
      <c r="E1430" s="249" t="s">
        <v>3641</v>
      </c>
      <c r="F1430" s="255" t="str">
        <f>IF(ISBLANK('4T'!R13),"##BLANK",'4T'!R13)</f>
        <v>##BLANK</v>
      </c>
    </row>
    <row r="1431" spans="2:6">
      <c r="B1431" s="219" t="str">
        <f>'4T'!BN13</f>
        <v>B1003GRCC_SLW</v>
      </c>
      <c r="C1431" s="219" t="s">
        <v>6422</v>
      </c>
      <c r="E1431" s="249" t="s">
        <v>3641</v>
      </c>
      <c r="F1431" s="255" t="str">
        <f>IF(ISBLANK('4T'!S13),"##BLANK",'4T'!S13)</f>
        <v>##BLANK</v>
      </c>
    </row>
    <row r="1432" spans="2:6">
      <c r="B1432" s="219" t="str">
        <f>'4T'!BO13</f>
        <v>B1014GRCC_SAB</v>
      </c>
      <c r="C1432" s="219" t="s">
        <v>6423</v>
      </c>
      <c r="E1432" s="249" t="s">
        <v>3641</v>
      </c>
      <c r="F1432" s="255" t="str">
        <f>IF(ISBLANK('4T'!T13),"##BLANK",'4T'!T13)</f>
        <v>##BLANK</v>
      </c>
    </row>
    <row r="1433" spans="2:6">
      <c r="B1433" s="219" t="str">
        <f>'4T'!BP13</f>
        <v>B1025GRCC_SEB</v>
      </c>
      <c r="C1433" s="219" t="s">
        <v>6424</v>
      </c>
      <c r="E1433" s="249" t="s">
        <v>3641</v>
      </c>
      <c r="F1433" s="255" t="str">
        <f>IF(ISBLANK('4T'!U13),"##BLANK",'4T'!U13)</f>
        <v>##BLANK</v>
      </c>
    </row>
    <row r="1434" spans="2:6">
      <c r="B1434" s="219" t="str">
        <f>'4T'!BQ13</f>
        <v>B1036GRCC_SDB</v>
      </c>
      <c r="C1434" s="219" t="s">
        <v>6425</v>
      </c>
      <c r="E1434" s="249" t="s">
        <v>3641</v>
      </c>
      <c r="F1434" s="255" t="str">
        <f>IF(ISBLANK('4T'!V13),"##BLANK",'4T'!V13)</f>
        <v>##BLANK</v>
      </c>
    </row>
    <row r="1435" spans="2:6">
      <c r="B1435" s="219" t="str">
        <f>'4T'!BR13</f>
        <v>B0762GRCC_TOB</v>
      </c>
      <c r="C1435" s="219" t="s">
        <v>6229</v>
      </c>
      <c r="E1435" s="249" t="s">
        <v>3641</v>
      </c>
      <c r="F1435" s="255">
        <f>IF(ISBLANK('4T'!W13),"##BLANK",'4T'!W13)</f>
        <v>0</v>
      </c>
    </row>
    <row r="1436" spans="2:6">
      <c r="B1436" s="219" t="str">
        <f>'4T'!BA14</f>
        <v>B0871GROE_FOW</v>
      </c>
      <c r="C1436" s="219" t="s">
        <v>6426</v>
      </c>
      <c r="E1436" s="249" t="s">
        <v>3641</v>
      </c>
      <c r="F1436" s="255" t="str">
        <f>IF(ISBLANK('4T'!F14),"##BLANK",'4T'!F14)</f>
        <v>##BLANK</v>
      </c>
    </row>
    <row r="1437" spans="2:6">
      <c r="B1437" s="219" t="str">
        <f>'4T'!BB14</f>
        <v>B0882GROE_SUW</v>
      </c>
      <c r="C1437" s="219" t="s">
        <v>6427</v>
      </c>
      <c r="E1437" s="249" t="s">
        <v>3641</v>
      </c>
      <c r="F1437" s="255" t="str">
        <f>IF(ISBLANK('4T'!G14),"##BLANK",'4T'!G14)</f>
        <v>##BLANK</v>
      </c>
    </row>
    <row r="1438" spans="2:6">
      <c r="B1438" s="219" t="str">
        <f>'4T'!BC14</f>
        <v>B0893GROE_HDW</v>
      </c>
      <c r="C1438" s="219" t="s">
        <v>6428</v>
      </c>
      <c r="E1438" s="249" t="s">
        <v>3641</v>
      </c>
      <c r="F1438" s="255" t="str">
        <f>IF(ISBLANK('4T'!H14),"##BLANK",'4T'!H14)</f>
        <v>##BLANK</v>
      </c>
    </row>
    <row r="1439" spans="2:6">
      <c r="B1439" s="219" t="str">
        <f>'4T'!BD14</f>
        <v>B0904GROE_STW</v>
      </c>
      <c r="C1439" s="219" t="s">
        <v>6429</v>
      </c>
      <c r="E1439" s="249" t="s">
        <v>3641</v>
      </c>
      <c r="F1439" s="255" t="str">
        <f>IF(ISBLANK('4T'!I14),"##BLANK",'4T'!I14)</f>
        <v>##BLANK</v>
      </c>
    </row>
    <row r="1440" spans="2:6">
      <c r="B1440" s="219" t="str">
        <f>'4T'!BE14</f>
        <v>B0915GROE_SLW</v>
      </c>
      <c r="C1440" s="219" t="s">
        <v>6430</v>
      </c>
      <c r="E1440" s="249" t="s">
        <v>3641</v>
      </c>
      <c r="F1440" s="255" t="str">
        <f>IF(ISBLANK('4T'!J14),"##BLANK",'4T'!J14)</f>
        <v>##BLANK</v>
      </c>
    </row>
    <row r="1441" spans="2:6">
      <c r="B1441" s="219" t="str">
        <f>'4T'!BF14</f>
        <v>B0926GROE_SAB</v>
      </c>
      <c r="C1441" s="219" t="s">
        <v>6431</v>
      </c>
      <c r="E1441" s="249" t="s">
        <v>3641</v>
      </c>
      <c r="F1441" s="255" t="str">
        <f>IF(ISBLANK('4T'!K14),"##BLANK",'4T'!K14)</f>
        <v>##BLANK</v>
      </c>
    </row>
    <row r="1442" spans="2:6">
      <c r="B1442" s="219" t="str">
        <f>'4T'!BG14</f>
        <v>B0937GROE_SEB</v>
      </c>
      <c r="C1442" s="219" t="s">
        <v>6432</v>
      </c>
      <c r="E1442" s="249" t="s">
        <v>3641</v>
      </c>
      <c r="F1442" s="255" t="str">
        <f>IF(ISBLANK('4T'!L14),"##BLANK",'4T'!L14)</f>
        <v>##BLANK</v>
      </c>
    </row>
    <row r="1443" spans="2:6">
      <c r="B1443" s="219" t="str">
        <f>'4T'!BH14</f>
        <v>B0948GROE_SDB</v>
      </c>
      <c r="C1443" s="219" t="s">
        <v>6433</v>
      </c>
      <c r="E1443" s="249" t="s">
        <v>3641</v>
      </c>
      <c r="F1443" s="255" t="str">
        <f>IF(ISBLANK('4T'!M14),"##BLANK",'4T'!M14)</f>
        <v>##BLANK</v>
      </c>
    </row>
    <row r="1444" spans="2:6">
      <c r="B1444" s="219" t="str">
        <f>'4T'!BI14</f>
        <v>B0757GROE_TOB</v>
      </c>
      <c r="C1444" s="219" t="s">
        <v>6235</v>
      </c>
      <c r="E1444" s="249" t="s">
        <v>3641</v>
      </c>
      <c r="F1444" s="255">
        <f>IF(ISBLANK('4T'!N14),"##BLANK",'4T'!N14)</f>
        <v>0</v>
      </c>
    </row>
    <row r="1445" spans="2:6">
      <c r="B1445" s="219" t="str">
        <f>'4T'!BJ14</f>
        <v>B0959GROC_FOW</v>
      </c>
      <c r="C1445" s="219" t="s">
        <v>6434</v>
      </c>
      <c r="E1445" s="249" t="s">
        <v>3641</v>
      </c>
      <c r="F1445" s="255" t="str">
        <f>IF(ISBLANK('4T'!O14),"##BLANK",'4T'!O14)</f>
        <v>##BLANK</v>
      </c>
    </row>
    <row r="1446" spans="2:6">
      <c r="B1446" s="219" t="str">
        <f>'4T'!BK14</f>
        <v>B0970GROC_SUW</v>
      </c>
      <c r="C1446" s="219" t="s">
        <v>6435</v>
      </c>
      <c r="E1446" s="249" t="s">
        <v>3641</v>
      </c>
      <c r="F1446" s="255" t="str">
        <f>IF(ISBLANK('4T'!P14),"##BLANK",'4T'!P14)</f>
        <v>##BLANK</v>
      </c>
    </row>
    <row r="1447" spans="2:6">
      <c r="B1447" s="219" t="str">
        <f>'4T'!BL14</f>
        <v>B0981GROC_HDW</v>
      </c>
      <c r="C1447" s="219" t="s">
        <v>6436</v>
      </c>
      <c r="E1447" s="249" t="s">
        <v>3641</v>
      </c>
      <c r="F1447" s="255" t="str">
        <f>IF(ISBLANK('4T'!Q14),"##BLANK",'4T'!Q14)</f>
        <v>##BLANK</v>
      </c>
    </row>
    <row r="1448" spans="2:6">
      <c r="B1448" s="219" t="str">
        <f>'4T'!BM14</f>
        <v>B0992GROC_STW</v>
      </c>
      <c r="C1448" s="219" t="s">
        <v>6437</v>
      </c>
      <c r="E1448" s="249" t="s">
        <v>3641</v>
      </c>
      <c r="F1448" s="255" t="str">
        <f>IF(ISBLANK('4T'!R14),"##BLANK",'4T'!R14)</f>
        <v>##BLANK</v>
      </c>
    </row>
    <row r="1449" spans="2:6">
      <c r="B1449" s="219" t="str">
        <f>'4T'!BN14</f>
        <v>B1004GROC_SLW</v>
      </c>
      <c r="C1449" s="219" t="s">
        <v>6438</v>
      </c>
      <c r="E1449" s="249" t="s">
        <v>3641</v>
      </c>
      <c r="F1449" s="255" t="str">
        <f>IF(ISBLANK('4T'!S14),"##BLANK",'4T'!S14)</f>
        <v>##BLANK</v>
      </c>
    </row>
    <row r="1450" spans="2:6">
      <c r="B1450" s="219" t="str">
        <f>'4T'!BO14</f>
        <v>B1015GROC_SAB</v>
      </c>
      <c r="C1450" s="219" t="s">
        <v>6439</v>
      </c>
      <c r="E1450" s="249" t="s">
        <v>3641</v>
      </c>
      <c r="F1450" s="255" t="str">
        <f>IF(ISBLANK('4T'!T14),"##BLANK",'4T'!T14)</f>
        <v>##BLANK</v>
      </c>
    </row>
    <row r="1451" spans="2:6">
      <c r="B1451" s="219" t="str">
        <f>'4T'!BP14</f>
        <v>B1026GROC_SEB</v>
      </c>
      <c r="C1451" s="219" t="s">
        <v>6440</v>
      </c>
      <c r="E1451" s="249" t="s">
        <v>3641</v>
      </c>
      <c r="F1451" s="255" t="str">
        <f>IF(ISBLANK('4T'!U14),"##BLANK",'4T'!U14)</f>
        <v>##BLANK</v>
      </c>
    </row>
    <row r="1452" spans="2:6">
      <c r="B1452" s="219" t="str">
        <f>'4T'!BQ14</f>
        <v>B1037GROC_SDB</v>
      </c>
      <c r="C1452" s="219" t="s">
        <v>6441</v>
      </c>
      <c r="E1452" s="249" t="s">
        <v>3641</v>
      </c>
      <c r="F1452" s="255" t="str">
        <f>IF(ISBLANK('4T'!V14),"##BLANK",'4T'!V14)</f>
        <v>##BLANK</v>
      </c>
    </row>
    <row r="1453" spans="2:6">
      <c r="B1453" s="219" t="str">
        <f>'4T'!BR14</f>
        <v>B0763GROC_TOB</v>
      </c>
      <c r="C1453" s="219" t="s">
        <v>6241</v>
      </c>
      <c r="E1453" s="249" t="s">
        <v>3641</v>
      </c>
      <c r="F1453" s="255">
        <f>IF(ISBLANK('4T'!W14),"##BLANK",'4T'!W14)</f>
        <v>0</v>
      </c>
    </row>
    <row r="1454" spans="2:6">
      <c r="B1454" s="219" t="str">
        <f>'4T'!BA15</f>
        <v>B0508GRTE_FOW</v>
      </c>
      <c r="C1454" s="219" t="s">
        <v>6442</v>
      </c>
      <c r="E1454" s="249" t="s">
        <v>3641</v>
      </c>
      <c r="F1454" s="255">
        <f>IF(ISBLANK('4T'!F15),"##BLANK",'4T'!F15)</f>
        <v>0</v>
      </c>
    </row>
    <row r="1455" spans="2:6">
      <c r="B1455" s="219" t="str">
        <f>'4T'!BB15</f>
        <v>B0515GRTE_SUW</v>
      </c>
      <c r="C1455" s="219" t="s">
        <v>6443</v>
      </c>
      <c r="E1455" s="249" t="s">
        <v>3641</v>
      </c>
      <c r="F1455" s="255">
        <f>IF(ISBLANK('4T'!G15),"##BLANK",'4T'!G15)</f>
        <v>0</v>
      </c>
    </row>
    <row r="1456" spans="2:6">
      <c r="B1456" s="219" t="str">
        <f>'4T'!BC15</f>
        <v>B0522GRTE_HDW</v>
      </c>
      <c r="C1456" s="219" t="s">
        <v>6444</v>
      </c>
      <c r="E1456" s="249" t="s">
        <v>3641</v>
      </c>
      <c r="F1456" s="255">
        <f>IF(ISBLANK('4T'!H15),"##BLANK",'4T'!H15)</f>
        <v>0</v>
      </c>
    </row>
    <row r="1457" spans="2:6">
      <c r="B1457" s="219" t="str">
        <f>'4T'!BD15</f>
        <v>B0529GRTE_STW</v>
      </c>
      <c r="C1457" s="219" t="s">
        <v>6445</v>
      </c>
      <c r="E1457" s="249" t="s">
        <v>3641</v>
      </c>
      <c r="F1457" s="255">
        <f>IF(ISBLANK('4T'!I15),"##BLANK",'4T'!I15)</f>
        <v>0</v>
      </c>
    </row>
    <row r="1458" spans="2:6">
      <c r="B1458" s="219" t="str">
        <f>'4T'!BE15</f>
        <v>B0536GRTE_SLW</v>
      </c>
      <c r="C1458" s="219" t="s">
        <v>6446</v>
      </c>
      <c r="E1458" s="249" t="s">
        <v>3641</v>
      </c>
      <c r="F1458" s="255">
        <f>IF(ISBLANK('4T'!J15),"##BLANK",'4T'!J15)</f>
        <v>0</v>
      </c>
    </row>
    <row r="1459" spans="2:6">
      <c r="B1459" s="219" t="str">
        <f>'4T'!BF15</f>
        <v>B0542GRTE_SAB</v>
      </c>
      <c r="C1459" s="219" t="s">
        <v>6447</v>
      </c>
      <c r="E1459" s="249" t="s">
        <v>3641</v>
      </c>
      <c r="F1459" s="255">
        <f>IF(ISBLANK('4T'!K15),"##BLANK",'4T'!K15)</f>
        <v>0</v>
      </c>
    </row>
    <row r="1460" spans="2:6">
      <c r="B1460" s="219" t="str">
        <f>'4T'!BG15</f>
        <v>B0549GRTE_SEB</v>
      </c>
      <c r="C1460" s="219" t="s">
        <v>6448</v>
      </c>
      <c r="E1460" s="249" t="s">
        <v>3641</v>
      </c>
      <c r="F1460" s="255">
        <f>IF(ISBLANK('4T'!L15),"##BLANK",'4T'!L15)</f>
        <v>0</v>
      </c>
    </row>
    <row r="1461" spans="2:6">
      <c r="B1461" s="219" t="str">
        <f>'4T'!BH15</f>
        <v>B0556GRTE_SDB</v>
      </c>
      <c r="C1461" s="219" t="s">
        <v>6449</v>
      </c>
      <c r="E1461" s="249" t="s">
        <v>3641</v>
      </c>
      <c r="F1461" s="255">
        <f>IF(ISBLANK('4T'!M15),"##BLANK",'4T'!M15)</f>
        <v>0</v>
      </c>
    </row>
    <row r="1462" spans="2:6">
      <c r="B1462" s="219" t="str">
        <f>'4T'!BI15</f>
        <v>B0563GRTE_TOB</v>
      </c>
      <c r="C1462" s="219" t="s">
        <v>6247</v>
      </c>
      <c r="E1462" s="249" t="s">
        <v>3641</v>
      </c>
      <c r="F1462" s="255">
        <f>IF(ISBLANK('4T'!N15),"##BLANK",'4T'!N15)</f>
        <v>0</v>
      </c>
    </row>
    <row r="1463" spans="2:6">
      <c r="B1463" s="219" t="str">
        <f>'4T'!BJ15</f>
        <v>B0570GRTC_FOW</v>
      </c>
      <c r="C1463" s="219" t="s">
        <v>6450</v>
      </c>
      <c r="E1463" s="249" t="s">
        <v>3641</v>
      </c>
      <c r="F1463" s="255">
        <f>IF(ISBLANK('4T'!O15),"##BLANK",'4T'!O15)</f>
        <v>0</v>
      </c>
    </row>
    <row r="1464" spans="2:6">
      <c r="B1464" s="219" t="str">
        <f>'4T'!BK15</f>
        <v>B0577GRTC_SUW</v>
      </c>
      <c r="C1464" s="219" t="s">
        <v>6451</v>
      </c>
      <c r="E1464" s="249" t="s">
        <v>3641</v>
      </c>
      <c r="F1464" s="255">
        <f>IF(ISBLANK('4T'!P15),"##BLANK",'4T'!P15)</f>
        <v>0</v>
      </c>
    </row>
    <row r="1465" spans="2:6">
      <c r="B1465" s="219" t="str">
        <f>'4T'!BL15</f>
        <v>B0584GRTC_HDW</v>
      </c>
      <c r="C1465" s="219" t="s">
        <v>6452</v>
      </c>
      <c r="E1465" s="249" t="s">
        <v>3641</v>
      </c>
      <c r="F1465" s="255">
        <f>IF(ISBLANK('4T'!Q15),"##BLANK",'4T'!Q15)</f>
        <v>0</v>
      </c>
    </row>
    <row r="1466" spans="2:6">
      <c r="B1466" s="219" t="str">
        <f>'4T'!BM15</f>
        <v>B0591GRTC_STW</v>
      </c>
      <c r="C1466" s="219" t="s">
        <v>6453</v>
      </c>
      <c r="E1466" s="249" t="s">
        <v>3641</v>
      </c>
      <c r="F1466" s="255">
        <f>IF(ISBLANK('4T'!R15),"##BLANK",'4T'!R15)</f>
        <v>0</v>
      </c>
    </row>
    <row r="1467" spans="2:6">
      <c r="B1467" s="219" t="str">
        <f>'4T'!BN15</f>
        <v>B0598GRTC_SLW</v>
      </c>
      <c r="C1467" s="219" t="s">
        <v>6454</v>
      </c>
      <c r="E1467" s="249" t="s">
        <v>3641</v>
      </c>
      <c r="F1467" s="255">
        <f>IF(ISBLANK('4T'!S15),"##BLANK",'4T'!S15)</f>
        <v>0</v>
      </c>
    </row>
    <row r="1468" spans="2:6">
      <c r="B1468" s="219" t="str">
        <f>'4T'!BO15</f>
        <v>B0605GRTC_SAB</v>
      </c>
      <c r="C1468" s="219" t="s">
        <v>6455</v>
      </c>
      <c r="E1468" s="249" t="s">
        <v>3641</v>
      </c>
      <c r="F1468" s="255">
        <f>IF(ISBLANK('4T'!T15),"##BLANK",'4T'!T15)</f>
        <v>0</v>
      </c>
    </row>
    <row r="1469" spans="2:6">
      <c r="B1469" s="219" t="str">
        <f>'4T'!BP15</f>
        <v>B0612GRTC_SEB</v>
      </c>
      <c r="C1469" s="219" t="s">
        <v>6456</v>
      </c>
      <c r="E1469" s="249" t="s">
        <v>3641</v>
      </c>
      <c r="F1469" s="255">
        <f>IF(ISBLANK('4T'!U15),"##BLANK",'4T'!U15)</f>
        <v>0</v>
      </c>
    </row>
    <row r="1470" spans="2:6">
      <c r="B1470" s="219" t="str">
        <f>'4T'!BQ15</f>
        <v>B0619GRTC_SDB</v>
      </c>
      <c r="C1470" s="219" t="s">
        <v>6457</v>
      </c>
      <c r="E1470" s="249" t="s">
        <v>3641</v>
      </c>
      <c r="F1470" s="255">
        <f>IF(ISBLANK('4T'!V15),"##BLANK",'4T'!V15)</f>
        <v>0</v>
      </c>
    </row>
    <row r="1471" spans="2:6">
      <c r="B1471" s="219" t="str">
        <f>'4T'!BR15</f>
        <v>B0626GRTC_TOB</v>
      </c>
      <c r="C1471" s="219" t="s">
        <v>6253</v>
      </c>
      <c r="E1471" s="249" t="s">
        <v>3641</v>
      </c>
      <c r="F1471" s="255">
        <f>IF(ISBLANK('4T'!W15),"##BLANK",'4T'!W15)</f>
        <v>0</v>
      </c>
    </row>
    <row r="1472" spans="2:6">
      <c r="B1472" s="219" t="str">
        <f>'4T'!BA16</f>
        <v>B0873GRCE_FOW</v>
      </c>
      <c r="C1472" s="219" t="s">
        <v>6458</v>
      </c>
      <c r="E1472" s="249" t="s">
        <v>3641</v>
      </c>
      <c r="F1472" s="255" t="str">
        <f>IF(ISBLANK('4T'!F16),"##BLANK",'4T'!F16)</f>
        <v>##BLANK</v>
      </c>
    </row>
    <row r="1473" spans="2:6">
      <c r="B1473" s="219" t="str">
        <f>'4T'!BB16</f>
        <v>B0884GRCE_SUW</v>
      </c>
      <c r="C1473" s="219" t="s">
        <v>6459</v>
      </c>
      <c r="E1473" s="249" t="s">
        <v>3641</v>
      </c>
      <c r="F1473" s="255" t="str">
        <f>IF(ISBLANK('4T'!G16),"##BLANK",'4T'!G16)</f>
        <v>##BLANK</v>
      </c>
    </row>
    <row r="1474" spans="2:6">
      <c r="B1474" s="219" t="str">
        <f>'4T'!BC16</f>
        <v>B0895GRCE_HDW</v>
      </c>
      <c r="C1474" s="219" t="s">
        <v>6460</v>
      </c>
      <c r="E1474" s="249" t="s">
        <v>3641</v>
      </c>
      <c r="F1474" s="255" t="str">
        <f>IF(ISBLANK('4T'!H16),"##BLANK",'4T'!H16)</f>
        <v>##BLANK</v>
      </c>
    </row>
    <row r="1475" spans="2:6">
      <c r="B1475" s="219" t="str">
        <f>'4T'!BD16</f>
        <v>B0906GRCE_STW</v>
      </c>
      <c r="C1475" s="219" t="s">
        <v>6461</v>
      </c>
      <c r="E1475" s="249" t="s">
        <v>3641</v>
      </c>
      <c r="F1475" s="255" t="str">
        <f>IF(ISBLANK('4T'!I16),"##BLANK",'4T'!I16)</f>
        <v>##BLANK</v>
      </c>
    </row>
    <row r="1476" spans="2:6">
      <c r="B1476" s="219" t="str">
        <f>'4T'!BE16</f>
        <v>B0917GRCE_SLW</v>
      </c>
      <c r="C1476" s="219" t="s">
        <v>6462</v>
      </c>
      <c r="E1476" s="249" t="s">
        <v>3641</v>
      </c>
      <c r="F1476" s="255" t="str">
        <f>IF(ISBLANK('4T'!J16),"##BLANK",'4T'!J16)</f>
        <v>##BLANK</v>
      </c>
    </row>
    <row r="1477" spans="2:6">
      <c r="B1477" s="219" t="str">
        <f>'4T'!BF16</f>
        <v>B0928GRCE_SAB</v>
      </c>
      <c r="C1477" s="219" t="s">
        <v>6463</v>
      </c>
      <c r="E1477" s="249" t="s">
        <v>3641</v>
      </c>
      <c r="F1477" s="255" t="str">
        <f>IF(ISBLANK('4T'!K16),"##BLANK",'4T'!K16)</f>
        <v>##BLANK</v>
      </c>
    </row>
    <row r="1478" spans="2:6">
      <c r="B1478" s="219" t="str">
        <f>'4T'!BG16</f>
        <v>B0939GRCE_SEB</v>
      </c>
      <c r="C1478" s="219" t="s">
        <v>6464</v>
      </c>
      <c r="E1478" s="249" t="s">
        <v>3641</v>
      </c>
      <c r="F1478" s="255" t="str">
        <f>IF(ISBLANK('4T'!L16),"##BLANK",'4T'!L16)</f>
        <v>##BLANK</v>
      </c>
    </row>
    <row r="1479" spans="2:6">
      <c r="B1479" s="219" t="str">
        <f>'4T'!BH16</f>
        <v>B0950GRCE_SDB</v>
      </c>
      <c r="C1479" s="219" t="s">
        <v>6465</v>
      </c>
      <c r="E1479" s="249" t="s">
        <v>3641</v>
      </c>
      <c r="F1479" s="255" t="str">
        <f>IF(ISBLANK('4T'!M16),"##BLANK",'4T'!M16)</f>
        <v>##BLANK</v>
      </c>
    </row>
    <row r="1480" spans="2:6">
      <c r="B1480" s="219" t="str">
        <f>'4T'!BI16</f>
        <v>B0758GRCE_TOB</v>
      </c>
      <c r="C1480" s="219" t="s">
        <v>6259</v>
      </c>
      <c r="E1480" s="249" t="s">
        <v>3641</v>
      </c>
      <c r="F1480" s="255">
        <f>IF(ISBLANK('4T'!N16),"##BLANK",'4T'!N16)</f>
        <v>0</v>
      </c>
    </row>
    <row r="1481" spans="2:6">
      <c r="B1481" s="219" t="str">
        <f>'4T'!BJ16</f>
        <v>B0961GRCC_FOW</v>
      </c>
      <c r="C1481" s="219" t="s">
        <v>6466</v>
      </c>
      <c r="E1481" s="249" t="s">
        <v>3641</v>
      </c>
      <c r="F1481" s="255" t="str">
        <f>IF(ISBLANK('4T'!O16),"##BLANK",'4T'!O16)</f>
        <v>##BLANK</v>
      </c>
    </row>
    <row r="1482" spans="2:6">
      <c r="B1482" s="219" t="str">
        <f>'4T'!BK16</f>
        <v>B0972GRCC_SUW</v>
      </c>
      <c r="C1482" s="219" t="s">
        <v>6467</v>
      </c>
      <c r="E1482" s="249" t="s">
        <v>3641</v>
      </c>
      <c r="F1482" s="255" t="str">
        <f>IF(ISBLANK('4T'!P16),"##BLANK",'4T'!P16)</f>
        <v>##BLANK</v>
      </c>
    </row>
    <row r="1483" spans="2:6">
      <c r="B1483" s="219" t="str">
        <f>'4T'!BL16</f>
        <v>B0983GRCC_HDW</v>
      </c>
      <c r="C1483" s="219" t="s">
        <v>6468</v>
      </c>
      <c r="E1483" s="249" t="s">
        <v>3641</v>
      </c>
      <c r="F1483" s="255" t="str">
        <f>IF(ISBLANK('4T'!Q16),"##BLANK",'4T'!Q16)</f>
        <v>##BLANK</v>
      </c>
    </row>
    <row r="1484" spans="2:6">
      <c r="B1484" s="219" t="str">
        <f>'4T'!BM16</f>
        <v>B0994GRCC_STW</v>
      </c>
      <c r="C1484" s="219" t="s">
        <v>6469</v>
      </c>
      <c r="E1484" s="249" t="s">
        <v>3641</v>
      </c>
      <c r="F1484" s="255" t="str">
        <f>IF(ISBLANK('4T'!R16),"##BLANK",'4T'!R16)</f>
        <v>##BLANK</v>
      </c>
    </row>
    <row r="1485" spans="2:6">
      <c r="B1485" s="219" t="str">
        <f>'4T'!BN16</f>
        <v>B1006GRCC_SLW</v>
      </c>
      <c r="C1485" s="219" t="s">
        <v>6470</v>
      </c>
      <c r="E1485" s="249" t="s">
        <v>3641</v>
      </c>
      <c r="F1485" s="255" t="str">
        <f>IF(ISBLANK('4T'!S16),"##BLANK",'4T'!S16)</f>
        <v>##BLANK</v>
      </c>
    </row>
    <row r="1486" spans="2:6">
      <c r="B1486" s="219" t="str">
        <f>'4T'!BO16</f>
        <v>B1017GRCC_SAB</v>
      </c>
      <c r="C1486" s="219" t="s">
        <v>6471</v>
      </c>
      <c r="E1486" s="249" t="s">
        <v>3641</v>
      </c>
      <c r="F1486" s="255" t="str">
        <f>IF(ISBLANK('4T'!T16),"##BLANK",'4T'!T16)</f>
        <v>##BLANK</v>
      </c>
    </row>
    <row r="1487" spans="2:6">
      <c r="B1487" s="219" t="str">
        <f>'4T'!BP16</f>
        <v>B1028GRCC_SEB</v>
      </c>
      <c r="C1487" s="219" t="s">
        <v>6472</v>
      </c>
      <c r="E1487" s="249" t="s">
        <v>3641</v>
      </c>
      <c r="F1487" s="255" t="str">
        <f>IF(ISBLANK('4T'!U16),"##BLANK",'4T'!U16)</f>
        <v>##BLANK</v>
      </c>
    </row>
    <row r="1488" spans="2:6">
      <c r="B1488" s="219" t="str">
        <f>'4T'!BQ16</f>
        <v>B1039GRCC_SDB</v>
      </c>
      <c r="C1488" s="219" t="s">
        <v>6473</v>
      </c>
      <c r="E1488" s="249" t="s">
        <v>3641</v>
      </c>
      <c r="F1488" s="255" t="str">
        <f>IF(ISBLANK('4T'!V16),"##BLANK",'4T'!V16)</f>
        <v>##BLANK</v>
      </c>
    </row>
    <row r="1489" spans="2:6">
      <c r="B1489" s="219" t="str">
        <f>'4T'!BR16</f>
        <v>B0764GRCC_TOB</v>
      </c>
      <c r="C1489" s="219" t="s">
        <v>6265</v>
      </c>
      <c r="E1489" s="249" t="s">
        <v>3641</v>
      </c>
      <c r="F1489" s="255">
        <f>IF(ISBLANK('4T'!W16),"##BLANK",'4T'!W16)</f>
        <v>0</v>
      </c>
    </row>
    <row r="1490" spans="2:6">
      <c r="B1490" s="219" t="str">
        <f>'4T'!BA17</f>
        <v>B0874GROE_FOW</v>
      </c>
      <c r="C1490" s="219" t="s">
        <v>6474</v>
      </c>
      <c r="E1490" s="249" t="s">
        <v>3641</v>
      </c>
      <c r="F1490" s="255" t="str">
        <f>IF(ISBLANK('4T'!F17),"##BLANK",'4T'!F17)</f>
        <v>##BLANK</v>
      </c>
    </row>
    <row r="1491" spans="2:6">
      <c r="B1491" s="219" t="str">
        <f>'4T'!BB17</f>
        <v>B0885GROE_SUW</v>
      </c>
      <c r="C1491" s="219" t="s">
        <v>6475</v>
      </c>
      <c r="E1491" s="249" t="s">
        <v>3641</v>
      </c>
      <c r="F1491" s="255" t="str">
        <f>IF(ISBLANK('4T'!G17),"##BLANK",'4T'!G17)</f>
        <v>##BLANK</v>
      </c>
    </row>
    <row r="1492" spans="2:6">
      <c r="B1492" s="219" t="str">
        <f>'4T'!BC17</f>
        <v>B0896GROE_HDW</v>
      </c>
      <c r="C1492" s="219" t="s">
        <v>6476</v>
      </c>
      <c r="E1492" s="249" t="s">
        <v>3641</v>
      </c>
      <c r="F1492" s="255" t="str">
        <f>IF(ISBLANK('4T'!H17),"##BLANK",'4T'!H17)</f>
        <v>##BLANK</v>
      </c>
    </row>
    <row r="1493" spans="2:6">
      <c r="B1493" s="219" t="str">
        <f>'4T'!BD17</f>
        <v>B0907GROE_STW</v>
      </c>
      <c r="C1493" s="219" t="s">
        <v>6477</v>
      </c>
      <c r="E1493" s="249" t="s">
        <v>3641</v>
      </c>
      <c r="F1493" s="255" t="str">
        <f>IF(ISBLANK('4T'!I17),"##BLANK",'4T'!I17)</f>
        <v>##BLANK</v>
      </c>
    </row>
    <row r="1494" spans="2:6">
      <c r="B1494" s="219" t="str">
        <f>'4T'!BE17</f>
        <v>B0918GROE_SLW</v>
      </c>
      <c r="C1494" s="219" t="s">
        <v>6478</v>
      </c>
      <c r="E1494" s="249" t="s">
        <v>3641</v>
      </c>
      <c r="F1494" s="255" t="str">
        <f>IF(ISBLANK('4T'!J17),"##BLANK",'4T'!J17)</f>
        <v>##BLANK</v>
      </c>
    </row>
    <row r="1495" spans="2:6">
      <c r="B1495" s="219" t="str">
        <f>'4T'!BF17</f>
        <v>B0929GROE_SAB</v>
      </c>
      <c r="C1495" s="219" t="s">
        <v>6479</v>
      </c>
      <c r="E1495" s="249" t="s">
        <v>3641</v>
      </c>
      <c r="F1495" s="255" t="str">
        <f>IF(ISBLANK('4T'!K17),"##BLANK",'4T'!K17)</f>
        <v>##BLANK</v>
      </c>
    </row>
    <row r="1496" spans="2:6">
      <c r="B1496" s="219" t="str">
        <f>'4T'!BG17</f>
        <v>B0940GROE_SEB</v>
      </c>
      <c r="C1496" s="219" t="s">
        <v>6480</v>
      </c>
      <c r="E1496" s="249" t="s">
        <v>3641</v>
      </c>
      <c r="F1496" s="255" t="str">
        <f>IF(ISBLANK('4T'!L17),"##BLANK",'4T'!L17)</f>
        <v>##BLANK</v>
      </c>
    </row>
    <row r="1497" spans="2:6">
      <c r="B1497" s="219" t="str">
        <f>'4T'!BH17</f>
        <v>B0951GROE_SDB</v>
      </c>
      <c r="C1497" s="219" t="s">
        <v>6481</v>
      </c>
      <c r="E1497" s="249" t="s">
        <v>3641</v>
      </c>
      <c r="F1497" s="255" t="str">
        <f>IF(ISBLANK('4T'!M17),"##BLANK",'4T'!M17)</f>
        <v>##BLANK</v>
      </c>
    </row>
    <row r="1498" spans="2:6">
      <c r="B1498" s="219" t="str">
        <f>'4T'!BI17</f>
        <v>B0759GROE_TOB</v>
      </c>
      <c r="C1498" s="219" t="s">
        <v>6271</v>
      </c>
      <c r="E1498" s="249" t="s">
        <v>3641</v>
      </c>
      <c r="F1498" s="255">
        <f>IF(ISBLANK('4T'!N17),"##BLANK",'4T'!N17)</f>
        <v>0</v>
      </c>
    </row>
    <row r="1499" spans="2:6">
      <c r="B1499" s="219" t="str">
        <f>'4T'!BJ17</f>
        <v>B0962GROC_FOW</v>
      </c>
      <c r="C1499" s="219" t="s">
        <v>6482</v>
      </c>
      <c r="E1499" s="249" t="s">
        <v>3641</v>
      </c>
      <c r="F1499" s="255" t="str">
        <f>IF(ISBLANK('4T'!O17),"##BLANK",'4T'!O17)</f>
        <v>##BLANK</v>
      </c>
    </row>
    <row r="1500" spans="2:6">
      <c r="B1500" s="219" t="str">
        <f>'4T'!BK17</f>
        <v>B0973GROC_SUW</v>
      </c>
      <c r="C1500" s="219" t="s">
        <v>6483</v>
      </c>
      <c r="E1500" s="249" t="s">
        <v>3641</v>
      </c>
      <c r="F1500" s="255" t="str">
        <f>IF(ISBLANK('4T'!P17),"##BLANK",'4T'!P17)</f>
        <v>##BLANK</v>
      </c>
    </row>
    <row r="1501" spans="2:6">
      <c r="B1501" s="219" t="str">
        <f>'4T'!BL17</f>
        <v>B0984GROC_HDW</v>
      </c>
      <c r="C1501" s="219" t="s">
        <v>6484</v>
      </c>
      <c r="E1501" s="249" t="s">
        <v>3641</v>
      </c>
      <c r="F1501" s="255" t="str">
        <f>IF(ISBLANK('4T'!Q17),"##BLANK",'4T'!Q17)</f>
        <v>##BLANK</v>
      </c>
    </row>
    <row r="1502" spans="2:6">
      <c r="B1502" s="219" t="str">
        <f>'4T'!BM17</f>
        <v>B0995GROC_STW</v>
      </c>
      <c r="C1502" s="219" t="s">
        <v>6485</v>
      </c>
      <c r="E1502" s="249" t="s">
        <v>3641</v>
      </c>
      <c r="F1502" s="255" t="str">
        <f>IF(ISBLANK('4T'!R17),"##BLANK",'4T'!R17)</f>
        <v>##BLANK</v>
      </c>
    </row>
    <row r="1503" spans="2:6">
      <c r="B1503" s="219" t="str">
        <f>'4T'!BN17</f>
        <v>B1007GROC_SLW</v>
      </c>
      <c r="C1503" s="219" t="s">
        <v>6486</v>
      </c>
      <c r="E1503" s="249" t="s">
        <v>3641</v>
      </c>
      <c r="F1503" s="255" t="str">
        <f>IF(ISBLANK('4T'!S17),"##BLANK",'4T'!S17)</f>
        <v>##BLANK</v>
      </c>
    </row>
    <row r="1504" spans="2:6">
      <c r="B1504" s="219" t="str">
        <f>'4T'!BO17</f>
        <v>B1018GROC_SAB</v>
      </c>
      <c r="C1504" s="219" t="s">
        <v>6487</v>
      </c>
      <c r="E1504" s="249" t="s">
        <v>3641</v>
      </c>
      <c r="F1504" s="255" t="str">
        <f>IF(ISBLANK('4T'!T17),"##BLANK",'4T'!T17)</f>
        <v>##BLANK</v>
      </c>
    </row>
    <row r="1505" spans="2:6">
      <c r="B1505" s="219" t="str">
        <f>'4T'!BP17</f>
        <v>B1029GROC_SEB</v>
      </c>
      <c r="C1505" s="219" t="s">
        <v>6488</v>
      </c>
      <c r="E1505" s="249" t="s">
        <v>3641</v>
      </c>
      <c r="F1505" s="255" t="str">
        <f>IF(ISBLANK('4T'!U17),"##BLANK",'4T'!U17)</f>
        <v>##BLANK</v>
      </c>
    </row>
    <row r="1506" spans="2:6">
      <c r="B1506" s="219" t="str">
        <f>'4T'!BQ17</f>
        <v>B1040GROC_SDB</v>
      </c>
      <c r="C1506" s="219" t="s">
        <v>6489</v>
      </c>
      <c r="E1506" s="249" t="s">
        <v>3641</v>
      </c>
      <c r="F1506" s="255" t="str">
        <f>IF(ISBLANK('4T'!V17),"##BLANK",'4T'!V17)</f>
        <v>##BLANK</v>
      </c>
    </row>
    <row r="1507" spans="2:6">
      <c r="B1507" s="219" t="str">
        <f>'4T'!BR17</f>
        <v>B0765GROC_TOB</v>
      </c>
      <c r="C1507" s="219" t="s">
        <v>6277</v>
      </c>
      <c r="E1507" s="249" t="s">
        <v>3641</v>
      </c>
      <c r="F1507" s="255">
        <f>IF(ISBLANK('4T'!W17),"##BLANK",'4T'!W17)</f>
        <v>0</v>
      </c>
    </row>
    <row r="1508" spans="2:6">
      <c r="B1508" s="219" t="str">
        <f>'4T'!BA18</f>
        <v>B0509GRTE_FOW</v>
      </c>
      <c r="C1508" s="219" t="s">
        <v>6490</v>
      </c>
      <c r="E1508" s="249" t="s">
        <v>3641</v>
      </c>
      <c r="F1508" s="255">
        <f>IF(ISBLANK('4T'!F18),"##BLANK",'4T'!F18)</f>
        <v>0</v>
      </c>
    </row>
    <row r="1509" spans="2:6">
      <c r="B1509" s="219" t="str">
        <f>'4T'!BB18</f>
        <v>B0516GRTE_SUW</v>
      </c>
      <c r="C1509" s="219" t="s">
        <v>6491</v>
      </c>
      <c r="E1509" s="249" t="s">
        <v>3641</v>
      </c>
      <c r="F1509" s="255">
        <f>IF(ISBLANK('4T'!G18),"##BLANK",'4T'!G18)</f>
        <v>0</v>
      </c>
    </row>
    <row r="1510" spans="2:6">
      <c r="B1510" s="219" t="str">
        <f>'4T'!BC18</f>
        <v>B0523GRTE_HDW</v>
      </c>
      <c r="C1510" s="219" t="s">
        <v>6492</v>
      </c>
      <c r="E1510" s="249" t="s">
        <v>3641</v>
      </c>
      <c r="F1510" s="255">
        <f>IF(ISBLANK('4T'!H18),"##BLANK",'4T'!H18)</f>
        <v>0</v>
      </c>
    </row>
    <row r="1511" spans="2:6">
      <c r="B1511" s="219" t="str">
        <f>'4T'!BD18</f>
        <v>B0530GRTE_STW</v>
      </c>
      <c r="C1511" s="219" t="s">
        <v>6493</v>
      </c>
      <c r="E1511" s="249" t="s">
        <v>3641</v>
      </c>
      <c r="F1511" s="255">
        <f>IF(ISBLANK('4T'!I18),"##BLANK",'4T'!I18)</f>
        <v>0</v>
      </c>
    </row>
    <row r="1512" spans="2:6">
      <c r="B1512" s="219" t="str">
        <f>'4T'!BE18</f>
        <v>B0537GRTE_SLW</v>
      </c>
      <c r="C1512" s="219" t="s">
        <v>6494</v>
      </c>
      <c r="E1512" s="249" t="s">
        <v>3641</v>
      </c>
      <c r="F1512" s="255">
        <f>IF(ISBLANK('4T'!J18),"##BLANK",'4T'!J18)</f>
        <v>0</v>
      </c>
    </row>
    <row r="1513" spans="2:6">
      <c r="B1513" s="219" t="str">
        <f>'4T'!BF18</f>
        <v>B0543GRTE_SAB</v>
      </c>
      <c r="C1513" s="219" t="s">
        <v>6495</v>
      </c>
      <c r="E1513" s="249" t="s">
        <v>3641</v>
      </c>
      <c r="F1513" s="255">
        <f>IF(ISBLANK('4T'!K18),"##BLANK",'4T'!K18)</f>
        <v>0</v>
      </c>
    </row>
    <row r="1514" spans="2:6">
      <c r="B1514" s="219" t="str">
        <f>'4T'!BG18</f>
        <v>B0550GRTE_SEB</v>
      </c>
      <c r="C1514" s="219" t="s">
        <v>6496</v>
      </c>
      <c r="E1514" s="249" t="s">
        <v>3641</v>
      </c>
      <c r="F1514" s="255">
        <f>IF(ISBLANK('4T'!L18),"##BLANK",'4T'!L18)</f>
        <v>0</v>
      </c>
    </row>
    <row r="1515" spans="2:6">
      <c r="B1515" s="219" t="str">
        <f>'4T'!BH18</f>
        <v>B0557GRTE_SDB</v>
      </c>
      <c r="C1515" s="219" t="s">
        <v>6497</v>
      </c>
      <c r="E1515" s="249" t="s">
        <v>3641</v>
      </c>
      <c r="F1515" s="255">
        <f>IF(ISBLANK('4T'!M18),"##BLANK",'4T'!M18)</f>
        <v>0</v>
      </c>
    </row>
    <row r="1516" spans="2:6">
      <c r="B1516" s="219" t="str">
        <f>'4T'!BI18</f>
        <v>B0564GRTE_TOB</v>
      </c>
      <c r="C1516" s="219" t="s">
        <v>6283</v>
      </c>
      <c r="E1516" s="249" t="s">
        <v>3641</v>
      </c>
      <c r="F1516" s="255">
        <f>IF(ISBLANK('4T'!N18),"##BLANK",'4T'!N18)</f>
        <v>0</v>
      </c>
    </row>
    <row r="1517" spans="2:6">
      <c r="B1517" s="219" t="str">
        <f>'4T'!BJ18</f>
        <v>B0571GRTC_FOW</v>
      </c>
      <c r="C1517" s="219" t="s">
        <v>6498</v>
      </c>
      <c r="E1517" s="249" t="s">
        <v>3641</v>
      </c>
      <c r="F1517" s="255">
        <f>IF(ISBLANK('4T'!O18),"##BLANK",'4T'!O18)</f>
        <v>0</v>
      </c>
    </row>
    <row r="1518" spans="2:6">
      <c r="B1518" s="219" t="str">
        <f>'4T'!BK18</f>
        <v>B0578GRTC_SUW</v>
      </c>
      <c r="C1518" s="219" t="s">
        <v>6499</v>
      </c>
      <c r="E1518" s="249" t="s">
        <v>3641</v>
      </c>
      <c r="F1518" s="255">
        <f>IF(ISBLANK('4T'!P18),"##BLANK",'4T'!P18)</f>
        <v>0</v>
      </c>
    </row>
    <row r="1519" spans="2:6">
      <c r="B1519" s="219" t="str">
        <f>'4T'!BL18</f>
        <v>B0585GRTC_HDW</v>
      </c>
      <c r="C1519" s="219" t="s">
        <v>6500</v>
      </c>
      <c r="E1519" s="249" t="s">
        <v>3641</v>
      </c>
      <c r="F1519" s="255">
        <f>IF(ISBLANK('4T'!Q18),"##BLANK",'4T'!Q18)</f>
        <v>0</v>
      </c>
    </row>
    <row r="1520" spans="2:6">
      <c r="B1520" s="219" t="str">
        <f>'4T'!BM18</f>
        <v>B0592GRTC_STW</v>
      </c>
      <c r="C1520" s="219" t="s">
        <v>6501</v>
      </c>
      <c r="E1520" s="249" t="s">
        <v>3641</v>
      </c>
      <c r="F1520" s="255">
        <f>IF(ISBLANK('4T'!R18),"##BLANK",'4T'!R18)</f>
        <v>0</v>
      </c>
    </row>
    <row r="1521" spans="2:6">
      <c r="B1521" s="219" t="str">
        <f>'4T'!BN18</f>
        <v>B0599GRTC_SLW</v>
      </c>
      <c r="C1521" s="219" t="s">
        <v>6502</v>
      </c>
      <c r="E1521" s="249" t="s">
        <v>3641</v>
      </c>
      <c r="F1521" s="255">
        <f>IF(ISBLANK('4T'!S18),"##BLANK",'4T'!S18)</f>
        <v>0</v>
      </c>
    </row>
    <row r="1522" spans="2:6">
      <c r="B1522" s="219" t="str">
        <f>'4T'!BO18</f>
        <v>B0606GRTC_SAB</v>
      </c>
      <c r="C1522" s="219" t="s">
        <v>6503</v>
      </c>
      <c r="E1522" s="249" t="s">
        <v>3641</v>
      </c>
      <c r="F1522" s="255">
        <f>IF(ISBLANK('4T'!T18),"##BLANK",'4T'!T18)</f>
        <v>0</v>
      </c>
    </row>
    <row r="1523" spans="2:6">
      <c r="B1523" s="219" t="str">
        <f>'4T'!BP18</f>
        <v>B0613GRTC_SEB</v>
      </c>
      <c r="C1523" s="219" t="s">
        <v>6504</v>
      </c>
      <c r="E1523" s="249" t="s">
        <v>3641</v>
      </c>
      <c r="F1523" s="255">
        <f>IF(ISBLANK('4T'!U18),"##BLANK",'4T'!U18)</f>
        <v>0</v>
      </c>
    </row>
    <row r="1524" spans="2:6">
      <c r="B1524" s="219" t="str">
        <f>'4T'!BQ18</f>
        <v>B0620GRTC_SDB</v>
      </c>
      <c r="C1524" s="219" t="s">
        <v>6505</v>
      </c>
      <c r="E1524" s="249" t="s">
        <v>3641</v>
      </c>
      <c r="F1524" s="255">
        <f>IF(ISBLANK('4T'!V18),"##BLANK",'4T'!V18)</f>
        <v>0</v>
      </c>
    </row>
    <row r="1525" spans="2:6">
      <c r="B1525" s="219" t="str">
        <f>'4T'!BR18</f>
        <v>B0627GRTC_TOB</v>
      </c>
      <c r="C1525" s="219" t="s">
        <v>6289</v>
      </c>
      <c r="E1525" s="249" t="s">
        <v>3641</v>
      </c>
      <c r="F1525" s="255">
        <f>IF(ISBLANK('4T'!W18),"##BLANK",'4T'!W18)</f>
        <v>0</v>
      </c>
    </row>
    <row r="1526" spans="2:6">
      <c r="B1526" s="219" t="str">
        <f>'4T'!BA19</f>
        <v>B0876GRCE_FOW</v>
      </c>
      <c r="C1526" s="219" t="s">
        <v>6506</v>
      </c>
      <c r="E1526" s="249" t="s">
        <v>3641</v>
      </c>
      <c r="F1526" s="255" t="str">
        <f>IF(ISBLANK('4T'!F19),"##BLANK",'4T'!F19)</f>
        <v>##BLANK</v>
      </c>
    </row>
    <row r="1527" spans="2:6">
      <c r="B1527" s="219" t="str">
        <f>'4T'!BB19</f>
        <v>B0887GRCE_SUW</v>
      </c>
      <c r="C1527" s="219" t="s">
        <v>6507</v>
      </c>
      <c r="E1527" s="249" t="s">
        <v>3641</v>
      </c>
      <c r="F1527" s="255" t="str">
        <f>IF(ISBLANK('4T'!G19),"##BLANK",'4T'!G19)</f>
        <v>##BLANK</v>
      </c>
    </row>
    <row r="1528" spans="2:6">
      <c r="B1528" s="219" t="str">
        <f>'4T'!BC19</f>
        <v>B0898GRCE_HDW</v>
      </c>
      <c r="C1528" s="219" t="s">
        <v>6508</v>
      </c>
      <c r="E1528" s="249" t="s">
        <v>3641</v>
      </c>
      <c r="F1528" s="255" t="str">
        <f>IF(ISBLANK('4T'!H19),"##BLANK",'4T'!H19)</f>
        <v>##BLANK</v>
      </c>
    </row>
    <row r="1529" spans="2:6">
      <c r="B1529" s="219" t="str">
        <f>'4T'!BD19</f>
        <v>B0909GRCE_STW</v>
      </c>
      <c r="C1529" s="219" t="s">
        <v>6509</v>
      </c>
      <c r="E1529" s="249" t="s">
        <v>3641</v>
      </c>
      <c r="F1529" s="255" t="str">
        <f>IF(ISBLANK('4T'!I19),"##BLANK",'4T'!I19)</f>
        <v>##BLANK</v>
      </c>
    </row>
    <row r="1530" spans="2:6">
      <c r="B1530" s="219" t="str">
        <f>'4T'!BE19</f>
        <v>B0920GRCE_SLW</v>
      </c>
      <c r="C1530" s="219" t="s">
        <v>6510</v>
      </c>
      <c r="E1530" s="249" t="s">
        <v>3641</v>
      </c>
      <c r="F1530" s="255" t="str">
        <f>IF(ISBLANK('4T'!J19),"##BLANK",'4T'!J19)</f>
        <v>##BLANK</v>
      </c>
    </row>
    <row r="1531" spans="2:6">
      <c r="B1531" s="219" t="str">
        <f>'4T'!BF19</f>
        <v>B0931GRCE_SAB</v>
      </c>
      <c r="C1531" s="219" t="s">
        <v>6511</v>
      </c>
      <c r="E1531" s="249" t="s">
        <v>3641</v>
      </c>
      <c r="F1531" s="255" t="str">
        <f>IF(ISBLANK('4T'!K19),"##BLANK",'4T'!K19)</f>
        <v>##BLANK</v>
      </c>
    </row>
    <row r="1532" spans="2:6">
      <c r="B1532" s="219" t="str">
        <f>'4T'!BG19</f>
        <v>B0942GRCE_SEB</v>
      </c>
      <c r="C1532" s="219" t="s">
        <v>6512</v>
      </c>
      <c r="E1532" s="249" t="s">
        <v>3641</v>
      </c>
      <c r="F1532" s="255" t="str">
        <f>IF(ISBLANK('4T'!L19),"##BLANK",'4T'!L19)</f>
        <v>##BLANK</v>
      </c>
    </row>
    <row r="1533" spans="2:6">
      <c r="B1533" s="219" t="str">
        <f>'4T'!BH19</f>
        <v>B0953GRCE_SDB</v>
      </c>
      <c r="C1533" s="219" t="s">
        <v>6513</v>
      </c>
      <c r="E1533" s="249" t="s">
        <v>3641</v>
      </c>
      <c r="F1533" s="255" t="str">
        <f>IF(ISBLANK('4T'!M19),"##BLANK",'4T'!M19)</f>
        <v>##BLANK</v>
      </c>
    </row>
    <row r="1534" spans="2:6">
      <c r="B1534" s="219" t="str">
        <f>'4T'!BI19</f>
        <v>B0760GRCE_TOB</v>
      </c>
      <c r="C1534" s="219" t="s">
        <v>6295</v>
      </c>
      <c r="E1534" s="249" t="s">
        <v>3641</v>
      </c>
      <c r="F1534" s="255">
        <f>IF(ISBLANK('4T'!N19),"##BLANK",'4T'!N19)</f>
        <v>0</v>
      </c>
    </row>
    <row r="1535" spans="2:6">
      <c r="B1535" s="219" t="str">
        <f>'4T'!BJ19</f>
        <v>B0964GRCC_FOW</v>
      </c>
      <c r="C1535" s="219" t="s">
        <v>6514</v>
      </c>
      <c r="E1535" s="249" t="s">
        <v>3641</v>
      </c>
      <c r="F1535" s="255" t="str">
        <f>IF(ISBLANK('4T'!O19),"##BLANK",'4T'!O19)</f>
        <v>##BLANK</v>
      </c>
    </row>
    <row r="1536" spans="2:6">
      <c r="B1536" s="219" t="str">
        <f>'4T'!BK19</f>
        <v>B0975GRCC_SUW</v>
      </c>
      <c r="C1536" s="219" t="s">
        <v>6515</v>
      </c>
      <c r="E1536" s="249" t="s">
        <v>3641</v>
      </c>
      <c r="F1536" s="255" t="str">
        <f>IF(ISBLANK('4T'!P19),"##BLANK",'4T'!P19)</f>
        <v>##BLANK</v>
      </c>
    </row>
    <row r="1537" spans="2:6">
      <c r="B1537" s="219" t="str">
        <f>'4T'!BL19</f>
        <v>B0986GRCC_HDW</v>
      </c>
      <c r="C1537" s="219" t="s">
        <v>6516</v>
      </c>
      <c r="E1537" s="249" t="s">
        <v>3641</v>
      </c>
      <c r="F1537" s="255" t="str">
        <f>IF(ISBLANK('4T'!Q19),"##BLANK",'4T'!Q19)</f>
        <v>##BLANK</v>
      </c>
    </row>
    <row r="1538" spans="2:6">
      <c r="B1538" s="219" t="str">
        <f>'4T'!BM19</f>
        <v>B0997GRCC_STW</v>
      </c>
      <c r="C1538" s="219" t="s">
        <v>6517</v>
      </c>
      <c r="E1538" s="249" t="s">
        <v>3641</v>
      </c>
      <c r="F1538" s="255" t="str">
        <f>IF(ISBLANK('4T'!R19),"##BLANK",'4T'!R19)</f>
        <v>##BLANK</v>
      </c>
    </row>
    <row r="1539" spans="2:6">
      <c r="B1539" s="219" t="str">
        <f>'4T'!BN19</f>
        <v>B1009GRCC_SLW</v>
      </c>
      <c r="C1539" s="219" t="s">
        <v>6518</v>
      </c>
      <c r="E1539" s="249" t="s">
        <v>3641</v>
      </c>
      <c r="F1539" s="255" t="str">
        <f>IF(ISBLANK('4T'!S19),"##BLANK",'4T'!S19)</f>
        <v>##BLANK</v>
      </c>
    </row>
    <row r="1540" spans="2:6">
      <c r="B1540" s="219" t="str">
        <f>'4T'!BO19</f>
        <v>B1020GRCC_SAB</v>
      </c>
      <c r="C1540" s="219" t="s">
        <v>6519</v>
      </c>
      <c r="E1540" s="249" t="s">
        <v>3641</v>
      </c>
      <c r="F1540" s="255" t="str">
        <f>IF(ISBLANK('4T'!T19),"##BLANK",'4T'!T19)</f>
        <v>##BLANK</v>
      </c>
    </row>
    <row r="1541" spans="2:6">
      <c r="B1541" s="219" t="str">
        <f>'4T'!BP19</f>
        <v>B1031GRCC_SEB</v>
      </c>
      <c r="C1541" s="219" t="s">
        <v>6520</v>
      </c>
      <c r="E1541" s="249" t="s">
        <v>3641</v>
      </c>
      <c r="F1541" s="255" t="str">
        <f>IF(ISBLANK('4T'!U19),"##BLANK",'4T'!U19)</f>
        <v>##BLANK</v>
      </c>
    </row>
    <row r="1542" spans="2:6">
      <c r="B1542" s="219" t="str">
        <f>'4T'!BQ19</f>
        <v>B1042GRCC_SDB</v>
      </c>
      <c r="C1542" s="219" t="s">
        <v>6521</v>
      </c>
      <c r="E1542" s="249" t="s">
        <v>3641</v>
      </c>
      <c r="F1542" s="255" t="str">
        <f>IF(ISBLANK('4T'!V19),"##BLANK",'4T'!V19)</f>
        <v>##BLANK</v>
      </c>
    </row>
    <row r="1543" spans="2:6">
      <c r="B1543" s="219" t="str">
        <f>'4T'!BR19</f>
        <v>B0766GRCC_TOB</v>
      </c>
      <c r="C1543" s="219" t="s">
        <v>6301</v>
      </c>
      <c r="E1543" s="249" t="s">
        <v>3641</v>
      </c>
      <c r="F1543" s="255">
        <f>IF(ISBLANK('4T'!W19),"##BLANK",'4T'!W19)</f>
        <v>0</v>
      </c>
    </row>
    <row r="1544" spans="2:6">
      <c r="B1544" s="219" t="str">
        <f>'4T'!BA20</f>
        <v>B0877GROE_FOW</v>
      </c>
      <c r="C1544" s="219" t="s">
        <v>6522</v>
      </c>
      <c r="E1544" s="249" t="s">
        <v>3641</v>
      </c>
      <c r="F1544" s="255" t="str">
        <f>IF(ISBLANK('4T'!F20),"##BLANK",'4T'!F20)</f>
        <v>##BLANK</v>
      </c>
    </row>
    <row r="1545" spans="2:6">
      <c r="B1545" s="219" t="str">
        <f>'4T'!BB20</f>
        <v>B0888GROE_SUW</v>
      </c>
      <c r="C1545" s="219" t="s">
        <v>6523</v>
      </c>
      <c r="E1545" s="249" t="s">
        <v>3641</v>
      </c>
      <c r="F1545" s="255" t="str">
        <f>IF(ISBLANK('4T'!G20),"##BLANK",'4T'!G20)</f>
        <v>##BLANK</v>
      </c>
    </row>
    <row r="1546" spans="2:6">
      <c r="B1546" s="219" t="str">
        <f>'4T'!BC20</f>
        <v>B0899GROE_HDW</v>
      </c>
      <c r="C1546" s="219" t="s">
        <v>6524</v>
      </c>
      <c r="E1546" s="249" t="s">
        <v>3641</v>
      </c>
      <c r="F1546" s="255" t="str">
        <f>IF(ISBLANK('4T'!H20),"##BLANK",'4T'!H20)</f>
        <v>##BLANK</v>
      </c>
    </row>
    <row r="1547" spans="2:6">
      <c r="B1547" s="219" t="str">
        <f>'4T'!BD20</f>
        <v>B0910GROE_STW</v>
      </c>
      <c r="C1547" s="219" t="s">
        <v>6525</v>
      </c>
      <c r="E1547" s="249" t="s">
        <v>3641</v>
      </c>
      <c r="F1547" s="255" t="str">
        <f>IF(ISBLANK('4T'!I20),"##BLANK",'4T'!I20)</f>
        <v>##BLANK</v>
      </c>
    </row>
    <row r="1548" spans="2:6">
      <c r="B1548" s="219" t="str">
        <f>'4T'!BE20</f>
        <v>B0921GROE_SLW</v>
      </c>
      <c r="C1548" s="219" t="s">
        <v>6526</v>
      </c>
      <c r="E1548" s="249" t="s">
        <v>3641</v>
      </c>
      <c r="F1548" s="255" t="str">
        <f>IF(ISBLANK('4T'!J20),"##BLANK",'4T'!J20)</f>
        <v>##BLANK</v>
      </c>
    </row>
    <row r="1549" spans="2:6">
      <c r="B1549" s="219" t="str">
        <f>'4T'!BF20</f>
        <v>B0932GROE_SAB</v>
      </c>
      <c r="C1549" s="219" t="s">
        <v>6527</v>
      </c>
      <c r="E1549" s="249" t="s">
        <v>3641</v>
      </c>
      <c r="F1549" s="255" t="str">
        <f>IF(ISBLANK('4T'!K20),"##BLANK",'4T'!K20)</f>
        <v>##BLANK</v>
      </c>
    </row>
    <row r="1550" spans="2:6">
      <c r="B1550" s="219" t="str">
        <f>'4T'!BG20</f>
        <v>B0943GROE_SEB</v>
      </c>
      <c r="C1550" s="219" t="s">
        <v>6528</v>
      </c>
      <c r="E1550" s="249" t="s">
        <v>3641</v>
      </c>
      <c r="F1550" s="255" t="str">
        <f>IF(ISBLANK('4T'!L20),"##BLANK",'4T'!L20)</f>
        <v>##BLANK</v>
      </c>
    </row>
    <row r="1551" spans="2:6">
      <c r="B1551" s="219" t="str">
        <f>'4T'!BH20</f>
        <v>B0954GROE_SDB</v>
      </c>
      <c r="C1551" s="219" t="s">
        <v>6529</v>
      </c>
      <c r="E1551" s="249" t="s">
        <v>3641</v>
      </c>
      <c r="F1551" s="255" t="str">
        <f>IF(ISBLANK('4T'!M20),"##BLANK",'4T'!M20)</f>
        <v>##BLANK</v>
      </c>
    </row>
    <row r="1552" spans="2:6">
      <c r="B1552" s="219" t="str">
        <f>'4T'!BI20</f>
        <v>B0761GROE_TOB</v>
      </c>
      <c r="C1552" s="219" t="s">
        <v>6307</v>
      </c>
      <c r="E1552" s="249" t="s">
        <v>3641</v>
      </c>
      <c r="F1552" s="255">
        <f>IF(ISBLANK('4T'!N20),"##BLANK",'4T'!N20)</f>
        <v>0</v>
      </c>
    </row>
    <row r="1553" spans="2:6">
      <c r="B1553" s="219" t="str">
        <f>'4T'!BJ20</f>
        <v>B0965GROC_FOW</v>
      </c>
      <c r="C1553" s="219" t="s">
        <v>6530</v>
      </c>
      <c r="E1553" s="249" t="s">
        <v>3641</v>
      </c>
      <c r="F1553" s="255" t="str">
        <f>IF(ISBLANK('4T'!O20),"##BLANK",'4T'!O20)</f>
        <v>##BLANK</v>
      </c>
    </row>
    <row r="1554" spans="2:6">
      <c r="B1554" s="219" t="str">
        <f>'4T'!BK20</f>
        <v>B0976GROC_SUW</v>
      </c>
      <c r="C1554" s="219" t="s">
        <v>6531</v>
      </c>
      <c r="E1554" s="249" t="s">
        <v>3641</v>
      </c>
      <c r="F1554" s="255" t="str">
        <f>IF(ISBLANK('4T'!P20),"##BLANK",'4T'!P20)</f>
        <v>##BLANK</v>
      </c>
    </row>
    <row r="1555" spans="2:6">
      <c r="B1555" s="219" t="str">
        <f>'4T'!BL20</f>
        <v>B0987GROC_HDW</v>
      </c>
      <c r="C1555" s="219" t="s">
        <v>6532</v>
      </c>
      <c r="E1555" s="249" t="s">
        <v>3641</v>
      </c>
      <c r="F1555" s="255" t="str">
        <f>IF(ISBLANK('4T'!Q20),"##BLANK",'4T'!Q20)</f>
        <v>##BLANK</v>
      </c>
    </row>
    <row r="1556" spans="2:6">
      <c r="B1556" s="219" t="str">
        <f>'4T'!BM20</f>
        <v>B0998GROC_STW</v>
      </c>
      <c r="C1556" s="219" t="s">
        <v>6533</v>
      </c>
      <c r="E1556" s="249" t="s">
        <v>3641</v>
      </c>
      <c r="F1556" s="255" t="str">
        <f>IF(ISBLANK('4T'!R20),"##BLANK",'4T'!R20)</f>
        <v>##BLANK</v>
      </c>
    </row>
    <row r="1557" spans="2:6">
      <c r="B1557" s="219" t="str">
        <f>'4T'!BN20</f>
        <v>B1010GROC_SLW</v>
      </c>
      <c r="C1557" s="219" t="s">
        <v>6534</v>
      </c>
      <c r="E1557" s="249" t="s">
        <v>3641</v>
      </c>
      <c r="F1557" s="255" t="str">
        <f>IF(ISBLANK('4T'!S20),"##BLANK",'4T'!S20)</f>
        <v>##BLANK</v>
      </c>
    </row>
    <row r="1558" spans="2:6">
      <c r="B1558" s="219" t="str">
        <f>'4T'!BO20</f>
        <v>B1021GROC_SAB</v>
      </c>
      <c r="C1558" s="219" t="s">
        <v>6535</v>
      </c>
      <c r="E1558" s="249" t="s">
        <v>3641</v>
      </c>
      <c r="F1558" s="255" t="str">
        <f>IF(ISBLANK('4T'!T20),"##BLANK",'4T'!T20)</f>
        <v>##BLANK</v>
      </c>
    </row>
    <row r="1559" spans="2:6">
      <c r="B1559" s="219" t="str">
        <f>'4T'!BP20</f>
        <v>B1032GROC_SEB</v>
      </c>
      <c r="C1559" s="219" t="s">
        <v>6536</v>
      </c>
      <c r="E1559" s="249" t="s">
        <v>3641</v>
      </c>
      <c r="F1559" s="255" t="str">
        <f>IF(ISBLANK('4T'!U20),"##BLANK",'4T'!U20)</f>
        <v>##BLANK</v>
      </c>
    </row>
    <row r="1560" spans="2:6">
      <c r="B1560" s="219" t="str">
        <f>'4T'!BQ20</f>
        <v>B1043GROC_SDB</v>
      </c>
      <c r="C1560" s="219" t="s">
        <v>6537</v>
      </c>
      <c r="E1560" s="249" t="s">
        <v>3641</v>
      </c>
      <c r="F1560" s="255" t="str">
        <f>IF(ISBLANK('4T'!V20),"##BLANK",'4T'!V20)</f>
        <v>##BLANK</v>
      </c>
    </row>
    <row r="1561" spans="2:6">
      <c r="B1561" s="219" t="str">
        <f>'4T'!BR20</f>
        <v>B0767GROC_TOB</v>
      </c>
      <c r="C1561" s="219" t="s">
        <v>6313</v>
      </c>
      <c r="E1561" s="249" t="s">
        <v>3641</v>
      </c>
      <c r="F1561" s="255">
        <f>IF(ISBLANK('4T'!W20),"##BLANK",'4T'!W20)</f>
        <v>0</v>
      </c>
    </row>
    <row r="1562" spans="2:6">
      <c r="B1562" s="219" t="str">
        <f>'4T'!BA21</f>
        <v>B0510GRTE_FOW</v>
      </c>
      <c r="C1562" s="219" t="s">
        <v>6538</v>
      </c>
      <c r="E1562" s="249" t="s">
        <v>3641</v>
      </c>
      <c r="F1562" s="255">
        <f>IF(ISBLANK('4T'!F21),"##BLANK",'4T'!F21)</f>
        <v>0</v>
      </c>
    </row>
    <row r="1563" spans="2:6">
      <c r="B1563" s="219" t="str">
        <f>'4T'!BB21</f>
        <v>B0517GRTE_SUW</v>
      </c>
      <c r="C1563" s="219" t="s">
        <v>6539</v>
      </c>
      <c r="E1563" s="249" t="s">
        <v>3641</v>
      </c>
      <c r="F1563" s="255">
        <f>IF(ISBLANK('4T'!G21),"##BLANK",'4T'!G21)</f>
        <v>0</v>
      </c>
    </row>
    <row r="1564" spans="2:6">
      <c r="B1564" s="219" t="str">
        <f>'4T'!BC21</f>
        <v>B0524GRTE_HDW</v>
      </c>
      <c r="C1564" s="219" t="s">
        <v>6540</v>
      </c>
      <c r="E1564" s="249" t="s">
        <v>3641</v>
      </c>
      <c r="F1564" s="255">
        <f>IF(ISBLANK('4T'!H21),"##BLANK",'4T'!H21)</f>
        <v>0</v>
      </c>
    </row>
    <row r="1565" spans="2:6">
      <c r="B1565" s="219" t="str">
        <f>'4T'!BD21</f>
        <v>B0531GRTE_STW</v>
      </c>
      <c r="C1565" s="219" t="s">
        <v>6541</v>
      </c>
      <c r="E1565" s="249" t="s">
        <v>3641</v>
      </c>
      <c r="F1565" s="255">
        <f>IF(ISBLANK('4T'!I21),"##BLANK",'4T'!I21)</f>
        <v>0</v>
      </c>
    </row>
    <row r="1566" spans="2:6">
      <c r="B1566" s="219" t="str">
        <f>'4T'!BE21</f>
        <v>B0538GRTE_SLW</v>
      </c>
      <c r="C1566" s="219" t="s">
        <v>6542</v>
      </c>
      <c r="E1566" s="249" t="s">
        <v>3641</v>
      </c>
      <c r="F1566" s="255">
        <f>IF(ISBLANK('4T'!J21),"##BLANK",'4T'!J21)</f>
        <v>0</v>
      </c>
    </row>
    <row r="1567" spans="2:6">
      <c r="B1567" s="219" t="str">
        <f>'4T'!BF21</f>
        <v>B0544GRTE_SAB</v>
      </c>
      <c r="C1567" s="219" t="s">
        <v>6543</v>
      </c>
      <c r="E1567" s="249" t="s">
        <v>3641</v>
      </c>
      <c r="F1567" s="255">
        <f>IF(ISBLANK('4T'!K21),"##BLANK",'4T'!K21)</f>
        <v>0</v>
      </c>
    </row>
    <row r="1568" spans="2:6">
      <c r="B1568" s="219" t="str">
        <f>'4T'!BG21</f>
        <v>B0551GRTE_SEB</v>
      </c>
      <c r="C1568" s="219" t="s">
        <v>6544</v>
      </c>
      <c r="E1568" s="249" t="s">
        <v>3641</v>
      </c>
      <c r="F1568" s="255">
        <f>IF(ISBLANK('4T'!L21),"##BLANK",'4T'!L21)</f>
        <v>0</v>
      </c>
    </row>
    <row r="1569" spans="2:6">
      <c r="B1569" s="219" t="str">
        <f>'4T'!BH21</f>
        <v>B0558GRTE_SDB</v>
      </c>
      <c r="C1569" s="219" t="s">
        <v>6545</v>
      </c>
      <c r="E1569" s="249" t="s">
        <v>3641</v>
      </c>
      <c r="F1569" s="255">
        <f>IF(ISBLANK('4T'!M21),"##BLANK",'4T'!M21)</f>
        <v>0</v>
      </c>
    </row>
    <row r="1570" spans="2:6">
      <c r="B1570" s="219" t="str">
        <f>'4T'!BI21</f>
        <v>B0565GRTE_TOB</v>
      </c>
      <c r="C1570" s="219" t="s">
        <v>6319</v>
      </c>
      <c r="E1570" s="249" t="s">
        <v>3641</v>
      </c>
      <c r="F1570" s="255">
        <f>IF(ISBLANK('4T'!N21),"##BLANK",'4T'!N21)</f>
        <v>0</v>
      </c>
    </row>
    <row r="1571" spans="2:6">
      <c r="B1571" s="219" t="str">
        <f>'4T'!BJ21</f>
        <v>B0572GRTC_FOW</v>
      </c>
      <c r="C1571" s="219" t="s">
        <v>6546</v>
      </c>
      <c r="E1571" s="249" t="s">
        <v>3641</v>
      </c>
      <c r="F1571" s="255">
        <f>IF(ISBLANK('4T'!O21),"##BLANK",'4T'!O21)</f>
        <v>0</v>
      </c>
    </row>
    <row r="1572" spans="2:6">
      <c r="B1572" s="219" t="str">
        <f>'4T'!BK21</f>
        <v>B0579GRTC_SUW</v>
      </c>
      <c r="C1572" s="219" t="s">
        <v>6547</v>
      </c>
      <c r="E1572" s="249" t="s">
        <v>3641</v>
      </c>
      <c r="F1572" s="255">
        <f>IF(ISBLANK('4T'!P21),"##BLANK",'4T'!P21)</f>
        <v>0</v>
      </c>
    </row>
    <row r="1573" spans="2:6">
      <c r="B1573" s="219" t="str">
        <f>'4T'!BL21</f>
        <v>B0586GRTC_HDW</v>
      </c>
      <c r="C1573" s="219" t="s">
        <v>6548</v>
      </c>
      <c r="E1573" s="249" t="s">
        <v>3641</v>
      </c>
      <c r="F1573" s="255">
        <f>IF(ISBLANK('4T'!Q21),"##BLANK",'4T'!Q21)</f>
        <v>0</v>
      </c>
    </row>
    <row r="1574" spans="2:6">
      <c r="B1574" s="219" t="str">
        <f>'4T'!BM21</f>
        <v>B0593GRTC_STW</v>
      </c>
      <c r="C1574" s="219" t="s">
        <v>6549</v>
      </c>
      <c r="E1574" s="249" t="s">
        <v>3641</v>
      </c>
      <c r="F1574" s="255">
        <f>IF(ISBLANK('4T'!R21),"##BLANK",'4T'!R21)</f>
        <v>0</v>
      </c>
    </row>
    <row r="1575" spans="2:6">
      <c r="B1575" s="219" t="str">
        <f>'4T'!BN21</f>
        <v>B0600GRTC_SLW</v>
      </c>
      <c r="C1575" s="219" t="s">
        <v>6550</v>
      </c>
      <c r="E1575" s="249" t="s">
        <v>3641</v>
      </c>
      <c r="F1575" s="255">
        <f>IF(ISBLANK('4T'!S21),"##BLANK",'4T'!S21)</f>
        <v>0</v>
      </c>
    </row>
    <row r="1576" spans="2:6">
      <c r="B1576" s="219" t="str">
        <f>'4T'!BO21</f>
        <v>B0607GRTC_SAB</v>
      </c>
      <c r="C1576" s="219" t="s">
        <v>6551</v>
      </c>
      <c r="E1576" s="249" t="s">
        <v>3641</v>
      </c>
      <c r="F1576" s="255">
        <f>IF(ISBLANK('4T'!T21),"##BLANK",'4T'!T21)</f>
        <v>0</v>
      </c>
    </row>
    <row r="1577" spans="2:6">
      <c r="B1577" s="219" t="str">
        <f>'4T'!BP21</f>
        <v>B0614GRTC_SEB</v>
      </c>
      <c r="C1577" s="219" t="s">
        <v>6552</v>
      </c>
      <c r="E1577" s="249" t="s">
        <v>3641</v>
      </c>
      <c r="F1577" s="255">
        <f>IF(ISBLANK('4T'!U21),"##BLANK",'4T'!U21)</f>
        <v>0</v>
      </c>
    </row>
    <row r="1578" spans="2:6">
      <c r="B1578" s="219" t="str">
        <f>'4T'!BQ21</f>
        <v>B0621GRTC_SDB</v>
      </c>
      <c r="C1578" s="219" t="s">
        <v>6553</v>
      </c>
      <c r="E1578" s="249" t="s">
        <v>3641</v>
      </c>
      <c r="F1578" s="255">
        <f>IF(ISBLANK('4T'!V21),"##BLANK",'4T'!V21)</f>
        <v>0</v>
      </c>
    </row>
    <row r="1579" spans="2:6">
      <c r="B1579" s="219" t="str">
        <f>'4T'!BR21</f>
        <v>B0628GRTC_TOB</v>
      </c>
      <c r="C1579" s="219" t="s">
        <v>6325</v>
      </c>
      <c r="E1579" s="249" t="s">
        <v>3641</v>
      </c>
      <c r="F1579" s="255">
        <f>IF(ISBLANK('4T'!W21),"##BLANK",'4T'!W21)</f>
        <v>0</v>
      </c>
    </row>
    <row r="1580" spans="2:6">
      <c r="B1580" s="219" t="str">
        <f>'4T'!BA22</f>
        <v>B0511TGCE_FOW</v>
      </c>
      <c r="C1580" s="219" t="s">
        <v>6554</v>
      </c>
      <c r="E1580" s="249" t="s">
        <v>3641</v>
      </c>
      <c r="F1580" s="255">
        <f>IF(ISBLANK('4T'!F22),"##BLANK",'4T'!F22)</f>
        <v>0</v>
      </c>
    </row>
    <row r="1581" spans="2:6">
      <c r="B1581" s="219" t="str">
        <f>'4T'!BB22</f>
        <v>B0518TGCE_SUW</v>
      </c>
      <c r="C1581" s="219" t="s">
        <v>6555</v>
      </c>
      <c r="E1581" s="249" t="s">
        <v>3641</v>
      </c>
      <c r="F1581" s="255">
        <f>IF(ISBLANK('4T'!G22),"##BLANK",'4T'!G22)</f>
        <v>0</v>
      </c>
    </row>
    <row r="1582" spans="2:6">
      <c r="B1582" s="219" t="str">
        <f>'4T'!BC22</f>
        <v>B0525TGCE_HDW</v>
      </c>
      <c r="C1582" s="219" t="s">
        <v>6556</v>
      </c>
      <c r="E1582" s="249" t="s">
        <v>3641</v>
      </c>
      <c r="F1582" s="255">
        <f>IF(ISBLANK('4T'!H22),"##BLANK",'4T'!H22)</f>
        <v>0</v>
      </c>
    </row>
    <row r="1583" spans="2:6">
      <c r="B1583" s="219" t="str">
        <f>'4T'!BD22</f>
        <v>B0532TGCE_STW</v>
      </c>
      <c r="C1583" s="219" t="s">
        <v>6557</v>
      </c>
      <c r="E1583" s="249" t="s">
        <v>3641</v>
      </c>
      <c r="F1583" s="255">
        <f>IF(ISBLANK('4T'!I22),"##BLANK",'4T'!I22)</f>
        <v>0</v>
      </c>
    </row>
    <row r="1584" spans="2:6">
      <c r="B1584" s="219" t="str">
        <f>'4T'!BE22</f>
        <v>B0539TGCE_SLW</v>
      </c>
      <c r="C1584" s="219" t="s">
        <v>6558</v>
      </c>
      <c r="E1584" s="249" t="s">
        <v>3641</v>
      </c>
      <c r="F1584" s="255">
        <f>IF(ISBLANK('4T'!J22),"##BLANK",'4T'!J22)</f>
        <v>0</v>
      </c>
    </row>
    <row r="1585" spans="2:6">
      <c r="B1585" s="219" t="str">
        <f>'4T'!BF22</f>
        <v>B0545TGCE_SAB</v>
      </c>
      <c r="C1585" s="219" t="s">
        <v>6559</v>
      </c>
      <c r="E1585" s="249" t="s">
        <v>3641</v>
      </c>
      <c r="F1585" s="255">
        <f>IF(ISBLANK('4T'!K22),"##BLANK",'4T'!K22)</f>
        <v>0</v>
      </c>
    </row>
    <row r="1586" spans="2:6">
      <c r="B1586" s="219" t="str">
        <f>'4T'!BG22</f>
        <v>B0552TGCE_SEB</v>
      </c>
      <c r="C1586" s="219" t="s">
        <v>6560</v>
      </c>
      <c r="E1586" s="249" t="s">
        <v>3641</v>
      </c>
      <c r="F1586" s="255">
        <f>IF(ISBLANK('4T'!L22),"##BLANK",'4T'!L22)</f>
        <v>0</v>
      </c>
    </row>
    <row r="1587" spans="2:6">
      <c r="B1587" s="219" t="str">
        <f>'4T'!BH22</f>
        <v>B0559TGCE_SDB</v>
      </c>
      <c r="C1587" s="219" t="s">
        <v>6561</v>
      </c>
      <c r="E1587" s="249" t="s">
        <v>3641</v>
      </c>
      <c r="F1587" s="255">
        <f>IF(ISBLANK('4T'!M22),"##BLANK",'4T'!M22)</f>
        <v>0</v>
      </c>
    </row>
    <row r="1588" spans="2:6">
      <c r="B1588" s="219" t="str">
        <f>'4T'!BI22</f>
        <v>B0566TGCE_TOB</v>
      </c>
      <c r="C1588" s="219" t="s">
        <v>6331</v>
      </c>
      <c r="E1588" s="249" t="s">
        <v>3641</v>
      </c>
      <c r="F1588" s="255">
        <f>IF(ISBLANK('4T'!N22),"##BLANK",'4T'!N22)</f>
        <v>0</v>
      </c>
    </row>
    <row r="1589" spans="2:6">
      <c r="B1589" s="219" t="str">
        <f>'4T'!BJ22</f>
        <v>B0573TGCC_FOW</v>
      </c>
      <c r="C1589" s="219" t="s">
        <v>6562</v>
      </c>
      <c r="E1589" s="249" t="s">
        <v>3641</v>
      </c>
      <c r="F1589" s="255">
        <f>IF(ISBLANK('4T'!O22),"##BLANK",'4T'!O22)</f>
        <v>0</v>
      </c>
    </row>
    <row r="1590" spans="2:6">
      <c r="B1590" s="219" t="str">
        <f>'4T'!BK22</f>
        <v>B0580TGCC_SUW</v>
      </c>
      <c r="C1590" s="219" t="s">
        <v>6563</v>
      </c>
      <c r="E1590" s="249" t="s">
        <v>3641</v>
      </c>
      <c r="F1590" s="255">
        <f>IF(ISBLANK('4T'!P22),"##BLANK",'4T'!P22)</f>
        <v>0</v>
      </c>
    </row>
    <row r="1591" spans="2:6">
      <c r="B1591" s="219" t="str">
        <f>'4T'!BL22</f>
        <v>B0587TGCC_HDW</v>
      </c>
      <c r="C1591" s="219" t="s">
        <v>6564</v>
      </c>
      <c r="E1591" s="249" t="s">
        <v>3641</v>
      </c>
      <c r="F1591" s="255">
        <f>IF(ISBLANK('4T'!Q22),"##BLANK",'4T'!Q22)</f>
        <v>0</v>
      </c>
    </row>
    <row r="1592" spans="2:6">
      <c r="B1592" s="219" t="str">
        <f>'4T'!BM22</f>
        <v>B0594TGCC_STW</v>
      </c>
      <c r="C1592" s="219" t="s">
        <v>6565</v>
      </c>
      <c r="E1592" s="249" t="s">
        <v>3641</v>
      </c>
      <c r="F1592" s="255">
        <f>IF(ISBLANK('4T'!R22),"##BLANK",'4T'!R22)</f>
        <v>0</v>
      </c>
    </row>
    <row r="1593" spans="2:6">
      <c r="B1593" s="219" t="str">
        <f>'4T'!BN22</f>
        <v>B0601TGCC_SLW</v>
      </c>
      <c r="C1593" s="219" t="s">
        <v>6566</v>
      </c>
      <c r="E1593" s="249" t="s">
        <v>3641</v>
      </c>
      <c r="F1593" s="255">
        <f>IF(ISBLANK('4T'!S22),"##BLANK",'4T'!S22)</f>
        <v>0</v>
      </c>
    </row>
    <row r="1594" spans="2:6">
      <c r="B1594" s="219" t="str">
        <f>'4T'!BO22</f>
        <v>B0608TGCC_SAB</v>
      </c>
      <c r="C1594" s="219" t="s">
        <v>6567</v>
      </c>
      <c r="E1594" s="249" t="s">
        <v>3641</v>
      </c>
      <c r="F1594" s="255">
        <f>IF(ISBLANK('4T'!T22),"##BLANK",'4T'!T22)</f>
        <v>0</v>
      </c>
    </row>
    <row r="1595" spans="2:6">
      <c r="B1595" s="219" t="str">
        <f>'4T'!BP22</f>
        <v>B0615TGCC_SEB</v>
      </c>
      <c r="C1595" s="219" t="s">
        <v>6568</v>
      </c>
      <c r="E1595" s="249" t="s">
        <v>3641</v>
      </c>
      <c r="F1595" s="255">
        <f>IF(ISBLANK('4T'!U22),"##BLANK",'4T'!U22)</f>
        <v>0</v>
      </c>
    </row>
    <row r="1596" spans="2:6">
      <c r="B1596" s="219" t="str">
        <f>'4T'!BQ22</f>
        <v>B0622TGCC_SDB</v>
      </c>
      <c r="C1596" s="219" t="s">
        <v>6569</v>
      </c>
      <c r="E1596" s="249" t="s">
        <v>3641</v>
      </c>
      <c r="F1596" s="255">
        <f>IF(ISBLANK('4T'!V22),"##BLANK",'4T'!V22)</f>
        <v>0</v>
      </c>
    </row>
    <row r="1597" spans="2:6">
      <c r="B1597" s="219" t="str">
        <f>'4T'!BR22</f>
        <v>B0629TGCC_TOB</v>
      </c>
      <c r="C1597" s="219" t="s">
        <v>6337</v>
      </c>
      <c r="E1597" s="249" t="s">
        <v>3641</v>
      </c>
      <c r="F1597" s="255">
        <f>IF(ISBLANK('4T'!W22),"##BLANK",'4T'!W22)</f>
        <v>0</v>
      </c>
    </row>
    <row r="1598" spans="2:6">
      <c r="B1598" s="219" t="str">
        <f>'4T'!BA23</f>
        <v>B0512TGOE_FOW</v>
      </c>
      <c r="C1598" s="219" t="s">
        <v>6570</v>
      </c>
      <c r="E1598" s="249" t="s">
        <v>3641</v>
      </c>
      <c r="F1598" s="255">
        <f>IF(ISBLANK('4T'!F23),"##BLANK",'4T'!F23)</f>
        <v>0</v>
      </c>
    </row>
    <row r="1599" spans="2:6">
      <c r="B1599" s="219" t="str">
        <f>'4T'!BB23</f>
        <v>B0519TGOE_SUW</v>
      </c>
      <c r="C1599" s="219" t="s">
        <v>6571</v>
      </c>
      <c r="E1599" s="249" t="s">
        <v>3641</v>
      </c>
      <c r="F1599" s="255">
        <f>IF(ISBLANK('4T'!G23),"##BLANK",'4T'!G23)</f>
        <v>0</v>
      </c>
    </row>
    <row r="1600" spans="2:6">
      <c r="B1600" s="219" t="str">
        <f>'4T'!BC23</f>
        <v>B0526TGOE_HDW</v>
      </c>
      <c r="C1600" s="219" t="s">
        <v>6572</v>
      </c>
      <c r="E1600" s="249" t="s">
        <v>3641</v>
      </c>
      <c r="F1600" s="255">
        <f>IF(ISBLANK('4T'!H23),"##BLANK",'4T'!H23)</f>
        <v>0</v>
      </c>
    </row>
    <row r="1601" spans="2:6">
      <c r="B1601" s="219" t="str">
        <f>'4T'!BD23</f>
        <v>B0533TGOE_STW</v>
      </c>
      <c r="C1601" s="219" t="s">
        <v>6573</v>
      </c>
      <c r="E1601" s="249" t="s">
        <v>3641</v>
      </c>
      <c r="F1601" s="255">
        <f>IF(ISBLANK('4T'!I23),"##BLANK",'4T'!I23)</f>
        <v>0</v>
      </c>
    </row>
    <row r="1602" spans="2:6">
      <c r="B1602" s="219" t="str">
        <f>'4T'!BE23</f>
        <v>B0540TGOE_SLW</v>
      </c>
      <c r="C1602" s="219" t="s">
        <v>6574</v>
      </c>
      <c r="E1602" s="249" t="s">
        <v>3641</v>
      </c>
      <c r="F1602" s="255">
        <f>IF(ISBLANK('4T'!J23),"##BLANK",'4T'!J23)</f>
        <v>0</v>
      </c>
    </row>
    <row r="1603" spans="2:6">
      <c r="B1603" s="219" t="str">
        <f>'4T'!BF23</f>
        <v>B0546TGOE_SAB</v>
      </c>
      <c r="C1603" s="219" t="s">
        <v>6575</v>
      </c>
      <c r="E1603" s="249" t="s">
        <v>3641</v>
      </c>
      <c r="F1603" s="255">
        <f>IF(ISBLANK('4T'!K23),"##BLANK",'4T'!K23)</f>
        <v>0</v>
      </c>
    </row>
    <row r="1604" spans="2:6">
      <c r="B1604" s="219" t="str">
        <f>'4T'!BG23</f>
        <v>B0553TGOE_SEB</v>
      </c>
      <c r="C1604" s="219" t="s">
        <v>6576</v>
      </c>
      <c r="E1604" s="249" t="s">
        <v>3641</v>
      </c>
      <c r="F1604" s="255">
        <f>IF(ISBLANK('4T'!L23),"##BLANK",'4T'!L23)</f>
        <v>0</v>
      </c>
    </row>
    <row r="1605" spans="2:6">
      <c r="B1605" s="219" t="str">
        <f>'4T'!BH23</f>
        <v>B0560TGOE_SDB</v>
      </c>
      <c r="C1605" s="219" t="s">
        <v>6577</v>
      </c>
      <c r="E1605" s="249" t="s">
        <v>3641</v>
      </c>
      <c r="F1605" s="255">
        <f>IF(ISBLANK('4T'!M23),"##BLANK",'4T'!M23)</f>
        <v>0</v>
      </c>
    </row>
    <row r="1606" spans="2:6">
      <c r="B1606" s="219" t="str">
        <f>'4T'!BI23</f>
        <v>B0567TGOE_TOB</v>
      </c>
      <c r="C1606" s="219" t="s">
        <v>6343</v>
      </c>
      <c r="E1606" s="249" t="s">
        <v>3641</v>
      </c>
      <c r="F1606" s="255">
        <f>IF(ISBLANK('4T'!N23),"##BLANK",'4T'!N23)</f>
        <v>0</v>
      </c>
    </row>
    <row r="1607" spans="2:6">
      <c r="B1607" s="219" t="str">
        <f>'4T'!BJ23</f>
        <v>B0574TGOC_FOW</v>
      </c>
      <c r="C1607" s="219" t="s">
        <v>6578</v>
      </c>
      <c r="E1607" s="249" t="s">
        <v>3641</v>
      </c>
      <c r="F1607" s="255">
        <f>IF(ISBLANK('4T'!O23),"##BLANK",'4T'!O23)</f>
        <v>0</v>
      </c>
    </row>
    <row r="1608" spans="2:6">
      <c r="B1608" s="219" t="str">
        <f>'4T'!BK23</f>
        <v>B0581TGOC_SUW</v>
      </c>
      <c r="C1608" s="219" t="s">
        <v>6579</v>
      </c>
      <c r="E1608" s="249" t="s">
        <v>3641</v>
      </c>
      <c r="F1608" s="255">
        <f>IF(ISBLANK('4T'!P23),"##BLANK",'4T'!P23)</f>
        <v>0</v>
      </c>
    </row>
    <row r="1609" spans="2:6">
      <c r="B1609" s="219" t="str">
        <f>'4T'!BL23</f>
        <v>B0588TGOC_HDW</v>
      </c>
      <c r="C1609" s="219" t="s">
        <v>6580</v>
      </c>
      <c r="E1609" s="249" t="s">
        <v>3641</v>
      </c>
      <c r="F1609" s="255">
        <f>IF(ISBLANK('4T'!Q23),"##BLANK",'4T'!Q23)</f>
        <v>0</v>
      </c>
    </row>
    <row r="1610" spans="2:6">
      <c r="B1610" s="219" t="str">
        <f>'4T'!BM23</f>
        <v>B0595TGOC_STW</v>
      </c>
      <c r="C1610" s="219" t="s">
        <v>6581</v>
      </c>
      <c r="E1610" s="249" t="s">
        <v>3641</v>
      </c>
      <c r="F1610" s="255">
        <f>IF(ISBLANK('4T'!R23),"##BLANK",'4T'!R23)</f>
        <v>0</v>
      </c>
    </row>
    <row r="1611" spans="2:6">
      <c r="B1611" s="219" t="str">
        <f>'4T'!BN23</f>
        <v>B0602TGOC_SLW</v>
      </c>
      <c r="C1611" s="219" t="s">
        <v>6582</v>
      </c>
      <c r="E1611" s="249" t="s">
        <v>3641</v>
      </c>
      <c r="F1611" s="255">
        <f>IF(ISBLANK('4T'!S23),"##BLANK",'4T'!S23)</f>
        <v>0</v>
      </c>
    </row>
    <row r="1612" spans="2:6">
      <c r="B1612" s="219" t="str">
        <f>'4T'!BO23</f>
        <v>B0609TGOC_SAB</v>
      </c>
      <c r="C1612" s="219" t="s">
        <v>6583</v>
      </c>
      <c r="E1612" s="249" t="s">
        <v>3641</v>
      </c>
      <c r="F1612" s="255">
        <f>IF(ISBLANK('4T'!T23),"##BLANK",'4T'!T23)</f>
        <v>0</v>
      </c>
    </row>
    <row r="1613" spans="2:6">
      <c r="B1613" s="219" t="str">
        <f>'4T'!BP23</f>
        <v>B0616TGOC_SEB</v>
      </c>
      <c r="C1613" s="219" t="s">
        <v>6584</v>
      </c>
      <c r="E1613" s="249" t="s">
        <v>3641</v>
      </c>
      <c r="F1613" s="255">
        <f>IF(ISBLANK('4T'!U23),"##BLANK",'4T'!U23)</f>
        <v>0</v>
      </c>
    </row>
    <row r="1614" spans="2:6">
      <c r="B1614" s="219" t="str">
        <f>'4T'!BQ23</f>
        <v>B0623TGOC_SDB</v>
      </c>
      <c r="C1614" s="219" t="s">
        <v>6585</v>
      </c>
      <c r="E1614" s="249" t="s">
        <v>3641</v>
      </c>
      <c r="F1614" s="255">
        <f>IF(ISBLANK('4T'!V23),"##BLANK",'4T'!V23)</f>
        <v>0</v>
      </c>
    </row>
    <row r="1615" spans="2:6">
      <c r="B1615" s="219" t="str">
        <f>'4T'!BR23</f>
        <v>B0630TGOC_TOB</v>
      </c>
      <c r="C1615" s="219" t="s">
        <v>6349</v>
      </c>
      <c r="E1615" s="249" t="s">
        <v>3641</v>
      </c>
      <c r="F1615" s="255">
        <f>IF(ISBLANK('4T'!W23),"##BLANK",'4T'!W23)</f>
        <v>0</v>
      </c>
    </row>
    <row r="1616" spans="2:6">
      <c r="B1616" s="219" t="str">
        <f>'4T'!BA24</f>
        <v>B0513TGTE_FOW</v>
      </c>
      <c r="C1616" s="219" t="s">
        <v>6586</v>
      </c>
      <c r="E1616" s="249" t="s">
        <v>3641</v>
      </c>
      <c r="F1616" s="255">
        <f>IF(ISBLANK('4T'!F24),"##BLANK",'4T'!F24)</f>
        <v>0</v>
      </c>
    </row>
    <row r="1617" spans="2:6">
      <c r="B1617" s="219" t="str">
        <f>'4T'!BB24</f>
        <v>B0520TGTE_SUW</v>
      </c>
      <c r="C1617" s="219" t="s">
        <v>6587</v>
      </c>
      <c r="E1617" s="249" t="s">
        <v>3641</v>
      </c>
      <c r="F1617" s="255">
        <f>IF(ISBLANK('4T'!G24),"##BLANK",'4T'!G24)</f>
        <v>0</v>
      </c>
    </row>
    <row r="1618" spans="2:6">
      <c r="B1618" s="219" t="str">
        <f>'4T'!BC24</f>
        <v>B0527TGTE_HDW</v>
      </c>
      <c r="C1618" s="219" t="s">
        <v>6588</v>
      </c>
      <c r="E1618" s="249" t="s">
        <v>3641</v>
      </c>
      <c r="F1618" s="255">
        <f>IF(ISBLANK('4T'!H24),"##BLANK",'4T'!H24)</f>
        <v>0</v>
      </c>
    </row>
    <row r="1619" spans="2:6">
      <c r="B1619" s="219" t="str">
        <f>'4T'!BD24</f>
        <v>B0534TGTE_STW</v>
      </c>
      <c r="C1619" s="219" t="s">
        <v>6589</v>
      </c>
      <c r="E1619" s="249" t="s">
        <v>3641</v>
      </c>
      <c r="F1619" s="255">
        <f>IF(ISBLANK('4T'!I24),"##BLANK",'4T'!I24)</f>
        <v>0</v>
      </c>
    </row>
    <row r="1620" spans="2:6">
      <c r="B1620" s="219" t="str">
        <f>'4T'!BE24</f>
        <v>B0541TGTE_SLW</v>
      </c>
      <c r="C1620" s="219" t="s">
        <v>6590</v>
      </c>
      <c r="E1620" s="249" t="s">
        <v>3641</v>
      </c>
      <c r="F1620" s="255">
        <f>IF(ISBLANK('4T'!J24),"##BLANK",'4T'!J24)</f>
        <v>0</v>
      </c>
    </row>
    <row r="1621" spans="2:6">
      <c r="B1621" s="219" t="str">
        <f>'4T'!BF24</f>
        <v>B0547TGTE_SAB</v>
      </c>
      <c r="C1621" s="219" t="s">
        <v>6591</v>
      </c>
      <c r="E1621" s="249" t="s">
        <v>3641</v>
      </c>
      <c r="F1621" s="255">
        <f>IF(ISBLANK('4T'!K24),"##BLANK",'4T'!K24)</f>
        <v>0</v>
      </c>
    </row>
    <row r="1622" spans="2:6">
      <c r="B1622" s="219" t="str">
        <f>'4T'!BG24</f>
        <v>B0554TGTE_SEB</v>
      </c>
      <c r="C1622" s="219" t="s">
        <v>6592</v>
      </c>
      <c r="E1622" s="249" t="s">
        <v>3641</v>
      </c>
      <c r="F1622" s="255">
        <f>IF(ISBLANK('4T'!L24),"##BLANK",'4T'!L24)</f>
        <v>0</v>
      </c>
    </row>
    <row r="1623" spans="2:6">
      <c r="B1623" s="219" t="str">
        <f>'4T'!BH24</f>
        <v>B0561TGTE_SDB</v>
      </c>
      <c r="C1623" s="219" t="s">
        <v>6593</v>
      </c>
      <c r="E1623" s="249" t="s">
        <v>3641</v>
      </c>
      <c r="F1623" s="255">
        <f>IF(ISBLANK('4T'!M24),"##BLANK",'4T'!M24)</f>
        <v>0</v>
      </c>
    </row>
    <row r="1624" spans="2:6">
      <c r="B1624" s="219" t="str">
        <f>'4T'!BI24</f>
        <v>B0568TGTE_TOB</v>
      </c>
      <c r="C1624" s="219" t="s">
        <v>6355</v>
      </c>
      <c r="E1624" s="249" t="s">
        <v>3641</v>
      </c>
      <c r="F1624" s="255">
        <f>IF(ISBLANK('4T'!N24),"##BLANK",'4T'!N24)</f>
        <v>0</v>
      </c>
    </row>
    <row r="1625" spans="2:6">
      <c r="B1625" s="219" t="str">
        <f>'4T'!BJ24</f>
        <v>B0575TGTC_FOW</v>
      </c>
      <c r="C1625" s="219" t="s">
        <v>6594</v>
      </c>
      <c r="E1625" s="249" t="s">
        <v>3641</v>
      </c>
      <c r="F1625" s="255">
        <f>IF(ISBLANK('4T'!O24),"##BLANK",'4T'!O24)</f>
        <v>0</v>
      </c>
    </row>
    <row r="1626" spans="2:6">
      <c r="B1626" s="219" t="str">
        <f>'4T'!BK24</f>
        <v>B0582TGTC_SUW</v>
      </c>
      <c r="C1626" s="219" t="s">
        <v>6595</v>
      </c>
      <c r="E1626" s="249" t="s">
        <v>3641</v>
      </c>
      <c r="F1626" s="255">
        <f>IF(ISBLANK('4T'!P24),"##BLANK",'4T'!P24)</f>
        <v>0</v>
      </c>
    </row>
    <row r="1627" spans="2:6">
      <c r="B1627" s="219" t="str">
        <f>'4T'!BL24</f>
        <v>B0589TGTC_HDW</v>
      </c>
      <c r="C1627" s="219" t="s">
        <v>6596</v>
      </c>
      <c r="E1627" s="249" t="s">
        <v>3641</v>
      </c>
      <c r="F1627" s="255">
        <f>IF(ISBLANK('4T'!Q24),"##BLANK",'4T'!Q24)</f>
        <v>0</v>
      </c>
    </row>
    <row r="1628" spans="2:6">
      <c r="B1628" s="219" t="str">
        <f>'4T'!BM24</f>
        <v>B0596TGTC_STW</v>
      </c>
      <c r="C1628" s="219" t="s">
        <v>6597</v>
      </c>
      <c r="E1628" s="249" t="s">
        <v>3641</v>
      </c>
      <c r="F1628" s="255">
        <f>IF(ISBLANK('4T'!R24),"##BLANK",'4T'!R24)</f>
        <v>0</v>
      </c>
    </row>
    <row r="1629" spans="2:6">
      <c r="B1629" s="219" t="str">
        <f>'4T'!BN24</f>
        <v>B0603TGTC_SLW</v>
      </c>
      <c r="C1629" s="219" t="s">
        <v>6598</v>
      </c>
      <c r="E1629" s="249" t="s">
        <v>3641</v>
      </c>
      <c r="F1629" s="255">
        <f>IF(ISBLANK('4T'!S24),"##BLANK",'4T'!S24)</f>
        <v>0</v>
      </c>
    </row>
    <row r="1630" spans="2:6">
      <c r="B1630" s="219" t="str">
        <f>'4T'!BO24</f>
        <v>B0610TGTC_SAB</v>
      </c>
      <c r="C1630" s="219" t="s">
        <v>6599</v>
      </c>
      <c r="E1630" s="249" t="s">
        <v>3641</v>
      </c>
      <c r="F1630" s="255">
        <f>IF(ISBLANK('4T'!T24),"##BLANK",'4T'!T24)</f>
        <v>0</v>
      </c>
    </row>
    <row r="1631" spans="2:6">
      <c r="B1631" s="219" t="str">
        <f>'4T'!BP24</f>
        <v>B0617TGTC_SEB</v>
      </c>
      <c r="C1631" s="219" t="s">
        <v>6600</v>
      </c>
      <c r="E1631" s="249" t="s">
        <v>3641</v>
      </c>
      <c r="F1631" s="255">
        <f>IF(ISBLANK('4T'!U24),"##BLANK",'4T'!U24)</f>
        <v>0</v>
      </c>
    </row>
    <row r="1632" spans="2:6">
      <c r="B1632" s="219" t="str">
        <f>'4T'!BQ24</f>
        <v>B0624TGTC_SDB</v>
      </c>
      <c r="C1632" s="219" t="s">
        <v>6601</v>
      </c>
      <c r="E1632" s="249" t="s">
        <v>3641</v>
      </c>
      <c r="F1632" s="255">
        <f>IF(ISBLANK('4T'!V24),"##BLANK",'4T'!V24)</f>
        <v>0</v>
      </c>
    </row>
    <row r="1633" spans="2:6">
      <c r="B1633" s="219" t="str">
        <f>'4T'!BR24</f>
        <v>B0631TGTC_TOB</v>
      </c>
      <c r="C1633" s="219" t="s">
        <v>6361</v>
      </c>
      <c r="E1633" s="249" t="s">
        <v>3641</v>
      </c>
      <c r="F1633" s="255">
        <f>IF(ISBLANK('4T'!W24),"##BLANK",'4T'!W24)</f>
        <v>0</v>
      </c>
    </row>
    <row r="1634" spans="2:6">
      <c r="B1634" s="1781" t="str">
        <f>'4U'!AJ9</f>
        <v>B0632GTAB_WR</v>
      </c>
      <c r="C1634" s="219" t="s">
        <v>6602</v>
      </c>
      <c r="E1634" s="249" t="s">
        <v>3641</v>
      </c>
      <c r="F1634" s="255" t="str">
        <f>IF(ISBLANK('4U'!E9),"##BLANK",'4U'!E9)</f>
        <v>##BLANK</v>
      </c>
    </row>
    <row r="1635" spans="2:6">
      <c r="B1635" s="1781" t="str">
        <f>'4U'!AK9</f>
        <v>B0638GTAB_NP</v>
      </c>
      <c r="C1635" s="219" t="s">
        <v>6603</v>
      </c>
      <c r="E1635" s="249" t="s">
        <v>3641</v>
      </c>
      <c r="F1635" s="255" t="str">
        <f>IF(ISBLANK('4U'!F9),"##BLANK",'4U'!F9)</f>
        <v>##BLANK</v>
      </c>
    </row>
    <row r="1636" spans="2:6">
      <c r="B1636" s="1781" t="str">
        <f>'4U'!AL9</f>
        <v>B0644GTAB_WP</v>
      </c>
      <c r="C1636" s="219" t="s">
        <v>6604</v>
      </c>
      <c r="E1636" s="249" t="s">
        <v>3641</v>
      </c>
      <c r="F1636" s="255" t="str">
        <f>IF(ISBLANK('4U'!G9),"##BLANK",'4U'!G9)</f>
        <v>##BLANK</v>
      </c>
    </row>
    <row r="1637" spans="2:6">
      <c r="B1637" s="1781" t="str">
        <f>'4U'!AN9</f>
        <v>B0656GTAB_AC</v>
      </c>
      <c r="C1637" s="219" t="s">
        <v>6605</v>
      </c>
      <c r="E1637" s="249" t="s">
        <v>3641</v>
      </c>
      <c r="F1637" s="255" t="str">
        <f>IF(ISBLANK('4U'!I9),"##BLANK",'4U'!I9)</f>
        <v>##BLANK</v>
      </c>
    </row>
    <row r="1638" spans="2:6">
      <c r="B1638" s="1781" t="str">
        <f>'4U'!AO9</f>
        <v>B0662GPAB_WR</v>
      </c>
      <c r="C1638" s="219" t="s">
        <v>6606</v>
      </c>
      <c r="E1638" s="249" t="s">
        <v>3641</v>
      </c>
      <c r="F1638" s="255" t="str">
        <f>IF(ISBLANK('4U'!J9),"##BLANK",'4U'!J9)</f>
        <v>##BLANK</v>
      </c>
    </row>
    <row r="1639" spans="2:6">
      <c r="B1639" s="1781" t="str">
        <f>'4U'!AP9</f>
        <v>B0668GPAB_NP</v>
      </c>
      <c r="C1639" s="219" t="s">
        <v>6607</v>
      </c>
      <c r="E1639" s="249" t="s">
        <v>3641</v>
      </c>
      <c r="F1639" s="255" t="str">
        <f>IF(ISBLANK('4U'!K9),"##BLANK",'4U'!K9)</f>
        <v>##BLANK</v>
      </c>
    </row>
    <row r="1640" spans="2:6">
      <c r="B1640" s="1781" t="str">
        <f>'4U'!AQ9</f>
        <v>B0674GPAB_WP</v>
      </c>
      <c r="C1640" s="219" t="s">
        <v>6608</v>
      </c>
      <c r="E1640" s="249" t="s">
        <v>3641</v>
      </c>
      <c r="F1640" s="255" t="str">
        <f>IF(ISBLANK('4U'!L9),"##BLANK",'4U'!L9)</f>
        <v>##BLANK</v>
      </c>
    </row>
    <row r="1641" spans="2:6">
      <c r="B1641" s="1781" t="str">
        <f>'4U'!AS9</f>
        <v>B0686GPAB_AC</v>
      </c>
      <c r="C1641" s="219" t="s">
        <v>6609</v>
      </c>
      <c r="E1641" s="249" t="s">
        <v>3641</v>
      </c>
      <c r="F1641" s="255" t="str">
        <f>IF(ISBLANK('4U'!N9),"##BLANK",'4U'!N9)</f>
        <v>##BLANK</v>
      </c>
    </row>
    <row r="1642" spans="2:6">
      <c r="B1642" s="1781" t="str">
        <f>'4U'!AJ10</f>
        <v>B0633GTAT_WR</v>
      </c>
      <c r="C1642" s="219" t="s">
        <v>6610</v>
      </c>
      <c r="E1642" s="249" t="s">
        <v>3641</v>
      </c>
      <c r="F1642" s="255" t="str">
        <f>IF(ISBLANK('4U'!E10),"##BLANK",'4U'!E10)</f>
        <v>##BLANK</v>
      </c>
    </row>
    <row r="1643" spans="2:6">
      <c r="B1643" s="1781" t="str">
        <f>'4U'!AK10</f>
        <v>B0639GTAT_NP</v>
      </c>
      <c r="C1643" s="219" t="s">
        <v>6611</v>
      </c>
      <c r="E1643" s="249" t="s">
        <v>3641</v>
      </c>
      <c r="F1643" s="255" t="str">
        <f>IF(ISBLANK('4U'!F10),"##BLANK",'4U'!F10)</f>
        <v>##BLANK</v>
      </c>
    </row>
    <row r="1644" spans="2:6">
      <c r="B1644" s="1781" t="str">
        <f>'4U'!AL10</f>
        <v>B0645GTAT_WP</v>
      </c>
      <c r="C1644" s="219" t="s">
        <v>6612</v>
      </c>
      <c r="E1644" s="249" t="s">
        <v>3641</v>
      </c>
      <c r="F1644" s="255" t="str">
        <f>IF(ISBLANK('4U'!G10),"##BLANK",'4U'!G10)</f>
        <v>##BLANK</v>
      </c>
    </row>
    <row r="1645" spans="2:6">
      <c r="B1645" s="1781" t="str">
        <f>'4U'!AN10</f>
        <v>B0657GTAT_AC</v>
      </c>
      <c r="C1645" s="219" t="s">
        <v>6613</v>
      </c>
      <c r="E1645" s="249" t="s">
        <v>3641</v>
      </c>
      <c r="F1645" s="255" t="str">
        <f>IF(ISBLANK('4U'!I10),"##BLANK",'4U'!I10)</f>
        <v>##BLANK</v>
      </c>
    </row>
    <row r="1646" spans="2:6">
      <c r="B1646" s="1781" t="str">
        <f>'4U'!AO10</f>
        <v>B0663GPAT_WR</v>
      </c>
      <c r="C1646" s="219" t="s">
        <v>6614</v>
      </c>
      <c r="E1646" s="249" t="s">
        <v>3641</v>
      </c>
      <c r="F1646" s="255" t="str">
        <f>IF(ISBLANK('4U'!J10),"##BLANK",'4U'!J10)</f>
        <v>##BLANK</v>
      </c>
    </row>
    <row r="1647" spans="2:6">
      <c r="B1647" s="1781" t="str">
        <f>'4U'!AP10</f>
        <v>B0669GPAT_NP</v>
      </c>
      <c r="C1647" s="219" t="s">
        <v>6615</v>
      </c>
      <c r="E1647" s="249" t="s">
        <v>3641</v>
      </c>
      <c r="F1647" s="255" t="str">
        <f>IF(ISBLANK('4U'!K10),"##BLANK",'4U'!K10)</f>
        <v>##BLANK</v>
      </c>
    </row>
    <row r="1648" spans="2:6">
      <c r="B1648" s="1781" t="str">
        <f>'4U'!AQ10</f>
        <v>B0675GPAT_WP</v>
      </c>
      <c r="C1648" s="219" t="s">
        <v>6616</v>
      </c>
      <c r="E1648" s="249" t="s">
        <v>3641</v>
      </c>
      <c r="F1648" s="255" t="str">
        <f>IF(ISBLANK('4U'!L10),"##BLANK",'4U'!L10)</f>
        <v>##BLANK</v>
      </c>
    </row>
    <row r="1649" spans="2:6">
      <c r="B1649" s="1781" t="str">
        <f>'4U'!AS10</f>
        <v>B0687GPAT_AC</v>
      </c>
      <c r="C1649" s="219" t="s">
        <v>6617</v>
      </c>
      <c r="E1649" s="249" t="s">
        <v>3641</v>
      </c>
      <c r="F1649" s="255" t="str">
        <f>IF(ISBLANK('4U'!N10),"##BLANK",'4U'!N10)</f>
        <v>##BLANK</v>
      </c>
    </row>
    <row r="1650" spans="2:6">
      <c r="B1650" s="1781" t="str">
        <f>'4U'!AJ11</f>
        <v>B0692GTV_WR</v>
      </c>
      <c r="C1650" s="219" t="s">
        <v>6618</v>
      </c>
      <c r="E1650" s="249" t="s">
        <v>3641</v>
      </c>
      <c r="F1650" s="255">
        <f>IF(ISBLANK('4U'!E11),"##BLANK",'4U'!E11)</f>
        <v>0</v>
      </c>
    </row>
    <row r="1651" spans="2:6">
      <c r="B1651" s="1781" t="str">
        <f>'4U'!AK11</f>
        <v>B0700GTV_NP</v>
      </c>
      <c r="C1651" s="219" t="s">
        <v>6619</v>
      </c>
      <c r="E1651" s="249" t="s">
        <v>3641</v>
      </c>
      <c r="F1651" s="255">
        <f>IF(ISBLANK('4U'!F11),"##BLANK",'4U'!F11)</f>
        <v>0</v>
      </c>
    </row>
    <row r="1652" spans="2:6">
      <c r="B1652" s="1781" t="str">
        <f>'4U'!AL11</f>
        <v>B0708GTV_WP</v>
      </c>
      <c r="C1652" s="219" t="s">
        <v>6620</v>
      </c>
      <c r="E1652" s="249" t="s">
        <v>3641</v>
      </c>
      <c r="F1652" s="255">
        <f>IF(ISBLANK('4U'!G11),"##BLANK",'4U'!G11)</f>
        <v>0</v>
      </c>
    </row>
    <row r="1653" spans="2:6">
      <c r="B1653" s="1781" t="str">
        <f>'4U'!AN11</f>
        <v>B0716GTV_AC</v>
      </c>
      <c r="C1653" s="219" t="s">
        <v>6621</v>
      </c>
      <c r="E1653" s="249" t="s">
        <v>3641</v>
      </c>
      <c r="F1653" s="255">
        <f>IF(ISBLANK('4U'!I11),"##BLANK",'4U'!I11)</f>
        <v>0</v>
      </c>
    </row>
    <row r="1654" spans="2:6">
      <c r="B1654" s="1781" t="str">
        <f>'4U'!AO11</f>
        <v>B0724GPV_WR</v>
      </c>
      <c r="C1654" s="219" t="s">
        <v>6622</v>
      </c>
      <c r="E1654" s="249" t="s">
        <v>3641</v>
      </c>
      <c r="F1654" s="255">
        <f>IF(ISBLANK('4U'!J11),"##BLANK",'4U'!J11)</f>
        <v>0</v>
      </c>
    </row>
    <row r="1655" spans="2:6">
      <c r="B1655" s="1781" t="str">
        <f>'4U'!AP11</f>
        <v>B0732GPV_NP</v>
      </c>
      <c r="C1655" s="219" t="s">
        <v>6623</v>
      </c>
      <c r="E1655" s="249" t="s">
        <v>3641</v>
      </c>
      <c r="F1655" s="255">
        <f>IF(ISBLANK('4U'!K11),"##BLANK",'4U'!K11)</f>
        <v>0</v>
      </c>
    </row>
    <row r="1656" spans="2:6">
      <c r="B1656" s="1781" t="str">
        <f>'4U'!AQ11</f>
        <v>B0740GPV_WP</v>
      </c>
      <c r="C1656" s="219" t="s">
        <v>6624</v>
      </c>
      <c r="E1656" s="249" t="s">
        <v>3641</v>
      </c>
      <c r="F1656" s="255">
        <f>IF(ISBLANK('4U'!L11),"##BLANK",'4U'!L11)</f>
        <v>0</v>
      </c>
    </row>
    <row r="1657" spans="2:6">
      <c r="B1657" s="1781" t="str">
        <f>'4U'!AS11</f>
        <v>B0748GPV_AC</v>
      </c>
      <c r="C1657" s="219" t="s">
        <v>6625</v>
      </c>
      <c r="E1657" s="249" t="s">
        <v>3641</v>
      </c>
      <c r="F1657" s="255">
        <f>IF(ISBLANK('4U'!N11),"##BLANK",'4U'!N11)</f>
        <v>0</v>
      </c>
    </row>
    <row r="1658" spans="2:6">
      <c r="B1658" s="1781" t="str">
        <f>'4U'!AJ12</f>
        <v>B0634GTVT_WR</v>
      </c>
      <c r="C1658" s="219" t="s">
        <v>6626</v>
      </c>
      <c r="E1658" s="249" t="s">
        <v>3641</v>
      </c>
      <c r="F1658" s="255" t="str">
        <f>IF(ISBLANK('4U'!E12),"##BLANK",'4U'!E12)</f>
        <v>##BLANK</v>
      </c>
    </row>
    <row r="1659" spans="2:6">
      <c r="B1659" s="1781" t="str">
        <f>'4U'!AK12</f>
        <v>B0640GTVT_NP</v>
      </c>
      <c r="C1659" s="219" t="s">
        <v>6627</v>
      </c>
      <c r="E1659" s="249" t="s">
        <v>3641</v>
      </c>
      <c r="F1659" s="255" t="str">
        <f>IF(ISBLANK('4U'!F12),"##BLANK",'4U'!F12)</f>
        <v>##BLANK</v>
      </c>
    </row>
    <row r="1660" spans="2:6">
      <c r="B1660" s="1781" t="str">
        <f>'4U'!AL12</f>
        <v>B0646GTVT_WP</v>
      </c>
      <c r="C1660" s="219" t="s">
        <v>6628</v>
      </c>
      <c r="E1660" s="249" t="s">
        <v>3641</v>
      </c>
      <c r="F1660" s="255" t="str">
        <f>IF(ISBLANK('4U'!G12),"##BLANK",'4U'!G12)</f>
        <v>##BLANK</v>
      </c>
    </row>
    <row r="1661" spans="2:6">
      <c r="B1661" s="1781" t="str">
        <f>'4U'!AN12</f>
        <v>B0658GTVT_AC</v>
      </c>
      <c r="C1661" s="219" t="s">
        <v>6629</v>
      </c>
      <c r="E1661" s="249" t="s">
        <v>3641</v>
      </c>
      <c r="F1661" s="255" t="str">
        <f>IF(ISBLANK('4U'!I12),"##BLANK",'4U'!I12)</f>
        <v>##BLANK</v>
      </c>
    </row>
    <row r="1662" spans="2:6">
      <c r="B1662" s="1781" t="str">
        <f>'4U'!AO12</f>
        <v>B0664GPVT_WR</v>
      </c>
      <c r="C1662" s="219" t="s">
        <v>6630</v>
      </c>
      <c r="E1662" s="249" t="s">
        <v>3641</v>
      </c>
      <c r="F1662" s="255" t="str">
        <f>IF(ISBLANK('4U'!J12),"##BLANK",'4U'!J12)</f>
        <v>##BLANK</v>
      </c>
    </row>
    <row r="1663" spans="2:6">
      <c r="B1663" s="1781" t="str">
        <f>'4U'!AP12</f>
        <v>B0670GPVT_NP</v>
      </c>
      <c r="C1663" s="219" t="s">
        <v>6631</v>
      </c>
      <c r="E1663" s="249" t="s">
        <v>3641</v>
      </c>
      <c r="F1663" s="255" t="str">
        <f>IF(ISBLANK('4U'!K12),"##BLANK",'4U'!K12)</f>
        <v>##BLANK</v>
      </c>
    </row>
    <row r="1664" spans="2:6">
      <c r="B1664" s="1781" t="str">
        <f>'4U'!AQ12</f>
        <v>B0676GPVT_WP</v>
      </c>
      <c r="C1664" s="219" t="s">
        <v>6632</v>
      </c>
      <c r="E1664" s="249" t="s">
        <v>3641</v>
      </c>
      <c r="F1664" s="255" t="str">
        <f>IF(ISBLANK('4U'!L12),"##BLANK",'4U'!L12)</f>
        <v>##BLANK</v>
      </c>
    </row>
    <row r="1665" spans="2:6">
      <c r="B1665" s="1781" t="str">
        <f>'4U'!AS12</f>
        <v>B0688GPVT_AC</v>
      </c>
      <c r="C1665" s="219" t="s">
        <v>6633</v>
      </c>
      <c r="E1665" s="249" t="s">
        <v>3641</v>
      </c>
      <c r="F1665" s="255" t="str">
        <f>IF(ISBLANK('4U'!N12),"##BLANK",'4U'!N12)</f>
        <v>##BLANK</v>
      </c>
    </row>
    <row r="1666" spans="2:6">
      <c r="B1666" s="1781" t="str">
        <f>'4U'!AJ13</f>
        <v>B0693GTVE_WR</v>
      </c>
      <c r="C1666" s="219" t="s">
        <v>6634</v>
      </c>
      <c r="E1666" s="249" t="s">
        <v>3641</v>
      </c>
      <c r="F1666" s="255">
        <f>IF(ISBLANK('4U'!E13),"##BLANK",'4U'!E13)</f>
        <v>0</v>
      </c>
    </row>
    <row r="1667" spans="2:6">
      <c r="B1667" s="1781" t="str">
        <f>'4U'!AK13</f>
        <v>B0701GTVE_NP</v>
      </c>
      <c r="C1667" s="219" t="s">
        <v>6635</v>
      </c>
      <c r="E1667" s="249" t="s">
        <v>3641</v>
      </c>
      <c r="F1667" s="255">
        <f>IF(ISBLANK('4U'!F13),"##BLANK",'4U'!F13)</f>
        <v>0</v>
      </c>
    </row>
    <row r="1668" spans="2:6">
      <c r="B1668" s="1781" t="str">
        <f>'4U'!AL13</f>
        <v>B0709GTVE_WP</v>
      </c>
      <c r="C1668" s="219" t="s">
        <v>6636</v>
      </c>
      <c r="E1668" s="249" t="s">
        <v>3641</v>
      </c>
      <c r="F1668" s="255">
        <f>IF(ISBLANK('4U'!G13),"##BLANK",'4U'!G13)</f>
        <v>0</v>
      </c>
    </row>
    <row r="1669" spans="2:6">
      <c r="B1669" s="1781" t="str">
        <f>'4U'!AN13</f>
        <v>B0717GTVE_AC</v>
      </c>
      <c r="C1669" s="219" t="s">
        <v>6637</v>
      </c>
      <c r="E1669" s="249" t="s">
        <v>3641</v>
      </c>
      <c r="F1669" s="255">
        <f>IF(ISBLANK('4U'!I13),"##BLANK",'4U'!I13)</f>
        <v>0</v>
      </c>
    </row>
    <row r="1670" spans="2:6">
      <c r="B1670" s="1781" t="str">
        <f>'4U'!AO13</f>
        <v>B0725GPVE_WR</v>
      </c>
      <c r="C1670" s="219" t="s">
        <v>6638</v>
      </c>
      <c r="E1670" s="249" t="s">
        <v>3641</v>
      </c>
      <c r="F1670" s="255">
        <f>IF(ISBLANK('4U'!J13),"##BLANK",'4U'!J13)</f>
        <v>0</v>
      </c>
    </row>
    <row r="1671" spans="2:6">
      <c r="B1671" s="1781" t="str">
        <f>'4U'!AP13</f>
        <v>B0733GPVE_NP</v>
      </c>
      <c r="C1671" s="219" t="s">
        <v>6639</v>
      </c>
      <c r="E1671" s="249" t="s">
        <v>3641</v>
      </c>
      <c r="F1671" s="255">
        <f>IF(ISBLANK('4U'!K13),"##BLANK",'4U'!K13)</f>
        <v>0</v>
      </c>
    </row>
    <row r="1672" spans="2:6">
      <c r="B1672" s="1781" t="str">
        <f>'4U'!AQ13</f>
        <v>B0741GPVE_WP</v>
      </c>
      <c r="C1672" s="219" t="s">
        <v>6640</v>
      </c>
      <c r="E1672" s="249" t="s">
        <v>3641</v>
      </c>
      <c r="F1672" s="255">
        <f>IF(ISBLANK('4U'!L13),"##BLANK",'4U'!L13)</f>
        <v>0</v>
      </c>
    </row>
    <row r="1673" spans="2:6">
      <c r="B1673" s="1781" t="str">
        <f>'4U'!AS13</f>
        <v>B0749GPVE_AC</v>
      </c>
      <c r="C1673" s="219" t="s">
        <v>6641</v>
      </c>
      <c r="E1673" s="249" t="s">
        <v>3641</v>
      </c>
      <c r="F1673" s="255">
        <f>IF(ISBLANK('4U'!N13),"##BLANK",'4U'!N13)</f>
        <v>0</v>
      </c>
    </row>
    <row r="1674" spans="2:6">
      <c r="B1674" s="1782" t="str">
        <f>'4U'!AJ14</f>
        <v>B0635GTSO_WR</v>
      </c>
      <c r="C1674" s="219" t="s">
        <v>6642</v>
      </c>
      <c r="E1674" s="249" t="s">
        <v>3641</v>
      </c>
      <c r="F1674" s="255" t="str">
        <f>IF(ISBLANK('4U'!E14),"##BLANK",'4U'!E14)</f>
        <v>##BLANK</v>
      </c>
    </row>
    <row r="1675" spans="2:6">
      <c r="B1675" s="1782" t="str">
        <f>'4U'!AK14</f>
        <v>B0641GTSO_NP</v>
      </c>
      <c r="C1675" s="219" t="s">
        <v>6643</v>
      </c>
      <c r="E1675" s="249" t="s">
        <v>3641</v>
      </c>
      <c r="F1675" s="255" t="str">
        <f>IF(ISBLANK('4U'!F14),"##BLANK",'4U'!F14)</f>
        <v>##BLANK</v>
      </c>
    </row>
    <row r="1676" spans="2:6">
      <c r="B1676" s="1782" t="str">
        <f>'4U'!AL14</f>
        <v>B0647GTSO_WP</v>
      </c>
      <c r="C1676" s="219" t="s">
        <v>6644</v>
      </c>
      <c r="E1676" s="249" t="s">
        <v>3641</v>
      </c>
      <c r="F1676" s="255" t="str">
        <f>IF(ISBLANK('4U'!G14),"##BLANK",'4U'!G14)</f>
        <v>##BLANK</v>
      </c>
    </row>
    <row r="1677" spans="2:6">
      <c r="B1677" s="1782" t="str">
        <f>'4U'!AN14</f>
        <v>B0659GTSO_AC</v>
      </c>
      <c r="C1677" s="219" t="s">
        <v>6645</v>
      </c>
      <c r="E1677" s="249" t="s">
        <v>3641</v>
      </c>
      <c r="F1677" s="255" t="str">
        <f>IF(ISBLANK('4U'!I14),"##BLANK",'4U'!I14)</f>
        <v>##BLANK</v>
      </c>
    </row>
    <row r="1678" spans="2:6">
      <c r="B1678" s="1782" t="str">
        <f>'4U'!AO14</f>
        <v>B0665GPSO_WR</v>
      </c>
      <c r="C1678" s="219" t="s">
        <v>6646</v>
      </c>
      <c r="E1678" s="249" t="s">
        <v>3641</v>
      </c>
      <c r="F1678" s="255" t="str">
        <f>IF(ISBLANK('4U'!J14),"##BLANK",'4U'!J14)</f>
        <v>##BLANK</v>
      </c>
    </row>
    <row r="1679" spans="2:6">
      <c r="B1679" s="1782" t="str">
        <f>'4U'!AP14</f>
        <v>B0671GPSO_NP</v>
      </c>
      <c r="C1679" s="219" t="s">
        <v>6647</v>
      </c>
      <c r="E1679" s="249" t="s">
        <v>3641</v>
      </c>
      <c r="F1679" s="255" t="str">
        <f>IF(ISBLANK('4U'!K14),"##BLANK",'4U'!K14)</f>
        <v>##BLANK</v>
      </c>
    </row>
    <row r="1680" spans="2:6">
      <c r="B1680" s="1782" t="str">
        <f>'4U'!AQ14</f>
        <v>B0677GPSO_WP</v>
      </c>
      <c r="C1680" s="219" t="s">
        <v>6648</v>
      </c>
      <c r="E1680" s="249" t="s">
        <v>3641</v>
      </c>
      <c r="F1680" s="255" t="str">
        <f>IF(ISBLANK('4U'!L14),"##BLANK",'4U'!L14)</f>
        <v>##BLANK</v>
      </c>
    </row>
    <row r="1681" spans="2:6">
      <c r="B1681" s="1782" t="str">
        <f>'4U'!AS14</f>
        <v>B0689GPSO_AC</v>
      </c>
      <c r="C1681" s="219" t="s">
        <v>6649</v>
      </c>
      <c r="E1681" s="249" t="s">
        <v>3641</v>
      </c>
      <c r="F1681" s="255" t="str">
        <f>IF(ISBLANK('4U'!N14),"##BLANK",'4U'!N14)</f>
        <v>##BLANK</v>
      </c>
    </row>
    <row r="1682" spans="2:6">
      <c r="B1682" s="1782" t="str">
        <f>'4U'!AJ15</f>
        <v>B0636GTSU_WR</v>
      </c>
      <c r="C1682" s="219" t="s">
        <v>6650</v>
      </c>
      <c r="E1682" s="249" t="s">
        <v>3641</v>
      </c>
      <c r="F1682" s="255" t="str">
        <f>IF(ISBLANK('4U'!E15),"##BLANK",'4U'!E15)</f>
        <v>##BLANK</v>
      </c>
    </row>
    <row r="1683" spans="2:6">
      <c r="B1683" s="1782" t="str">
        <f>'4U'!AK15</f>
        <v>B0642GTSU_NP</v>
      </c>
      <c r="C1683" s="219" t="s">
        <v>6651</v>
      </c>
      <c r="E1683" s="249" t="s">
        <v>3641</v>
      </c>
      <c r="F1683" s="255" t="str">
        <f>IF(ISBLANK('4U'!F15),"##BLANK",'4U'!F15)</f>
        <v>##BLANK</v>
      </c>
    </row>
    <row r="1684" spans="2:6">
      <c r="B1684" s="1782" t="str">
        <f>'4U'!AL15</f>
        <v>B0648GTSU_WP</v>
      </c>
      <c r="C1684" s="219" t="s">
        <v>6652</v>
      </c>
      <c r="E1684" s="249" t="s">
        <v>3641</v>
      </c>
      <c r="F1684" s="255" t="str">
        <f>IF(ISBLANK('4U'!G15),"##BLANK",'4U'!G15)</f>
        <v>##BLANK</v>
      </c>
    </row>
    <row r="1685" spans="2:6">
      <c r="B1685" s="1782" t="str">
        <f>'4U'!AN15</f>
        <v>B0660GTSU_AC</v>
      </c>
      <c r="C1685" s="219" t="s">
        <v>6653</v>
      </c>
      <c r="E1685" s="249" t="s">
        <v>3641</v>
      </c>
      <c r="F1685" s="255" t="str">
        <f>IF(ISBLANK('4U'!I15),"##BLANK",'4U'!I15)</f>
        <v>##BLANK</v>
      </c>
    </row>
    <row r="1686" spans="2:6">
      <c r="B1686" s="1782" t="str">
        <f>'4U'!AO15</f>
        <v>B0666GPSU_WR</v>
      </c>
      <c r="C1686" s="219" t="s">
        <v>6654</v>
      </c>
      <c r="E1686" s="249" t="s">
        <v>3641</v>
      </c>
      <c r="F1686" s="255" t="str">
        <f>IF(ISBLANK('4U'!J15),"##BLANK",'4U'!J15)</f>
        <v>##BLANK</v>
      </c>
    </row>
    <row r="1687" spans="2:6">
      <c r="B1687" s="1782" t="str">
        <f>'4U'!AP15</f>
        <v>B0672GPSU_NP</v>
      </c>
      <c r="C1687" s="219" t="s">
        <v>6655</v>
      </c>
      <c r="E1687" s="249" t="s">
        <v>3641</v>
      </c>
      <c r="F1687" s="255" t="str">
        <f>IF(ISBLANK('4U'!K15),"##BLANK",'4U'!K15)</f>
        <v>##BLANK</v>
      </c>
    </row>
    <row r="1688" spans="2:6">
      <c r="B1688" s="1782" t="str">
        <f>'4U'!AQ15</f>
        <v>B0678GPSU_WP</v>
      </c>
      <c r="C1688" s="219" t="s">
        <v>6656</v>
      </c>
      <c r="E1688" s="249" t="s">
        <v>3641</v>
      </c>
      <c r="F1688" s="255" t="str">
        <f>IF(ISBLANK('4U'!L15),"##BLANK",'4U'!L15)</f>
        <v>##BLANK</v>
      </c>
    </row>
    <row r="1689" spans="2:6">
      <c r="B1689" s="1782" t="str">
        <f>'4U'!AS15</f>
        <v>B0690GPSU_AC</v>
      </c>
      <c r="C1689" s="219" t="s">
        <v>6657</v>
      </c>
      <c r="E1689" s="249" t="s">
        <v>3641</v>
      </c>
      <c r="F1689" s="255" t="str">
        <f>IF(ISBLANK('4U'!N15),"##BLANK",'4U'!N15)</f>
        <v>##BLANK</v>
      </c>
    </row>
    <row r="1690" spans="2:6">
      <c r="B1690" s="1781" t="str">
        <f>'4U'!AJ16</f>
        <v>B0694GTCO_WR</v>
      </c>
      <c r="C1690" s="219" t="s">
        <v>6658</v>
      </c>
      <c r="E1690" s="249" t="s">
        <v>3641</v>
      </c>
      <c r="F1690" s="255">
        <f>IF(ISBLANK('4U'!E16),"##BLANK",'4U'!E16)</f>
        <v>0</v>
      </c>
    </row>
    <row r="1691" spans="2:6">
      <c r="B1691" s="1781" t="str">
        <f>'4U'!AK16</f>
        <v>B0702GTCO_NP</v>
      </c>
      <c r="C1691" s="219" t="s">
        <v>6659</v>
      </c>
      <c r="E1691" s="249" t="s">
        <v>3641</v>
      </c>
      <c r="F1691" s="255">
        <f>IF(ISBLANK('4U'!F16),"##BLANK",'4U'!F16)</f>
        <v>0</v>
      </c>
    </row>
    <row r="1692" spans="2:6">
      <c r="B1692" s="1781" t="str">
        <f>'4U'!AL16</f>
        <v>B0710GTCO_WP</v>
      </c>
      <c r="C1692" s="219" t="s">
        <v>6660</v>
      </c>
      <c r="E1692" s="249" t="s">
        <v>3641</v>
      </c>
      <c r="F1692" s="255">
        <f>IF(ISBLANK('4U'!G16),"##BLANK",'4U'!G16)</f>
        <v>0</v>
      </c>
    </row>
    <row r="1693" spans="2:6">
      <c r="B1693" s="1781" t="str">
        <f>'4U'!AN16</f>
        <v>B0718GTCO_AC</v>
      </c>
      <c r="C1693" s="219" t="s">
        <v>6661</v>
      </c>
      <c r="E1693" s="249" t="s">
        <v>3641</v>
      </c>
      <c r="F1693" s="255">
        <f>IF(ISBLANK('4U'!I16),"##BLANK",'4U'!I16)</f>
        <v>0</v>
      </c>
    </row>
    <row r="1694" spans="2:6">
      <c r="B1694" s="1781" t="str">
        <f>'4U'!AO16</f>
        <v>B0726GPCO_WR</v>
      </c>
      <c r="C1694" s="219" t="s">
        <v>6662</v>
      </c>
      <c r="E1694" s="249" t="s">
        <v>3641</v>
      </c>
      <c r="F1694" s="255">
        <f>IF(ISBLANK('4U'!J16),"##BLANK",'4U'!J16)</f>
        <v>0</v>
      </c>
    </row>
    <row r="1695" spans="2:6">
      <c r="B1695" s="1781" t="str">
        <f>'4U'!AP16</f>
        <v>B0734GPCO_NP</v>
      </c>
      <c r="C1695" s="219" t="s">
        <v>6663</v>
      </c>
      <c r="E1695" s="249" t="s">
        <v>3641</v>
      </c>
      <c r="F1695" s="255">
        <f>IF(ISBLANK('4U'!K16),"##BLANK",'4U'!K16)</f>
        <v>0</v>
      </c>
    </row>
    <row r="1696" spans="2:6">
      <c r="B1696" s="1781" t="str">
        <f>'4U'!AQ16</f>
        <v>B0742GPCO_WP</v>
      </c>
      <c r="C1696" s="219" t="s">
        <v>6664</v>
      </c>
      <c r="E1696" s="249" t="s">
        <v>3641</v>
      </c>
      <c r="F1696" s="255">
        <f>IF(ISBLANK('4U'!L16),"##BLANK",'4U'!L16)</f>
        <v>0</v>
      </c>
    </row>
    <row r="1697" spans="2:6">
      <c r="B1697" s="1781" t="str">
        <f>'4U'!AS16</f>
        <v>B0750GPCO_AC</v>
      </c>
      <c r="C1697" s="219" t="s">
        <v>6665</v>
      </c>
      <c r="E1697" s="249" t="s">
        <v>3641</v>
      </c>
      <c r="F1697" s="255">
        <f>IF(ISBLANK('4U'!N16),"##BLANK",'4U'!N16)</f>
        <v>0</v>
      </c>
    </row>
    <row r="1698" spans="2:6">
      <c r="B1698" s="1781" t="str">
        <f>'4U'!AJ17</f>
        <v>B0695GTCU_WR</v>
      </c>
      <c r="C1698" s="219" t="s">
        <v>6666</v>
      </c>
      <c r="E1698" s="249" t="s">
        <v>3641</v>
      </c>
      <c r="F1698" s="255">
        <f>IF(ISBLANK('4U'!E17),"##BLANK",'4U'!E17)</f>
        <v>0</v>
      </c>
    </row>
    <row r="1699" spans="2:6">
      <c r="B1699" s="1781" t="str">
        <f>'4U'!AK17</f>
        <v>B0703GTCU_NP</v>
      </c>
      <c r="C1699" s="219" t="s">
        <v>6667</v>
      </c>
      <c r="E1699" s="249" t="s">
        <v>3641</v>
      </c>
      <c r="F1699" s="255">
        <f>IF(ISBLANK('4U'!F17),"##BLANK",'4U'!F17)</f>
        <v>0</v>
      </c>
    </row>
    <row r="1700" spans="2:6">
      <c r="B1700" s="1781" t="str">
        <f>'4U'!AL17</f>
        <v>B0711GTCU_WP</v>
      </c>
      <c r="C1700" s="219" t="s">
        <v>6668</v>
      </c>
      <c r="E1700" s="249" t="s">
        <v>3641</v>
      </c>
      <c r="F1700" s="255">
        <f>IF(ISBLANK('4U'!G17),"##BLANK",'4U'!G17)</f>
        <v>0</v>
      </c>
    </row>
    <row r="1701" spans="2:6">
      <c r="B1701" s="1781" t="str">
        <f>'4U'!AN17</f>
        <v>B0719GTCU_AC</v>
      </c>
      <c r="C1701" s="219" t="s">
        <v>6669</v>
      </c>
      <c r="E1701" s="249" t="s">
        <v>3641</v>
      </c>
      <c r="F1701" s="255">
        <f>IF(ISBLANK('4U'!I17),"##BLANK",'4U'!I17)</f>
        <v>0</v>
      </c>
    </row>
    <row r="1702" spans="2:6">
      <c r="B1702" s="1781" t="str">
        <f>'4U'!AO17</f>
        <v>B0727GPCU_WR</v>
      </c>
      <c r="C1702" s="219" t="s">
        <v>6670</v>
      </c>
      <c r="E1702" s="249" t="s">
        <v>3641</v>
      </c>
      <c r="F1702" s="255">
        <f>IF(ISBLANK('4U'!J17),"##BLANK",'4U'!J17)</f>
        <v>0</v>
      </c>
    </row>
    <row r="1703" spans="2:6">
      <c r="B1703" s="1781" t="str">
        <f>'4U'!AP17</f>
        <v>B0735GPCU_NP</v>
      </c>
      <c r="C1703" s="219" t="s">
        <v>6671</v>
      </c>
      <c r="E1703" s="249" t="s">
        <v>3641</v>
      </c>
      <c r="F1703" s="255">
        <f>IF(ISBLANK('4U'!K17),"##BLANK",'4U'!K17)</f>
        <v>0</v>
      </c>
    </row>
    <row r="1704" spans="2:6">
      <c r="B1704" s="1781" t="str">
        <f>'4U'!AQ17</f>
        <v>B0743GPCU_WP</v>
      </c>
      <c r="C1704" s="219" t="s">
        <v>6672</v>
      </c>
      <c r="E1704" s="249" t="s">
        <v>3641</v>
      </c>
      <c r="F1704" s="255">
        <f>IF(ISBLANK('4U'!L17),"##BLANK",'4U'!L17)</f>
        <v>0</v>
      </c>
    </row>
    <row r="1705" spans="2:6">
      <c r="B1705" s="1781" t="str">
        <f>'4U'!AS17</f>
        <v>B0751GPCU_AC</v>
      </c>
      <c r="C1705" s="219" t="s">
        <v>6673</v>
      </c>
      <c r="E1705" s="249" t="s">
        <v>3641</v>
      </c>
      <c r="F1705" s="255">
        <f>IF(ISBLANK('4U'!N17),"##BLANK",'4U'!N17)</f>
        <v>0</v>
      </c>
    </row>
    <row r="1706" spans="2:6">
      <c r="B1706" s="1781" t="str">
        <f>'4U'!AJ18</f>
        <v>B0696GTBO_WR</v>
      </c>
      <c r="C1706" s="219" t="s">
        <v>6674</v>
      </c>
      <c r="E1706" s="249" t="s">
        <v>3641</v>
      </c>
      <c r="F1706" s="255">
        <f>IF(ISBLANK('4U'!E18),"##BLANK",'4U'!E18)</f>
        <v>0</v>
      </c>
    </row>
    <row r="1707" spans="2:6">
      <c r="B1707" s="1781" t="str">
        <f>'4U'!AK18</f>
        <v>B0704GTBO_NP</v>
      </c>
      <c r="C1707" s="219" t="s">
        <v>6675</v>
      </c>
      <c r="E1707" s="249" t="s">
        <v>3641</v>
      </c>
      <c r="F1707" s="255">
        <f>IF(ISBLANK('4U'!F18),"##BLANK",'4U'!F18)</f>
        <v>0</v>
      </c>
    </row>
    <row r="1708" spans="2:6">
      <c r="B1708" s="1781" t="str">
        <f>'4U'!AL18</f>
        <v>B0712GTBO_WP</v>
      </c>
      <c r="C1708" s="219" t="s">
        <v>6676</v>
      </c>
      <c r="E1708" s="249" t="s">
        <v>3641</v>
      </c>
      <c r="F1708" s="255">
        <f>IF(ISBLANK('4U'!G18),"##BLANK",'4U'!G18)</f>
        <v>0</v>
      </c>
    </row>
    <row r="1709" spans="2:6">
      <c r="B1709" s="1781" t="str">
        <f>'4U'!AN18</f>
        <v>B0720GTBO_AC</v>
      </c>
      <c r="C1709" s="219" t="s">
        <v>6677</v>
      </c>
      <c r="E1709" s="249" t="s">
        <v>3641</v>
      </c>
      <c r="F1709" s="255">
        <f>IF(ISBLANK('4U'!I18),"##BLANK",'4U'!I18)</f>
        <v>0</v>
      </c>
    </row>
    <row r="1710" spans="2:6">
      <c r="B1710" s="1781" t="str">
        <f>'4U'!AO18</f>
        <v>B0728GPBO_WR</v>
      </c>
      <c r="C1710" s="219" t="s">
        <v>6678</v>
      </c>
      <c r="E1710" s="249" t="s">
        <v>3641</v>
      </c>
      <c r="F1710" s="255">
        <f>IF(ISBLANK('4U'!J18),"##BLANK",'4U'!J18)</f>
        <v>0</v>
      </c>
    </row>
    <row r="1711" spans="2:6">
      <c r="B1711" s="1781" t="str">
        <f>'4U'!AP18</f>
        <v>B0736GPBO_NP</v>
      </c>
      <c r="C1711" s="219" t="s">
        <v>6679</v>
      </c>
      <c r="E1711" s="249" t="s">
        <v>3641</v>
      </c>
      <c r="F1711" s="255">
        <f>IF(ISBLANK('4U'!K18),"##BLANK",'4U'!K18)</f>
        <v>0</v>
      </c>
    </row>
    <row r="1712" spans="2:6">
      <c r="B1712" s="1781" t="str">
        <f>'4U'!AQ18</f>
        <v>B0744GPBO_WP</v>
      </c>
      <c r="C1712" s="219" t="s">
        <v>6680</v>
      </c>
      <c r="E1712" s="249" t="s">
        <v>3641</v>
      </c>
      <c r="F1712" s="255">
        <f>IF(ISBLANK('4U'!L18),"##BLANK",'4U'!L18)</f>
        <v>0</v>
      </c>
    </row>
    <row r="1713" spans="2:6">
      <c r="B1713" s="1781" t="str">
        <f>'4U'!AS18</f>
        <v>B0752GPBO_AC</v>
      </c>
      <c r="C1713" s="219" t="s">
        <v>6681</v>
      </c>
      <c r="E1713" s="249" t="s">
        <v>3641</v>
      </c>
      <c r="F1713" s="255">
        <f>IF(ISBLANK('4U'!N18),"##BLANK",'4U'!N18)</f>
        <v>0</v>
      </c>
    </row>
    <row r="1714" spans="2:6">
      <c r="B1714" s="1781" t="str">
        <f>'4U'!AJ19</f>
        <v>B0697GTBU_WR</v>
      </c>
      <c r="C1714" s="219" t="s">
        <v>6682</v>
      </c>
      <c r="E1714" s="249" t="s">
        <v>3641</v>
      </c>
      <c r="F1714" s="255">
        <f>IF(ISBLANK('4U'!E19),"##BLANK",'4U'!E19)</f>
        <v>0</v>
      </c>
    </row>
    <row r="1715" spans="2:6">
      <c r="B1715" s="1781" t="str">
        <f>'4U'!AK19</f>
        <v>B0705GTBU_NP</v>
      </c>
      <c r="C1715" s="219" t="s">
        <v>6683</v>
      </c>
      <c r="E1715" s="249" t="s">
        <v>3641</v>
      </c>
      <c r="F1715" s="255">
        <f>IF(ISBLANK('4U'!F19),"##BLANK",'4U'!F19)</f>
        <v>0</v>
      </c>
    </row>
    <row r="1716" spans="2:6">
      <c r="B1716" s="1781" t="str">
        <f>'4U'!AL19</f>
        <v>B0713GTBU_WP</v>
      </c>
      <c r="C1716" s="219" t="s">
        <v>6684</v>
      </c>
      <c r="E1716" s="249" t="s">
        <v>3641</v>
      </c>
      <c r="F1716" s="255">
        <f>IF(ISBLANK('4U'!G19),"##BLANK",'4U'!G19)</f>
        <v>0</v>
      </c>
    </row>
    <row r="1717" spans="2:6">
      <c r="B1717" s="1781" t="str">
        <f>'4U'!AN19</f>
        <v>B0721GTBU_AC</v>
      </c>
      <c r="C1717" s="219" t="s">
        <v>6685</v>
      </c>
      <c r="E1717" s="249" t="s">
        <v>3641</v>
      </c>
      <c r="F1717" s="255">
        <f>IF(ISBLANK('4U'!I19),"##BLANK",'4U'!I19)</f>
        <v>0</v>
      </c>
    </row>
    <row r="1718" spans="2:6">
      <c r="B1718" s="1781" t="str">
        <f>'4U'!AO19</f>
        <v>B0729GPBU_WR</v>
      </c>
      <c r="C1718" s="219" t="s">
        <v>6686</v>
      </c>
      <c r="E1718" s="249" t="s">
        <v>3641</v>
      </c>
      <c r="F1718" s="255">
        <f>IF(ISBLANK('4U'!J19),"##BLANK",'4U'!J19)</f>
        <v>0</v>
      </c>
    </row>
    <row r="1719" spans="2:6">
      <c r="B1719" s="1781" t="str">
        <f>'4U'!AP19</f>
        <v>B0737GPBU_NP</v>
      </c>
      <c r="C1719" s="219" t="s">
        <v>6687</v>
      </c>
      <c r="E1719" s="249" t="s">
        <v>3641</v>
      </c>
      <c r="F1719" s="255">
        <f>IF(ISBLANK('4U'!K19),"##BLANK",'4U'!K19)</f>
        <v>0</v>
      </c>
    </row>
    <row r="1720" spans="2:6">
      <c r="B1720" s="1781" t="str">
        <f>'4U'!AQ19</f>
        <v>B0745GPBU_WP</v>
      </c>
      <c r="C1720" s="219" t="s">
        <v>6688</v>
      </c>
      <c r="E1720" s="249" t="s">
        <v>3641</v>
      </c>
      <c r="F1720" s="255">
        <f>IF(ISBLANK('4U'!L19),"##BLANK",'4U'!L19)</f>
        <v>0</v>
      </c>
    </row>
    <row r="1721" spans="2:6">
      <c r="B1721" s="1781" t="str">
        <f>'4U'!AS19</f>
        <v>B0753GPBU_AC</v>
      </c>
      <c r="C1721" s="219" t="s">
        <v>6689</v>
      </c>
      <c r="E1721" s="249" t="s">
        <v>3641</v>
      </c>
      <c r="F1721" s="255">
        <f>IF(ISBLANK('4U'!N19),"##BLANK",'4U'!N19)</f>
        <v>0</v>
      </c>
    </row>
    <row r="1722" spans="2:6">
      <c r="B1722" s="1781" t="str">
        <f>'4U'!AJ21</f>
        <v>B0698GTIV_WR</v>
      </c>
      <c r="C1722" s="219" t="s">
        <v>6690</v>
      </c>
      <c r="E1722" s="249" t="s">
        <v>3641</v>
      </c>
      <c r="F1722" s="255">
        <f>IF(ISBLANK('4U'!E21),"##BLANK",'4U'!E21)</f>
        <v>0</v>
      </c>
    </row>
    <row r="1723" spans="2:6">
      <c r="B1723" s="1781" t="str">
        <f>'4U'!AK21</f>
        <v>B0706GTIV_NP</v>
      </c>
      <c r="C1723" s="219" t="s">
        <v>6691</v>
      </c>
      <c r="E1723" s="249" t="s">
        <v>3641</v>
      </c>
      <c r="F1723" s="255">
        <f>IF(ISBLANK('4U'!F21),"##BLANK",'4U'!F21)</f>
        <v>0</v>
      </c>
    </row>
    <row r="1724" spans="2:6">
      <c r="B1724" s="1781" t="str">
        <f>'4U'!AL21</f>
        <v>B0714GTIV_WP</v>
      </c>
      <c r="C1724" s="219" t="s">
        <v>6692</v>
      </c>
      <c r="E1724" s="249" t="s">
        <v>3641</v>
      </c>
      <c r="F1724" s="255">
        <f>IF(ISBLANK('4U'!G21),"##BLANK",'4U'!G21)</f>
        <v>0</v>
      </c>
    </row>
    <row r="1725" spans="2:6">
      <c r="B1725" s="1781" t="str">
        <f>'4U'!AN21</f>
        <v>B0722GTIV_AC</v>
      </c>
      <c r="C1725" s="219" t="s">
        <v>6693</v>
      </c>
      <c r="E1725" s="249" t="s">
        <v>3641</v>
      </c>
      <c r="F1725" s="255">
        <f>IF(ISBLANK('4U'!I21),"##BLANK",'4U'!I21)</f>
        <v>0</v>
      </c>
    </row>
    <row r="1726" spans="2:6">
      <c r="B1726" s="1781" t="str">
        <f>'4U'!AO21</f>
        <v>B0730GPIV_WR</v>
      </c>
      <c r="C1726" s="219" t="s">
        <v>6694</v>
      </c>
      <c r="E1726" s="249" t="s">
        <v>3641</v>
      </c>
      <c r="F1726" s="255">
        <f>IF(ISBLANK('4U'!J21),"##BLANK",'4U'!J21)</f>
        <v>0</v>
      </c>
    </row>
    <row r="1727" spans="2:6">
      <c r="B1727" s="1781" t="str">
        <f>'4U'!AP21</f>
        <v>B0738GPIV_NP</v>
      </c>
      <c r="C1727" s="219" t="s">
        <v>6695</v>
      </c>
      <c r="E1727" s="249" t="s">
        <v>3641</v>
      </c>
      <c r="F1727" s="255">
        <f>IF(ISBLANK('4U'!K21),"##BLANK",'4U'!K21)</f>
        <v>0</v>
      </c>
    </row>
    <row r="1728" spans="2:6">
      <c r="B1728" s="1781" t="str">
        <f>'4U'!AQ21</f>
        <v>B0746GPIV_WP</v>
      </c>
      <c r="C1728" s="219" t="s">
        <v>6696</v>
      </c>
      <c r="E1728" s="249" t="s">
        <v>3641</v>
      </c>
      <c r="F1728" s="255">
        <f>IF(ISBLANK('4U'!L21),"##BLANK",'4U'!L21)</f>
        <v>0</v>
      </c>
    </row>
    <row r="1729" spans="2:6">
      <c r="B1729" s="1781" t="str">
        <f>'4U'!AS21</f>
        <v>B0754GPIV_AC</v>
      </c>
      <c r="C1729" s="219" t="s">
        <v>6697</v>
      </c>
      <c r="E1729" s="249" t="s">
        <v>3641</v>
      </c>
      <c r="F1729" s="255">
        <f>IF(ISBLANK('4U'!N21),"##BLANK",'4U'!N21)</f>
        <v>0</v>
      </c>
    </row>
    <row r="1730" spans="2:6">
      <c r="B1730" s="1781" t="str">
        <f>'4U'!AJ22</f>
        <v>B0637GTPF_WR</v>
      </c>
      <c r="C1730" s="219" t="s">
        <v>6698</v>
      </c>
      <c r="E1730" s="249" t="s">
        <v>3641</v>
      </c>
      <c r="F1730" s="255" t="str">
        <f>IF(ISBLANK('4U'!E22),"##BLANK",'4U'!E22)</f>
        <v>##BLANK</v>
      </c>
    </row>
    <row r="1731" spans="2:6">
      <c r="B1731" s="1781" t="str">
        <f>'4U'!AK22</f>
        <v>B0643GTPF_NP</v>
      </c>
      <c r="C1731" s="219" t="s">
        <v>6699</v>
      </c>
      <c r="E1731" s="249" t="s">
        <v>3641</v>
      </c>
      <c r="F1731" s="255" t="str">
        <f>IF(ISBLANK('4U'!F22),"##BLANK",'4U'!F22)</f>
        <v>##BLANK</v>
      </c>
    </row>
    <row r="1732" spans="2:6">
      <c r="B1732" s="1781" t="str">
        <f>'4U'!AL22</f>
        <v>B0649GTPF_WP</v>
      </c>
      <c r="C1732" s="219" t="s">
        <v>6700</v>
      </c>
      <c r="E1732" s="249" t="s">
        <v>3641</v>
      </c>
      <c r="F1732" s="255" t="str">
        <f>IF(ISBLANK('4U'!G22),"##BLANK",'4U'!G22)</f>
        <v>##BLANK</v>
      </c>
    </row>
    <row r="1733" spans="2:6">
      <c r="B1733" s="1781" t="str">
        <f>'4U'!AN22</f>
        <v>B0661GTPF_AC</v>
      </c>
      <c r="C1733" s="219" t="s">
        <v>6701</v>
      </c>
      <c r="E1733" s="249" t="s">
        <v>3641</v>
      </c>
      <c r="F1733" s="255" t="str">
        <f>IF(ISBLANK('4U'!I22),"##BLANK",'4U'!I22)</f>
        <v>##BLANK</v>
      </c>
    </row>
    <row r="1734" spans="2:6">
      <c r="B1734" s="1781" t="str">
        <f>'4U'!AO22</f>
        <v>B0667GPPF_WR</v>
      </c>
      <c r="C1734" s="219" t="s">
        <v>6702</v>
      </c>
      <c r="E1734" s="249" t="s">
        <v>3641</v>
      </c>
      <c r="F1734" s="255" t="str">
        <f>IF(ISBLANK('4U'!J22),"##BLANK",'4U'!J22)</f>
        <v>##BLANK</v>
      </c>
    </row>
    <row r="1735" spans="2:6">
      <c r="B1735" s="1781" t="str">
        <f>'4U'!AP22</f>
        <v>B0673GPPF_NP</v>
      </c>
      <c r="C1735" s="219" t="s">
        <v>6703</v>
      </c>
      <c r="E1735" s="249" t="s">
        <v>3641</v>
      </c>
      <c r="F1735" s="255" t="str">
        <f>IF(ISBLANK('4U'!K22),"##BLANK",'4U'!K22)</f>
        <v>##BLANK</v>
      </c>
    </row>
    <row r="1736" spans="2:6">
      <c r="B1736" s="1781" t="str">
        <f>'4U'!AQ22</f>
        <v>B0679GPPF_WP</v>
      </c>
      <c r="C1736" s="219" t="s">
        <v>6704</v>
      </c>
      <c r="E1736" s="249" t="s">
        <v>3641</v>
      </c>
      <c r="F1736" s="255" t="str">
        <f>IF(ISBLANK('4U'!L22),"##BLANK",'4U'!L22)</f>
        <v>##BLANK</v>
      </c>
    </row>
    <row r="1737" spans="2:6">
      <c r="B1737" s="1781" t="str">
        <f>'4U'!AS22</f>
        <v>B0691GPPF_AC</v>
      </c>
      <c r="C1737" s="219" t="s">
        <v>6705</v>
      </c>
      <c r="E1737" s="249" t="s">
        <v>3641</v>
      </c>
      <c r="F1737" s="255" t="str">
        <f>IF(ISBLANK('4U'!N22),"##BLANK",'4U'!N22)</f>
        <v>##BLANK</v>
      </c>
    </row>
    <row r="1738" spans="2:6">
      <c r="B1738" s="1781" t="str">
        <f>'4U'!AJ23</f>
        <v>B0699GTNV_WR</v>
      </c>
      <c r="C1738" s="219" t="s">
        <v>6706</v>
      </c>
      <c r="E1738" s="249" t="s">
        <v>3641</v>
      </c>
      <c r="F1738" s="255">
        <f>IF(ISBLANK('4U'!E23),"##BLANK",'4U'!E23)</f>
        <v>0</v>
      </c>
    </row>
    <row r="1739" spans="2:6">
      <c r="B1739" s="1781" t="str">
        <f>'4U'!AK23</f>
        <v>B0707GTNV_NP</v>
      </c>
      <c r="C1739" s="219" t="s">
        <v>6707</v>
      </c>
      <c r="E1739" s="249" t="s">
        <v>3641</v>
      </c>
      <c r="F1739" s="255">
        <f>IF(ISBLANK('4U'!F23),"##BLANK",'4U'!F23)</f>
        <v>0</v>
      </c>
    </row>
    <row r="1740" spans="2:6">
      <c r="B1740" s="1781" t="str">
        <f>'4U'!AL23</f>
        <v>B0715GTNV_WP</v>
      </c>
      <c r="C1740" s="219" t="s">
        <v>6708</v>
      </c>
      <c r="E1740" s="249" t="s">
        <v>3641</v>
      </c>
      <c r="F1740" s="255">
        <f>IF(ISBLANK('4U'!G23),"##BLANK",'4U'!G23)</f>
        <v>0</v>
      </c>
    </row>
    <row r="1741" spans="2:6">
      <c r="B1741" s="1781" t="str">
        <f>'4U'!AN23</f>
        <v>B0723GTNV_AC</v>
      </c>
      <c r="C1741" s="219" t="s">
        <v>6709</v>
      </c>
      <c r="E1741" s="249" t="s">
        <v>3641</v>
      </c>
      <c r="F1741" s="255">
        <f>IF(ISBLANK('4U'!I23),"##BLANK",'4U'!I23)</f>
        <v>0</v>
      </c>
    </row>
    <row r="1742" spans="2:6">
      <c r="B1742" s="1781" t="str">
        <f>'4U'!AO23</f>
        <v>B0731GPNV_WR</v>
      </c>
      <c r="C1742" s="219" t="s">
        <v>6710</v>
      </c>
      <c r="E1742" s="249" t="s">
        <v>3641</v>
      </c>
      <c r="F1742" s="255">
        <f>IF(ISBLANK('4U'!J23),"##BLANK",'4U'!J23)</f>
        <v>0</v>
      </c>
    </row>
    <row r="1743" spans="2:6">
      <c r="B1743" s="1781" t="str">
        <f>'4U'!AP23</f>
        <v>B0739GPNV_NP</v>
      </c>
      <c r="C1743" s="219" t="s">
        <v>6711</v>
      </c>
      <c r="E1743" s="249" t="s">
        <v>3641</v>
      </c>
      <c r="F1743" s="255">
        <f>IF(ISBLANK('4U'!K23),"##BLANK",'4U'!K23)</f>
        <v>0</v>
      </c>
    </row>
    <row r="1744" spans="2:6">
      <c r="B1744" s="1781" t="str">
        <f>'4U'!AQ23</f>
        <v>B0747GPNV_WP</v>
      </c>
      <c r="C1744" s="219" t="s">
        <v>6712</v>
      </c>
      <c r="E1744" s="249" t="s">
        <v>3641</v>
      </c>
      <c r="F1744" s="255">
        <f>IF(ISBLANK('4U'!L23),"##BLANK",'4U'!L23)</f>
        <v>0</v>
      </c>
    </row>
    <row r="1745" spans="2:6">
      <c r="B1745" s="1781" t="str">
        <f>'4U'!AS23</f>
        <v>B0755GPNV_AC</v>
      </c>
      <c r="C1745" s="219" t="s">
        <v>6713</v>
      </c>
      <c r="E1745" s="249" t="s">
        <v>3641</v>
      </c>
      <c r="F1745" s="255">
        <f>IF(ISBLANK('4U'!N23),"##BLANK",'4U'!N23)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tabColor rgb="FF00B050"/>
  </sheetPr>
  <dimension ref="B1:BL211"/>
  <sheetViews>
    <sheetView showGridLines="0" showWhiteSpace="0" zoomScale="70" zoomScaleNormal="70" zoomScaleSheetLayoutView="55" workbookViewId="0">
      <selection activeCell="V37" sqref="V37"/>
    </sheetView>
  </sheetViews>
  <sheetFormatPr defaultColWidth="9" defaultRowHeight="14.25"/>
  <cols>
    <col min="1" max="1" width="9" style="219"/>
    <col min="2" max="2" width="30.125" style="219"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229" t="s">
        <v>17169</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10"/>
      <c r="AF1" s="2910"/>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SelectCompany!B4</f>
        <v>Northumbrian Water</v>
      </c>
      <c r="C2" s="529"/>
      <c r="D2" s="529"/>
      <c r="E2" s="529"/>
      <c r="F2" s="529"/>
      <c r="G2" s="528"/>
      <c r="H2" s="261"/>
      <c r="K2" s="1229"/>
      <c r="L2" s="529"/>
      <c r="M2" s="529"/>
      <c r="N2" s="529"/>
      <c r="O2" s="528"/>
      <c r="P2" s="261"/>
      <c r="S2" s="1229"/>
      <c r="T2" s="529"/>
      <c r="U2" s="529"/>
      <c r="V2" s="529"/>
      <c r="W2" s="528"/>
      <c r="X2" s="261"/>
      <c r="Y2" s="261"/>
      <c r="Z2" s="261"/>
      <c r="AA2" s="261"/>
      <c r="AB2" s="261"/>
      <c r="AC2" s="261"/>
      <c r="AE2" s="2910"/>
      <c r="AF2" s="2910"/>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07" t="s">
        <v>17170</v>
      </c>
      <c r="C3" s="2807"/>
      <c r="D3" s="2807"/>
      <c r="E3" s="2807"/>
      <c r="F3" s="2807"/>
      <c r="G3" s="2807"/>
      <c r="H3" s="2807"/>
      <c r="I3" s="2807"/>
      <c r="J3" s="2807"/>
      <c r="K3" s="2807"/>
      <c r="L3" s="2807"/>
      <c r="M3" s="2807"/>
      <c r="N3" s="2807"/>
      <c r="O3" s="2807"/>
      <c r="P3" s="2807"/>
      <c r="Q3" s="2807"/>
      <c r="R3" s="2807"/>
      <c r="S3" s="2807"/>
      <c r="T3" s="2807"/>
      <c r="U3" s="2807"/>
      <c r="V3" s="2807"/>
      <c r="W3" s="2807"/>
      <c r="X3" s="2807"/>
      <c r="Y3" s="2807"/>
      <c r="Z3" s="2807"/>
      <c r="AA3" s="2807"/>
      <c r="AB3" s="2807"/>
      <c r="AC3" s="2807"/>
      <c r="AD3" s="2807"/>
      <c r="AE3" s="2910"/>
      <c r="AF3" s="2910"/>
      <c r="AG3" s="261"/>
      <c r="AH3" s="238"/>
      <c r="AI3" s="1240" t="s">
        <v>7222</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5" thickBot="1">
      <c r="B4" s="1359"/>
      <c r="C4" s="1359"/>
      <c r="D4" s="1359"/>
      <c r="E4" s="1359"/>
      <c r="F4" s="1359"/>
      <c r="G4" s="1359"/>
      <c r="H4" s="1359"/>
      <c r="I4" s="1359"/>
      <c r="J4" s="1359"/>
      <c r="K4" s="1359"/>
      <c r="L4" s="1359"/>
      <c r="M4" s="1358"/>
      <c r="N4" s="1358"/>
      <c r="O4" s="1358"/>
      <c r="P4" s="1358"/>
      <c r="Q4" s="1358"/>
      <c r="R4" s="1358"/>
      <c r="S4" s="1358"/>
      <c r="T4" s="2910"/>
      <c r="U4" s="2910"/>
      <c r="V4" s="1358"/>
      <c r="W4" s="1358"/>
      <c r="X4" s="1358"/>
      <c r="Y4" s="1358"/>
      <c r="Z4" s="1358"/>
      <c r="AA4" s="1358"/>
      <c r="AB4" s="1358"/>
      <c r="AC4" s="1358"/>
      <c r="AD4" s="1358"/>
      <c r="AE4" s="2910"/>
      <c r="AF4" s="2910"/>
      <c r="AG4" s="242"/>
      <c r="AH4" s="238"/>
      <c r="AJ4" s="238"/>
      <c r="AK4" s="2895" t="s">
        <v>7223</v>
      </c>
      <c r="AL4" s="2895"/>
      <c r="AM4" s="2895"/>
      <c r="AN4" s="2895"/>
      <c r="AO4" s="2895"/>
      <c r="AP4" s="2895"/>
      <c r="AQ4" s="2895"/>
      <c r="AR4" s="2895"/>
      <c r="AS4" s="2895"/>
      <c r="AT4" s="2895"/>
      <c r="AU4" s="2895"/>
      <c r="AV4" s="2895"/>
      <c r="AW4" s="2895"/>
      <c r="AX4" s="2895"/>
      <c r="AY4" s="2895"/>
      <c r="AZ4" s="2895"/>
      <c r="BA4" s="2895"/>
      <c r="BB4" s="2895"/>
      <c r="BC4" s="2895"/>
      <c r="BD4" s="2895"/>
      <c r="BE4" s="2895"/>
      <c r="BF4" s="238"/>
      <c r="BG4" s="1358"/>
      <c r="BH4" s="1358"/>
      <c r="BI4" s="1358"/>
      <c r="BJ4" s="1358"/>
      <c r="BK4" s="1358"/>
      <c r="BL4" s="1358"/>
    </row>
    <row r="5" spans="2:64" ht="17.25" thickTop="1" thickBot="1">
      <c r="B5" s="87"/>
      <c r="C5" s="87"/>
      <c r="D5" s="87"/>
      <c r="E5" s="2913" t="s">
        <v>7721</v>
      </c>
      <c r="F5" s="2914"/>
      <c r="G5" s="2914"/>
      <c r="H5" s="2914"/>
      <c r="I5" s="2914"/>
      <c r="J5" s="2914"/>
      <c r="K5" s="2915"/>
      <c r="L5" s="87"/>
      <c r="M5" s="2913" t="s">
        <v>8479</v>
      </c>
      <c r="N5" s="2914"/>
      <c r="O5" s="2914"/>
      <c r="P5" s="2914"/>
      <c r="Q5" s="2914"/>
      <c r="R5" s="2914"/>
      <c r="S5" s="2915"/>
      <c r="T5" s="2912"/>
      <c r="U5" s="2912"/>
      <c r="V5" s="2417" t="s">
        <v>17171</v>
      </c>
      <c r="W5" s="2418" t="s">
        <v>17172</v>
      </c>
      <c r="X5" s="2418" t="s">
        <v>17173</v>
      </c>
      <c r="Y5" s="2418" t="s">
        <v>17174</v>
      </c>
      <c r="Z5" s="2418" t="s">
        <v>17175</v>
      </c>
      <c r="AA5" s="2418" t="s">
        <v>17176</v>
      </c>
      <c r="AB5" s="2418" t="s">
        <v>17177</v>
      </c>
      <c r="AC5" s="2418" t="s">
        <v>17178</v>
      </c>
      <c r="AD5" s="2419" t="s">
        <v>17179</v>
      </c>
      <c r="AE5" s="88"/>
      <c r="AF5" s="2916" t="s">
        <v>7229</v>
      </c>
      <c r="AG5" s="261"/>
      <c r="AH5" s="238"/>
      <c r="AJ5" s="238"/>
      <c r="AK5" s="269" t="s">
        <v>7231</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 customHeight="1" thickTop="1" thickBot="1">
      <c r="B6" s="2460" t="s">
        <v>17180</v>
      </c>
      <c r="C6" s="2170" t="s">
        <v>7225</v>
      </c>
      <c r="D6" s="2170" t="s">
        <v>670</v>
      </c>
      <c r="E6" s="2467" t="s">
        <v>17181</v>
      </c>
      <c r="F6" s="2467" t="s">
        <v>7137</v>
      </c>
      <c r="G6" s="2467" t="s">
        <v>3639</v>
      </c>
      <c r="H6" s="2467" t="s">
        <v>7181</v>
      </c>
      <c r="I6" s="2467" t="s">
        <v>16350</v>
      </c>
      <c r="J6" s="2467" t="s">
        <v>16351</v>
      </c>
      <c r="K6" s="2468" t="s">
        <v>16352</v>
      </c>
      <c r="L6" s="81"/>
      <c r="M6" s="89" t="s">
        <v>17181</v>
      </c>
      <c r="N6" s="90" t="s">
        <v>7137</v>
      </c>
      <c r="O6" s="90" t="s">
        <v>3639</v>
      </c>
      <c r="P6" s="90" t="s">
        <v>7181</v>
      </c>
      <c r="Q6" s="90" t="s">
        <v>16350</v>
      </c>
      <c r="R6" s="90" t="s">
        <v>17182</v>
      </c>
      <c r="S6" s="91" t="s">
        <v>16352</v>
      </c>
      <c r="T6" s="2912"/>
      <c r="U6" s="2912"/>
      <c r="V6" s="89" t="s">
        <v>17183</v>
      </c>
      <c r="W6" s="90" t="s">
        <v>17184</v>
      </c>
      <c r="X6" s="90" t="s">
        <v>17185</v>
      </c>
      <c r="Y6" s="90" t="s">
        <v>17186</v>
      </c>
      <c r="Z6" s="90" t="s">
        <v>17187</v>
      </c>
      <c r="AA6" s="90" t="s">
        <v>17188</v>
      </c>
      <c r="AB6" s="90" t="s">
        <v>17189</v>
      </c>
      <c r="AC6" s="90" t="s">
        <v>17190</v>
      </c>
      <c r="AD6" s="91" t="s">
        <v>17190</v>
      </c>
      <c r="AE6" s="88"/>
      <c r="AF6" s="2917"/>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11"/>
      <c r="D7" s="2911"/>
      <c r="E7" s="2911"/>
      <c r="F7" s="82"/>
      <c r="G7" s="82"/>
      <c r="H7" s="82"/>
      <c r="I7" s="82"/>
      <c r="J7" s="82"/>
      <c r="K7" s="83"/>
      <c r="L7" s="84"/>
      <c r="M7" s="88"/>
      <c r="N7" s="88"/>
      <c r="O7" s="88"/>
      <c r="P7" s="88"/>
      <c r="Q7" s="88"/>
      <c r="R7" s="88"/>
      <c r="S7" s="88"/>
      <c r="T7" s="2912"/>
      <c r="U7" s="2912"/>
      <c r="V7" s="88"/>
      <c r="W7" s="88"/>
      <c r="X7" s="88"/>
      <c r="Y7" s="88"/>
      <c r="Z7" s="88"/>
      <c r="AA7" s="88"/>
      <c r="AB7" s="88"/>
      <c r="AC7" s="88"/>
      <c r="AD7" s="88"/>
      <c r="AE7" s="2912"/>
      <c r="AF7" s="2912"/>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12"/>
      <c r="U8" s="2912"/>
      <c r="V8" s="88"/>
      <c r="W8" s="88"/>
      <c r="X8" s="88"/>
      <c r="Y8" s="88"/>
      <c r="Z8" s="88"/>
      <c r="AA8" s="88"/>
      <c r="AB8" s="88"/>
      <c r="AC8" s="88"/>
      <c r="AD8" s="88"/>
      <c r="AE8" s="2912"/>
      <c r="AF8" s="2912"/>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17191</v>
      </c>
      <c r="C9" s="94" t="s">
        <v>681</v>
      </c>
      <c r="D9" s="94">
        <v>3</v>
      </c>
      <c r="E9" s="1624">
        <v>0</v>
      </c>
      <c r="F9" s="1624">
        <v>5.6000000000000001E-2</v>
      </c>
      <c r="G9" s="1624">
        <v>0.106</v>
      </c>
      <c r="H9" s="1624">
        <v>0.251</v>
      </c>
      <c r="I9" s="1624">
        <v>2.2130000000000001</v>
      </c>
      <c r="J9" s="1624">
        <v>0.19500000000000001</v>
      </c>
      <c r="K9" s="2177">
        <v>0</v>
      </c>
      <c r="L9" s="2108"/>
      <c r="M9" s="2179">
        <v>0</v>
      </c>
      <c r="N9" s="1624">
        <v>0</v>
      </c>
      <c r="O9" s="1624">
        <v>0</v>
      </c>
      <c r="P9" s="1624">
        <v>0</v>
      </c>
      <c r="Q9" s="1624">
        <v>0</v>
      </c>
      <c r="R9" s="1624">
        <v>4.9000000000000002E-2</v>
      </c>
      <c r="S9" s="2177">
        <v>4.9000000000000002E-2</v>
      </c>
      <c r="T9" s="2109"/>
      <c r="U9" s="2110" t="s">
        <v>17192</v>
      </c>
      <c r="V9" s="1624">
        <v>2424.3199999999997</v>
      </c>
      <c r="W9" s="1624" t="s">
        <v>16362</v>
      </c>
      <c r="X9" s="1624">
        <v>0.7</v>
      </c>
      <c r="Y9" s="2624" t="s">
        <v>17193</v>
      </c>
      <c r="Z9" s="2461" t="s">
        <v>17193</v>
      </c>
      <c r="AA9" s="2461" t="s">
        <v>16362</v>
      </c>
      <c r="AB9" s="2461" t="s">
        <v>16362</v>
      </c>
      <c r="AC9" s="2461" t="s">
        <v>16362</v>
      </c>
      <c r="AD9" s="2462" t="s">
        <v>16362</v>
      </c>
      <c r="AE9" s="88"/>
      <c r="AF9" s="95" t="s">
        <v>17194</v>
      </c>
      <c r="AG9" s="261"/>
      <c r="AH9" s="238"/>
      <c r="AI9" s="1232" t="str">
        <f>IF( SUM( AK9:BE9 ) = 0, 0, $AK$5 )</f>
        <v>Please complete all cells in row</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1</v>
      </c>
      <c r="BD9" s="285">
        <f t="shared" ref="BD9:BD72" si="15" xml:space="preserve"> IF(SUM($E9:$K9,$M9:$S9,$V9:$AD9)&gt;0,IF( ISNUMBER(X9 ), 0, 1 ),0)</f>
        <v>0</v>
      </c>
      <c r="BE9" s="285">
        <f t="shared" ref="BE9:BE72" si="16" xml:space="preserve"> IF(SUM($E9:$K9,$M9:$S9,$V9:$AD9)&gt;0,IF( ISNUMBER(AD9 ), 0, 1 ),0)</f>
        <v>1</v>
      </c>
      <c r="BF9" s="238"/>
      <c r="BG9" s="1360"/>
      <c r="BH9" s="1360"/>
      <c r="BI9" s="1360"/>
      <c r="BJ9" s="1360"/>
      <c r="BK9" s="1360"/>
      <c r="BL9" s="1360"/>
    </row>
    <row r="10" spans="2:64" ht="15.75" customHeight="1">
      <c r="B10" s="96" t="s">
        <v>17195</v>
      </c>
      <c r="C10" s="97" t="s">
        <v>681</v>
      </c>
      <c r="D10" s="97">
        <v>3</v>
      </c>
      <c r="E10" s="1626">
        <v>0</v>
      </c>
      <c r="F10" s="1626">
        <v>0</v>
      </c>
      <c r="G10" s="1626">
        <v>3.6999999999999998E-2</v>
      </c>
      <c r="H10" s="1626">
        <v>0.55400000000000005</v>
      </c>
      <c r="I10" s="1626">
        <v>2.0910000000000002</v>
      </c>
      <c r="J10" s="1626">
        <v>2.5999999999999999E-2</v>
      </c>
      <c r="K10" s="2178">
        <v>0</v>
      </c>
      <c r="L10" s="2108"/>
      <c r="M10" s="2180">
        <v>0</v>
      </c>
      <c r="N10" s="1626">
        <v>0</v>
      </c>
      <c r="O10" s="1626">
        <v>0</v>
      </c>
      <c r="P10" s="1626">
        <v>0</v>
      </c>
      <c r="Q10" s="1626">
        <v>0</v>
      </c>
      <c r="R10" s="1626">
        <v>0.104</v>
      </c>
      <c r="S10" s="2178">
        <v>0.104</v>
      </c>
      <c r="T10" s="2109"/>
      <c r="U10" s="2111" t="s">
        <v>17192</v>
      </c>
      <c r="V10" s="1626">
        <v>1161.1199999999999</v>
      </c>
      <c r="W10" s="1626" t="s">
        <v>16362</v>
      </c>
      <c r="X10" s="1626">
        <v>1</v>
      </c>
      <c r="Y10" s="2463" t="s">
        <v>17193</v>
      </c>
      <c r="Z10" s="2463" t="s">
        <v>17193</v>
      </c>
      <c r="AA10" s="2463" t="s">
        <v>16362</v>
      </c>
      <c r="AB10" s="2463" t="s">
        <v>16362</v>
      </c>
      <c r="AC10" s="2463" t="s">
        <v>16362</v>
      </c>
      <c r="AD10" s="2464" t="s">
        <v>16362</v>
      </c>
      <c r="AE10" s="88"/>
      <c r="AF10" s="98" t="s">
        <v>17196</v>
      </c>
      <c r="AG10" s="261"/>
      <c r="AH10" s="238"/>
      <c r="AI10" s="1232" t="str">
        <f t="shared" ref="AI10:AI73" si="17">IF( SUM( AK10:BE10 ) = 0, 0, $AK$5 )</f>
        <v>Please complete all cells in row</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1</v>
      </c>
      <c r="BD10" s="285">
        <f t="shared" si="15"/>
        <v>0</v>
      </c>
      <c r="BE10" s="285">
        <f t="shared" si="16"/>
        <v>1</v>
      </c>
      <c r="BF10" s="238"/>
      <c r="BG10" s="1360"/>
      <c r="BH10" s="1360"/>
      <c r="BI10" s="1360"/>
      <c r="BJ10" s="1360"/>
      <c r="BK10" s="1360"/>
      <c r="BL10" s="1360"/>
    </row>
    <row r="11" spans="2:64" ht="15.75" customHeight="1">
      <c r="B11" s="96" t="s">
        <v>17197</v>
      </c>
      <c r="C11" s="97" t="s">
        <v>681</v>
      </c>
      <c r="D11" s="97">
        <v>3</v>
      </c>
      <c r="E11" s="1626">
        <v>0</v>
      </c>
      <c r="F11" s="1626">
        <v>0</v>
      </c>
      <c r="G11" s="1626">
        <v>0</v>
      </c>
      <c r="H11" s="1626">
        <v>0</v>
      </c>
      <c r="I11" s="2612">
        <v>0.53</v>
      </c>
      <c r="J11" s="2612">
        <v>0.56999999999999995</v>
      </c>
      <c r="K11" s="2178">
        <v>0</v>
      </c>
      <c r="L11" s="2108"/>
      <c r="M11" s="2180">
        <v>0</v>
      </c>
      <c r="N11" s="1626">
        <v>0</v>
      </c>
      <c r="O11" s="1626">
        <v>0</v>
      </c>
      <c r="P11" s="1626">
        <v>0</v>
      </c>
      <c r="Q11" s="1626">
        <v>0</v>
      </c>
      <c r="R11" s="2612">
        <v>3.4000000000000002E-2</v>
      </c>
      <c r="S11" s="2613">
        <v>0.13700000000000001</v>
      </c>
      <c r="T11" s="2109"/>
      <c r="U11" s="2111" t="s">
        <v>17192</v>
      </c>
      <c r="V11" s="1626">
        <v>13010.74</v>
      </c>
      <c r="W11" s="1626">
        <v>2</v>
      </c>
      <c r="X11" s="1626">
        <v>0.25</v>
      </c>
      <c r="Y11" s="2463" t="s">
        <v>17193</v>
      </c>
      <c r="Z11" s="2463" t="s">
        <v>17193</v>
      </c>
      <c r="AA11" s="2463" t="s">
        <v>16362</v>
      </c>
      <c r="AB11" s="2463" t="s">
        <v>16362</v>
      </c>
      <c r="AC11" s="2463" t="s">
        <v>16362</v>
      </c>
      <c r="AD11" s="2464" t="s">
        <v>16362</v>
      </c>
      <c r="AE11" s="88"/>
      <c r="AF11" s="98" t="s">
        <v>17198</v>
      </c>
      <c r="AG11" s="261"/>
      <c r="AH11" s="238"/>
      <c r="AI11" s="1232" t="str">
        <f t="shared" si="17"/>
        <v>Please complete all cells in row</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1</v>
      </c>
      <c r="BF11" s="238"/>
      <c r="BG11" s="1360"/>
      <c r="BH11" s="1360"/>
      <c r="BI11" s="1360"/>
      <c r="BJ11" s="1360"/>
      <c r="BK11" s="1360"/>
      <c r="BL11" s="1360"/>
    </row>
    <row r="12" spans="2:64" ht="15.75" customHeight="1">
      <c r="B12" s="96" t="s">
        <v>17199</v>
      </c>
      <c r="C12" s="97" t="s">
        <v>681</v>
      </c>
      <c r="D12" s="97">
        <v>3</v>
      </c>
      <c r="E12" s="1626">
        <v>0</v>
      </c>
      <c r="F12" s="1626">
        <v>0</v>
      </c>
      <c r="G12" s="1626">
        <v>0</v>
      </c>
      <c r="H12" s="1626">
        <v>0</v>
      </c>
      <c r="I12" s="1626">
        <v>0</v>
      </c>
      <c r="J12" s="1626">
        <v>0</v>
      </c>
      <c r="K12" s="2178">
        <v>0</v>
      </c>
      <c r="L12" s="2112"/>
      <c r="M12" s="2180">
        <v>0</v>
      </c>
      <c r="N12" s="1626">
        <v>0</v>
      </c>
      <c r="O12" s="1626">
        <v>0</v>
      </c>
      <c r="P12" s="1626">
        <v>0</v>
      </c>
      <c r="Q12" s="1626">
        <v>0</v>
      </c>
      <c r="R12" s="1626">
        <v>0</v>
      </c>
      <c r="S12" s="2178">
        <v>0</v>
      </c>
      <c r="T12" s="2109"/>
      <c r="U12" s="2111" t="s">
        <v>17192</v>
      </c>
      <c r="V12" s="1626">
        <v>26010.858</v>
      </c>
      <c r="W12" s="1626">
        <v>2</v>
      </c>
      <c r="X12" s="1626">
        <v>1</v>
      </c>
      <c r="Y12" s="2463" t="s">
        <v>17193</v>
      </c>
      <c r="Z12" s="2463" t="s">
        <v>17193</v>
      </c>
      <c r="AA12" s="2463" t="s">
        <v>16362</v>
      </c>
      <c r="AB12" s="2463" t="s">
        <v>16362</v>
      </c>
      <c r="AC12" s="2463" t="s">
        <v>16362</v>
      </c>
      <c r="AD12" s="2464" t="s">
        <v>16362</v>
      </c>
      <c r="AE12" s="88"/>
      <c r="AF12" s="98" t="s">
        <v>17200</v>
      </c>
      <c r="AG12" s="261"/>
      <c r="AH12" s="238"/>
      <c r="AI12" s="1232" t="str">
        <f t="shared" si="17"/>
        <v>Please complete all cells in row</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1</v>
      </c>
      <c r="BF12" s="238"/>
      <c r="BG12" s="1360"/>
      <c r="BH12" s="1360"/>
      <c r="BI12" s="1360"/>
      <c r="BJ12" s="1360"/>
      <c r="BK12" s="1360"/>
      <c r="BL12" s="1360"/>
    </row>
    <row r="13" spans="2:64" ht="15.75" customHeight="1">
      <c r="B13" s="96" t="s">
        <v>17201</v>
      </c>
      <c r="C13" s="97" t="s">
        <v>681</v>
      </c>
      <c r="D13" s="97">
        <v>3</v>
      </c>
      <c r="E13" s="1626">
        <v>0</v>
      </c>
      <c r="F13" s="1626">
        <v>0</v>
      </c>
      <c r="G13" s="1626">
        <v>1.7999999999999999E-2</v>
      </c>
      <c r="H13" s="1626">
        <v>0.38800000000000001</v>
      </c>
      <c r="I13" s="1626">
        <v>2.93</v>
      </c>
      <c r="J13" s="1626">
        <v>0.121</v>
      </c>
      <c r="K13" s="2178">
        <v>0</v>
      </c>
      <c r="L13" s="2112"/>
      <c r="M13" s="2180">
        <v>0</v>
      </c>
      <c r="N13" s="1626">
        <v>0</v>
      </c>
      <c r="O13" s="1626">
        <v>0</v>
      </c>
      <c r="P13" s="1626">
        <v>0</v>
      </c>
      <c r="Q13" s="1626">
        <v>0</v>
      </c>
      <c r="R13" s="1626">
        <v>8.7999999999999995E-2</v>
      </c>
      <c r="S13" s="2178">
        <v>8.7999999999999995E-2</v>
      </c>
      <c r="T13" s="2109"/>
      <c r="U13" s="2111" t="s">
        <v>17192</v>
      </c>
      <c r="V13" s="1626">
        <v>2921.4</v>
      </c>
      <c r="W13" s="1626" t="s">
        <v>16362</v>
      </c>
      <c r="X13" s="1626">
        <v>0.4</v>
      </c>
      <c r="Y13" s="2463" t="s">
        <v>17193</v>
      </c>
      <c r="Z13" s="2463" t="s">
        <v>17193</v>
      </c>
      <c r="AA13" s="2463" t="s">
        <v>16362</v>
      </c>
      <c r="AB13" s="2463" t="s">
        <v>16362</v>
      </c>
      <c r="AC13" s="2463" t="s">
        <v>16362</v>
      </c>
      <c r="AD13" s="2464" t="s">
        <v>16362</v>
      </c>
      <c r="AE13" s="88"/>
      <c r="AF13" s="98" t="s">
        <v>17202</v>
      </c>
      <c r="AG13" s="261"/>
      <c r="AH13" s="238"/>
      <c r="AI13" s="1232" t="str">
        <f t="shared" si="17"/>
        <v>Please complete all cells in row</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1</v>
      </c>
      <c r="BD13" s="285">
        <f t="shared" si="15"/>
        <v>0</v>
      </c>
      <c r="BE13" s="285">
        <f t="shared" si="16"/>
        <v>1</v>
      </c>
      <c r="BF13" s="238"/>
      <c r="BG13" s="1360"/>
      <c r="BH13" s="1360"/>
      <c r="BI13" s="1360"/>
      <c r="BJ13" s="1360"/>
      <c r="BK13" s="1360"/>
      <c r="BL13" s="1360"/>
    </row>
    <row r="14" spans="2:64" ht="15.75" customHeight="1">
      <c r="B14" s="96" t="s">
        <v>17203</v>
      </c>
      <c r="C14" s="97" t="s">
        <v>681</v>
      </c>
      <c r="D14" s="97">
        <v>3</v>
      </c>
      <c r="E14" s="1626">
        <v>0</v>
      </c>
      <c r="F14" s="1626">
        <v>0</v>
      </c>
      <c r="G14" s="1626">
        <v>0</v>
      </c>
      <c r="H14" s="1626">
        <v>0.13700000000000001</v>
      </c>
      <c r="I14" s="1626">
        <v>1.167</v>
      </c>
      <c r="J14" s="1626">
        <v>1.0529999999999999</v>
      </c>
      <c r="K14" s="2178">
        <v>0</v>
      </c>
      <c r="L14" s="2112"/>
      <c r="M14" s="2180">
        <v>0</v>
      </c>
      <c r="N14" s="1626">
        <v>0</v>
      </c>
      <c r="O14" s="1626">
        <v>0</v>
      </c>
      <c r="P14" s="1626">
        <v>0</v>
      </c>
      <c r="Q14" s="1626">
        <v>0</v>
      </c>
      <c r="R14" s="1626">
        <v>2.4E-2</v>
      </c>
      <c r="S14" s="2178">
        <v>9.4E-2</v>
      </c>
      <c r="T14" s="2109"/>
      <c r="U14" s="2111" t="s">
        <v>17192</v>
      </c>
      <c r="V14" s="2614">
        <v>3354.2</v>
      </c>
      <c r="W14" s="1626" t="s">
        <v>16362</v>
      </c>
      <c r="X14" s="1626">
        <v>0.25</v>
      </c>
      <c r="Y14" s="2463" t="s">
        <v>17193</v>
      </c>
      <c r="Z14" s="2463" t="s">
        <v>17193</v>
      </c>
      <c r="AA14" s="2463" t="s">
        <v>16362</v>
      </c>
      <c r="AB14" s="2463" t="s">
        <v>16362</v>
      </c>
      <c r="AC14" s="2463" t="s">
        <v>16362</v>
      </c>
      <c r="AD14" s="2464" t="s">
        <v>16362</v>
      </c>
      <c r="AE14" s="88"/>
      <c r="AF14" s="98" t="s">
        <v>17204</v>
      </c>
      <c r="AG14" s="242"/>
      <c r="AH14" s="238"/>
      <c r="AI14" s="1232" t="str">
        <f t="shared" si="17"/>
        <v>Please complete all cells in row</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1</v>
      </c>
      <c r="BD14" s="285">
        <f t="shared" si="15"/>
        <v>0</v>
      </c>
      <c r="BE14" s="285">
        <f t="shared" si="16"/>
        <v>1</v>
      </c>
      <c r="BF14" s="238"/>
      <c r="BG14" s="1360"/>
      <c r="BH14" s="1360"/>
      <c r="BI14" s="1360"/>
      <c r="BJ14" s="1360"/>
      <c r="BK14" s="1360"/>
      <c r="BL14" s="1360"/>
    </row>
    <row r="15" spans="2:64" ht="15.75" customHeight="1">
      <c r="B15" s="96" t="s">
        <v>17205</v>
      </c>
      <c r="C15" s="97" t="s">
        <v>681</v>
      </c>
      <c r="D15" s="97">
        <v>3</v>
      </c>
      <c r="E15" s="1626">
        <v>0</v>
      </c>
      <c r="F15" s="1626">
        <v>0.13300000000000001</v>
      </c>
      <c r="G15" s="1626">
        <v>0.45800000000000002</v>
      </c>
      <c r="H15" s="1626">
        <v>1.1000000000000001</v>
      </c>
      <c r="I15" s="1626">
        <v>4.8000000000000001E-2</v>
      </c>
      <c r="J15" s="1626">
        <v>0</v>
      </c>
      <c r="K15" s="2178">
        <v>0</v>
      </c>
      <c r="L15" s="2112"/>
      <c r="M15" s="2180">
        <v>0</v>
      </c>
      <c r="N15" s="1626">
        <v>0</v>
      </c>
      <c r="O15" s="1626">
        <v>0</v>
      </c>
      <c r="P15" s="1626">
        <v>0</v>
      </c>
      <c r="Q15" s="1626">
        <v>0</v>
      </c>
      <c r="R15" s="1626">
        <v>4.2999999999999997E-2</v>
      </c>
      <c r="S15" s="2178">
        <v>0.17100000000000001</v>
      </c>
      <c r="T15" s="2109"/>
      <c r="U15" s="2111" t="s">
        <v>17192</v>
      </c>
      <c r="V15" s="1626">
        <v>4624.5599999999995</v>
      </c>
      <c r="W15" s="1626" t="s">
        <v>16362</v>
      </c>
      <c r="X15" s="1626">
        <v>0.9</v>
      </c>
      <c r="Y15" s="2463" t="s">
        <v>17193</v>
      </c>
      <c r="Z15" s="2463" t="s">
        <v>17193</v>
      </c>
      <c r="AA15" s="2463" t="s">
        <v>16362</v>
      </c>
      <c r="AB15" s="2463" t="s">
        <v>16362</v>
      </c>
      <c r="AC15" s="2463" t="s">
        <v>16362</v>
      </c>
      <c r="AD15" s="2464" t="s">
        <v>16362</v>
      </c>
      <c r="AE15" s="88"/>
      <c r="AF15" s="98" t="s">
        <v>17206</v>
      </c>
      <c r="AG15" s="1281"/>
      <c r="AH15" s="238"/>
      <c r="AI15" s="1232" t="str">
        <f t="shared" si="17"/>
        <v>Please complete all cells in row</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1</v>
      </c>
      <c r="BD15" s="285">
        <f t="shared" si="15"/>
        <v>0</v>
      </c>
      <c r="BE15" s="285">
        <f t="shared" si="16"/>
        <v>1</v>
      </c>
      <c r="BF15" s="238"/>
      <c r="BG15" s="1360"/>
      <c r="BH15" s="1360"/>
      <c r="BI15" s="1360"/>
      <c r="BJ15" s="1360"/>
      <c r="BK15" s="1360"/>
      <c r="BL15" s="1360"/>
    </row>
    <row r="16" spans="2:64" ht="15.75" customHeight="1">
      <c r="B16" s="96" t="s">
        <v>17207</v>
      </c>
      <c r="C16" s="97" t="s">
        <v>681</v>
      </c>
      <c r="D16" s="97">
        <v>3</v>
      </c>
      <c r="E16" s="1626">
        <v>0</v>
      </c>
      <c r="F16" s="1626">
        <v>0.25800000000000001</v>
      </c>
      <c r="G16" s="1626">
        <v>0.17</v>
      </c>
      <c r="H16" s="1626">
        <v>0.9</v>
      </c>
      <c r="I16" s="1626">
        <v>4.476</v>
      </c>
      <c r="J16" s="1626">
        <v>4.5999999999999999E-2</v>
      </c>
      <c r="K16" s="2178">
        <v>0</v>
      </c>
      <c r="L16" s="2112"/>
      <c r="M16" s="2180">
        <v>0</v>
      </c>
      <c r="N16" s="1626">
        <v>0</v>
      </c>
      <c r="O16" s="1626">
        <v>0</v>
      </c>
      <c r="P16" s="1626">
        <v>0</v>
      </c>
      <c r="Q16" s="1626">
        <v>0</v>
      </c>
      <c r="R16" s="1626">
        <v>0.107</v>
      </c>
      <c r="S16" s="2178">
        <v>0.107</v>
      </c>
      <c r="T16" s="2109"/>
      <c r="U16" s="2111" t="s">
        <v>17192</v>
      </c>
      <c r="V16" s="1626">
        <v>2930.75</v>
      </c>
      <c r="W16" s="1626" t="s">
        <v>16362</v>
      </c>
      <c r="X16" s="1626">
        <v>1</v>
      </c>
      <c r="Y16" s="2463" t="s">
        <v>17193</v>
      </c>
      <c r="Z16" s="2463" t="s">
        <v>17193</v>
      </c>
      <c r="AA16" s="2463" t="s">
        <v>16362</v>
      </c>
      <c r="AB16" s="2463" t="s">
        <v>16362</v>
      </c>
      <c r="AC16" s="2463" t="s">
        <v>16362</v>
      </c>
      <c r="AD16" s="2464" t="s">
        <v>16362</v>
      </c>
      <c r="AE16" s="88"/>
      <c r="AF16" s="98" t="s">
        <v>17208</v>
      </c>
      <c r="AG16" s="1281"/>
      <c r="AH16" s="238"/>
      <c r="AI16" s="1232" t="str">
        <f t="shared" si="17"/>
        <v>Please complete all cells in row</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1</v>
      </c>
      <c r="BD16" s="285">
        <f t="shared" si="15"/>
        <v>0</v>
      </c>
      <c r="BE16" s="285">
        <f t="shared" si="16"/>
        <v>1</v>
      </c>
      <c r="BF16" s="238"/>
      <c r="BG16" s="1360"/>
      <c r="BH16" s="1360"/>
      <c r="BI16" s="1360"/>
      <c r="BJ16" s="1360"/>
      <c r="BK16" s="1360"/>
      <c r="BL16" s="1360"/>
    </row>
    <row r="17" spans="2:64" ht="15.75" customHeight="1">
      <c r="B17" s="96" t="s">
        <v>17209</v>
      </c>
      <c r="C17" s="97" t="s">
        <v>681</v>
      </c>
      <c r="D17" s="97">
        <v>3</v>
      </c>
      <c r="E17" s="1626">
        <v>0</v>
      </c>
      <c r="F17" s="1626">
        <v>0</v>
      </c>
      <c r="G17" s="1626">
        <v>0</v>
      </c>
      <c r="H17" s="1626">
        <v>0</v>
      </c>
      <c r="I17" s="2612">
        <v>0.5</v>
      </c>
      <c r="J17" s="2612">
        <v>2.2999999999999998</v>
      </c>
      <c r="K17" s="2178">
        <v>0</v>
      </c>
      <c r="L17" s="2112"/>
      <c r="M17" s="2180">
        <v>0</v>
      </c>
      <c r="N17" s="1626">
        <v>0</v>
      </c>
      <c r="O17" s="1626">
        <v>0</v>
      </c>
      <c r="P17" s="1626">
        <v>0</v>
      </c>
      <c r="Q17" s="1626">
        <v>0</v>
      </c>
      <c r="R17" s="2612">
        <v>2.5999999999999999E-2</v>
      </c>
      <c r="S17" s="2613">
        <v>0.10299999999999999</v>
      </c>
      <c r="T17" s="2109"/>
      <c r="U17" s="2111" t="s">
        <v>17192</v>
      </c>
      <c r="V17" s="2614">
        <v>5406.42</v>
      </c>
      <c r="W17" s="1626" t="s">
        <v>16362</v>
      </c>
      <c r="X17" s="1626">
        <v>0.6</v>
      </c>
      <c r="Y17" s="2463" t="s">
        <v>17193</v>
      </c>
      <c r="Z17" s="2463" t="s">
        <v>17193</v>
      </c>
      <c r="AA17" s="2463" t="s">
        <v>16362</v>
      </c>
      <c r="AB17" s="2463" t="s">
        <v>16362</v>
      </c>
      <c r="AC17" s="2463" t="s">
        <v>16362</v>
      </c>
      <c r="AD17" s="2464" t="s">
        <v>16362</v>
      </c>
      <c r="AE17" s="88"/>
      <c r="AF17" s="98" t="s">
        <v>17210</v>
      </c>
      <c r="AG17" s="1281"/>
      <c r="AH17" s="238"/>
      <c r="AI17" s="1232" t="str">
        <f t="shared" si="17"/>
        <v>Please complete all cells in row</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1</v>
      </c>
      <c r="BD17" s="285">
        <f t="shared" si="15"/>
        <v>0</v>
      </c>
      <c r="BE17" s="285">
        <f t="shared" si="16"/>
        <v>1</v>
      </c>
      <c r="BF17" s="238"/>
      <c r="BG17" s="1360"/>
      <c r="BH17" s="1360"/>
      <c r="BI17" s="1360"/>
      <c r="BJ17" s="1360"/>
      <c r="BK17" s="1360"/>
      <c r="BL17" s="1360"/>
    </row>
    <row r="18" spans="2:64" ht="15.75" customHeight="1">
      <c r="B18" s="96" t="s">
        <v>17211</v>
      </c>
      <c r="C18" s="97" t="s">
        <v>681</v>
      </c>
      <c r="D18" s="97">
        <v>3</v>
      </c>
      <c r="E18" s="1626">
        <v>0</v>
      </c>
      <c r="F18" s="1626">
        <v>0</v>
      </c>
      <c r="G18" s="1626">
        <v>2.5000000000000001E-2</v>
      </c>
      <c r="H18" s="1626">
        <v>0.17899999999999999</v>
      </c>
      <c r="I18" s="1626">
        <v>2.5750000000000002</v>
      </c>
      <c r="J18" s="1626">
        <v>1.464</v>
      </c>
      <c r="K18" s="2178">
        <v>0</v>
      </c>
      <c r="L18" s="2112"/>
      <c r="M18" s="2180">
        <v>0</v>
      </c>
      <c r="N18" s="1626">
        <v>0</v>
      </c>
      <c r="O18" s="1626">
        <v>0</v>
      </c>
      <c r="P18" s="1626">
        <v>0</v>
      </c>
      <c r="Q18" s="1626">
        <v>0</v>
      </c>
      <c r="R18" s="1626">
        <v>7.8E-2</v>
      </c>
      <c r="S18" s="2178">
        <v>7.8E-2</v>
      </c>
      <c r="T18" s="2109"/>
      <c r="U18" s="2111" t="s">
        <v>17192</v>
      </c>
      <c r="V18" s="2614">
        <v>3502.49</v>
      </c>
      <c r="W18" s="1626" t="s">
        <v>16362</v>
      </c>
      <c r="X18" s="1626">
        <v>0.3</v>
      </c>
      <c r="Y18" s="2463" t="s">
        <v>17193</v>
      </c>
      <c r="Z18" s="2463" t="s">
        <v>17193</v>
      </c>
      <c r="AA18" s="2463" t="s">
        <v>16362</v>
      </c>
      <c r="AB18" s="2463" t="s">
        <v>16362</v>
      </c>
      <c r="AC18" s="2463" t="s">
        <v>16362</v>
      </c>
      <c r="AD18" s="2464" t="s">
        <v>16362</v>
      </c>
      <c r="AE18" s="88"/>
      <c r="AF18" s="98" t="s">
        <v>17212</v>
      </c>
      <c r="AG18" s="1281"/>
      <c r="AH18" s="238"/>
      <c r="AI18" s="1232" t="str">
        <f t="shared" si="17"/>
        <v>Please complete all cells in row</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1</v>
      </c>
      <c r="BD18" s="285">
        <f t="shared" si="15"/>
        <v>0</v>
      </c>
      <c r="BE18" s="285">
        <f t="shared" si="16"/>
        <v>1</v>
      </c>
      <c r="BF18" s="238"/>
      <c r="BG18" s="1360"/>
      <c r="BH18" s="1360"/>
      <c r="BI18" s="1360"/>
      <c r="BJ18" s="1360"/>
      <c r="BK18" s="1360"/>
      <c r="BL18" s="1360"/>
    </row>
    <row r="19" spans="2:64" ht="15.75" customHeight="1">
      <c r="B19" s="96" t="s">
        <v>17213</v>
      </c>
      <c r="C19" s="97" t="s">
        <v>681</v>
      </c>
      <c r="D19" s="97">
        <v>3</v>
      </c>
      <c r="E19" s="1626">
        <v>0</v>
      </c>
      <c r="F19" s="1626">
        <v>0.42599999999999999</v>
      </c>
      <c r="G19" s="1626">
        <v>0.26100000000000001</v>
      </c>
      <c r="H19" s="1626">
        <v>1.272</v>
      </c>
      <c r="I19" s="1626">
        <v>3.3279999999999998</v>
      </c>
      <c r="J19" s="1626">
        <v>0.23100000000000001</v>
      </c>
      <c r="K19" s="2178">
        <v>0</v>
      </c>
      <c r="L19" s="2112"/>
      <c r="M19" s="2180">
        <v>0</v>
      </c>
      <c r="N19" s="1626">
        <v>0</v>
      </c>
      <c r="O19" s="1626">
        <v>0</v>
      </c>
      <c r="P19" s="1626">
        <v>0</v>
      </c>
      <c r="Q19" s="1626">
        <v>0</v>
      </c>
      <c r="R19" s="1626">
        <v>0.11700000000000001</v>
      </c>
      <c r="S19" s="2178">
        <v>0.11700000000000001</v>
      </c>
      <c r="T19" s="2109"/>
      <c r="U19" s="2111" t="s">
        <v>17192</v>
      </c>
      <c r="V19" s="1626">
        <v>2227.5</v>
      </c>
      <c r="W19" s="1626" t="s">
        <v>16362</v>
      </c>
      <c r="X19" s="1626">
        <v>0.3</v>
      </c>
      <c r="Y19" s="2463" t="s">
        <v>17193</v>
      </c>
      <c r="Z19" s="2463" t="s">
        <v>17193</v>
      </c>
      <c r="AA19" s="2463" t="s">
        <v>16362</v>
      </c>
      <c r="AB19" s="2463" t="s">
        <v>16362</v>
      </c>
      <c r="AC19" s="2463" t="s">
        <v>16362</v>
      </c>
      <c r="AD19" s="2464" t="s">
        <v>16362</v>
      </c>
      <c r="AE19" s="88"/>
      <c r="AF19" s="98" t="s">
        <v>17214</v>
      </c>
      <c r="AG19" s="1281"/>
      <c r="AH19" s="238"/>
      <c r="AI19" s="1232" t="str">
        <f t="shared" si="17"/>
        <v>Please complete all cells in row</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1</v>
      </c>
      <c r="BD19" s="285">
        <f t="shared" si="15"/>
        <v>0</v>
      </c>
      <c r="BE19" s="285">
        <f t="shared" si="16"/>
        <v>1</v>
      </c>
      <c r="BF19" s="238"/>
      <c r="BG19" s="1360"/>
      <c r="BH19" s="1360"/>
      <c r="BI19" s="1360"/>
      <c r="BJ19" s="1360"/>
      <c r="BK19" s="1360"/>
      <c r="BL19" s="1360"/>
    </row>
    <row r="20" spans="2:64" ht="15.75" customHeight="1">
      <c r="B20" s="96" t="s">
        <v>17215</v>
      </c>
      <c r="C20" s="97" t="s">
        <v>681</v>
      </c>
      <c r="D20" s="97">
        <v>3</v>
      </c>
      <c r="E20" s="1626">
        <v>0</v>
      </c>
      <c r="F20" s="1626">
        <v>0</v>
      </c>
      <c r="G20" s="1626">
        <v>0</v>
      </c>
      <c r="H20" s="1626">
        <v>0.186</v>
      </c>
      <c r="I20" s="1626">
        <v>1.4830000000000001</v>
      </c>
      <c r="J20" s="1626">
        <v>2.31</v>
      </c>
      <c r="K20" s="2178">
        <v>0</v>
      </c>
      <c r="L20" s="2112"/>
      <c r="M20" s="2180">
        <v>0</v>
      </c>
      <c r="N20" s="1626">
        <v>0</v>
      </c>
      <c r="O20" s="1626">
        <v>0</v>
      </c>
      <c r="P20" s="1626">
        <v>0</v>
      </c>
      <c r="Q20" s="1626">
        <v>0</v>
      </c>
      <c r="R20" s="1626">
        <v>1.9E-2</v>
      </c>
      <c r="S20" s="2178">
        <v>7.3999999999999996E-2</v>
      </c>
      <c r="T20" s="2109"/>
      <c r="U20" s="2111" t="s">
        <v>17192</v>
      </c>
      <c r="V20" s="1626">
        <v>1663.24</v>
      </c>
      <c r="W20" s="1626" t="s">
        <v>16362</v>
      </c>
      <c r="X20" s="1626">
        <v>0.3</v>
      </c>
      <c r="Y20" s="2463" t="s">
        <v>17193</v>
      </c>
      <c r="Z20" s="2463" t="s">
        <v>17193</v>
      </c>
      <c r="AA20" s="2463">
        <v>2.25</v>
      </c>
      <c r="AB20" s="2463">
        <v>2170.16</v>
      </c>
      <c r="AC20" s="2463" t="s">
        <v>16362</v>
      </c>
      <c r="AD20" s="2464" t="s">
        <v>16362</v>
      </c>
      <c r="AE20" s="88"/>
      <c r="AF20" s="98" t="s">
        <v>17216</v>
      </c>
      <c r="AG20" s="1281"/>
      <c r="AH20" s="238"/>
      <c r="AI20" s="1232" t="str">
        <f t="shared" si="17"/>
        <v>Please complete all cells in row</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1</v>
      </c>
      <c r="BD20" s="285">
        <f t="shared" si="15"/>
        <v>0</v>
      </c>
      <c r="BE20" s="285">
        <f t="shared" si="16"/>
        <v>1</v>
      </c>
      <c r="BF20" s="238"/>
      <c r="BG20" s="1360"/>
      <c r="BH20" s="1360"/>
      <c r="BI20" s="1360"/>
      <c r="BJ20" s="1360"/>
      <c r="BK20" s="1360"/>
      <c r="BL20" s="1360"/>
    </row>
    <row r="21" spans="2:64" ht="15.75" customHeight="1">
      <c r="B21" s="96" t="s">
        <v>17217</v>
      </c>
      <c r="C21" s="97" t="s">
        <v>681</v>
      </c>
      <c r="D21" s="97">
        <v>3</v>
      </c>
      <c r="E21" s="1626">
        <v>0</v>
      </c>
      <c r="F21" s="1626">
        <v>0</v>
      </c>
      <c r="G21" s="1626">
        <v>0</v>
      </c>
      <c r="H21" s="1626">
        <v>0.151</v>
      </c>
      <c r="I21" s="1626">
        <v>1.8580000000000001</v>
      </c>
      <c r="J21" s="1626">
        <v>1.9570000000000001</v>
      </c>
      <c r="K21" s="2178">
        <v>0</v>
      </c>
      <c r="L21" s="2112"/>
      <c r="M21" s="2180">
        <v>0</v>
      </c>
      <c r="N21" s="1626">
        <v>0</v>
      </c>
      <c r="O21" s="1626">
        <v>0</v>
      </c>
      <c r="P21" s="1626">
        <v>0</v>
      </c>
      <c r="Q21" s="1626">
        <v>0</v>
      </c>
      <c r="R21" s="1626">
        <v>0.05</v>
      </c>
      <c r="S21" s="2178">
        <v>0.19800000000000001</v>
      </c>
      <c r="T21" s="2109"/>
      <c r="U21" s="2111" t="s">
        <v>17192</v>
      </c>
      <c r="V21" s="2614">
        <v>6845.84</v>
      </c>
      <c r="W21" s="1626" t="s">
        <v>16362</v>
      </c>
      <c r="X21" s="1626">
        <v>0.3</v>
      </c>
      <c r="Y21" s="2463" t="s">
        <v>17193</v>
      </c>
      <c r="Z21" s="2463" t="s">
        <v>17193</v>
      </c>
      <c r="AA21" s="2463" t="s">
        <v>16362</v>
      </c>
      <c r="AB21" s="2463" t="s">
        <v>16362</v>
      </c>
      <c r="AC21" s="2463" t="s">
        <v>16362</v>
      </c>
      <c r="AD21" s="2464" t="s">
        <v>16362</v>
      </c>
      <c r="AE21" s="88"/>
      <c r="AF21" s="98" t="s">
        <v>17218</v>
      </c>
      <c r="AG21" s="1281"/>
      <c r="AH21" s="238"/>
      <c r="AI21" s="1232" t="str">
        <f t="shared" si="17"/>
        <v>Please complete all cells in row</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1</v>
      </c>
      <c r="BD21" s="285">
        <f t="shared" si="15"/>
        <v>0</v>
      </c>
      <c r="BE21" s="285">
        <f t="shared" si="16"/>
        <v>1</v>
      </c>
      <c r="BF21" s="238"/>
      <c r="BG21" s="1360"/>
      <c r="BH21" s="1360"/>
      <c r="BI21" s="1360"/>
      <c r="BJ21" s="1360"/>
      <c r="BK21" s="1360"/>
      <c r="BL21" s="1360"/>
    </row>
    <row r="22" spans="2:64" ht="15.75" customHeight="1">
      <c r="B22" s="96" t="s">
        <v>17219</v>
      </c>
      <c r="C22" s="97" t="s">
        <v>681</v>
      </c>
      <c r="D22" s="97">
        <v>3</v>
      </c>
      <c r="E22" s="1626">
        <v>0</v>
      </c>
      <c r="F22" s="1626">
        <v>0</v>
      </c>
      <c r="G22" s="1626">
        <v>1.2E-2</v>
      </c>
      <c r="H22" s="1626">
        <v>0.216</v>
      </c>
      <c r="I22" s="1626">
        <v>2.6749999999999998</v>
      </c>
      <c r="J22" s="1626">
        <v>2.1549999999999998</v>
      </c>
      <c r="K22" s="2178">
        <v>0</v>
      </c>
      <c r="L22" s="2112"/>
      <c r="M22" s="2180">
        <v>0</v>
      </c>
      <c r="N22" s="1626">
        <v>0</v>
      </c>
      <c r="O22" s="1626">
        <v>0</v>
      </c>
      <c r="P22" s="1626">
        <v>0</v>
      </c>
      <c r="Q22" s="1626">
        <v>0</v>
      </c>
      <c r="R22" s="1626">
        <v>0.20799999999999999</v>
      </c>
      <c r="S22" s="2178">
        <v>0.20799999999999999</v>
      </c>
      <c r="T22" s="2109"/>
      <c r="U22" s="2111" t="s">
        <v>17192</v>
      </c>
      <c r="V22" s="1626">
        <v>5257.3499999999995</v>
      </c>
      <c r="W22" s="1626" t="s">
        <v>16362</v>
      </c>
      <c r="X22" s="1626">
        <v>0.7</v>
      </c>
      <c r="Y22" s="2463" t="s">
        <v>17193</v>
      </c>
      <c r="Z22" s="2463" t="s">
        <v>17193</v>
      </c>
      <c r="AA22" s="2463" t="s">
        <v>16362</v>
      </c>
      <c r="AB22" s="2463" t="s">
        <v>16362</v>
      </c>
      <c r="AC22" s="2463" t="s">
        <v>16362</v>
      </c>
      <c r="AD22" s="2464" t="s">
        <v>16362</v>
      </c>
      <c r="AE22" s="88"/>
      <c r="AF22" s="98" t="s">
        <v>17220</v>
      </c>
      <c r="AG22" s="1281"/>
      <c r="AH22" s="238"/>
      <c r="AI22" s="1232" t="str">
        <f t="shared" si="17"/>
        <v>Please complete all cells in row</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1</v>
      </c>
      <c r="BD22" s="285">
        <f t="shared" si="15"/>
        <v>0</v>
      </c>
      <c r="BE22" s="285">
        <f t="shared" si="16"/>
        <v>1</v>
      </c>
      <c r="BF22" s="238"/>
      <c r="BG22" s="1360"/>
      <c r="BH22" s="1360"/>
      <c r="BI22" s="1360"/>
      <c r="BJ22" s="1360"/>
      <c r="BK22" s="1360"/>
      <c r="BL22" s="1360"/>
    </row>
    <row r="23" spans="2:64" ht="15.75" customHeight="1">
      <c r="B23" s="96" t="s">
        <v>17221</v>
      </c>
      <c r="C23" s="97" t="s">
        <v>681</v>
      </c>
      <c r="D23" s="97">
        <v>3</v>
      </c>
      <c r="E23" s="1626">
        <v>0</v>
      </c>
      <c r="F23" s="1626">
        <v>0</v>
      </c>
      <c r="G23" s="1626">
        <v>7.8E-2</v>
      </c>
      <c r="H23" s="1626">
        <v>0.6</v>
      </c>
      <c r="I23" s="1626">
        <v>0.158</v>
      </c>
      <c r="J23" s="1626">
        <v>0</v>
      </c>
      <c r="K23" s="2178">
        <v>0</v>
      </c>
      <c r="L23" s="2112"/>
      <c r="M23" s="2180">
        <v>0</v>
      </c>
      <c r="N23" s="1626">
        <v>0</v>
      </c>
      <c r="O23" s="1626">
        <v>0</v>
      </c>
      <c r="P23" s="1626">
        <v>0</v>
      </c>
      <c r="Q23" s="1626">
        <v>0</v>
      </c>
      <c r="R23" s="1626">
        <v>5.1999999999999998E-2</v>
      </c>
      <c r="S23" s="2178">
        <v>5.1999999999999998E-2</v>
      </c>
      <c r="T23" s="2109"/>
      <c r="U23" s="2111" t="s">
        <v>17192</v>
      </c>
      <c r="V23" s="1626">
        <v>864.7</v>
      </c>
      <c r="W23" s="1626" t="s">
        <v>16362</v>
      </c>
      <c r="X23" s="1626">
        <v>2.2599999999999998</v>
      </c>
      <c r="Y23" s="2463" t="s">
        <v>17193</v>
      </c>
      <c r="Z23" s="2463" t="s">
        <v>17193</v>
      </c>
      <c r="AA23" s="2463" t="s">
        <v>16362</v>
      </c>
      <c r="AB23" s="2463" t="s">
        <v>16362</v>
      </c>
      <c r="AC23" s="2463" t="s">
        <v>16362</v>
      </c>
      <c r="AD23" s="2464" t="s">
        <v>16362</v>
      </c>
      <c r="AE23" s="88"/>
      <c r="AF23" s="98" t="s">
        <v>17222</v>
      </c>
      <c r="AG23" s="1281"/>
      <c r="AH23" s="238"/>
      <c r="AI23" s="1232" t="str">
        <f t="shared" si="17"/>
        <v>Please complete all cells in row</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1</v>
      </c>
      <c r="BD23" s="285">
        <f t="shared" si="15"/>
        <v>0</v>
      </c>
      <c r="BE23" s="285">
        <f t="shared" si="16"/>
        <v>1</v>
      </c>
      <c r="BF23" s="238"/>
      <c r="BG23" s="1360"/>
      <c r="BH23" s="1360"/>
      <c r="BI23" s="1360"/>
      <c r="BJ23" s="1360"/>
      <c r="BK23" s="1360"/>
      <c r="BL23" s="1360"/>
    </row>
    <row r="24" spans="2:64" ht="15.75" customHeight="1">
      <c r="B24" s="96" t="s">
        <v>17223</v>
      </c>
      <c r="C24" s="97" t="s">
        <v>681</v>
      </c>
      <c r="D24" s="97">
        <v>3</v>
      </c>
      <c r="E24" s="1626">
        <v>0</v>
      </c>
      <c r="F24" s="1626">
        <v>0</v>
      </c>
      <c r="G24" s="1626">
        <v>0</v>
      </c>
      <c r="H24" s="1626">
        <v>0</v>
      </c>
      <c r="I24" s="1626">
        <v>0</v>
      </c>
      <c r="J24" s="1626">
        <v>0</v>
      </c>
      <c r="K24" s="2178">
        <v>0</v>
      </c>
      <c r="L24" s="2112"/>
      <c r="M24" s="2180">
        <v>0</v>
      </c>
      <c r="N24" s="1626">
        <v>0</v>
      </c>
      <c r="O24" s="1626">
        <v>0</v>
      </c>
      <c r="P24" s="1626">
        <v>0</v>
      </c>
      <c r="Q24" s="1626">
        <v>0</v>
      </c>
      <c r="R24" s="1626">
        <v>0</v>
      </c>
      <c r="S24" s="2178">
        <v>0</v>
      </c>
      <c r="T24" s="2109"/>
      <c r="U24" s="2111" t="s">
        <v>17192</v>
      </c>
      <c r="V24" s="1626">
        <v>629.34999999999991</v>
      </c>
      <c r="W24" s="1626" t="s">
        <v>16362</v>
      </c>
      <c r="X24" s="1626">
        <v>0.3</v>
      </c>
      <c r="Y24" s="2463" t="s">
        <v>17193</v>
      </c>
      <c r="Z24" s="2463" t="s">
        <v>17193</v>
      </c>
      <c r="AA24" s="2463">
        <v>3.8</v>
      </c>
      <c r="AB24" s="2463">
        <v>1019.65</v>
      </c>
      <c r="AC24" s="2463" t="s">
        <v>16362</v>
      </c>
      <c r="AD24" s="2464" t="s">
        <v>16362</v>
      </c>
      <c r="AE24" s="88"/>
      <c r="AF24" s="98" t="s">
        <v>17224</v>
      </c>
      <c r="AG24" s="1281"/>
      <c r="AH24" s="238"/>
      <c r="AI24" s="1232" t="str">
        <f t="shared" si="17"/>
        <v>Please complete all cells in row</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1</v>
      </c>
      <c r="BD24" s="285">
        <f t="shared" si="15"/>
        <v>0</v>
      </c>
      <c r="BE24" s="285">
        <f t="shared" si="16"/>
        <v>1</v>
      </c>
      <c r="BF24" s="238"/>
      <c r="BG24" s="1360"/>
      <c r="BH24" s="1360"/>
      <c r="BI24" s="1360"/>
      <c r="BJ24" s="1360"/>
      <c r="BK24" s="1360"/>
      <c r="BL24" s="1360"/>
    </row>
    <row r="25" spans="2:64" ht="15.75" customHeight="1">
      <c r="B25" s="96" t="s">
        <v>17225</v>
      </c>
      <c r="C25" s="97" t="s">
        <v>681</v>
      </c>
      <c r="D25" s="97">
        <v>3</v>
      </c>
      <c r="E25" s="1626">
        <v>0</v>
      </c>
      <c r="F25" s="1626">
        <v>0</v>
      </c>
      <c r="G25" s="1626">
        <v>0</v>
      </c>
      <c r="H25" s="1626">
        <v>0.122</v>
      </c>
      <c r="I25" s="1626">
        <v>1.4139999999999999</v>
      </c>
      <c r="J25" s="1626">
        <v>1.5169999999999999</v>
      </c>
      <c r="K25" s="2178">
        <v>0</v>
      </c>
      <c r="L25" s="2112"/>
      <c r="M25" s="2180">
        <v>0</v>
      </c>
      <c r="N25" s="1626">
        <v>0</v>
      </c>
      <c r="O25" s="1626">
        <v>0</v>
      </c>
      <c r="P25" s="1626">
        <v>0</v>
      </c>
      <c r="Q25" s="1626">
        <v>0</v>
      </c>
      <c r="R25" s="1626">
        <v>6.6000000000000003E-2</v>
      </c>
      <c r="S25" s="2178">
        <v>0.26200000000000001</v>
      </c>
      <c r="T25" s="2109"/>
      <c r="U25" s="2111" t="s">
        <v>17192</v>
      </c>
      <c r="V25" s="2614">
        <v>843.73599999999999</v>
      </c>
      <c r="W25" s="1626" t="s">
        <v>16362</v>
      </c>
      <c r="X25" s="1626">
        <v>0.4</v>
      </c>
      <c r="Y25" s="2463" t="s">
        <v>17193</v>
      </c>
      <c r="Z25" s="2463" t="s">
        <v>17193</v>
      </c>
      <c r="AA25" s="2463" t="s">
        <v>16362</v>
      </c>
      <c r="AB25" s="2463" t="s">
        <v>16362</v>
      </c>
      <c r="AC25" s="2463" t="s">
        <v>16362</v>
      </c>
      <c r="AD25" s="2464" t="s">
        <v>16362</v>
      </c>
      <c r="AE25" s="88"/>
      <c r="AF25" s="98" t="s">
        <v>17226</v>
      </c>
      <c r="AG25" s="1281"/>
      <c r="AH25" s="238"/>
      <c r="AI25" s="1232" t="str">
        <f t="shared" si="17"/>
        <v>Please complete all cells in row</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1</v>
      </c>
      <c r="BD25" s="285">
        <f t="shared" si="15"/>
        <v>0</v>
      </c>
      <c r="BE25" s="285">
        <f t="shared" si="16"/>
        <v>1</v>
      </c>
      <c r="BF25" s="238"/>
      <c r="BG25" s="1360"/>
      <c r="BH25" s="1360"/>
      <c r="BI25" s="1360"/>
      <c r="BJ25" s="1360"/>
      <c r="BK25" s="1360"/>
      <c r="BL25" s="1360"/>
    </row>
    <row r="26" spans="2:64" ht="15.75" customHeight="1">
      <c r="B26" s="96" t="s">
        <v>17227</v>
      </c>
      <c r="C26" s="97" t="s">
        <v>681</v>
      </c>
      <c r="D26" s="97">
        <v>3</v>
      </c>
      <c r="E26" s="1626">
        <v>0</v>
      </c>
      <c r="F26" s="1626">
        <v>0</v>
      </c>
      <c r="G26" s="1626">
        <v>0</v>
      </c>
      <c r="H26" s="1626">
        <v>0</v>
      </c>
      <c r="I26" s="1626">
        <v>0</v>
      </c>
      <c r="J26" s="1626">
        <v>0</v>
      </c>
      <c r="K26" s="2178">
        <v>0</v>
      </c>
      <c r="L26" s="2112"/>
      <c r="M26" s="2180">
        <v>0</v>
      </c>
      <c r="N26" s="1626">
        <v>0</v>
      </c>
      <c r="O26" s="1626">
        <v>0</v>
      </c>
      <c r="P26" s="1626">
        <v>0</v>
      </c>
      <c r="Q26" s="1626">
        <v>0</v>
      </c>
      <c r="R26" s="1626">
        <v>0</v>
      </c>
      <c r="S26" s="2178">
        <v>0</v>
      </c>
      <c r="T26" s="2109"/>
      <c r="U26" s="2111" t="s">
        <v>17192</v>
      </c>
      <c r="V26" s="1626">
        <v>1752.24</v>
      </c>
      <c r="W26" s="1626" t="s">
        <v>16362</v>
      </c>
      <c r="X26" s="1626">
        <v>0.6</v>
      </c>
      <c r="Y26" s="2463" t="s">
        <v>17193</v>
      </c>
      <c r="Z26" s="2463" t="s">
        <v>17193</v>
      </c>
      <c r="AA26" s="2463">
        <v>3.4380000000000002</v>
      </c>
      <c r="AB26" s="2463">
        <v>1969.92</v>
      </c>
      <c r="AC26" s="2463" t="s">
        <v>16362</v>
      </c>
      <c r="AD26" s="2464" t="s">
        <v>16362</v>
      </c>
      <c r="AE26" s="88"/>
      <c r="AF26" s="98" t="s">
        <v>17228</v>
      </c>
      <c r="AH26" s="238"/>
      <c r="AI26" s="1232" t="str">
        <f t="shared" si="17"/>
        <v>Please complete all cells in row</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1</v>
      </c>
      <c r="BD26" s="285">
        <f t="shared" si="15"/>
        <v>0</v>
      </c>
      <c r="BE26" s="285">
        <f t="shared" si="16"/>
        <v>1</v>
      </c>
      <c r="BF26" s="238"/>
      <c r="BG26" s="1360"/>
      <c r="BH26" s="1360"/>
      <c r="BI26" s="1360"/>
      <c r="BJ26" s="1360"/>
      <c r="BK26" s="1360"/>
      <c r="BL26" s="1360"/>
    </row>
    <row r="27" spans="2:64" ht="15.75" customHeight="1">
      <c r="B27" s="96" t="s">
        <v>17229</v>
      </c>
      <c r="C27" s="97" t="s">
        <v>681</v>
      </c>
      <c r="D27" s="97">
        <v>3</v>
      </c>
      <c r="E27" s="1626">
        <v>0</v>
      </c>
      <c r="F27" s="1626">
        <v>0</v>
      </c>
      <c r="G27" s="1626">
        <v>0.13800000000000001</v>
      </c>
      <c r="H27" s="1626">
        <v>0.504</v>
      </c>
      <c r="I27" s="1626">
        <v>5.2009999999999996</v>
      </c>
      <c r="J27" s="1626">
        <v>4.17</v>
      </c>
      <c r="K27" s="2178">
        <v>0</v>
      </c>
      <c r="L27" s="2112"/>
      <c r="M27" s="2180">
        <v>0</v>
      </c>
      <c r="N27" s="1626">
        <v>0</v>
      </c>
      <c r="O27" s="1626">
        <v>0</v>
      </c>
      <c r="P27" s="1626">
        <v>0</v>
      </c>
      <c r="Q27" s="1626">
        <v>0</v>
      </c>
      <c r="R27" s="1626">
        <v>0</v>
      </c>
      <c r="S27" s="2178">
        <v>0.28100000000000003</v>
      </c>
      <c r="T27" s="2109"/>
      <c r="U27" s="2111" t="s">
        <v>17192</v>
      </c>
      <c r="V27" s="1626">
        <v>1313.2</v>
      </c>
      <c r="W27" s="1626" t="s">
        <v>16362</v>
      </c>
      <c r="X27" s="1626">
        <v>0.3</v>
      </c>
      <c r="Y27" s="2463" t="s">
        <v>17193</v>
      </c>
      <c r="Z27" s="2463" t="s">
        <v>17193</v>
      </c>
      <c r="AA27" s="2463">
        <v>3.1789999999999998</v>
      </c>
      <c r="AB27" s="2463">
        <v>1274.25</v>
      </c>
      <c r="AC27" s="2463" t="s">
        <v>16362</v>
      </c>
      <c r="AD27" s="2464" t="s">
        <v>16362</v>
      </c>
      <c r="AE27" s="88"/>
      <c r="AF27" s="98" t="s">
        <v>17230</v>
      </c>
      <c r="AH27" s="238"/>
      <c r="AI27" s="1232" t="str">
        <f t="shared" si="17"/>
        <v>Please complete all cells in row</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1</v>
      </c>
      <c r="BD27" s="285">
        <f t="shared" si="15"/>
        <v>0</v>
      </c>
      <c r="BE27" s="285">
        <f t="shared" si="16"/>
        <v>1</v>
      </c>
      <c r="BF27" s="238"/>
      <c r="BG27" s="1360"/>
      <c r="BH27" s="1360"/>
      <c r="BI27" s="1360"/>
      <c r="BJ27" s="1360"/>
      <c r="BK27" s="1360"/>
      <c r="BL27" s="1360"/>
    </row>
    <row r="28" spans="2:64" ht="15.75" customHeight="1">
      <c r="B28" s="96" t="s">
        <v>17231</v>
      </c>
      <c r="C28" s="97" t="s">
        <v>681</v>
      </c>
      <c r="D28" s="97">
        <v>3</v>
      </c>
      <c r="E28" s="1626">
        <v>0</v>
      </c>
      <c r="F28" s="1626">
        <v>0</v>
      </c>
      <c r="G28" s="1626">
        <v>0</v>
      </c>
      <c r="H28" s="1626">
        <v>0</v>
      </c>
      <c r="I28" s="1626">
        <v>0</v>
      </c>
      <c r="J28" s="1626">
        <v>0</v>
      </c>
      <c r="K28" s="2178">
        <v>0</v>
      </c>
      <c r="L28" s="2112"/>
      <c r="M28" s="2180">
        <v>0</v>
      </c>
      <c r="N28" s="1626">
        <v>0</v>
      </c>
      <c r="O28" s="1626">
        <v>0</v>
      </c>
      <c r="P28" s="1626">
        <v>0</v>
      </c>
      <c r="Q28" s="1626">
        <v>0</v>
      </c>
      <c r="R28" s="1626">
        <v>0</v>
      </c>
      <c r="S28" s="2178">
        <v>0</v>
      </c>
      <c r="T28" s="2109"/>
      <c r="U28" s="2111" t="s">
        <v>17192</v>
      </c>
      <c r="V28" s="1626">
        <v>1437.12</v>
      </c>
      <c r="W28" s="1626" t="s">
        <v>16362</v>
      </c>
      <c r="X28" s="1626">
        <v>1</v>
      </c>
      <c r="Y28" s="2463" t="s">
        <v>17193</v>
      </c>
      <c r="Z28" s="2463" t="s">
        <v>17193</v>
      </c>
      <c r="AA28" s="2463">
        <v>4.4459999999999997</v>
      </c>
      <c r="AB28" s="2463">
        <v>891.78</v>
      </c>
      <c r="AC28" s="2463" t="s">
        <v>16362</v>
      </c>
      <c r="AD28" s="2464" t="s">
        <v>16362</v>
      </c>
      <c r="AE28" s="88"/>
      <c r="AF28" s="98" t="s">
        <v>17232</v>
      </c>
      <c r="AH28" s="238"/>
      <c r="AI28" s="1232" t="str">
        <f t="shared" si="17"/>
        <v>Please complete all cells in row</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1</v>
      </c>
      <c r="BD28" s="285">
        <f t="shared" si="15"/>
        <v>0</v>
      </c>
      <c r="BE28" s="285">
        <f t="shared" si="16"/>
        <v>1</v>
      </c>
      <c r="BF28" s="238"/>
      <c r="BG28" s="1360"/>
      <c r="BH28" s="1360"/>
      <c r="BI28" s="1360"/>
      <c r="BJ28" s="1360"/>
      <c r="BK28" s="1360"/>
      <c r="BL28" s="1360"/>
    </row>
    <row r="29" spans="2:64" ht="15.75" customHeight="1">
      <c r="B29" s="96" t="s">
        <v>17233</v>
      </c>
      <c r="C29" s="97" t="s">
        <v>681</v>
      </c>
      <c r="D29" s="97">
        <v>3</v>
      </c>
      <c r="E29" s="1626">
        <v>0</v>
      </c>
      <c r="F29" s="1626">
        <v>0</v>
      </c>
      <c r="G29" s="1626">
        <v>0</v>
      </c>
      <c r="H29" s="1626">
        <v>0.156</v>
      </c>
      <c r="I29" s="1626">
        <v>1.917</v>
      </c>
      <c r="J29" s="1626">
        <v>1.389</v>
      </c>
      <c r="K29" s="2178">
        <v>0</v>
      </c>
      <c r="L29" s="2112"/>
      <c r="M29" s="2180">
        <v>0</v>
      </c>
      <c r="N29" s="1626">
        <v>0</v>
      </c>
      <c r="O29" s="1626">
        <v>0</v>
      </c>
      <c r="P29" s="1626">
        <v>0</v>
      </c>
      <c r="Q29" s="1626">
        <v>0</v>
      </c>
      <c r="R29" s="1626">
        <v>0.24199999999999999</v>
      </c>
      <c r="S29" s="2178">
        <v>0.24199999999999999</v>
      </c>
      <c r="T29" s="2109"/>
      <c r="U29" s="2111" t="s">
        <v>17192</v>
      </c>
      <c r="V29" s="1626">
        <v>6488.08</v>
      </c>
      <c r="W29" s="1626" t="s">
        <v>16362</v>
      </c>
      <c r="X29" s="1626">
        <v>0.25</v>
      </c>
      <c r="Y29" s="2463" t="s">
        <v>17193</v>
      </c>
      <c r="Z29" s="2463" t="s">
        <v>17193</v>
      </c>
      <c r="AA29" s="2463" t="s">
        <v>16362</v>
      </c>
      <c r="AB29" s="2463" t="s">
        <v>16362</v>
      </c>
      <c r="AC29" s="2463" t="s">
        <v>16362</v>
      </c>
      <c r="AD29" s="2464" t="s">
        <v>16362</v>
      </c>
      <c r="AE29" s="88"/>
      <c r="AF29" s="98" t="s">
        <v>17234</v>
      </c>
      <c r="AH29" s="238"/>
      <c r="AI29" s="1232" t="str">
        <f t="shared" si="17"/>
        <v>Please complete all cells in row</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1</v>
      </c>
      <c r="BD29" s="285">
        <f t="shared" si="15"/>
        <v>0</v>
      </c>
      <c r="BE29" s="285">
        <f t="shared" si="16"/>
        <v>1</v>
      </c>
      <c r="BF29" s="238"/>
      <c r="BG29" s="1360"/>
      <c r="BH29" s="1360"/>
      <c r="BI29" s="1360"/>
      <c r="BJ29" s="1360"/>
      <c r="BK29" s="1360"/>
      <c r="BL29" s="1360"/>
    </row>
    <row r="30" spans="2:64" ht="15.75" customHeight="1">
      <c r="B30" s="96" t="s">
        <v>17235</v>
      </c>
      <c r="C30" s="97" t="s">
        <v>681</v>
      </c>
      <c r="D30" s="97">
        <v>3</v>
      </c>
      <c r="E30" s="1626">
        <v>0</v>
      </c>
      <c r="F30" s="1626">
        <v>0</v>
      </c>
      <c r="G30" s="1626">
        <v>1.2E-2</v>
      </c>
      <c r="H30" s="1626">
        <v>0.18</v>
      </c>
      <c r="I30" s="1626">
        <v>3.149</v>
      </c>
      <c r="J30" s="1626">
        <v>1.367</v>
      </c>
      <c r="K30" s="2178">
        <v>0</v>
      </c>
      <c r="L30" s="2112"/>
      <c r="M30" s="2180">
        <v>0</v>
      </c>
      <c r="N30" s="1626">
        <v>0</v>
      </c>
      <c r="O30" s="1626">
        <v>0</v>
      </c>
      <c r="P30" s="1626">
        <v>0</v>
      </c>
      <c r="Q30" s="1626">
        <v>0</v>
      </c>
      <c r="R30" s="1626">
        <v>0.188</v>
      </c>
      <c r="S30" s="2178">
        <v>0.188</v>
      </c>
      <c r="T30" s="2109"/>
      <c r="U30" s="2111" t="s">
        <v>17192</v>
      </c>
      <c r="V30" s="1626">
        <v>5415.23</v>
      </c>
      <c r="W30" s="1626" t="s">
        <v>16362</v>
      </c>
      <c r="X30" s="1626">
        <v>0.25</v>
      </c>
      <c r="Y30" s="2463" t="s">
        <v>17193</v>
      </c>
      <c r="Z30" s="2463" t="s">
        <v>17193</v>
      </c>
      <c r="AA30" s="2463" t="s">
        <v>16362</v>
      </c>
      <c r="AB30" s="2463" t="s">
        <v>16362</v>
      </c>
      <c r="AC30" s="2463" t="s">
        <v>16362</v>
      </c>
      <c r="AD30" s="2464" t="s">
        <v>16362</v>
      </c>
      <c r="AE30" s="88"/>
      <c r="AF30" s="98" t="s">
        <v>17236</v>
      </c>
      <c r="AH30" s="238"/>
      <c r="AI30" s="1232" t="str">
        <f t="shared" si="17"/>
        <v>Please complete all cells in row</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1</v>
      </c>
      <c r="BD30" s="285">
        <f t="shared" si="15"/>
        <v>0</v>
      </c>
      <c r="BE30" s="285">
        <f t="shared" si="16"/>
        <v>1</v>
      </c>
      <c r="BF30" s="238"/>
      <c r="BG30" s="1360"/>
      <c r="BH30" s="1360"/>
      <c r="BI30" s="1360"/>
      <c r="BJ30" s="1360"/>
      <c r="BK30" s="1360"/>
      <c r="BL30" s="1360"/>
    </row>
    <row r="31" spans="2:64" ht="15.75" customHeight="1">
      <c r="B31" s="96" t="s">
        <v>17237</v>
      </c>
      <c r="C31" s="97" t="s">
        <v>681</v>
      </c>
      <c r="D31" s="97">
        <v>3</v>
      </c>
      <c r="E31" s="1626">
        <v>0</v>
      </c>
      <c r="F31" s="1626">
        <v>0.61799999999999999</v>
      </c>
      <c r="G31" s="1626">
        <v>0.68</v>
      </c>
      <c r="H31" s="1626">
        <v>5.0830000000000002</v>
      </c>
      <c r="I31" s="1626">
        <v>6.0019999999999998</v>
      </c>
      <c r="J31" s="1626">
        <v>5.3999999999999999E-2</v>
      </c>
      <c r="K31" s="2178">
        <v>0</v>
      </c>
      <c r="L31" s="2112"/>
      <c r="M31" s="2180">
        <v>0</v>
      </c>
      <c r="N31" s="1626">
        <v>0</v>
      </c>
      <c r="O31" s="1626">
        <v>0</v>
      </c>
      <c r="P31" s="1626">
        <v>0</v>
      </c>
      <c r="Q31" s="1626">
        <v>0</v>
      </c>
      <c r="R31" s="1626">
        <v>0.111</v>
      </c>
      <c r="S31" s="2178">
        <v>0.111</v>
      </c>
      <c r="T31" s="2109"/>
      <c r="U31" s="2111" t="s">
        <v>17192</v>
      </c>
      <c r="V31" s="1626">
        <v>5706.49</v>
      </c>
      <c r="W31" s="1626" t="s">
        <v>16362</v>
      </c>
      <c r="X31" s="1626">
        <v>0.5</v>
      </c>
      <c r="Y31" s="2463" t="s">
        <v>17193</v>
      </c>
      <c r="Z31" s="2463" t="s">
        <v>17193</v>
      </c>
      <c r="AA31" s="2463" t="s">
        <v>16362</v>
      </c>
      <c r="AB31" s="2463" t="s">
        <v>16362</v>
      </c>
      <c r="AC31" s="2463" t="s">
        <v>16362</v>
      </c>
      <c r="AD31" s="2464" t="s">
        <v>16362</v>
      </c>
      <c r="AE31" s="88"/>
      <c r="AF31" s="98" t="s">
        <v>17238</v>
      </c>
      <c r="AH31" s="238"/>
      <c r="AI31" s="1232" t="str">
        <f t="shared" si="17"/>
        <v>Please complete all cells in row</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1</v>
      </c>
      <c r="BD31" s="285">
        <f t="shared" si="15"/>
        <v>0</v>
      </c>
      <c r="BE31" s="285">
        <f t="shared" si="16"/>
        <v>1</v>
      </c>
      <c r="BF31" s="238"/>
      <c r="BG31" s="1360"/>
      <c r="BH31" s="1360"/>
      <c r="BI31" s="1360"/>
      <c r="BJ31" s="1360"/>
      <c r="BK31" s="1360"/>
      <c r="BL31" s="1360"/>
    </row>
    <row r="32" spans="2:64" ht="15.75" customHeight="1">
      <c r="B32" s="96" t="s">
        <v>17239</v>
      </c>
      <c r="C32" s="97" t="s">
        <v>681</v>
      </c>
      <c r="D32" s="97">
        <v>3</v>
      </c>
      <c r="E32" s="1626">
        <v>0</v>
      </c>
      <c r="F32" s="1626">
        <v>0.17</v>
      </c>
      <c r="G32" s="1626">
        <v>8.4000000000000005E-2</v>
      </c>
      <c r="H32" s="1626">
        <v>0.13900000000000001</v>
      </c>
      <c r="I32" s="1626">
        <v>2.2909999999999999</v>
      </c>
      <c r="J32" s="1626">
        <v>2.5990000000000002</v>
      </c>
      <c r="K32" s="2178">
        <v>0</v>
      </c>
      <c r="L32" s="2112"/>
      <c r="M32" s="2180">
        <v>0</v>
      </c>
      <c r="N32" s="1626">
        <v>0</v>
      </c>
      <c r="O32" s="1626">
        <v>0</v>
      </c>
      <c r="P32" s="1626">
        <v>0</v>
      </c>
      <c r="Q32" s="1626">
        <v>0</v>
      </c>
      <c r="R32" s="1626">
        <v>1.7999999999999999E-2</v>
      </c>
      <c r="S32" s="2178">
        <v>7.0999999999999994E-2</v>
      </c>
      <c r="T32" s="2109"/>
      <c r="U32" s="2111" t="s">
        <v>17192</v>
      </c>
      <c r="V32" s="1626">
        <v>291.09999999999997</v>
      </c>
      <c r="W32" s="1626" t="s">
        <v>16362</v>
      </c>
      <c r="X32" s="1626">
        <v>2</v>
      </c>
      <c r="Y32" s="2463" t="s">
        <v>17193</v>
      </c>
      <c r="Z32" s="2463" t="s">
        <v>17193</v>
      </c>
      <c r="AA32" s="2463" t="s">
        <v>16362</v>
      </c>
      <c r="AB32" s="2463" t="s">
        <v>16362</v>
      </c>
      <c r="AC32" s="2463" t="s">
        <v>16362</v>
      </c>
      <c r="AD32" s="2464" t="s">
        <v>16362</v>
      </c>
      <c r="AE32" s="88"/>
      <c r="AF32" s="98" t="s">
        <v>17240</v>
      </c>
      <c r="AH32" s="238"/>
      <c r="AI32" s="1232" t="str">
        <f t="shared" si="17"/>
        <v>Please complete all cells in row</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1</v>
      </c>
      <c r="BD32" s="285">
        <f t="shared" si="15"/>
        <v>0</v>
      </c>
      <c r="BE32" s="285">
        <f t="shared" si="16"/>
        <v>1</v>
      </c>
      <c r="BF32" s="238"/>
      <c r="BG32" s="1360"/>
      <c r="BH32" s="1360"/>
      <c r="BI32" s="1360"/>
      <c r="BJ32" s="1360"/>
      <c r="BK32" s="1360"/>
      <c r="BL32" s="1360"/>
    </row>
    <row r="33" spans="2:64" ht="15.75" customHeight="1">
      <c r="B33" s="96" t="s">
        <v>17241</v>
      </c>
      <c r="C33" s="97" t="s">
        <v>681</v>
      </c>
      <c r="D33" s="97">
        <v>3</v>
      </c>
      <c r="E33" s="1626">
        <v>0</v>
      </c>
      <c r="F33" s="1626">
        <v>0</v>
      </c>
      <c r="G33" s="1626">
        <v>0.17199999999999999</v>
      </c>
      <c r="H33" s="1626">
        <v>0.24099999999999999</v>
      </c>
      <c r="I33" s="1626">
        <v>2.29</v>
      </c>
      <c r="J33" s="1626">
        <v>5.0679999999999996</v>
      </c>
      <c r="K33" s="2178">
        <v>0</v>
      </c>
      <c r="L33" s="2112"/>
      <c r="M33" s="2180">
        <v>0</v>
      </c>
      <c r="N33" s="1626">
        <v>0</v>
      </c>
      <c r="O33" s="1626">
        <v>0</v>
      </c>
      <c r="P33" s="1626">
        <v>0</v>
      </c>
      <c r="Q33" s="1626">
        <v>0</v>
      </c>
      <c r="R33" s="1626">
        <v>5.8999999999999997E-2</v>
      </c>
      <c r="S33" s="2178">
        <v>0.23400000000000001</v>
      </c>
      <c r="T33" s="2109"/>
      <c r="U33" s="2111" t="s">
        <v>17192</v>
      </c>
      <c r="V33" s="1626">
        <v>1652.048</v>
      </c>
      <c r="W33" s="1626" t="s">
        <v>16362</v>
      </c>
      <c r="X33" s="1626">
        <v>0.4</v>
      </c>
      <c r="Y33" s="2463" t="s">
        <v>17193</v>
      </c>
      <c r="Z33" s="2463" t="s">
        <v>17193</v>
      </c>
      <c r="AA33" s="2463">
        <v>4.5</v>
      </c>
      <c r="AB33" s="2463">
        <v>1361.06</v>
      </c>
      <c r="AC33" s="2463" t="s">
        <v>16362</v>
      </c>
      <c r="AD33" s="2464" t="s">
        <v>16362</v>
      </c>
      <c r="AE33" s="88"/>
      <c r="AF33" s="98" t="s">
        <v>17242</v>
      </c>
      <c r="AH33" s="238"/>
      <c r="AI33" s="1232" t="str">
        <f t="shared" si="17"/>
        <v>Please complete all cells in row</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1</v>
      </c>
      <c r="BD33" s="285">
        <f t="shared" si="15"/>
        <v>0</v>
      </c>
      <c r="BE33" s="285">
        <f t="shared" si="16"/>
        <v>1</v>
      </c>
      <c r="BF33" s="238"/>
      <c r="BG33" s="1360"/>
      <c r="BH33" s="1360"/>
      <c r="BI33" s="1360"/>
      <c r="BJ33" s="1360"/>
      <c r="BK33" s="1360"/>
      <c r="BL33" s="1360"/>
    </row>
    <row r="34" spans="2:64" ht="15.75" customHeight="1">
      <c r="B34" s="96" t="s">
        <v>17243</v>
      </c>
      <c r="C34" s="97" t="s">
        <v>681</v>
      </c>
      <c r="D34" s="97">
        <v>3</v>
      </c>
      <c r="E34" s="1626">
        <v>0</v>
      </c>
      <c r="F34" s="1626">
        <v>0</v>
      </c>
      <c r="G34" s="1626">
        <v>1.2E-2</v>
      </c>
      <c r="H34" s="1626">
        <v>0.14299999999999999</v>
      </c>
      <c r="I34" s="1626">
        <v>0</v>
      </c>
      <c r="J34" s="1626">
        <v>0</v>
      </c>
      <c r="K34" s="2613">
        <v>0.75</v>
      </c>
      <c r="L34" s="2112"/>
      <c r="M34" s="2180">
        <v>0</v>
      </c>
      <c r="N34" s="1626">
        <v>0</v>
      </c>
      <c r="O34" s="1626">
        <v>0</v>
      </c>
      <c r="P34" s="1626">
        <v>0</v>
      </c>
      <c r="Q34" s="1626">
        <v>0</v>
      </c>
      <c r="R34" s="1626">
        <v>0.19900000000000001</v>
      </c>
      <c r="S34" s="2178">
        <v>0.19900000000000001</v>
      </c>
      <c r="T34" s="2109"/>
      <c r="U34" s="2111" t="s">
        <v>17192</v>
      </c>
      <c r="V34" s="1626">
        <v>4913.12</v>
      </c>
      <c r="W34" s="1626" t="s">
        <v>16362</v>
      </c>
      <c r="X34" s="1626">
        <v>0.3</v>
      </c>
      <c r="Y34" s="2463" t="s">
        <v>17193</v>
      </c>
      <c r="Z34" s="2463" t="s">
        <v>17244</v>
      </c>
      <c r="AA34" s="2463" t="s">
        <v>16362</v>
      </c>
      <c r="AB34" s="2463" t="s">
        <v>16362</v>
      </c>
      <c r="AC34" s="2463" t="s">
        <v>16362</v>
      </c>
      <c r="AD34" s="2464" t="s">
        <v>16362</v>
      </c>
      <c r="AE34" s="88"/>
      <c r="AF34" s="98" t="s">
        <v>17245</v>
      </c>
      <c r="AH34" s="238"/>
      <c r="AI34" s="1232" t="str">
        <f t="shared" si="17"/>
        <v>Please complete all cells in row</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1</v>
      </c>
      <c r="BD34" s="285">
        <f t="shared" si="15"/>
        <v>0</v>
      </c>
      <c r="BE34" s="285">
        <f t="shared" si="16"/>
        <v>1</v>
      </c>
      <c r="BF34" s="238"/>
      <c r="BG34" s="1360"/>
      <c r="BH34" s="1360"/>
      <c r="BI34" s="1360"/>
      <c r="BJ34" s="1360"/>
      <c r="BK34" s="1360"/>
      <c r="BL34" s="1360"/>
    </row>
    <row r="35" spans="2:64" ht="15.75" customHeight="1">
      <c r="B35" s="96" t="s">
        <v>17246</v>
      </c>
      <c r="C35" s="97" t="s">
        <v>681</v>
      </c>
      <c r="D35" s="97">
        <v>3</v>
      </c>
      <c r="E35" s="1626">
        <v>0</v>
      </c>
      <c r="F35" s="1626">
        <v>0</v>
      </c>
      <c r="G35" s="1626">
        <v>0</v>
      </c>
      <c r="H35" s="1626">
        <v>0.183</v>
      </c>
      <c r="I35" s="1626">
        <v>1.212</v>
      </c>
      <c r="J35" s="1626">
        <v>0.40500000000000003</v>
      </c>
      <c r="K35" s="2613">
        <v>0.75</v>
      </c>
      <c r="L35" s="2112"/>
      <c r="M35" s="2180">
        <v>0</v>
      </c>
      <c r="N35" s="1626">
        <v>0</v>
      </c>
      <c r="O35" s="1626">
        <v>0</v>
      </c>
      <c r="P35" s="1626">
        <v>0</v>
      </c>
      <c r="Q35" s="1626">
        <v>0</v>
      </c>
      <c r="R35" s="1626">
        <v>2.9000000000000001E-2</v>
      </c>
      <c r="S35" s="2178">
        <v>0.11600000000000001</v>
      </c>
      <c r="T35" s="2109"/>
      <c r="U35" s="2111" t="s">
        <v>17192</v>
      </c>
      <c r="V35" s="1626">
        <v>8912.44</v>
      </c>
      <c r="W35" s="1626" t="s">
        <v>16362</v>
      </c>
      <c r="X35" s="1626">
        <v>0.7</v>
      </c>
      <c r="Y35" s="2463" t="s">
        <v>17193</v>
      </c>
      <c r="Z35" s="2463" t="s">
        <v>17244</v>
      </c>
      <c r="AA35" s="2463" t="s">
        <v>16362</v>
      </c>
      <c r="AB35" s="2463" t="s">
        <v>16362</v>
      </c>
      <c r="AC35" s="2463" t="s">
        <v>16362</v>
      </c>
      <c r="AD35" s="2464" t="s">
        <v>16362</v>
      </c>
      <c r="AE35" s="88"/>
      <c r="AF35" s="98" t="s">
        <v>17247</v>
      </c>
      <c r="AH35" s="238"/>
      <c r="AI35" s="1232" t="str">
        <f t="shared" si="17"/>
        <v>Please complete all cells in row</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1</v>
      </c>
      <c r="BD35" s="285">
        <f t="shared" si="15"/>
        <v>0</v>
      </c>
      <c r="BE35" s="285">
        <f t="shared" si="16"/>
        <v>1</v>
      </c>
      <c r="BF35" s="238"/>
      <c r="BG35" s="1360"/>
      <c r="BH35" s="1360"/>
      <c r="BI35" s="1360"/>
      <c r="BJ35" s="1360"/>
      <c r="BK35" s="1360"/>
      <c r="BL35" s="1360"/>
    </row>
    <row r="36" spans="2:64" ht="15.75" customHeight="1">
      <c r="B36" s="96" t="s">
        <v>17248</v>
      </c>
      <c r="C36" s="97" t="s">
        <v>681</v>
      </c>
      <c r="D36" s="97">
        <v>3</v>
      </c>
      <c r="E36" s="1626">
        <v>0</v>
      </c>
      <c r="F36" s="1626">
        <v>0</v>
      </c>
      <c r="G36" s="1626">
        <v>4.077</v>
      </c>
      <c r="H36" s="1626">
        <v>3.98</v>
      </c>
      <c r="I36" s="1626">
        <v>2.2469999999999999</v>
      </c>
      <c r="J36" s="1626">
        <v>0.69799999999999995</v>
      </c>
      <c r="K36" s="2178">
        <v>0</v>
      </c>
      <c r="L36" s="2112"/>
      <c r="M36" s="2180">
        <v>0</v>
      </c>
      <c r="N36" s="1626">
        <v>0</v>
      </c>
      <c r="O36" s="1626">
        <v>0</v>
      </c>
      <c r="P36" s="1626">
        <v>0</v>
      </c>
      <c r="Q36" s="1626">
        <v>0</v>
      </c>
      <c r="R36" s="1626">
        <v>0</v>
      </c>
      <c r="S36" s="2178">
        <v>0</v>
      </c>
      <c r="T36" s="2109"/>
      <c r="U36" s="2111" t="s">
        <v>17192</v>
      </c>
      <c r="V36" s="1626"/>
      <c r="W36" s="1626"/>
      <c r="X36" s="1626"/>
      <c r="Y36" s="2332"/>
      <c r="Z36" s="2463"/>
      <c r="AA36" s="2463"/>
      <c r="AB36" s="2463"/>
      <c r="AC36" s="2463"/>
      <c r="AD36" s="2464"/>
      <c r="AE36" s="88"/>
      <c r="AF36" s="98" t="s">
        <v>17249</v>
      </c>
      <c r="AH36" s="238"/>
      <c r="AI36" s="1232" t="str">
        <f t="shared" si="17"/>
        <v>Please complete all cells in row</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1</v>
      </c>
      <c r="BC36" s="285">
        <f t="shared" si="14"/>
        <v>1</v>
      </c>
      <c r="BD36" s="285">
        <f t="shared" si="15"/>
        <v>1</v>
      </c>
      <c r="BE36" s="285">
        <f t="shared" si="16"/>
        <v>1</v>
      </c>
      <c r="BF36" s="238"/>
      <c r="BG36" s="1360"/>
      <c r="BH36" s="1360"/>
      <c r="BI36" s="1360"/>
      <c r="BJ36" s="1360"/>
      <c r="BK36" s="1360"/>
      <c r="BL36" s="1360"/>
    </row>
    <row r="37" spans="2:64" ht="15.75" customHeight="1">
      <c r="B37" s="96" t="s">
        <v>17250</v>
      </c>
      <c r="C37" s="97" t="s">
        <v>681</v>
      </c>
      <c r="D37" s="97">
        <v>3</v>
      </c>
      <c r="E37" s="2612">
        <v>11.282999999999999</v>
      </c>
      <c r="F37" s="1626">
        <v>1.022</v>
      </c>
      <c r="G37" s="1626">
        <v>0</v>
      </c>
      <c r="H37" s="1626">
        <v>0</v>
      </c>
      <c r="I37" s="1626">
        <v>0</v>
      </c>
      <c r="J37" s="1626">
        <v>0</v>
      </c>
      <c r="K37" s="2178">
        <v>0</v>
      </c>
      <c r="L37" s="2112"/>
      <c r="M37" s="2615">
        <v>7.1999999999999995E-2</v>
      </c>
      <c r="N37" s="2612">
        <v>0.13900000000000001</v>
      </c>
      <c r="O37" s="2612">
        <v>0.13900000000000001</v>
      </c>
      <c r="P37" s="2612">
        <v>0.13900000000000001</v>
      </c>
      <c r="Q37" s="2612">
        <v>0.13900000000000001</v>
      </c>
      <c r="R37" s="2612">
        <v>0.13900000000000001</v>
      </c>
      <c r="S37" s="2613">
        <v>0.13900000000000001</v>
      </c>
      <c r="T37" s="2109"/>
      <c r="U37" s="2111" t="s">
        <v>17192</v>
      </c>
      <c r="V37" s="2612"/>
      <c r="W37" s="2612"/>
      <c r="X37" s="2612"/>
      <c r="Y37" s="2611"/>
      <c r="Z37" s="2616"/>
      <c r="AA37" s="2463"/>
      <c r="AB37" s="2463"/>
      <c r="AC37" s="2463"/>
      <c r="AD37" s="2464"/>
      <c r="AE37" s="88"/>
      <c r="AF37" s="98" t="s">
        <v>17251</v>
      </c>
      <c r="AH37" s="238"/>
      <c r="AI37" s="1232" t="str">
        <f t="shared" si="17"/>
        <v>Please complete all cells in row</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1</v>
      </c>
      <c r="BC37" s="285">
        <f t="shared" si="14"/>
        <v>1</v>
      </c>
      <c r="BD37" s="285">
        <f t="shared" si="15"/>
        <v>1</v>
      </c>
      <c r="BE37" s="285">
        <f t="shared" si="16"/>
        <v>1</v>
      </c>
      <c r="BF37" s="238"/>
      <c r="BG37" s="1360"/>
      <c r="BH37" s="1360"/>
      <c r="BI37" s="1360"/>
      <c r="BJ37" s="1360"/>
      <c r="BK37" s="1360"/>
      <c r="BL37" s="1360"/>
    </row>
    <row r="38" spans="2:64" ht="15.75" customHeight="1">
      <c r="B38" s="96" t="s">
        <v>17252</v>
      </c>
      <c r="C38" s="97" t="s">
        <v>681</v>
      </c>
      <c r="D38" s="97">
        <v>3</v>
      </c>
      <c r="E38" s="1626"/>
      <c r="F38" s="1626"/>
      <c r="G38" s="1626"/>
      <c r="H38" s="1626"/>
      <c r="I38" s="1626"/>
      <c r="J38" s="1626"/>
      <c r="K38" s="2178"/>
      <c r="L38" s="2112"/>
      <c r="M38" s="2180"/>
      <c r="N38" s="1626"/>
      <c r="O38" s="1626"/>
      <c r="P38" s="1626"/>
      <c r="Q38" s="1626"/>
      <c r="R38" s="1626"/>
      <c r="S38" s="2178"/>
      <c r="T38" s="2109"/>
      <c r="U38" s="2111" t="s">
        <v>17192</v>
      </c>
      <c r="V38" s="1626"/>
      <c r="W38" s="1626"/>
      <c r="X38" s="1626"/>
      <c r="Y38" s="2332"/>
      <c r="Z38" s="2463"/>
      <c r="AA38" s="2463"/>
      <c r="AB38" s="2463"/>
      <c r="AC38" s="2463"/>
      <c r="AD38" s="2464"/>
      <c r="AE38" s="88"/>
      <c r="AF38" s="98" t="s">
        <v>17253</v>
      </c>
      <c r="AH38" s="238"/>
      <c r="AI38" s="1232">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60"/>
      <c r="BH38" s="1360"/>
      <c r="BI38" s="1360"/>
      <c r="BJ38" s="1360"/>
      <c r="BK38" s="1360"/>
      <c r="BL38" s="1360"/>
    </row>
    <row r="39" spans="2:64" ht="15.75" customHeight="1">
      <c r="B39" s="96" t="s">
        <v>17254</v>
      </c>
      <c r="C39" s="97" t="s">
        <v>681</v>
      </c>
      <c r="D39" s="97">
        <v>3</v>
      </c>
      <c r="E39" s="1626"/>
      <c r="F39" s="1626"/>
      <c r="G39" s="1626"/>
      <c r="H39" s="1626"/>
      <c r="I39" s="1626"/>
      <c r="J39" s="1626"/>
      <c r="K39" s="2178"/>
      <c r="L39" s="2112"/>
      <c r="M39" s="2180"/>
      <c r="N39" s="1626"/>
      <c r="O39" s="1626"/>
      <c r="P39" s="1626"/>
      <c r="Q39" s="1626"/>
      <c r="R39" s="1626"/>
      <c r="S39" s="2178"/>
      <c r="T39" s="2109"/>
      <c r="U39" s="2111" t="s">
        <v>17192</v>
      </c>
      <c r="V39" s="1626"/>
      <c r="W39" s="1626"/>
      <c r="X39" s="1626"/>
      <c r="Y39" s="2332"/>
      <c r="Z39" s="2463"/>
      <c r="AA39" s="2463"/>
      <c r="AB39" s="2463"/>
      <c r="AC39" s="2463"/>
      <c r="AD39" s="2464"/>
      <c r="AE39" s="88"/>
      <c r="AF39" s="98" t="s">
        <v>17255</v>
      </c>
      <c r="AH39" s="238"/>
      <c r="AI39" s="1232">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60"/>
      <c r="BH39" s="1360"/>
      <c r="BI39" s="1360"/>
      <c r="BJ39" s="1360"/>
      <c r="BK39" s="1360"/>
      <c r="BL39" s="1360"/>
    </row>
    <row r="40" spans="2:64" ht="15.75" customHeight="1">
      <c r="B40" s="96" t="s">
        <v>17256</v>
      </c>
      <c r="C40" s="97" t="s">
        <v>681</v>
      </c>
      <c r="D40" s="97">
        <v>3</v>
      </c>
      <c r="E40" s="1626"/>
      <c r="F40" s="1626"/>
      <c r="G40" s="1626"/>
      <c r="H40" s="1626"/>
      <c r="I40" s="1626"/>
      <c r="J40" s="1626"/>
      <c r="K40" s="2178"/>
      <c r="L40" s="2112"/>
      <c r="M40" s="2180"/>
      <c r="N40" s="1626"/>
      <c r="O40" s="1626"/>
      <c r="P40" s="1626"/>
      <c r="Q40" s="1626"/>
      <c r="R40" s="1626"/>
      <c r="S40" s="2178"/>
      <c r="T40" s="2109"/>
      <c r="U40" s="2111" t="s">
        <v>17192</v>
      </c>
      <c r="V40" s="1626"/>
      <c r="W40" s="1626"/>
      <c r="X40" s="1626"/>
      <c r="Y40" s="2332"/>
      <c r="Z40" s="2463"/>
      <c r="AA40" s="2463"/>
      <c r="AB40" s="2463"/>
      <c r="AC40" s="2463"/>
      <c r="AD40" s="2464"/>
      <c r="AE40" s="88"/>
      <c r="AF40" s="98" t="s">
        <v>17257</v>
      </c>
      <c r="AH40" s="238"/>
      <c r="AI40" s="1232">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60"/>
      <c r="BH40" s="1360"/>
      <c r="BI40" s="1360"/>
      <c r="BJ40" s="1360"/>
      <c r="BK40" s="1360"/>
      <c r="BL40" s="1360"/>
    </row>
    <row r="41" spans="2:64" ht="15.75" customHeight="1">
      <c r="B41" s="96" t="s">
        <v>17258</v>
      </c>
      <c r="C41" s="97" t="s">
        <v>681</v>
      </c>
      <c r="D41" s="97">
        <v>3</v>
      </c>
      <c r="E41" s="1626"/>
      <c r="F41" s="1626"/>
      <c r="G41" s="1626"/>
      <c r="H41" s="1626"/>
      <c r="I41" s="1626"/>
      <c r="J41" s="1626"/>
      <c r="K41" s="2178"/>
      <c r="L41" s="2112"/>
      <c r="M41" s="2180"/>
      <c r="N41" s="1626"/>
      <c r="O41" s="1626"/>
      <c r="P41" s="1626"/>
      <c r="Q41" s="1626"/>
      <c r="R41" s="1626"/>
      <c r="S41" s="2178"/>
      <c r="T41" s="2109"/>
      <c r="U41" s="2111" t="s">
        <v>17192</v>
      </c>
      <c r="V41" s="1626"/>
      <c r="W41" s="1626"/>
      <c r="X41" s="1626"/>
      <c r="Y41" s="2332"/>
      <c r="Z41" s="2463"/>
      <c r="AA41" s="2463"/>
      <c r="AB41" s="2463"/>
      <c r="AC41" s="2463"/>
      <c r="AD41" s="2464"/>
      <c r="AE41" s="88"/>
      <c r="AF41" s="98" t="s">
        <v>17259</v>
      </c>
      <c r="AH41" s="238"/>
      <c r="AI41" s="1232">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60"/>
      <c r="BH41" s="1360"/>
      <c r="BI41" s="1360"/>
      <c r="BJ41" s="1360"/>
      <c r="BK41" s="1360"/>
      <c r="BL41" s="1360"/>
    </row>
    <row r="42" spans="2:64" ht="15.75" customHeight="1">
      <c r="B42" s="96" t="s">
        <v>17260</v>
      </c>
      <c r="C42" s="97" t="s">
        <v>681</v>
      </c>
      <c r="D42" s="97">
        <v>3</v>
      </c>
      <c r="E42" s="1626"/>
      <c r="F42" s="1626"/>
      <c r="G42" s="1626"/>
      <c r="H42" s="1626"/>
      <c r="I42" s="1626"/>
      <c r="J42" s="1626"/>
      <c r="K42" s="2178"/>
      <c r="L42" s="2112"/>
      <c r="M42" s="2180"/>
      <c r="N42" s="1626"/>
      <c r="O42" s="1626"/>
      <c r="P42" s="1626"/>
      <c r="Q42" s="1626"/>
      <c r="R42" s="1626"/>
      <c r="S42" s="2178"/>
      <c r="T42" s="2109"/>
      <c r="U42" s="2111" t="s">
        <v>17192</v>
      </c>
      <c r="V42" s="1626"/>
      <c r="W42" s="1626"/>
      <c r="X42" s="1626"/>
      <c r="Y42" s="2332"/>
      <c r="Z42" s="2463"/>
      <c r="AA42" s="2463"/>
      <c r="AB42" s="2463"/>
      <c r="AC42" s="2463"/>
      <c r="AD42" s="2464"/>
      <c r="AE42" s="88"/>
      <c r="AF42" s="98" t="s">
        <v>17261</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17262</v>
      </c>
      <c r="C43" s="97" t="s">
        <v>681</v>
      </c>
      <c r="D43" s="97">
        <v>3</v>
      </c>
      <c r="E43" s="1626"/>
      <c r="F43" s="1626"/>
      <c r="G43" s="1626"/>
      <c r="H43" s="1626"/>
      <c r="I43" s="1626"/>
      <c r="J43" s="1626"/>
      <c r="K43" s="2178"/>
      <c r="L43" s="2112"/>
      <c r="M43" s="2180"/>
      <c r="N43" s="1626"/>
      <c r="O43" s="1626"/>
      <c r="P43" s="1626"/>
      <c r="Q43" s="1626"/>
      <c r="R43" s="1626"/>
      <c r="S43" s="2178"/>
      <c r="T43" s="2109"/>
      <c r="U43" s="2111" t="s">
        <v>17192</v>
      </c>
      <c r="V43" s="1626"/>
      <c r="W43" s="1626"/>
      <c r="X43" s="1626"/>
      <c r="Y43" s="2332"/>
      <c r="Z43" s="2463"/>
      <c r="AA43" s="2463"/>
      <c r="AB43" s="2463"/>
      <c r="AC43" s="2463"/>
      <c r="AD43" s="2464"/>
      <c r="AE43" s="88"/>
      <c r="AF43" s="98" t="s">
        <v>17263</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17264</v>
      </c>
      <c r="C44" s="97" t="s">
        <v>681</v>
      </c>
      <c r="D44" s="97">
        <v>3</v>
      </c>
      <c r="E44" s="1626"/>
      <c r="F44" s="1626"/>
      <c r="G44" s="1626"/>
      <c r="H44" s="1626"/>
      <c r="I44" s="1626"/>
      <c r="J44" s="1626"/>
      <c r="K44" s="2178"/>
      <c r="L44" s="2112"/>
      <c r="M44" s="2180"/>
      <c r="N44" s="1626"/>
      <c r="O44" s="1626"/>
      <c r="P44" s="1626"/>
      <c r="Q44" s="1626"/>
      <c r="R44" s="1626"/>
      <c r="S44" s="2178"/>
      <c r="T44" s="2109"/>
      <c r="U44" s="2111" t="s">
        <v>17192</v>
      </c>
      <c r="V44" s="1626"/>
      <c r="W44" s="1626"/>
      <c r="X44" s="1626"/>
      <c r="Y44" s="2332"/>
      <c r="Z44" s="2463"/>
      <c r="AA44" s="2463"/>
      <c r="AB44" s="2463"/>
      <c r="AC44" s="2463"/>
      <c r="AD44" s="2464"/>
      <c r="AE44" s="88"/>
      <c r="AF44" s="98" t="s">
        <v>17265</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17266</v>
      </c>
      <c r="C45" s="97" t="s">
        <v>681</v>
      </c>
      <c r="D45" s="97">
        <v>3</v>
      </c>
      <c r="E45" s="1626"/>
      <c r="F45" s="1626"/>
      <c r="G45" s="1626"/>
      <c r="H45" s="1626"/>
      <c r="I45" s="1626"/>
      <c r="J45" s="1626"/>
      <c r="K45" s="2178"/>
      <c r="L45" s="2112"/>
      <c r="M45" s="2180"/>
      <c r="N45" s="1626"/>
      <c r="O45" s="1626"/>
      <c r="P45" s="1626"/>
      <c r="Q45" s="1626"/>
      <c r="R45" s="1626"/>
      <c r="S45" s="2178"/>
      <c r="T45" s="2109"/>
      <c r="U45" s="2111" t="s">
        <v>17192</v>
      </c>
      <c r="V45" s="1626"/>
      <c r="W45" s="1626"/>
      <c r="X45" s="1626"/>
      <c r="Y45" s="2332"/>
      <c r="Z45" s="2463"/>
      <c r="AA45" s="2463"/>
      <c r="AB45" s="2463"/>
      <c r="AC45" s="2463"/>
      <c r="AD45" s="2464"/>
      <c r="AE45" s="88"/>
      <c r="AF45" s="98" t="s">
        <v>17267</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17268</v>
      </c>
      <c r="C46" s="97" t="s">
        <v>681</v>
      </c>
      <c r="D46" s="97">
        <v>3</v>
      </c>
      <c r="E46" s="1626"/>
      <c r="F46" s="1626"/>
      <c r="G46" s="1626"/>
      <c r="H46" s="1626"/>
      <c r="I46" s="1626"/>
      <c r="J46" s="1626"/>
      <c r="K46" s="2178"/>
      <c r="L46" s="2112"/>
      <c r="M46" s="2180"/>
      <c r="N46" s="1626"/>
      <c r="O46" s="1626"/>
      <c r="P46" s="1626"/>
      <c r="Q46" s="1626"/>
      <c r="R46" s="1626"/>
      <c r="S46" s="2178"/>
      <c r="T46" s="2109"/>
      <c r="U46" s="2111" t="s">
        <v>17192</v>
      </c>
      <c r="V46" s="1626"/>
      <c r="W46" s="1626"/>
      <c r="X46" s="1626"/>
      <c r="Y46" s="2332"/>
      <c r="Z46" s="2463"/>
      <c r="AA46" s="2463"/>
      <c r="AB46" s="2463"/>
      <c r="AC46" s="2463"/>
      <c r="AD46" s="2464"/>
      <c r="AE46" s="88"/>
      <c r="AF46" s="98" t="s">
        <v>17269</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17270</v>
      </c>
      <c r="C47" s="97" t="s">
        <v>681</v>
      </c>
      <c r="D47" s="97">
        <v>3</v>
      </c>
      <c r="E47" s="1626"/>
      <c r="F47" s="1626"/>
      <c r="G47" s="1626"/>
      <c r="H47" s="1626"/>
      <c r="I47" s="1626"/>
      <c r="J47" s="1626"/>
      <c r="K47" s="2178"/>
      <c r="L47" s="2112"/>
      <c r="M47" s="2180"/>
      <c r="N47" s="1626"/>
      <c r="O47" s="1626"/>
      <c r="P47" s="1626"/>
      <c r="Q47" s="1626"/>
      <c r="R47" s="1626"/>
      <c r="S47" s="2178"/>
      <c r="T47" s="2109"/>
      <c r="U47" s="2111" t="s">
        <v>17192</v>
      </c>
      <c r="V47" s="1626"/>
      <c r="W47" s="1626"/>
      <c r="X47" s="1626"/>
      <c r="Y47" s="2332"/>
      <c r="Z47" s="2463"/>
      <c r="AA47" s="2463"/>
      <c r="AB47" s="2463"/>
      <c r="AC47" s="2463"/>
      <c r="AD47" s="2464"/>
      <c r="AE47" s="88"/>
      <c r="AF47" s="98" t="s">
        <v>17271</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17272</v>
      </c>
      <c r="C48" s="97" t="s">
        <v>681</v>
      </c>
      <c r="D48" s="97">
        <v>3</v>
      </c>
      <c r="E48" s="1626"/>
      <c r="F48" s="1626"/>
      <c r="G48" s="1626"/>
      <c r="H48" s="1626"/>
      <c r="I48" s="1626"/>
      <c r="J48" s="1626"/>
      <c r="K48" s="2178"/>
      <c r="L48" s="2112"/>
      <c r="M48" s="2180"/>
      <c r="N48" s="1626"/>
      <c r="O48" s="1626"/>
      <c r="P48" s="1626"/>
      <c r="Q48" s="1626"/>
      <c r="R48" s="1626"/>
      <c r="S48" s="2178"/>
      <c r="T48" s="2109"/>
      <c r="U48" s="2111" t="s">
        <v>17192</v>
      </c>
      <c r="V48" s="1626"/>
      <c r="W48" s="1626"/>
      <c r="X48" s="1626"/>
      <c r="Y48" s="2332"/>
      <c r="Z48" s="2463"/>
      <c r="AA48" s="2463"/>
      <c r="AB48" s="2463"/>
      <c r="AC48" s="2463"/>
      <c r="AD48" s="2464"/>
      <c r="AE48" s="88"/>
      <c r="AF48" s="98" t="s">
        <v>17273</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17274</v>
      </c>
      <c r="C49" s="97" t="s">
        <v>681</v>
      </c>
      <c r="D49" s="97">
        <v>3</v>
      </c>
      <c r="E49" s="1626"/>
      <c r="F49" s="1626"/>
      <c r="G49" s="1626"/>
      <c r="H49" s="1626"/>
      <c r="I49" s="1626"/>
      <c r="J49" s="1626"/>
      <c r="K49" s="2178"/>
      <c r="L49" s="2112"/>
      <c r="M49" s="2180"/>
      <c r="N49" s="1626"/>
      <c r="O49" s="1626"/>
      <c r="P49" s="1626"/>
      <c r="Q49" s="1626"/>
      <c r="R49" s="1626"/>
      <c r="S49" s="2178"/>
      <c r="T49" s="2109"/>
      <c r="U49" s="2111" t="s">
        <v>17192</v>
      </c>
      <c r="V49" s="1626"/>
      <c r="W49" s="1626"/>
      <c r="X49" s="1626"/>
      <c r="Y49" s="2332"/>
      <c r="Z49" s="2463"/>
      <c r="AA49" s="2463"/>
      <c r="AB49" s="2463"/>
      <c r="AC49" s="2463"/>
      <c r="AD49" s="2464"/>
      <c r="AE49" s="88"/>
      <c r="AF49" s="98" t="s">
        <v>17275</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17276</v>
      </c>
      <c r="C50" s="97" t="s">
        <v>681</v>
      </c>
      <c r="D50" s="97">
        <v>3</v>
      </c>
      <c r="E50" s="1626"/>
      <c r="F50" s="1626"/>
      <c r="G50" s="1626"/>
      <c r="H50" s="1626"/>
      <c r="I50" s="1626"/>
      <c r="J50" s="1626"/>
      <c r="K50" s="2178"/>
      <c r="L50" s="2112"/>
      <c r="M50" s="2180"/>
      <c r="N50" s="1626"/>
      <c r="O50" s="1626"/>
      <c r="P50" s="1626"/>
      <c r="Q50" s="1626"/>
      <c r="R50" s="1626"/>
      <c r="S50" s="2178"/>
      <c r="T50" s="2109"/>
      <c r="U50" s="2111" t="s">
        <v>17192</v>
      </c>
      <c r="V50" s="1626"/>
      <c r="W50" s="1626"/>
      <c r="X50" s="1626"/>
      <c r="Y50" s="2332"/>
      <c r="Z50" s="2463"/>
      <c r="AA50" s="2463"/>
      <c r="AB50" s="2463"/>
      <c r="AC50" s="2463"/>
      <c r="AD50" s="2464"/>
      <c r="AE50" s="88"/>
      <c r="AF50" s="98" t="s">
        <v>17277</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17278</v>
      </c>
      <c r="C51" s="97" t="s">
        <v>681</v>
      </c>
      <c r="D51" s="97">
        <v>3</v>
      </c>
      <c r="E51" s="1626"/>
      <c r="F51" s="1626"/>
      <c r="G51" s="1626"/>
      <c r="H51" s="1626"/>
      <c r="I51" s="1626"/>
      <c r="J51" s="1626"/>
      <c r="K51" s="2178"/>
      <c r="L51" s="2112"/>
      <c r="M51" s="2180"/>
      <c r="N51" s="1626"/>
      <c r="O51" s="1626"/>
      <c r="P51" s="1626"/>
      <c r="Q51" s="1626"/>
      <c r="R51" s="1626"/>
      <c r="S51" s="2178"/>
      <c r="T51" s="2109"/>
      <c r="U51" s="2111" t="s">
        <v>17192</v>
      </c>
      <c r="V51" s="1626"/>
      <c r="W51" s="1626"/>
      <c r="X51" s="1626"/>
      <c r="Y51" s="2332"/>
      <c r="Z51" s="2463"/>
      <c r="AA51" s="2463"/>
      <c r="AB51" s="2463"/>
      <c r="AC51" s="2463"/>
      <c r="AD51" s="2464"/>
      <c r="AE51" s="88"/>
      <c r="AF51" s="98" t="s">
        <v>17279</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17280</v>
      </c>
      <c r="C52" s="97" t="s">
        <v>681</v>
      </c>
      <c r="D52" s="97">
        <v>3</v>
      </c>
      <c r="E52" s="1626"/>
      <c r="F52" s="1626"/>
      <c r="G52" s="1626"/>
      <c r="H52" s="1626"/>
      <c r="I52" s="1626"/>
      <c r="J52" s="1626"/>
      <c r="K52" s="2178"/>
      <c r="L52" s="2112"/>
      <c r="M52" s="2180"/>
      <c r="N52" s="1626"/>
      <c r="O52" s="1626"/>
      <c r="P52" s="1626"/>
      <c r="Q52" s="1626"/>
      <c r="R52" s="1626"/>
      <c r="S52" s="2178"/>
      <c r="T52" s="2109"/>
      <c r="U52" s="2111" t="s">
        <v>17192</v>
      </c>
      <c r="V52" s="1626"/>
      <c r="W52" s="1626"/>
      <c r="X52" s="1626"/>
      <c r="Y52" s="2332"/>
      <c r="Z52" s="2463"/>
      <c r="AA52" s="2463"/>
      <c r="AB52" s="2463"/>
      <c r="AC52" s="2463"/>
      <c r="AD52" s="2464"/>
      <c r="AE52" s="88"/>
      <c r="AF52" s="98" t="s">
        <v>17281</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17282</v>
      </c>
      <c r="C53" s="97" t="s">
        <v>681</v>
      </c>
      <c r="D53" s="97">
        <v>3</v>
      </c>
      <c r="E53" s="1626"/>
      <c r="F53" s="1626"/>
      <c r="G53" s="1626"/>
      <c r="H53" s="1626"/>
      <c r="I53" s="1626"/>
      <c r="J53" s="1626"/>
      <c r="K53" s="2178"/>
      <c r="L53" s="2112"/>
      <c r="M53" s="2180"/>
      <c r="N53" s="1626"/>
      <c r="O53" s="1626"/>
      <c r="P53" s="1626"/>
      <c r="Q53" s="1626"/>
      <c r="R53" s="1626"/>
      <c r="S53" s="2178"/>
      <c r="T53" s="2109"/>
      <c r="U53" s="2111" t="s">
        <v>17192</v>
      </c>
      <c r="V53" s="1626"/>
      <c r="W53" s="1626"/>
      <c r="X53" s="1626"/>
      <c r="Y53" s="2332"/>
      <c r="Z53" s="2463"/>
      <c r="AA53" s="2463"/>
      <c r="AB53" s="2463"/>
      <c r="AC53" s="2463"/>
      <c r="AD53" s="2464"/>
      <c r="AE53" s="88"/>
      <c r="AF53" s="98" t="s">
        <v>17283</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17284</v>
      </c>
      <c r="C54" s="97" t="s">
        <v>681</v>
      </c>
      <c r="D54" s="97">
        <v>3</v>
      </c>
      <c r="E54" s="1626"/>
      <c r="F54" s="1626"/>
      <c r="G54" s="1626"/>
      <c r="H54" s="1626"/>
      <c r="I54" s="1626"/>
      <c r="J54" s="1626"/>
      <c r="K54" s="2178"/>
      <c r="L54" s="2112"/>
      <c r="M54" s="2180"/>
      <c r="N54" s="1626"/>
      <c r="O54" s="1626"/>
      <c r="P54" s="1626"/>
      <c r="Q54" s="1626"/>
      <c r="R54" s="1626"/>
      <c r="S54" s="2178"/>
      <c r="T54" s="2109"/>
      <c r="U54" s="2111" t="s">
        <v>17192</v>
      </c>
      <c r="V54" s="1626"/>
      <c r="W54" s="1626"/>
      <c r="X54" s="1626"/>
      <c r="Y54" s="2332"/>
      <c r="Z54" s="2463"/>
      <c r="AA54" s="2463"/>
      <c r="AB54" s="2463"/>
      <c r="AC54" s="2463"/>
      <c r="AD54" s="2464"/>
      <c r="AE54" s="88"/>
      <c r="AF54" s="98" t="s">
        <v>17285</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17286</v>
      </c>
      <c r="C55" s="97" t="s">
        <v>681</v>
      </c>
      <c r="D55" s="97">
        <v>3</v>
      </c>
      <c r="E55" s="1626"/>
      <c r="F55" s="1626"/>
      <c r="G55" s="1626"/>
      <c r="H55" s="1626"/>
      <c r="I55" s="1626"/>
      <c r="J55" s="1626"/>
      <c r="K55" s="2178"/>
      <c r="L55" s="2112"/>
      <c r="M55" s="2180"/>
      <c r="N55" s="1626"/>
      <c r="O55" s="1626"/>
      <c r="P55" s="1626"/>
      <c r="Q55" s="1626"/>
      <c r="R55" s="1626"/>
      <c r="S55" s="2178"/>
      <c r="T55" s="2109"/>
      <c r="U55" s="2111" t="s">
        <v>17192</v>
      </c>
      <c r="V55" s="1626"/>
      <c r="W55" s="1626"/>
      <c r="X55" s="1626"/>
      <c r="Y55" s="2332"/>
      <c r="Z55" s="2463"/>
      <c r="AA55" s="2463"/>
      <c r="AB55" s="2463"/>
      <c r="AC55" s="2463"/>
      <c r="AD55" s="2464"/>
      <c r="AE55" s="88"/>
      <c r="AF55" s="98" t="s">
        <v>17287</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17288</v>
      </c>
      <c r="C56" s="97" t="s">
        <v>681</v>
      </c>
      <c r="D56" s="97">
        <v>3</v>
      </c>
      <c r="E56" s="1626"/>
      <c r="F56" s="1626"/>
      <c r="G56" s="1626"/>
      <c r="H56" s="1626"/>
      <c r="I56" s="1626"/>
      <c r="J56" s="1626"/>
      <c r="K56" s="2178"/>
      <c r="L56" s="2112"/>
      <c r="M56" s="2180"/>
      <c r="N56" s="1626"/>
      <c r="O56" s="1626"/>
      <c r="P56" s="1626"/>
      <c r="Q56" s="1626"/>
      <c r="R56" s="1626"/>
      <c r="S56" s="2178"/>
      <c r="T56" s="2109"/>
      <c r="U56" s="2111" t="s">
        <v>17192</v>
      </c>
      <c r="V56" s="1626"/>
      <c r="W56" s="1626"/>
      <c r="X56" s="1626"/>
      <c r="Y56" s="2332"/>
      <c r="Z56" s="2463"/>
      <c r="AA56" s="2463"/>
      <c r="AB56" s="2463"/>
      <c r="AC56" s="2463"/>
      <c r="AD56" s="2464"/>
      <c r="AE56" s="88"/>
      <c r="AF56" s="98" t="s">
        <v>17289</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17290</v>
      </c>
      <c r="C57" s="97" t="s">
        <v>681</v>
      </c>
      <c r="D57" s="97">
        <v>3</v>
      </c>
      <c r="E57" s="1626"/>
      <c r="F57" s="1626"/>
      <c r="G57" s="1626"/>
      <c r="H57" s="1626"/>
      <c r="I57" s="1626"/>
      <c r="J57" s="1626"/>
      <c r="K57" s="2178"/>
      <c r="L57" s="2112"/>
      <c r="M57" s="2180"/>
      <c r="N57" s="1626"/>
      <c r="O57" s="1626"/>
      <c r="P57" s="1626"/>
      <c r="Q57" s="1626"/>
      <c r="R57" s="1626"/>
      <c r="S57" s="2178"/>
      <c r="T57" s="2109"/>
      <c r="U57" s="2111" t="s">
        <v>17192</v>
      </c>
      <c r="V57" s="1626"/>
      <c r="W57" s="1626"/>
      <c r="X57" s="1626"/>
      <c r="Y57" s="2332"/>
      <c r="Z57" s="2463"/>
      <c r="AA57" s="2463"/>
      <c r="AB57" s="2463"/>
      <c r="AC57" s="2463"/>
      <c r="AD57" s="2464"/>
      <c r="AE57" s="88"/>
      <c r="AF57" s="98" t="s">
        <v>17291</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17292</v>
      </c>
      <c r="C58" s="97" t="s">
        <v>681</v>
      </c>
      <c r="D58" s="97">
        <v>3</v>
      </c>
      <c r="E58" s="1626"/>
      <c r="F58" s="1626"/>
      <c r="G58" s="1626"/>
      <c r="H58" s="1626"/>
      <c r="I58" s="1626"/>
      <c r="J58" s="1626"/>
      <c r="K58" s="2178"/>
      <c r="L58" s="2112"/>
      <c r="M58" s="2180"/>
      <c r="N58" s="1626"/>
      <c r="O58" s="1626"/>
      <c r="P58" s="1626"/>
      <c r="Q58" s="1626"/>
      <c r="R58" s="1626"/>
      <c r="S58" s="2178"/>
      <c r="T58" s="2109"/>
      <c r="U58" s="2111" t="s">
        <v>17192</v>
      </c>
      <c r="V58" s="1626"/>
      <c r="W58" s="1626"/>
      <c r="X58" s="1626"/>
      <c r="Y58" s="2332"/>
      <c r="Z58" s="2463"/>
      <c r="AA58" s="2463"/>
      <c r="AB58" s="2463"/>
      <c r="AC58" s="2463"/>
      <c r="AD58" s="2464"/>
      <c r="AE58" s="88"/>
      <c r="AF58" s="98" t="s">
        <v>17293</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17294</v>
      </c>
      <c r="C59" s="97" t="s">
        <v>681</v>
      </c>
      <c r="D59" s="97">
        <v>3</v>
      </c>
      <c r="E59" s="1626"/>
      <c r="F59" s="1626"/>
      <c r="G59" s="1626"/>
      <c r="H59" s="1626"/>
      <c r="I59" s="1626"/>
      <c r="J59" s="1626"/>
      <c r="K59" s="2178"/>
      <c r="L59" s="2112"/>
      <c r="M59" s="2180"/>
      <c r="N59" s="1626"/>
      <c r="O59" s="1626"/>
      <c r="P59" s="1626"/>
      <c r="Q59" s="1626"/>
      <c r="R59" s="1626"/>
      <c r="S59" s="2178"/>
      <c r="T59" s="2109"/>
      <c r="U59" s="2111" t="s">
        <v>17192</v>
      </c>
      <c r="V59" s="1626"/>
      <c r="W59" s="1626"/>
      <c r="X59" s="1626"/>
      <c r="Y59" s="2332"/>
      <c r="Z59" s="2463"/>
      <c r="AA59" s="2463"/>
      <c r="AB59" s="2463"/>
      <c r="AC59" s="2463"/>
      <c r="AD59" s="2464"/>
      <c r="AE59" s="88"/>
      <c r="AF59" s="98" t="s">
        <v>17295</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17296</v>
      </c>
      <c r="C60" s="97" t="s">
        <v>681</v>
      </c>
      <c r="D60" s="97">
        <v>3</v>
      </c>
      <c r="E60" s="1626"/>
      <c r="F60" s="1626"/>
      <c r="G60" s="1626"/>
      <c r="H60" s="1626"/>
      <c r="I60" s="1626"/>
      <c r="J60" s="1626"/>
      <c r="K60" s="2178"/>
      <c r="L60" s="2112"/>
      <c r="M60" s="2180"/>
      <c r="N60" s="1626"/>
      <c r="O60" s="1626"/>
      <c r="P60" s="1626"/>
      <c r="Q60" s="1626"/>
      <c r="R60" s="1626"/>
      <c r="S60" s="2178"/>
      <c r="T60" s="2109"/>
      <c r="U60" s="2111" t="s">
        <v>17192</v>
      </c>
      <c r="V60" s="1626"/>
      <c r="W60" s="1626"/>
      <c r="X60" s="1626"/>
      <c r="Y60" s="2332"/>
      <c r="Z60" s="2463"/>
      <c r="AA60" s="2463"/>
      <c r="AB60" s="2463"/>
      <c r="AC60" s="2463"/>
      <c r="AD60" s="2464"/>
      <c r="AE60" s="88"/>
      <c r="AF60" s="98" t="s">
        <v>17297</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17298</v>
      </c>
      <c r="C61" s="97" t="s">
        <v>681</v>
      </c>
      <c r="D61" s="97">
        <v>3</v>
      </c>
      <c r="E61" s="1626"/>
      <c r="F61" s="1626"/>
      <c r="G61" s="1626"/>
      <c r="H61" s="1626"/>
      <c r="I61" s="1626"/>
      <c r="J61" s="1626"/>
      <c r="K61" s="2178"/>
      <c r="L61" s="2112"/>
      <c r="M61" s="2180"/>
      <c r="N61" s="1626"/>
      <c r="O61" s="1626"/>
      <c r="P61" s="1626"/>
      <c r="Q61" s="1626"/>
      <c r="R61" s="1626"/>
      <c r="S61" s="2178"/>
      <c r="T61" s="2109"/>
      <c r="U61" s="2111" t="s">
        <v>17192</v>
      </c>
      <c r="V61" s="1626"/>
      <c r="W61" s="1626"/>
      <c r="X61" s="1626"/>
      <c r="Y61" s="2332"/>
      <c r="Z61" s="2463"/>
      <c r="AA61" s="2463"/>
      <c r="AB61" s="2463"/>
      <c r="AC61" s="2463"/>
      <c r="AD61" s="2464"/>
      <c r="AE61" s="88"/>
      <c r="AF61" s="98" t="s">
        <v>17299</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17300</v>
      </c>
      <c r="C62" s="97" t="s">
        <v>681</v>
      </c>
      <c r="D62" s="97">
        <v>3</v>
      </c>
      <c r="E62" s="1626"/>
      <c r="F62" s="1626"/>
      <c r="G62" s="1626"/>
      <c r="H62" s="1626"/>
      <c r="I62" s="1626"/>
      <c r="J62" s="1626"/>
      <c r="K62" s="2178"/>
      <c r="L62" s="2112"/>
      <c r="M62" s="2180"/>
      <c r="N62" s="1626"/>
      <c r="O62" s="1626"/>
      <c r="P62" s="1626"/>
      <c r="Q62" s="1626"/>
      <c r="R62" s="1626"/>
      <c r="S62" s="2178"/>
      <c r="T62" s="2109"/>
      <c r="U62" s="2111" t="s">
        <v>17192</v>
      </c>
      <c r="V62" s="1626"/>
      <c r="W62" s="1626"/>
      <c r="X62" s="1626"/>
      <c r="Y62" s="2332"/>
      <c r="Z62" s="2463"/>
      <c r="AA62" s="2463"/>
      <c r="AB62" s="2463"/>
      <c r="AC62" s="2463"/>
      <c r="AD62" s="2464"/>
      <c r="AE62" s="88"/>
      <c r="AF62" s="98" t="s">
        <v>17301</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17302</v>
      </c>
      <c r="C63" s="97" t="s">
        <v>681</v>
      </c>
      <c r="D63" s="97">
        <v>3</v>
      </c>
      <c r="E63" s="1626"/>
      <c r="F63" s="1626"/>
      <c r="G63" s="1626"/>
      <c r="H63" s="1626"/>
      <c r="I63" s="1626"/>
      <c r="J63" s="1626"/>
      <c r="K63" s="2178"/>
      <c r="L63" s="2112"/>
      <c r="M63" s="2180"/>
      <c r="N63" s="1626"/>
      <c r="O63" s="1626"/>
      <c r="P63" s="1626"/>
      <c r="Q63" s="1626"/>
      <c r="R63" s="1626"/>
      <c r="S63" s="2178"/>
      <c r="T63" s="2109"/>
      <c r="U63" s="2111" t="s">
        <v>17192</v>
      </c>
      <c r="V63" s="1626"/>
      <c r="W63" s="1626"/>
      <c r="X63" s="1626"/>
      <c r="Y63" s="2332"/>
      <c r="Z63" s="2463"/>
      <c r="AA63" s="2463"/>
      <c r="AB63" s="2463"/>
      <c r="AC63" s="2463"/>
      <c r="AD63" s="2464"/>
      <c r="AE63" s="88"/>
      <c r="AF63" s="98" t="s">
        <v>17303</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17304</v>
      </c>
      <c r="C64" s="97" t="s">
        <v>681</v>
      </c>
      <c r="D64" s="97">
        <v>3</v>
      </c>
      <c r="E64" s="1626"/>
      <c r="F64" s="1626"/>
      <c r="G64" s="1626"/>
      <c r="H64" s="1626"/>
      <c r="I64" s="1626"/>
      <c r="J64" s="1626"/>
      <c r="K64" s="2178"/>
      <c r="L64" s="2112"/>
      <c r="M64" s="2180"/>
      <c r="N64" s="1626"/>
      <c r="O64" s="1626"/>
      <c r="P64" s="1626"/>
      <c r="Q64" s="1626"/>
      <c r="R64" s="1626"/>
      <c r="S64" s="2178"/>
      <c r="T64" s="2109"/>
      <c r="U64" s="2111" t="s">
        <v>17192</v>
      </c>
      <c r="V64" s="1626"/>
      <c r="W64" s="1626"/>
      <c r="X64" s="1626"/>
      <c r="Y64" s="2332"/>
      <c r="Z64" s="2463"/>
      <c r="AA64" s="2463"/>
      <c r="AB64" s="2463"/>
      <c r="AC64" s="2463"/>
      <c r="AD64" s="2464"/>
      <c r="AE64" s="88"/>
      <c r="AF64" s="98" t="s">
        <v>17305</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17306</v>
      </c>
      <c r="C65" s="97" t="s">
        <v>681</v>
      </c>
      <c r="D65" s="97">
        <v>3</v>
      </c>
      <c r="E65" s="1626"/>
      <c r="F65" s="1626"/>
      <c r="G65" s="1626"/>
      <c r="H65" s="1626"/>
      <c r="I65" s="1626"/>
      <c r="J65" s="1626"/>
      <c r="K65" s="2178"/>
      <c r="L65" s="2112"/>
      <c r="M65" s="2180"/>
      <c r="N65" s="1626"/>
      <c r="O65" s="1626"/>
      <c r="P65" s="1626"/>
      <c r="Q65" s="1626"/>
      <c r="R65" s="1626"/>
      <c r="S65" s="2178"/>
      <c r="T65" s="2109"/>
      <c r="U65" s="2111" t="s">
        <v>17192</v>
      </c>
      <c r="V65" s="1626"/>
      <c r="W65" s="1626"/>
      <c r="X65" s="1626"/>
      <c r="Y65" s="2332"/>
      <c r="Z65" s="2463"/>
      <c r="AA65" s="2463"/>
      <c r="AB65" s="2463"/>
      <c r="AC65" s="2463"/>
      <c r="AD65" s="2464"/>
      <c r="AE65" s="88"/>
      <c r="AF65" s="98" t="s">
        <v>17307</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17308</v>
      </c>
      <c r="C66" s="97" t="s">
        <v>681</v>
      </c>
      <c r="D66" s="97">
        <v>3</v>
      </c>
      <c r="E66" s="1626"/>
      <c r="F66" s="1626"/>
      <c r="G66" s="1626"/>
      <c r="H66" s="1626"/>
      <c r="I66" s="1626"/>
      <c r="J66" s="1626"/>
      <c r="K66" s="2178"/>
      <c r="L66" s="2112"/>
      <c r="M66" s="2180"/>
      <c r="N66" s="1626"/>
      <c r="O66" s="1626"/>
      <c r="P66" s="1626"/>
      <c r="Q66" s="1626"/>
      <c r="R66" s="1626"/>
      <c r="S66" s="2178"/>
      <c r="T66" s="2109"/>
      <c r="U66" s="2111" t="s">
        <v>17192</v>
      </c>
      <c r="V66" s="1626"/>
      <c r="W66" s="1626"/>
      <c r="X66" s="1626"/>
      <c r="Y66" s="2332"/>
      <c r="Z66" s="2463"/>
      <c r="AA66" s="2463"/>
      <c r="AB66" s="2463"/>
      <c r="AC66" s="2463"/>
      <c r="AD66" s="2464"/>
      <c r="AE66" s="88"/>
      <c r="AF66" s="98" t="s">
        <v>17309</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17310</v>
      </c>
      <c r="C67" s="97" t="s">
        <v>681</v>
      </c>
      <c r="D67" s="97">
        <v>3</v>
      </c>
      <c r="E67" s="1626"/>
      <c r="F67" s="1626"/>
      <c r="G67" s="1626"/>
      <c r="H67" s="1626"/>
      <c r="I67" s="1626"/>
      <c r="J67" s="1626"/>
      <c r="K67" s="2178"/>
      <c r="L67" s="2112"/>
      <c r="M67" s="2180"/>
      <c r="N67" s="1626"/>
      <c r="O67" s="1626"/>
      <c r="P67" s="1626"/>
      <c r="Q67" s="1626"/>
      <c r="R67" s="1626"/>
      <c r="S67" s="2178"/>
      <c r="T67" s="2109"/>
      <c r="U67" s="2111" t="s">
        <v>17192</v>
      </c>
      <c r="V67" s="1626"/>
      <c r="W67" s="1626"/>
      <c r="X67" s="1626"/>
      <c r="Y67" s="2332"/>
      <c r="Z67" s="2463"/>
      <c r="AA67" s="2463"/>
      <c r="AB67" s="2463"/>
      <c r="AC67" s="2463"/>
      <c r="AD67" s="2464"/>
      <c r="AE67" s="88"/>
      <c r="AF67" s="98" t="s">
        <v>17311</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17312</v>
      </c>
      <c r="C68" s="97" t="s">
        <v>681</v>
      </c>
      <c r="D68" s="97">
        <v>3</v>
      </c>
      <c r="E68" s="1626"/>
      <c r="F68" s="1626"/>
      <c r="G68" s="1626"/>
      <c r="H68" s="1626"/>
      <c r="I68" s="1626"/>
      <c r="J68" s="1626"/>
      <c r="K68" s="2178"/>
      <c r="L68" s="2112"/>
      <c r="M68" s="2180"/>
      <c r="N68" s="1626"/>
      <c r="O68" s="1626"/>
      <c r="P68" s="1626"/>
      <c r="Q68" s="1626"/>
      <c r="R68" s="1626"/>
      <c r="S68" s="2178"/>
      <c r="T68" s="2109"/>
      <c r="U68" s="2111" t="s">
        <v>17192</v>
      </c>
      <c r="V68" s="1626"/>
      <c r="W68" s="1626"/>
      <c r="X68" s="1626"/>
      <c r="Y68" s="2332"/>
      <c r="Z68" s="2463"/>
      <c r="AA68" s="2463"/>
      <c r="AB68" s="2463"/>
      <c r="AC68" s="2463"/>
      <c r="AD68" s="2464"/>
      <c r="AE68" s="88"/>
      <c r="AF68" s="98" t="s">
        <v>17313</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17314</v>
      </c>
      <c r="C69" s="97" t="s">
        <v>681</v>
      </c>
      <c r="D69" s="97">
        <v>3</v>
      </c>
      <c r="E69" s="1626"/>
      <c r="F69" s="1626"/>
      <c r="G69" s="1626"/>
      <c r="H69" s="1626"/>
      <c r="I69" s="1626"/>
      <c r="J69" s="1626"/>
      <c r="K69" s="2178"/>
      <c r="L69" s="2112"/>
      <c r="M69" s="2180"/>
      <c r="N69" s="1626"/>
      <c r="O69" s="1626"/>
      <c r="P69" s="1626"/>
      <c r="Q69" s="1626"/>
      <c r="R69" s="1626"/>
      <c r="S69" s="2178"/>
      <c r="T69" s="2109"/>
      <c r="U69" s="2111" t="s">
        <v>17192</v>
      </c>
      <c r="V69" s="1626"/>
      <c r="W69" s="1626"/>
      <c r="X69" s="1626"/>
      <c r="Y69" s="2332"/>
      <c r="Z69" s="2463"/>
      <c r="AA69" s="2463"/>
      <c r="AB69" s="2463"/>
      <c r="AC69" s="2463"/>
      <c r="AD69" s="2464"/>
      <c r="AE69" s="88"/>
      <c r="AF69" s="98" t="s">
        <v>17315</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17316</v>
      </c>
      <c r="C70" s="97" t="s">
        <v>681</v>
      </c>
      <c r="D70" s="97">
        <v>3</v>
      </c>
      <c r="E70" s="1626"/>
      <c r="F70" s="1626"/>
      <c r="G70" s="1626"/>
      <c r="H70" s="1626"/>
      <c r="I70" s="1626"/>
      <c r="J70" s="1626"/>
      <c r="K70" s="2178"/>
      <c r="L70" s="2112"/>
      <c r="M70" s="2180"/>
      <c r="N70" s="1626"/>
      <c r="O70" s="1626"/>
      <c r="P70" s="1626"/>
      <c r="Q70" s="1626"/>
      <c r="R70" s="1626"/>
      <c r="S70" s="2178"/>
      <c r="T70" s="2109"/>
      <c r="U70" s="2111" t="s">
        <v>17192</v>
      </c>
      <c r="V70" s="1626"/>
      <c r="W70" s="1626"/>
      <c r="X70" s="1626"/>
      <c r="Y70" s="2332"/>
      <c r="Z70" s="2463"/>
      <c r="AA70" s="2463"/>
      <c r="AB70" s="2463"/>
      <c r="AC70" s="2463"/>
      <c r="AD70" s="2464"/>
      <c r="AE70" s="88"/>
      <c r="AF70" s="98" t="s">
        <v>17317</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17318</v>
      </c>
      <c r="C71" s="97" t="s">
        <v>681</v>
      </c>
      <c r="D71" s="97">
        <v>3</v>
      </c>
      <c r="E71" s="1626"/>
      <c r="F71" s="1626"/>
      <c r="G71" s="1626"/>
      <c r="H71" s="1626"/>
      <c r="I71" s="1626"/>
      <c r="J71" s="1626"/>
      <c r="K71" s="2178"/>
      <c r="L71" s="2112"/>
      <c r="M71" s="2180"/>
      <c r="N71" s="1626"/>
      <c r="O71" s="1626"/>
      <c r="P71" s="1626"/>
      <c r="Q71" s="1626"/>
      <c r="R71" s="1626"/>
      <c r="S71" s="2178"/>
      <c r="T71" s="2109"/>
      <c r="U71" s="2111" t="s">
        <v>17192</v>
      </c>
      <c r="V71" s="1626"/>
      <c r="W71" s="1626"/>
      <c r="X71" s="1626"/>
      <c r="Y71" s="2332"/>
      <c r="Z71" s="2463"/>
      <c r="AA71" s="2463"/>
      <c r="AB71" s="2463"/>
      <c r="AC71" s="2463"/>
      <c r="AD71" s="2464"/>
      <c r="AE71" s="88"/>
      <c r="AF71" s="98" t="s">
        <v>17319</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17320</v>
      </c>
      <c r="C72" s="97" t="s">
        <v>681</v>
      </c>
      <c r="D72" s="97">
        <v>3</v>
      </c>
      <c r="E72" s="1626"/>
      <c r="F72" s="1626"/>
      <c r="G72" s="1626"/>
      <c r="H72" s="1626"/>
      <c r="I72" s="1626"/>
      <c r="J72" s="1626"/>
      <c r="K72" s="2178"/>
      <c r="L72" s="2112"/>
      <c r="M72" s="2180"/>
      <c r="N72" s="1626"/>
      <c r="O72" s="1626"/>
      <c r="P72" s="1626"/>
      <c r="Q72" s="1626"/>
      <c r="R72" s="1626"/>
      <c r="S72" s="2178"/>
      <c r="T72" s="2109"/>
      <c r="U72" s="2111" t="s">
        <v>17192</v>
      </c>
      <c r="V72" s="1626"/>
      <c r="W72" s="1626"/>
      <c r="X72" s="1626"/>
      <c r="Y72" s="2332"/>
      <c r="Z72" s="2463"/>
      <c r="AA72" s="2463"/>
      <c r="AB72" s="2463"/>
      <c r="AC72" s="2463"/>
      <c r="AD72" s="2464"/>
      <c r="AE72" s="88"/>
      <c r="AF72" s="98" t="s">
        <v>17321</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17322</v>
      </c>
      <c r="C73" s="97" t="s">
        <v>681</v>
      </c>
      <c r="D73" s="97">
        <v>3</v>
      </c>
      <c r="E73" s="1626"/>
      <c r="F73" s="1626"/>
      <c r="G73" s="1626"/>
      <c r="H73" s="1626"/>
      <c r="I73" s="1626"/>
      <c r="J73" s="1626"/>
      <c r="K73" s="2178"/>
      <c r="L73" s="2112"/>
      <c r="M73" s="2180"/>
      <c r="N73" s="1626"/>
      <c r="O73" s="1626"/>
      <c r="P73" s="1626"/>
      <c r="Q73" s="1626"/>
      <c r="R73" s="1626"/>
      <c r="S73" s="2178"/>
      <c r="T73" s="2109"/>
      <c r="U73" s="2111" t="s">
        <v>17192</v>
      </c>
      <c r="V73" s="1626"/>
      <c r="W73" s="1626"/>
      <c r="X73" s="1626"/>
      <c r="Y73" s="2332"/>
      <c r="Z73" s="2463"/>
      <c r="AA73" s="2463"/>
      <c r="AB73" s="2463"/>
      <c r="AC73" s="2463"/>
      <c r="AD73" s="2464"/>
      <c r="AE73" s="88"/>
      <c r="AF73" s="98" t="s">
        <v>17323</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17324</v>
      </c>
      <c r="C74" s="97" t="s">
        <v>681</v>
      </c>
      <c r="D74" s="97">
        <v>3</v>
      </c>
      <c r="E74" s="1626"/>
      <c r="F74" s="1626"/>
      <c r="G74" s="1626"/>
      <c r="H74" s="1626"/>
      <c r="I74" s="1626"/>
      <c r="J74" s="1626"/>
      <c r="K74" s="2178"/>
      <c r="L74" s="2112"/>
      <c r="M74" s="2180"/>
      <c r="N74" s="1626"/>
      <c r="O74" s="1626"/>
      <c r="P74" s="1626"/>
      <c r="Q74" s="1626"/>
      <c r="R74" s="1626"/>
      <c r="S74" s="2178"/>
      <c r="T74" s="2109"/>
      <c r="U74" s="2111" t="s">
        <v>17192</v>
      </c>
      <c r="V74" s="1626"/>
      <c r="W74" s="1626"/>
      <c r="X74" s="1626"/>
      <c r="Y74" s="2332"/>
      <c r="Z74" s="2463"/>
      <c r="AA74" s="2463"/>
      <c r="AB74" s="2463"/>
      <c r="AC74" s="2463"/>
      <c r="AD74" s="2464"/>
      <c r="AE74" s="88"/>
      <c r="AF74" s="98" t="s">
        <v>17325</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17326</v>
      </c>
      <c r="C75" s="97" t="s">
        <v>681</v>
      </c>
      <c r="D75" s="97">
        <v>3</v>
      </c>
      <c r="E75" s="1626"/>
      <c r="F75" s="1626"/>
      <c r="G75" s="1626"/>
      <c r="H75" s="1626"/>
      <c r="I75" s="1626"/>
      <c r="J75" s="1626"/>
      <c r="K75" s="2178"/>
      <c r="L75" s="2112"/>
      <c r="M75" s="2180"/>
      <c r="N75" s="1626"/>
      <c r="O75" s="1626"/>
      <c r="P75" s="1626"/>
      <c r="Q75" s="1626"/>
      <c r="R75" s="1626"/>
      <c r="S75" s="2178"/>
      <c r="T75" s="2109"/>
      <c r="U75" s="2111" t="s">
        <v>17192</v>
      </c>
      <c r="V75" s="1626"/>
      <c r="W75" s="1626"/>
      <c r="X75" s="1626"/>
      <c r="Y75" s="2332"/>
      <c r="Z75" s="2463"/>
      <c r="AA75" s="2463"/>
      <c r="AB75" s="2463"/>
      <c r="AC75" s="2463"/>
      <c r="AD75" s="2464"/>
      <c r="AE75" s="88"/>
      <c r="AF75" s="98" t="s">
        <v>17327</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17328</v>
      </c>
      <c r="C76" s="97" t="s">
        <v>681</v>
      </c>
      <c r="D76" s="97">
        <v>3</v>
      </c>
      <c r="E76" s="1626"/>
      <c r="F76" s="1626"/>
      <c r="G76" s="1626"/>
      <c r="H76" s="1626"/>
      <c r="I76" s="1626"/>
      <c r="J76" s="1626"/>
      <c r="K76" s="2178"/>
      <c r="L76" s="2112"/>
      <c r="M76" s="2180"/>
      <c r="N76" s="1626"/>
      <c r="O76" s="1626"/>
      <c r="P76" s="1626"/>
      <c r="Q76" s="1626"/>
      <c r="R76" s="1626"/>
      <c r="S76" s="2178"/>
      <c r="T76" s="2109"/>
      <c r="U76" s="2111" t="s">
        <v>17192</v>
      </c>
      <c r="V76" s="1626"/>
      <c r="W76" s="1626"/>
      <c r="X76" s="1626"/>
      <c r="Y76" s="2332"/>
      <c r="Z76" s="2463"/>
      <c r="AA76" s="2463"/>
      <c r="AB76" s="2463"/>
      <c r="AC76" s="2463"/>
      <c r="AD76" s="2464"/>
      <c r="AE76" s="88"/>
      <c r="AF76" s="98" t="s">
        <v>17329</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17330</v>
      </c>
      <c r="C77" s="97" t="s">
        <v>681</v>
      </c>
      <c r="D77" s="97">
        <v>3</v>
      </c>
      <c r="E77" s="1626"/>
      <c r="F77" s="1626"/>
      <c r="G77" s="1626"/>
      <c r="H77" s="1626"/>
      <c r="I77" s="1626"/>
      <c r="J77" s="1626"/>
      <c r="K77" s="2178"/>
      <c r="L77" s="2112"/>
      <c r="M77" s="2180"/>
      <c r="N77" s="1626"/>
      <c r="O77" s="1626"/>
      <c r="P77" s="1626"/>
      <c r="Q77" s="1626"/>
      <c r="R77" s="1626"/>
      <c r="S77" s="2178"/>
      <c r="T77" s="2109"/>
      <c r="U77" s="2111" t="s">
        <v>17192</v>
      </c>
      <c r="V77" s="1626"/>
      <c r="W77" s="1626"/>
      <c r="X77" s="1626"/>
      <c r="Y77" s="2332"/>
      <c r="Z77" s="2463"/>
      <c r="AA77" s="2463"/>
      <c r="AB77" s="2463"/>
      <c r="AC77" s="2463"/>
      <c r="AD77" s="2464"/>
      <c r="AE77" s="88"/>
      <c r="AF77" s="98" t="s">
        <v>17331</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17332</v>
      </c>
      <c r="C78" s="97" t="s">
        <v>681</v>
      </c>
      <c r="D78" s="97">
        <v>3</v>
      </c>
      <c r="E78" s="1626"/>
      <c r="F78" s="1626"/>
      <c r="G78" s="1626"/>
      <c r="H78" s="1626"/>
      <c r="I78" s="1626"/>
      <c r="J78" s="1626"/>
      <c r="K78" s="2178"/>
      <c r="L78" s="2112"/>
      <c r="M78" s="2180"/>
      <c r="N78" s="1626"/>
      <c r="O78" s="1626"/>
      <c r="P78" s="1626"/>
      <c r="Q78" s="1626"/>
      <c r="R78" s="1626"/>
      <c r="S78" s="2178"/>
      <c r="T78" s="2109"/>
      <c r="U78" s="2111" t="s">
        <v>17192</v>
      </c>
      <c r="V78" s="1626"/>
      <c r="W78" s="1626"/>
      <c r="X78" s="1626"/>
      <c r="Y78" s="2332"/>
      <c r="Z78" s="2463"/>
      <c r="AA78" s="2463"/>
      <c r="AB78" s="2463"/>
      <c r="AC78" s="2463"/>
      <c r="AD78" s="2464"/>
      <c r="AE78" s="88"/>
      <c r="AF78" s="98" t="s">
        <v>17333</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17334</v>
      </c>
      <c r="C79" s="97" t="s">
        <v>681</v>
      </c>
      <c r="D79" s="97">
        <v>3</v>
      </c>
      <c r="E79" s="1626"/>
      <c r="F79" s="1626"/>
      <c r="G79" s="1626"/>
      <c r="H79" s="1626"/>
      <c r="I79" s="1626"/>
      <c r="J79" s="1626"/>
      <c r="K79" s="2178"/>
      <c r="L79" s="2112"/>
      <c r="M79" s="2180"/>
      <c r="N79" s="1626"/>
      <c r="O79" s="1626"/>
      <c r="P79" s="1626"/>
      <c r="Q79" s="1626"/>
      <c r="R79" s="1626"/>
      <c r="S79" s="2178"/>
      <c r="T79" s="2109"/>
      <c r="U79" s="2111" t="s">
        <v>17192</v>
      </c>
      <c r="V79" s="1626"/>
      <c r="W79" s="1626"/>
      <c r="X79" s="1626"/>
      <c r="Y79" s="2332"/>
      <c r="Z79" s="2463"/>
      <c r="AA79" s="2463"/>
      <c r="AB79" s="2463"/>
      <c r="AC79" s="2463"/>
      <c r="AD79" s="2464"/>
      <c r="AE79" s="88"/>
      <c r="AF79" s="98" t="s">
        <v>17335</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17336</v>
      </c>
      <c r="C80" s="97" t="s">
        <v>681</v>
      </c>
      <c r="D80" s="97">
        <v>3</v>
      </c>
      <c r="E80" s="1626"/>
      <c r="F80" s="1626"/>
      <c r="G80" s="1626"/>
      <c r="H80" s="1626"/>
      <c r="I80" s="1626"/>
      <c r="J80" s="1626"/>
      <c r="K80" s="2178"/>
      <c r="L80" s="2112"/>
      <c r="M80" s="2180"/>
      <c r="N80" s="1626"/>
      <c r="O80" s="1626"/>
      <c r="P80" s="1626"/>
      <c r="Q80" s="1626"/>
      <c r="R80" s="1626"/>
      <c r="S80" s="2178"/>
      <c r="T80" s="2109"/>
      <c r="U80" s="2111" t="s">
        <v>17192</v>
      </c>
      <c r="V80" s="1626"/>
      <c r="W80" s="1626"/>
      <c r="X80" s="1626"/>
      <c r="Y80" s="2332"/>
      <c r="Z80" s="2463"/>
      <c r="AA80" s="2463"/>
      <c r="AB80" s="2463"/>
      <c r="AC80" s="2463"/>
      <c r="AD80" s="2464"/>
      <c r="AE80" s="88"/>
      <c r="AF80" s="98" t="s">
        <v>17337</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17338</v>
      </c>
      <c r="C81" s="97" t="s">
        <v>681</v>
      </c>
      <c r="D81" s="97">
        <v>3</v>
      </c>
      <c r="E81" s="1626"/>
      <c r="F81" s="1626"/>
      <c r="G81" s="1626"/>
      <c r="H81" s="1626"/>
      <c r="I81" s="1626"/>
      <c r="J81" s="1626"/>
      <c r="K81" s="2178"/>
      <c r="L81" s="2112"/>
      <c r="M81" s="2180"/>
      <c r="N81" s="1626"/>
      <c r="O81" s="1626"/>
      <c r="P81" s="1626"/>
      <c r="Q81" s="1626"/>
      <c r="R81" s="1626"/>
      <c r="S81" s="2178"/>
      <c r="T81" s="2109"/>
      <c r="U81" s="2111" t="s">
        <v>17192</v>
      </c>
      <c r="V81" s="1626"/>
      <c r="W81" s="1626"/>
      <c r="X81" s="1626"/>
      <c r="Y81" s="2332"/>
      <c r="Z81" s="2463"/>
      <c r="AA81" s="2463"/>
      <c r="AB81" s="2463"/>
      <c r="AC81" s="2463"/>
      <c r="AD81" s="2464"/>
      <c r="AE81" s="88"/>
      <c r="AF81" s="98" t="s">
        <v>17339</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17340</v>
      </c>
      <c r="C82" s="97" t="s">
        <v>681</v>
      </c>
      <c r="D82" s="97">
        <v>3</v>
      </c>
      <c r="E82" s="1626"/>
      <c r="F82" s="1626"/>
      <c r="G82" s="1626"/>
      <c r="H82" s="1626"/>
      <c r="I82" s="1626"/>
      <c r="J82" s="1626"/>
      <c r="K82" s="2178"/>
      <c r="L82" s="2112"/>
      <c r="M82" s="2180"/>
      <c r="N82" s="1626"/>
      <c r="O82" s="1626"/>
      <c r="P82" s="1626"/>
      <c r="Q82" s="1626"/>
      <c r="R82" s="1626"/>
      <c r="S82" s="2178"/>
      <c r="T82" s="2109"/>
      <c r="U82" s="2111" t="s">
        <v>17192</v>
      </c>
      <c r="V82" s="1626"/>
      <c r="W82" s="1626"/>
      <c r="X82" s="1626"/>
      <c r="Y82" s="2332"/>
      <c r="Z82" s="2463"/>
      <c r="AA82" s="2463"/>
      <c r="AB82" s="2463"/>
      <c r="AC82" s="2463"/>
      <c r="AD82" s="2464"/>
      <c r="AE82" s="88"/>
      <c r="AF82" s="98" t="s">
        <v>17341</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17342</v>
      </c>
      <c r="C83" s="97" t="s">
        <v>681</v>
      </c>
      <c r="D83" s="97">
        <v>3</v>
      </c>
      <c r="E83" s="1626"/>
      <c r="F83" s="1626"/>
      <c r="G83" s="1626"/>
      <c r="H83" s="1626"/>
      <c r="I83" s="1626"/>
      <c r="J83" s="1626"/>
      <c r="K83" s="2178"/>
      <c r="L83" s="2112"/>
      <c r="M83" s="2180"/>
      <c r="N83" s="1626"/>
      <c r="O83" s="1626"/>
      <c r="P83" s="1626"/>
      <c r="Q83" s="1626"/>
      <c r="R83" s="1626"/>
      <c r="S83" s="2178"/>
      <c r="T83" s="2109"/>
      <c r="U83" s="2111" t="s">
        <v>17192</v>
      </c>
      <c r="V83" s="1626"/>
      <c r="W83" s="1626"/>
      <c r="X83" s="1626"/>
      <c r="Y83" s="2332"/>
      <c r="Z83" s="2463"/>
      <c r="AA83" s="2463"/>
      <c r="AB83" s="2463"/>
      <c r="AC83" s="2463"/>
      <c r="AD83" s="2464"/>
      <c r="AE83" s="88"/>
      <c r="AF83" s="98" t="s">
        <v>17343</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17344</v>
      </c>
      <c r="C84" s="97" t="s">
        <v>681</v>
      </c>
      <c r="D84" s="97">
        <v>3</v>
      </c>
      <c r="E84" s="1626"/>
      <c r="F84" s="1626"/>
      <c r="G84" s="1626"/>
      <c r="H84" s="1626"/>
      <c r="I84" s="1626"/>
      <c r="J84" s="1626"/>
      <c r="K84" s="2178"/>
      <c r="L84" s="2112"/>
      <c r="M84" s="2180"/>
      <c r="N84" s="1626"/>
      <c r="O84" s="1626"/>
      <c r="P84" s="1626"/>
      <c r="Q84" s="1626"/>
      <c r="R84" s="1626"/>
      <c r="S84" s="2178"/>
      <c r="T84" s="2109"/>
      <c r="U84" s="2111" t="s">
        <v>17192</v>
      </c>
      <c r="V84" s="1626"/>
      <c r="W84" s="1626"/>
      <c r="X84" s="1626"/>
      <c r="Y84" s="2332"/>
      <c r="Z84" s="2463"/>
      <c r="AA84" s="2463"/>
      <c r="AB84" s="2463"/>
      <c r="AC84" s="2463"/>
      <c r="AD84" s="2464"/>
      <c r="AE84" s="88"/>
      <c r="AF84" s="98" t="s">
        <v>17345</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17346</v>
      </c>
      <c r="C85" s="97" t="s">
        <v>681</v>
      </c>
      <c r="D85" s="97">
        <v>3</v>
      </c>
      <c r="E85" s="1626"/>
      <c r="F85" s="1626"/>
      <c r="G85" s="1626"/>
      <c r="H85" s="1626"/>
      <c r="I85" s="1626"/>
      <c r="J85" s="1626"/>
      <c r="K85" s="2178"/>
      <c r="L85" s="2112"/>
      <c r="M85" s="2180"/>
      <c r="N85" s="1626"/>
      <c r="O85" s="1626"/>
      <c r="P85" s="1626"/>
      <c r="Q85" s="1626"/>
      <c r="R85" s="1626"/>
      <c r="S85" s="2178"/>
      <c r="T85" s="2109"/>
      <c r="U85" s="2111" t="s">
        <v>17192</v>
      </c>
      <c r="V85" s="1626"/>
      <c r="W85" s="1626"/>
      <c r="X85" s="1626"/>
      <c r="Y85" s="2332"/>
      <c r="Z85" s="2463"/>
      <c r="AA85" s="2463"/>
      <c r="AB85" s="2463"/>
      <c r="AC85" s="2463"/>
      <c r="AD85" s="2464"/>
      <c r="AE85" s="88"/>
      <c r="AF85" s="98" t="s">
        <v>17347</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17348</v>
      </c>
      <c r="C86" s="97" t="s">
        <v>681</v>
      </c>
      <c r="D86" s="97">
        <v>3</v>
      </c>
      <c r="E86" s="1626"/>
      <c r="F86" s="1626"/>
      <c r="G86" s="1626"/>
      <c r="H86" s="1626"/>
      <c r="I86" s="1626"/>
      <c r="J86" s="1626"/>
      <c r="K86" s="2178"/>
      <c r="L86" s="2112"/>
      <c r="M86" s="2180"/>
      <c r="N86" s="1626"/>
      <c r="O86" s="1626"/>
      <c r="P86" s="1626"/>
      <c r="Q86" s="1626"/>
      <c r="R86" s="1626"/>
      <c r="S86" s="2178"/>
      <c r="T86" s="2109"/>
      <c r="U86" s="2111" t="s">
        <v>17192</v>
      </c>
      <c r="V86" s="1626"/>
      <c r="W86" s="1626"/>
      <c r="X86" s="1626"/>
      <c r="Y86" s="2332"/>
      <c r="Z86" s="2463"/>
      <c r="AA86" s="2463"/>
      <c r="AB86" s="2463"/>
      <c r="AC86" s="2463"/>
      <c r="AD86" s="2464"/>
      <c r="AE86" s="88"/>
      <c r="AF86" s="98" t="s">
        <v>17349</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17350</v>
      </c>
      <c r="C87" s="97" t="s">
        <v>681</v>
      </c>
      <c r="D87" s="97">
        <v>3</v>
      </c>
      <c r="E87" s="1626"/>
      <c r="F87" s="1626"/>
      <c r="G87" s="1626"/>
      <c r="H87" s="1626"/>
      <c r="I87" s="1626"/>
      <c r="J87" s="1626"/>
      <c r="K87" s="2178"/>
      <c r="L87" s="2112"/>
      <c r="M87" s="2180"/>
      <c r="N87" s="1626"/>
      <c r="O87" s="1626"/>
      <c r="P87" s="1626"/>
      <c r="Q87" s="1626"/>
      <c r="R87" s="1626"/>
      <c r="S87" s="2178"/>
      <c r="T87" s="2109"/>
      <c r="U87" s="2111" t="s">
        <v>17192</v>
      </c>
      <c r="V87" s="1626"/>
      <c r="W87" s="1626"/>
      <c r="X87" s="1626"/>
      <c r="Y87" s="2332"/>
      <c r="Z87" s="2463"/>
      <c r="AA87" s="2463"/>
      <c r="AB87" s="2463"/>
      <c r="AC87" s="2463"/>
      <c r="AD87" s="2464"/>
      <c r="AE87" s="88"/>
      <c r="AF87" s="98" t="s">
        <v>17351</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17352</v>
      </c>
      <c r="C88" s="97" t="s">
        <v>681</v>
      </c>
      <c r="D88" s="97">
        <v>3</v>
      </c>
      <c r="E88" s="1626"/>
      <c r="F88" s="1626"/>
      <c r="G88" s="1626"/>
      <c r="H88" s="1626"/>
      <c r="I88" s="1626"/>
      <c r="J88" s="1626"/>
      <c r="K88" s="2178"/>
      <c r="L88" s="2112"/>
      <c r="M88" s="2180"/>
      <c r="N88" s="1626"/>
      <c r="O88" s="1626"/>
      <c r="P88" s="1626"/>
      <c r="Q88" s="1626"/>
      <c r="R88" s="1626"/>
      <c r="S88" s="2178"/>
      <c r="T88" s="2109"/>
      <c r="U88" s="2111" t="s">
        <v>17192</v>
      </c>
      <c r="V88" s="1626"/>
      <c r="W88" s="1626"/>
      <c r="X88" s="1626"/>
      <c r="Y88" s="2332"/>
      <c r="Z88" s="2463"/>
      <c r="AA88" s="2463"/>
      <c r="AB88" s="2463"/>
      <c r="AC88" s="2463"/>
      <c r="AD88" s="2464"/>
      <c r="AE88" s="88"/>
      <c r="AF88" s="98" t="s">
        <v>17353</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17354</v>
      </c>
      <c r="C89" s="97" t="s">
        <v>681</v>
      </c>
      <c r="D89" s="97">
        <v>3</v>
      </c>
      <c r="E89" s="1626"/>
      <c r="F89" s="1626"/>
      <c r="G89" s="1626"/>
      <c r="H89" s="1626"/>
      <c r="I89" s="1626"/>
      <c r="J89" s="1626"/>
      <c r="K89" s="2178"/>
      <c r="L89" s="2112"/>
      <c r="M89" s="2180"/>
      <c r="N89" s="1626"/>
      <c r="O89" s="1626"/>
      <c r="P89" s="1626"/>
      <c r="Q89" s="1626"/>
      <c r="R89" s="1626"/>
      <c r="S89" s="2178"/>
      <c r="T89" s="2109"/>
      <c r="U89" s="2111" t="s">
        <v>17192</v>
      </c>
      <c r="V89" s="1626"/>
      <c r="W89" s="1626"/>
      <c r="X89" s="1626"/>
      <c r="Y89" s="2332"/>
      <c r="Z89" s="2463"/>
      <c r="AA89" s="2463"/>
      <c r="AB89" s="2463"/>
      <c r="AC89" s="2463"/>
      <c r="AD89" s="2464"/>
      <c r="AE89" s="88"/>
      <c r="AF89" s="98" t="s">
        <v>17355</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17356</v>
      </c>
      <c r="C90" s="97" t="s">
        <v>681</v>
      </c>
      <c r="D90" s="97">
        <v>3</v>
      </c>
      <c r="E90" s="1626"/>
      <c r="F90" s="1626"/>
      <c r="G90" s="1626"/>
      <c r="H90" s="1626"/>
      <c r="I90" s="1626"/>
      <c r="J90" s="1626"/>
      <c r="K90" s="2178"/>
      <c r="L90" s="2112"/>
      <c r="M90" s="2180"/>
      <c r="N90" s="1626"/>
      <c r="O90" s="1626"/>
      <c r="P90" s="1626"/>
      <c r="Q90" s="1626"/>
      <c r="R90" s="1626"/>
      <c r="S90" s="2178"/>
      <c r="T90" s="2109"/>
      <c r="U90" s="2111" t="s">
        <v>17192</v>
      </c>
      <c r="V90" s="1626"/>
      <c r="W90" s="1626"/>
      <c r="X90" s="1626"/>
      <c r="Y90" s="2332"/>
      <c r="Z90" s="2463"/>
      <c r="AA90" s="2463"/>
      <c r="AB90" s="2463"/>
      <c r="AC90" s="2463"/>
      <c r="AD90" s="2464"/>
      <c r="AE90" s="88"/>
      <c r="AF90" s="98" t="s">
        <v>17357</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17358</v>
      </c>
      <c r="C91" s="97" t="s">
        <v>681</v>
      </c>
      <c r="D91" s="97">
        <v>3</v>
      </c>
      <c r="E91" s="1626"/>
      <c r="F91" s="1626"/>
      <c r="G91" s="1626"/>
      <c r="H91" s="1626"/>
      <c r="I91" s="1626"/>
      <c r="J91" s="1626"/>
      <c r="K91" s="2178"/>
      <c r="L91" s="2112"/>
      <c r="M91" s="2180"/>
      <c r="N91" s="1626"/>
      <c r="O91" s="1626"/>
      <c r="P91" s="1626"/>
      <c r="Q91" s="1626"/>
      <c r="R91" s="1626"/>
      <c r="S91" s="2178"/>
      <c r="T91" s="2109"/>
      <c r="U91" s="2111" t="s">
        <v>17192</v>
      </c>
      <c r="V91" s="1626"/>
      <c r="W91" s="1626"/>
      <c r="X91" s="1626"/>
      <c r="Y91" s="2332"/>
      <c r="Z91" s="2463"/>
      <c r="AA91" s="2463"/>
      <c r="AB91" s="2463"/>
      <c r="AC91" s="2463"/>
      <c r="AD91" s="2464"/>
      <c r="AE91" s="88"/>
      <c r="AF91" s="98" t="s">
        <v>17359</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17360</v>
      </c>
      <c r="C92" s="97" t="s">
        <v>681</v>
      </c>
      <c r="D92" s="97">
        <v>3</v>
      </c>
      <c r="E92" s="1626"/>
      <c r="F92" s="1626"/>
      <c r="G92" s="1626"/>
      <c r="H92" s="1626"/>
      <c r="I92" s="1626"/>
      <c r="J92" s="1626"/>
      <c r="K92" s="2178"/>
      <c r="L92" s="2112"/>
      <c r="M92" s="2180"/>
      <c r="N92" s="1626"/>
      <c r="O92" s="1626"/>
      <c r="P92" s="1626"/>
      <c r="Q92" s="1626"/>
      <c r="R92" s="1626"/>
      <c r="S92" s="2178"/>
      <c r="T92" s="2109"/>
      <c r="U92" s="2111" t="s">
        <v>17192</v>
      </c>
      <c r="V92" s="1626"/>
      <c r="W92" s="1626"/>
      <c r="X92" s="1626"/>
      <c r="Y92" s="2332"/>
      <c r="Z92" s="2463"/>
      <c r="AA92" s="2463"/>
      <c r="AB92" s="2463"/>
      <c r="AC92" s="2463"/>
      <c r="AD92" s="2464"/>
      <c r="AE92" s="88"/>
      <c r="AF92" s="98" t="s">
        <v>17361</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17362</v>
      </c>
      <c r="C93" s="97" t="s">
        <v>681</v>
      </c>
      <c r="D93" s="97">
        <v>3</v>
      </c>
      <c r="E93" s="1626"/>
      <c r="F93" s="1626"/>
      <c r="G93" s="1626"/>
      <c r="H93" s="1626"/>
      <c r="I93" s="1626"/>
      <c r="J93" s="1626"/>
      <c r="K93" s="2178"/>
      <c r="L93" s="2112"/>
      <c r="M93" s="2180"/>
      <c r="N93" s="1626"/>
      <c r="O93" s="1626"/>
      <c r="P93" s="1626"/>
      <c r="Q93" s="1626"/>
      <c r="R93" s="1626"/>
      <c r="S93" s="2178"/>
      <c r="T93" s="2109"/>
      <c r="U93" s="2111" t="s">
        <v>17192</v>
      </c>
      <c r="V93" s="1626"/>
      <c r="W93" s="1626"/>
      <c r="X93" s="1626"/>
      <c r="Y93" s="2332"/>
      <c r="Z93" s="2463"/>
      <c r="AA93" s="2463"/>
      <c r="AB93" s="2463"/>
      <c r="AC93" s="2463"/>
      <c r="AD93" s="2464"/>
      <c r="AE93" s="88"/>
      <c r="AF93" s="98" t="s">
        <v>17363</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17364</v>
      </c>
      <c r="C94" s="97" t="s">
        <v>681</v>
      </c>
      <c r="D94" s="97">
        <v>3</v>
      </c>
      <c r="E94" s="1626"/>
      <c r="F94" s="1626"/>
      <c r="G94" s="1626"/>
      <c r="H94" s="1626"/>
      <c r="I94" s="1626"/>
      <c r="J94" s="1626"/>
      <c r="K94" s="2178"/>
      <c r="L94" s="2112"/>
      <c r="M94" s="2180"/>
      <c r="N94" s="1626"/>
      <c r="O94" s="1626"/>
      <c r="P94" s="1626"/>
      <c r="Q94" s="1626"/>
      <c r="R94" s="1626"/>
      <c r="S94" s="2178"/>
      <c r="T94" s="2109"/>
      <c r="U94" s="2111" t="s">
        <v>17192</v>
      </c>
      <c r="V94" s="1626"/>
      <c r="W94" s="1626"/>
      <c r="X94" s="1626"/>
      <c r="Y94" s="2332"/>
      <c r="Z94" s="2463"/>
      <c r="AA94" s="2463"/>
      <c r="AB94" s="2463"/>
      <c r="AC94" s="2463"/>
      <c r="AD94" s="2464"/>
      <c r="AE94" s="88"/>
      <c r="AF94" s="98" t="s">
        <v>17365</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17366</v>
      </c>
      <c r="C95" s="97" t="s">
        <v>681</v>
      </c>
      <c r="D95" s="97">
        <v>3</v>
      </c>
      <c r="E95" s="1626"/>
      <c r="F95" s="1626"/>
      <c r="G95" s="1626"/>
      <c r="H95" s="1626"/>
      <c r="I95" s="1626"/>
      <c r="J95" s="1626"/>
      <c r="K95" s="2178"/>
      <c r="L95" s="2112"/>
      <c r="M95" s="2180"/>
      <c r="N95" s="1626"/>
      <c r="O95" s="1626"/>
      <c r="P95" s="1626"/>
      <c r="Q95" s="1626"/>
      <c r="R95" s="1626"/>
      <c r="S95" s="2178"/>
      <c r="T95" s="2109"/>
      <c r="U95" s="2111" t="s">
        <v>17192</v>
      </c>
      <c r="V95" s="1626"/>
      <c r="W95" s="1626"/>
      <c r="X95" s="1626"/>
      <c r="Y95" s="2332"/>
      <c r="Z95" s="2463"/>
      <c r="AA95" s="2463"/>
      <c r="AB95" s="2463"/>
      <c r="AC95" s="2463"/>
      <c r="AD95" s="2464"/>
      <c r="AE95" s="88"/>
      <c r="AF95" s="98" t="s">
        <v>17367</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17368</v>
      </c>
      <c r="C96" s="97" t="s">
        <v>681</v>
      </c>
      <c r="D96" s="97">
        <v>3</v>
      </c>
      <c r="E96" s="1626"/>
      <c r="F96" s="1626"/>
      <c r="G96" s="1626"/>
      <c r="H96" s="1626"/>
      <c r="I96" s="1626"/>
      <c r="J96" s="1626"/>
      <c r="K96" s="2178"/>
      <c r="L96" s="2112"/>
      <c r="M96" s="2180"/>
      <c r="N96" s="1626"/>
      <c r="O96" s="1626"/>
      <c r="P96" s="1626"/>
      <c r="Q96" s="1626"/>
      <c r="R96" s="1626"/>
      <c r="S96" s="2178"/>
      <c r="T96" s="2109"/>
      <c r="U96" s="2111" t="s">
        <v>17192</v>
      </c>
      <c r="V96" s="1626"/>
      <c r="W96" s="1626"/>
      <c r="X96" s="1626"/>
      <c r="Y96" s="2332"/>
      <c r="Z96" s="2463"/>
      <c r="AA96" s="2463"/>
      <c r="AB96" s="2463"/>
      <c r="AC96" s="2463"/>
      <c r="AD96" s="2464"/>
      <c r="AE96" s="88"/>
      <c r="AF96" s="98" t="s">
        <v>17369</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17370</v>
      </c>
      <c r="C97" s="97" t="s">
        <v>681</v>
      </c>
      <c r="D97" s="97">
        <v>3</v>
      </c>
      <c r="E97" s="1626"/>
      <c r="F97" s="1626"/>
      <c r="G97" s="1626"/>
      <c r="H97" s="1626"/>
      <c r="I97" s="1626"/>
      <c r="J97" s="1626"/>
      <c r="K97" s="2178"/>
      <c r="L97" s="2112"/>
      <c r="M97" s="2180"/>
      <c r="N97" s="1626"/>
      <c r="O97" s="1626"/>
      <c r="P97" s="1626"/>
      <c r="Q97" s="1626"/>
      <c r="R97" s="1626"/>
      <c r="S97" s="2178"/>
      <c r="T97" s="2109"/>
      <c r="U97" s="2111" t="s">
        <v>17192</v>
      </c>
      <c r="V97" s="1626"/>
      <c r="W97" s="1626"/>
      <c r="X97" s="1626"/>
      <c r="Y97" s="2332"/>
      <c r="Z97" s="2463"/>
      <c r="AA97" s="2463"/>
      <c r="AB97" s="2463"/>
      <c r="AC97" s="2463"/>
      <c r="AD97" s="2464"/>
      <c r="AE97" s="88"/>
      <c r="AF97" s="98" t="s">
        <v>17371</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17372</v>
      </c>
      <c r="C98" s="97" t="s">
        <v>681</v>
      </c>
      <c r="D98" s="97">
        <v>3</v>
      </c>
      <c r="E98" s="1626"/>
      <c r="F98" s="1626"/>
      <c r="G98" s="1626"/>
      <c r="H98" s="1626"/>
      <c r="I98" s="1626"/>
      <c r="J98" s="1626"/>
      <c r="K98" s="2178"/>
      <c r="L98" s="2112"/>
      <c r="M98" s="2180"/>
      <c r="N98" s="1626"/>
      <c r="O98" s="1626"/>
      <c r="P98" s="1626"/>
      <c r="Q98" s="1626"/>
      <c r="R98" s="1626"/>
      <c r="S98" s="2178"/>
      <c r="T98" s="2109"/>
      <c r="U98" s="2111" t="s">
        <v>17192</v>
      </c>
      <c r="V98" s="1626"/>
      <c r="W98" s="1626"/>
      <c r="X98" s="1626"/>
      <c r="Y98" s="2332"/>
      <c r="Z98" s="2463"/>
      <c r="AA98" s="2463"/>
      <c r="AB98" s="2463"/>
      <c r="AC98" s="2463"/>
      <c r="AD98" s="2464"/>
      <c r="AE98" s="88"/>
      <c r="AF98" s="98" t="s">
        <v>17373</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17374</v>
      </c>
      <c r="C99" s="97" t="s">
        <v>681</v>
      </c>
      <c r="D99" s="97">
        <v>3</v>
      </c>
      <c r="E99" s="1626"/>
      <c r="F99" s="1626"/>
      <c r="G99" s="1626"/>
      <c r="H99" s="1626"/>
      <c r="I99" s="1626"/>
      <c r="J99" s="1626"/>
      <c r="K99" s="2178"/>
      <c r="L99" s="2112"/>
      <c r="M99" s="2180"/>
      <c r="N99" s="1626"/>
      <c r="O99" s="1626"/>
      <c r="P99" s="1626"/>
      <c r="Q99" s="1626"/>
      <c r="R99" s="1626"/>
      <c r="S99" s="2178"/>
      <c r="T99" s="2109"/>
      <c r="U99" s="2111" t="s">
        <v>17192</v>
      </c>
      <c r="V99" s="1626"/>
      <c r="W99" s="1626"/>
      <c r="X99" s="1626"/>
      <c r="Y99" s="2332"/>
      <c r="Z99" s="2463"/>
      <c r="AA99" s="2463"/>
      <c r="AB99" s="2463"/>
      <c r="AC99" s="2463"/>
      <c r="AD99" s="2464"/>
      <c r="AE99" s="88"/>
      <c r="AF99" s="98" t="s">
        <v>17375</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17376</v>
      </c>
      <c r="C100" s="97" t="s">
        <v>681</v>
      </c>
      <c r="D100" s="97">
        <v>3</v>
      </c>
      <c r="E100" s="1626"/>
      <c r="F100" s="1626"/>
      <c r="G100" s="1626"/>
      <c r="H100" s="1626"/>
      <c r="I100" s="1626"/>
      <c r="J100" s="1626"/>
      <c r="K100" s="2178"/>
      <c r="L100" s="2112"/>
      <c r="M100" s="2180"/>
      <c r="N100" s="1626"/>
      <c r="O100" s="1626"/>
      <c r="P100" s="1626"/>
      <c r="Q100" s="1626"/>
      <c r="R100" s="1626"/>
      <c r="S100" s="2178"/>
      <c r="T100" s="2109"/>
      <c r="U100" s="2111" t="s">
        <v>17192</v>
      </c>
      <c r="V100" s="1626"/>
      <c r="W100" s="1626"/>
      <c r="X100" s="1626"/>
      <c r="Y100" s="2332"/>
      <c r="Z100" s="2463"/>
      <c r="AA100" s="2463"/>
      <c r="AB100" s="2463"/>
      <c r="AC100" s="2463"/>
      <c r="AD100" s="2464"/>
      <c r="AE100" s="88"/>
      <c r="AF100" s="98" t="s">
        <v>17377</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17378</v>
      </c>
      <c r="C101" s="97" t="s">
        <v>681</v>
      </c>
      <c r="D101" s="97">
        <v>3</v>
      </c>
      <c r="E101" s="1626"/>
      <c r="F101" s="1626"/>
      <c r="G101" s="1626"/>
      <c r="H101" s="1626"/>
      <c r="I101" s="1626"/>
      <c r="J101" s="1626"/>
      <c r="K101" s="2178"/>
      <c r="L101" s="2112"/>
      <c r="M101" s="2180"/>
      <c r="N101" s="1626"/>
      <c r="O101" s="1626"/>
      <c r="P101" s="1626"/>
      <c r="Q101" s="1626"/>
      <c r="R101" s="1626"/>
      <c r="S101" s="2178"/>
      <c r="T101" s="2109"/>
      <c r="U101" s="2111" t="s">
        <v>17192</v>
      </c>
      <c r="V101" s="1626"/>
      <c r="W101" s="1626"/>
      <c r="X101" s="1626"/>
      <c r="Y101" s="2332"/>
      <c r="Z101" s="2463"/>
      <c r="AA101" s="2463"/>
      <c r="AB101" s="2463"/>
      <c r="AC101" s="2463"/>
      <c r="AD101" s="2464"/>
      <c r="AE101" s="88"/>
      <c r="AF101" s="98" t="s">
        <v>17379</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17380</v>
      </c>
      <c r="C102" s="97" t="s">
        <v>681</v>
      </c>
      <c r="D102" s="97">
        <v>3</v>
      </c>
      <c r="E102" s="1626"/>
      <c r="F102" s="1626"/>
      <c r="G102" s="1626"/>
      <c r="H102" s="1626"/>
      <c r="I102" s="1626"/>
      <c r="J102" s="1626"/>
      <c r="K102" s="2178"/>
      <c r="L102" s="2112"/>
      <c r="M102" s="2180"/>
      <c r="N102" s="1626"/>
      <c r="O102" s="1626"/>
      <c r="P102" s="1626"/>
      <c r="Q102" s="1626"/>
      <c r="R102" s="1626"/>
      <c r="S102" s="2178"/>
      <c r="T102" s="2109"/>
      <c r="U102" s="2111" t="s">
        <v>17192</v>
      </c>
      <c r="V102" s="1626"/>
      <c r="W102" s="1626"/>
      <c r="X102" s="1626"/>
      <c r="Y102" s="2332"/>
      <c r="Z102" s="2463"/>
      <c r="AA102" s="2463"/>
      <c r="AB102" s="2463"/>
      <c r="AC102" s="2463"/>
      <c r="AD102" s="2464"/>
      <c r="AE102" s="88"/>
      <c r="AF102" s="98" t="s">
        <v>17381</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17382</v>
      </c>
      <c r="C103" s="97" t="s">
        <v>681</v>
      </c>
      <c r="D103" s="97">
        <v>3</v>
      </c>
      <c r="E103" s="1626"/>
      <c r="F103" s="1626"/>
      <c r="G103" s="1626"/>
      <c r="H103" s="1626"/>
      <c r="I103" s="1626"/>
      <c r="J103" s="1626"/>
      <c r="K103" s="2178"/>
      <c r="L103" s="2112"/>
      <c r="M103" s="2180"/>
      <c r="N103" s="1626"/>
      <c r="O103" s="1626"/>
      <c r="P103" s="1626"/>
      <c r="Q103" s="1626"/>
      <c r="R103" s="1626"/>
      <c r="S103" s="2178"/>
      <c r="T103" s="2109"/>
      <c r="U103" s="2111" t="s">
        <v>17192</v>
      </c>
      <c r="V103" s="1626"/>
      <c r="W103" s="1626"/>
      <c r="X103" s="1626"/>
      <c r="Y103" s="2332"/>
      <c r="Z103" s="2463"/>
      <c r="AA103" s="2463"/>
      <c r="AB103" s="2463"/>
      <c r="AC103" s="2463"/>
      <c r="AD103" s="2464"/>
      <c r="AE103" s="88"/>
      <c r="AF103" s="98" t="s">
        <v>17383</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17384</v>
      </c>
      <c r="C104" s="97" t="s">
        <v>681</v>
      </c>
      <c r="D104" s="97">
        <v>3</v>
      </c>
      <c r="E104" s="1626"/>
      <c r="F104" s="1626"/>
      <c r="G104" s="1626"/>
      <c r="H104" s="1626"/>
      <c r="I104" s="1626"/>
      <c r="J104" s="1626"/>
      <c r="K104" s="2178"/>
      <c r="L104" s="2112"/>
      <c r="M104" s="2180"/>
      <c r="N104" s="1626"/>
      <c r="O104" s="1626"/>
      <c r="P104" s="1626"/>
      <c r="Q104" s="1626"/>
      <c r="R104" s="1626"/>
      <c r="S104" s="2178"/>
      <c r="T104" s="2109"/>
      <c r="U104" s="2111" t="s">
        <v>17192</v>
      </c>
      <c r="V104" s="1626"/>
      <c r="W104" s="1626"/>
      <c r="X104" s="1626"/>
      <c r="Y104" s="2332"/>
      <c r="Z104" s="2463"/>
      <c r="AA104" s="2463"/>
      <c r="AB104" s="2463"/>
      <c r="AC104" s="2463"/>
      <c r="AD104" s="2464"/>
      <c r="AE104" s="88"/>
      <c r="AF104" s="98" t="s">
        <v>17385</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17386</v>
      </c>
      <c r="C105" s="97" t="s">
        <v>681</v>
      </c>
      <c r="D105" s="97">
        <v>3</v>
      </c>
      <c r="E105" s="1626"/>
      <c r="F105" s="1626"/>
      <c r="G105" s="1626"/>
      <c r="H105" s="1626"/>
      <c r="I105" s="1626"/>
      <c r="J105" s="1626"/>
      <c r="K105" s="2178"/>
      <c r="L105" s="2112"/>
      <c r="M105" s="2180"/>
      <c r="N105" s="1626"/>
      <c r="O105" s="1626"/>
      <c r="P105" s="1626"/>
      <c r="Q105" s="1626"/>
      <c r="R105" s="1626"/>
      <c r="S105" s="2178"/>
      <c r="T105" s="2109"/>
      <c r="U105" s="2111" t="s">
        <v>17192</v>
      </c>
      <c r="V105" s="1626"/>
      <c r="W105" s="1626"/>
      <c r="X105" s="1626"/>
      <c r="Y105" s="2332"/>
      <c r="Z105" s="2463"/>
      <c r="AA105" s="2463"/>
      <c r="AB105" s="2463"/>
      <c r="AC105" s="2463"/>
      <c r="AD105" s="2464"/>
      <c r="AE105" s="88"/>
      <c r="AF105" s="98" t="s">
        <v>17387</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17388</v>
      </c>
      <c r="C106" s="97" t="s">
        <v>681</v>
      </c>
      <c r="D106" s="97">
        <v>3</v>
      </c>
      <c r="E106" s="1626"/>
      <c r="F106" s="1626"/>
      <c r="G106" s="1626"/>
      <c r="H106" s="1626"/>
      <c r="I106" s="1626"/>
      <c r="J106" s="1626"/>
      <c r="K106" s="2178"/>
      <c r="L106" s="2112"/>
      <c r="M106" s="2180"/>
      <c r="N106" s="1626"/>
      <c r="O106" s="1626"/>
      <c r="P106" s="1626"/>
      <c r="Q106" s="1626"/>
      <c r="R106" s="1626"/>
      <c r="S106" s="2178"/>
      <c r="T106" s="2109"/>
      <c r="U106" s="2111" t="s">
        <v>17192</v>
      </c>
      <c r="V106" s="1626"/>
      <c r="W106" s="1626"/>
      <c r="X106" s="1626"/>
      <c r="Y106" s="2332"/>
      <c r="Z106" s="2463"/>
      <c r="AA106" s="2463"/>
      <c r="AB106" s="2463"/>
      <c r="AC106" s="2463"/>
      <c r="AD106" s="2464"/>
      <c r="AE106" s="88"/>
      <c r="AF106" s="98" t="s">
        <v>17389</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17390</v>
      </c>
      <c r="C107" s="97" t="s">
        <v>681</v>
      </c>
      <c r="D107" s="97">
        <v>3</v>
      </c>
      <c r="E107" s="1626"/>
      <c r="F107" s="1626"/>
      <c r="G107" s="1626"/>
      <c r="H107" s="1626"/>
      <c r="I107" s="1626"/>
      <c r="J107" s="1626"/>
      <c r="K107" s="2178"/>
      <c r="L107" s="2112"/>
      <c r="M107" s="2180"/>
      <c r="N107" s="1626"/>
      <c r="O107" s="1626"/>
      <c r="P107" s="1626"/>
      <c r="Q107" s="1626"/>
      <c r="R107" s="1626"/>
      <c r="S107" s="2178"/>
      <c r="T107" s="2109"/>
      <c r="U107" s="2111" t="s">
        <v>17192</v>
      </c>
      <c r="V107" s="1626"/>
      <c r="W107" s="1626"/>
      <c r="X107" s="1626"/>
      <c r="Y107" s="2332"/>
      <c r="Z107" s="2463"/>
      <c r="AA107" s="2463"/>
      <c r="AB107" s="2463"/>
      <c r="AC107" s="2463"/>
      <c r="AD107" s="2464"/>
      <c r="AE107" s="88"/>
      <c r="AF107" s="98" t="s">
        <v>17391</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17392</v>
      </c>
      <c r="C108" s="97" t="s">
        <v>681</v>
      </c>
      <c r="D108" s="97">
        <v>3</v>
      </c>
      <c r="E108" s="1626"/>
      <c r="F108" s="1626"/>
      <c r="G108" s="1626"/>
      <c r="H108" s="1626"/>
      <c r="I108" s="1626"/>
      <c r="J108" s="1626"/>
      <c r="K108" s="2178"/>
      <c r="L108" s="2112"/>
      <c r="M108" s="2180"/>
      <c r="N108" s="1626"/>
      <c r="O108" s="1626"/>
      <c r="P108" s="1626"/>
      <c r="Q108" s="1626"/>
      <c r="R108" s="1626"/>
      <c r="S108" s="2178"/>
      <c r="T108" s="2109"/>
      <c r="U108" s="2111" t="s">
        <v>17192</v>
      </c>
      <c r="V108" s="1626"/>
      <c r="W108" s="1626"/>
      <c r="X108" s="1626"/>
      <c r="Y108" s="2332"/>
      <c r="Z108" s="2463"/>
      <c r="AA108" s="2463"/>
      <c r="AB108" s="2463"/>
      <c r="AC108" s="2463"/>
      <c r="AD108" s="2464"/>
      <c r="AE108" s="88"/>
      <c r="AF108" s="98" t="s">
        <v>17393</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17394</v>
      </c>
      <c r="C109" s="97" t="s">
        <v>681</v>
      </c>
      <c r="D109" s="97">
        <v>3</v>
      </c>
      <c r="E109" s="1626"/>
      <c r="F109" s="1626"/>
      <c r="G109" s="1626"/>
      <c r="H109" s="1626"/>
      <c r="I109" s="1626"/>
      <c r="J109" s="1626"/>
      <c r="K109" s="2178"/>
      <c r="L109" s="2112"/>
      <c r="M109" s="2180"/>
      <c r="N109" s="1626"/>
      <c r="O109" s="1626"/>
      <c r="P109" s="1626"/>
      <c r="Q109" s="1626"/>
      <c r="R109" s="1626"/>
      <c r="S109" s="2178"/>
      <c r="T109" s="2109"/>
      <c r="U109" s="2111" t="s">
        <v>17192</v>
      </c>
      <c r="V109" s="1626"/>
      <c r="W109" s="1626"/>
      <c r="X109" s="1626"/>
      <c r="Y109" s="2332"/>
      <c r="Z109" s="2463"/>
      <c r="AA109" s="2463"/>
      <c r="AB109" s="2463"/>
      <c r="AC109" s="2463"/>
      <c r="AD109" s="2464"/>
      <c r="AE109" s="88"/>
      <c r="AF109" s="98" t="s">
        <v>17395</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17396</v>
      </c>
      <c r="C110" s="97" t="s">
        <v>681</v>
      </c>
      <c r="D110" s="97">
        <v>3</v>
      </c>
      <c r="E110" s="1626"/>
      <c r="F110" s="1626"/>
      <c r="G110" s="1626"/>
      <c r="H110" s="1626"/>
      <c r="I110" s="1626"/>
      <c r="J110" s="1626"/>
      <c r="K110" s="2178"/>
      <c r="L110" s="2112"/>
      <c r="M110" s="2180"/>
      <c r="N110" s="1626"/>
      <c r="O110" s="1626"/>
      <c r="P110" s="1626"/>
      <c r="Q110" s="1626"/>
      <c r="R110" s="1626"/>
      <c r="S110" s="2178"/>
      <c r="T110" s="2109"/>
      <c r="U110" s="2111" t="s">
        <v>17192</v>
      </c>
      <c r="V110" s="1626"/>
      <c r="W110" s="1626"/>
      <c r="X110" s="1626"/>
      <c r="Y110" s="2332"/>
      <c r="Z110" s="2463"/>
      <c r="AA110" s="2463"/>
      <c r="AB110" s="2463"/>
      <c r="AC110" s="2463"/>
      <c r="AD110" s="2464"/>
      <c r="AE110" s="88"/>
      <c r="AF110" s="98" t="s">
        <v>17397</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17398</v>
      </c>
      <c r="C111" s="97" t="s">
        <v>681</v>
      </c>
      <c r="D111" s="97">
        <v>3</v>
      </c>
      <c r="E111" s="1626"/>
      <c r="F111" s="1626"/>
      <c r="G111" s="1626"/>
      <c r="H111" s="1626"/>
      <c r="I111" s="1626"/>
      <c r="J111" s="1626"/>
      <c r="K111" s="2178"/>
      <c r="L111" s="2112"/>
      <c r="M111" s="2180"/>
      <c r="N111" s="1626"/>
      <c r="O111" s="1626"/>
      <c r="P111" s="1626"/>
      <c r="Q111" s="1626"/>
      <c r="R111" s="1626"/>
      <c r="S111" s="2178"/>
      <c r="T111" s="2109"/>
      <c r="U111" s="2111" t="s">
        <v>17192</v>
      </c>
      <c r="V111" s="1626"/>
      <c r="W111" s="1626"/>
      <c r="X111" s="1626"/>
      <c r="Y111" s="2332"/>
      <c r="Z111" s="2463"/>
      <c r="AA111" s="2463"/>
      <c r="AB111" s="2463"/>
      <c r="AC111" s="2463"/>
      <c r="AD111" s="2464"/>
      <c r="AE111" s="88"/>
      <c r="AF111" s="98" t="s">
        <v>17399</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17400</v>
      </c>
      <c r="C112" s="97" t="s">
        <v>681</v>
      </c>
      <c r="D112" s="97">
        <v>3</v>
      </c>
      <c r="E112" s="1626"/>
      <c r="F112" s="1626"/>
      <c r="G112" s="1626"/>
      <c r="H112" s="1626"/>
      <c r="I112" s="1626"/>
      <c r="J112" s="1626"/>
      <c r="K112" s="2178"/>
      <c r="L112" s="2112"/>
      <c r="M112" s="2180"/>
      <c r="N112" s="1626"/>
      <c r="O112" s="1626"/>
      <c r="P112" s="1626"/>
      <c r="Q112" s="1626"/>
      <c r="R112" s="1626"/>
      <c r="S112" s="2178"/>
      <c r="T112" s="2109"/>
      <c r="U112" s="2111" t="s">
        <v>17192</v>
      </c>
      <c r="V112" s="1626"/>
      <c r="W112" s="1626"/>
      <c r="X112" s="1626"/>
      <c r="Y112" s="2332"/>
      <c r="Z112" s="2463"/>
      <c r="AA112" s="2463"/>
      <c r="AB112" s="2463"/>
      <c r="AC112" s="2463"/>
      <c r="AD112" s="2464"/>
      <c r="AE112" s="88"/>
      <c r="AF112" s="98" t="s">
        <v>17401</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17402</v>
      </c>
      <c r="C113" s="97" t="s">
        <v>681</v>
      </c>
      <c r="D113" s="97">
        <v>3</v>
      </c>
      <c r="E113" s="1626"/>
      <c r="F113" s="1626"/>
      <c r="G113" s="1626"/>
      <c r="H113" s="1626"/>
      <c r="I113" s="1626"/>
      <c r="J113" s="1626"/>
      <c r="K113" s="2178"/>
      <c r="L113" s="2112"/>
      <c r="M113" s="2180"/>
      <c r="N113" s="1626"/>
      <c r="O113" s="1626"/>
      <c r="P113" s="1626"/>
      <c r="Q113" s="1626"/>
      <c r="R113" s="1626"/>
      <c r="S113" s="2178"/>
      <c r="T113" s="2109"/>
      <c r="U113" s="2111" t="s">
        <v>17192</v>
      </c>
      <c r="V113" s="1626"/>
      <c r="W113" s="1626"/>
      <c r="X113" s="1626"/>
      <c r="Y113" s="2332"/>
      <c r="Z113" s="2463"/>
      <c r="AA113" s="2463"/>
      <c r="AB113" s="2463"/>
      <c r="AC113" s="2463"/>
      <c r="AD113" s="2464"/>
      <c r="AE113" s="88"/>
      <c r="AF113" s="98" t="s">
        <v>17403</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17404</v>
      </c>
      <c r="C114" s="97" t="s">
        <v>681</v>
      </c>
      <c r="D114" s="97">
        <v>3</v>
      </c>
      <c r="E114" s="1626"/>
      <c r="F114" s="1626"/>
      <c r="G114" s="1626"/>
      <c r="H114" s="1626"/>
      <c r="I114" s="1626"/>
      <c r="J114" s="1626"/>
      <c r="K114" s="2178"/>
      <c r="L114" s="2112"/>
      <c r="M114" s="2180"/>
      <c r="N114" s="1626"/>
      <c r="O114" s="1626"/>
      <c r="P114" s="1626"/>
      <c r="Q114" s="1626"/>
      <c r="R114" s="1626"/>
      <c r="S114" s="2178"/>
      <c r="T114" s="2109"/>
      <c r="U114" s="2111" t="s">
        <v>17192</v>
      </c>
      <c r="V114" s="1626"/>
      <c r="W114" s="1626"/>
      <c r="X114" s="1626"/>
      <c r="Y114" s="2332"/>
      <c r="Z114" s="2463"/>
      <c r="AA114" s="2463"/>
      <c r="AB114" s="2463"/>
      <c r="AC114" s="2463"/>
      <c r="AD114" s="2464"/>
      <c r="AE114" s="88"/>
      <c r="AF114" s="98" t="s">
        <v>17405</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17406</v>
      </c>
      <c r="C115" s="97" t="s">
        <v>681</v>
      </c>
      <c r="D115" s="97">
        <v>3</v>
      </c>
      <c r="E115" s="1626"/>
      <c r="F115" s="1626"/>
      <c r="G115" s="1626"/>
      <c r="H115" s="1626"/>
      <c r="I115" s="1626"/>
      <c r="J115" s="1626"/>
      <c r="K115" s="2178"/>
      <c r="L115" s="2112"/>
      <c r="M115" s="2180"/>
      <c r="N115" s="1626"/>
      <c r="O115" s="1626"/>
      <c r="P115" s="1626"/>
      <c r="Q115" s="1626"/>
      <c r="R115" s="1626"/>
      <c r="S115" s="2178"/>
      <c r="T115" s="2109"/>
      <c r="U115" s="2111" t="s">
        <v>17192</v>
      </c>
      <c r="V115" s="1626"/>
      <c r="W115" s="1626"/>
      <c r="X115" s="1626"/>
      <c r="Y115" s="2332"/>
      <c r="Z115" s="2463"/>
      <c r="AA115" s="2463"/>
      <c r="AB115" s="2463"/>
      <c r="AC115" s="2463"/>
      <c r="AD115" s="2464"/>
      <c r="AE115" s="88"/>
      <c r="AF115" s="98" t="s">
        <v>17407</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17408</v>
      </c>
      <c r="C116" s="97" t="s">
        <v>681</v>
      </c>
      <c r="D116" s="97">
        <v>3</v>
      </c>
      <c r="E116" s="1626"/>
      <c r="F116" s="1626"/>
      <c r="G116" s="1626"/>
      <c r="H116" s="1626"/>
      <c r="I116" s="1626"/>
      <c r="J116" s="1626"/>
      <c r="K116" s="2178"/>
      <c r="L116" s="2112"/>
      <c r="M116" s="2180"/>
      <c r="N116" s="1626"/>
      <c r="O116" s="1626"/>
      <c r="P116" s="1626"/>
      <c r="Q116" s="1626"/>
      <c r="R116" s="1626"/>
      <c r="S116" s="2178"/>
      <c r="T116" s="2109"/>
      <c r="U116" s="2111" t="s">
        <v>17192</v>
      </c>
      <c r="V116" s="1626"/>
      <c r="W116" s="1626"/>
      <c r="X116" s="1626"/>
      <c r="Y116" s="2332"/>
      <c r="Z116" s="2463"/>
      <c r="AA116" s="2463"/>
      <c r="AB116" s="2463"/>
      <c r="AC116" s="2463"/>
      <c r="AD116" s="2464"/>
      <c r="AE116" s="88"/>
      <c r="AF116" s="98" t="s">
        <v>17409</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17410</v>
      </c>
      <c r="C117" s="97" t="s">
        <v>681</v>
      </c>
      <c r="D117" s="97">
        <v>3</v>
      </c>
      <c r="E117" s="1626"/>
      <c r="F117" s="1626"/>
      <c r="G117" s="1626"/>
      <c r="H117" s="1626"/>
      <c r="I117" s="1626"/>
      <c r="J117" s="1626"/>
      <c r="K117" s="2178"/>
      <c r="L117" s="2112"/>
      <c r="M117" s="2180"/>
      <c r="N117" s="1626"/>
      <c r="O117" s="1626"/>
      <c r="P117" s="1626"/>
      <c r="Q117" s="1626"/>
      <c r="R117" s="1626"/>
      <c r="S117" s="2178"/>
      <c r="T117" s="2109"/>
      <c r="U117" s="2111" t="s">
        <v>17192</v>
      </c>
      <c r="V117" s="1626"/>
      <c r="W117" s="1626"/>
      <c r="X117" s="1626"/>
      <c r="Y117" s="2332"/>
      <c r="Z117" s="2463"/>
      <c r="AA117" s="2463"/>
      <c r="AB117" s="2463"/>
      <c r="AC117" s="2463"/>
      <c r="AD117" s="2464"/>
      <c r="AE117" s="88"/>
      <c r="AF117" s="98" t="s">
        <v>17411</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17412</v>
      </c>
      <c r="C118" s="97" t="s">
        <v>681</v>
      </c>
      <c r="D118" s="97">
        <v>3</v>
      </c>
      <c r="E118" s="1626"/>
      <c r="F118" s="1626"/>
      <c r="G118" s="1626"/>
      <c r="H118" s="1626"/>
      <c r="I118" s="1626"/>
      <c r="J118" s="1626"/>
      <c r="K118" s="2178"/>
      <c r="L118" s="2112"/>
      <c r="M118" s="2180"/>
      <c r="N118" s="1626"/>
      <c r="O118" s="1626"/>
      <c r="P118" s="1626"/>
      <c r="Q118" s="1626"/>
      <c r="R118" s="1626"/>
      <c r="S118" s="2178"/>
      <c r="T118" s="2109"/>
      <c r="U118" s="2111" t="s">
        <v>17192</v>
      </c>
      <c r="V118" s="1626"/>
      <c r="W118" s="1626"/>
      <c r="X118" s="1626"/>
      <c r="Y118" s="2332"/>
      <c r="Z118" s="2463"/>
      <c r="AA118" s="2463"/>
      <c r="AB118" s="2463"/>
      <c r="AC118" s="2463"/>
      <c r="AD118" s="2464"/>
      <c r="AE118" s="88"/>
      <c r="AF118" s="98" t="s">
        <v>17413</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17414</v>
      </c>
      <c r="C119" s="97" t="s">
        <v>681</v>
      </c>
      <c r="D119" s="97">
        <v>3</v>
      </c>
      <c r="E119" s="1626"/>
      <c r="F119" s="1626"/>
      <c r="G119" s="1626"/>
      <c r="H119" s="1626"/>
      <c r="I119" s="1626"/>
      <c r="J119" s="1626"/>
      <c r="K119" s="2178"/>
      <c r="L119" s="2112"/>
      <c r="M119" s="2180"/>
      <c r="N119" s="1626"/>
      <c r="O119" s="1626"/>
      <c r="P119" s="1626"/>
      <c r="Q119" s="1626"/>
      <c r="R119" s="1626"/>
      <c r="S119" s="2178"/>
      <c r="T119" s="2109"/>
      <c r="U119" s="2111" t="s">
        <v>17192</v>
      </c>
      <c r="V119" s="1626"/>
      <c r="W119" s="1626"/>
      <c r="X119" s="1626"/>
      <c r="Y119" s="2332"/>
      <c r="Z119" s="2463"/>
      <c r="AA119" s="2463"/>
      <c r="AB119" s="2463"/>
      <c r="AC119" s="2463"/>
      <c r="AD119" s="2464"/>
      <c r="AE119" s="88"/>
      <c r="AF119" s="98" t="s">
        <v>17415</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17416</v>
      </c>
      <c r="C120" s="97" t="s">
        <v>681</v>
      </c>
      <c r="D120" s="97">
        <v>3</v>
      </c>
      <c r="E120" s="1626"/>
      <c r="F120" s="1626"/>
      <c r="G120" s="1626"/>
      <c r="H120" s="1626"/>
      <c r="I120" s="1626"/>
      <c r="J120" s="1626"/>
      <c r="K120" s="2178"/>
      <c r="L120" s="2112"/>
      <c r="M120" s="2180"/>
      <c r="N120" s="1626"/>
      <c r="O120" s="1626"/>
      <c r="P120" s="1626"/>
      <c r="Q120" s="1626"/>
      <c r="R120" s="1626"/>
      <c r="S120" s="2178"/>
      <c r="T120" s="2109"/>
      <c r="U120" s="2111" t="s">
        <v>17192</v>
      </c>
      <c r="V120" s="1626"/>
      <c r="W120" s="1626"/>
      <c r="X120" s="1626"/>
      <c r="Y120" s="2332"/>
      <c r="Z120" s="2463"/>
      <c r="AA120" s="2463"/>
      <c r="AB120" s="2463"/>
      <c r="AC120" s="2463"/>
      <c r="AD120" s="2464"/>
      <c r="AE120" s="88"/>
      <c r="AF120" s="98" t="s">
        <v>17417</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17418</v>
      </c>
      <c r="C121" s="97" t="s">
        <v>681</v>
      </c>
      <c r="D121" s="97">
        <v>3</v>
      </c>
      <c r="E121" s="1626"/>
      <c r="F121" s="1626"/>
      <c r="G121" s="1626"/>
      <c r="H121" s="1626"/>
      <c r="I121" s="1626"/>
      <c r="J121" s="1626"/>
      <c r="K121" s="2178"/>
      <c r="L121" s="2112"/>
      <c r="M121" s="2180"/>
      <c r="N121" s="1626"/>
      <c r="O121" s="1626"/>
      <c r="P121" s="1626"/>
      <c r="Q121" s="1626"/>
      <c r="R121" s="1626"/>
      <c r="S121" s="2178"/>
      <c r="T121" s="2109"/>
      <c r="U121" s="2111" t="s">
        <v>17192</v>
      </c>
      <c r="V121" s="1626"/>
      <c r="W121" s="1626"/>
      <c r="X121" s="1626"/>
      <c r="Y121" s="2332"/>
      <c r="Z121" s="2463"/>
      <c r="AA121" s="2463"/>
      <c r="AB121" s="2463"/>
      <c r="AC121" s="2463"/>
      <c r="AD121" s="2464"/>
      <c r="AE121" s="88"/>
      <c r="AF121" s="98" t="s">
        <v>17419</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17420</v>
      </c>
      <c r="C122" s="97" t="s">
        <v>681</v>
      </c>
      <c r="D122" s="97">
        <v>3</v>
      </c>
      <c r="E122" s="1626"/>
      <c r="F122" s="1626"/>
      <c r="G122" s="1626"/>
      <c r="H122" s="1626"/>
      <c r="I122" s="1626"/>
      <c r="J122" s="1626"/>
      <c r="K122" s="2178"/>
      <c r="L122" s="2112"/>
      <c r="M122" s="2180"/>
      <c r="N122" s="1626"/>
      <c r="O122" s="1626"/>
      <c r="P122" s="1626"/>
      <c r="Q122" s="1626"/>
      <c r="R122" s="1626"/>
      <c r="S122" s="2178"/>
      <c r="T122" s="2109"/>
      <c r="U122" s="2111" t="s">
        <v>17192</v>
      </c>
      <c r="V122" s="1626"/>
      <c r="W122" s="1626"/>
      <c r="X122" s="1626"/>
      <c r="Y122" s="2332"/>
      <c r="Z122" s="2463"/>
      <c r="AA122" s="2463"/>
      <c r="AB122" s="2463"/>
      <c r="AC122" s="2463"/>
      <c r="AD122" s="2464"/>
      <c r="AE122" s="88"/>
      <c r="AF122" s="98" t="s">
        <v>17421</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17422</v>
      </c>
      <c r="C123" s="97" t="s">
        <v>681</v>
      </c>
      <c r="D123" s="97">
        <v>3</v>
      </c>
      <c r="E123" s="1626"/>
      <c r="F123" s="1626"/>
      <c r="G123" s="1626"/>
      <c r="H123" s="1626"/>
      <c r="I123" s="1626"/>
      <c r="J123" s="1626"/>
      <c r="K123" s="2178"/>
      <c r="L123" s="2112"/>
      <c r="M123" s="2180"/>
      <c r="N123" s="1626"/>
      <c r="O123" s="1626"/>
      <c r="P123" s="1626"/>
      <c r="Q123" s="1626"/>
      <c r="R123" s="1626"/>
      <c r="S123" s="2178"/>
      <c r="T123" s="2109"/>
      <c r="U123" s="2111" t="s">
        <v>17192</v>
      </c>
      <c r="V123" s="1626"/>
      <c r="W123" s="1626"/>
      <c r="X123" s="1626"/>
      <c r="Y123" s="2332"/>
      <c r="Z123" s="2463"/>
      <c r="AA123" s="2463"/>
      <c r="AB123" s="2463"/>
      <c r="AC123" s="2463"/>
      <c r="AD123" s="2464"/>
      <c r="AE123" s="88"/>
      <c r="AF123" s="98" t="s">
        <v>17423</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17424</v>
      </c>
      <c r="C124" s="97" t="s">
        <v>681</v>
      </c>
      <c r="D124" s="97">
        <v>3</v>
      </c>
      <c r="E124" s="1626"/>
      <c r="F124" s="1626"/>
      <c r="G124" s="1626"/>
      <c r="H124" s="1626"/>
      <c r="I124" s="1626"/>
      <c r="J124" s="1626"/>
      <c r="K124" s="2178"/>
      <c r="L124" s="2112"/>
      <c r="M124" s="2180"/>
      <c r="N124" s="1626"/>
      <c r="O124" s="1626"/>
      <c r="P124" s="1626"/>
      <c r="Q124" s="1626"/>
      <c r="R124" s="1626"/>
      <c r="S124" s="2178"/>
      <c r="T124" s="2109"/>
      <c r="U124" s="2111" t="s">
        <v>17192</v>
      </c>
      <c r="V124" s="1626"/>
      <c r="W124" s="1626"/>
      <c r="X124" s="1626"/>
      <c r="Y124" s="2332"/>
      <c r="Z124" s="2463"/>
      <c r="AA124" s="2463"/>
      <c r="AB124" s="2463"/>
      <c r="AC124" s="2463"/>
      <c r="AD124" s="2464"/>
      <c r="AE124" s="88"/>
      <c r="AF124" s="98" t="s">
        <v>17425</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17426</v>
      </c>
      <c r="C125" s="97" t="s">
        <v>681</v>
      </c>
      <c r="D125" s="97">
        <v>3</v>
      </c>
      <c r="E125" s="1626"/>
      <c r="F125" s="1626"/>
      <c r="G125" s="1626"/>
      <c r="H125" s="1626"/>
      <c r="I125" s="1626"/>
      <c r="J125" s="1626"/>
      <c r="K125" s="2178"/>
      <c r="L125" s="2112"/>
      <c r="M125" s="2180"/>
      <c r="N125" s="1626"/>
      <c r="O125" s="1626"/>
      <c r="P125" s="1626"/>
      <c r="Q125" s="1626"/>
      <c r="R125" s="1626"/>
      <c r="S125" s="2178"/>
      <c r="T125" s="2109"/>
      <c r="U125" s="2111" t="s">
        <v>17192</v>
      </c>
      <c r="V125" s="1626"/>
      <c r="W125" s="1626"/>
      <c r="X125" s="1626"/>
      <c r="Y125" s="2332"/>
      <c r="Z125" s="2463"/>
      <c r="AA125" s="2463"/>
      <c r="AB125" s="2463"/>
      <c r="AC125" s="2463"/>
      <c r="AD125" s="2464"/>
      <c r="AE125" s="88"/>
      <c r="AF125" s="98" t="s">
        <v>17427</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17428</v>
      </c>
      <c r="C126" s="97" t="s">
        <v>681</v>
      </c>
      <c r="D126" s="97">
        <v>3</v>
      </c>
      <c r="E126" s="1626"/>
      <c r="F126" s="1626"/>
      <c r="G126" s="1626"/>
      <c r="H126" s="1626"/>
      <c r="I126" s="1626"/>
      <c r="J126" s="1626"/>
      <c r="K126" s="2178"/>
      <c r="L126" s="2112"/>
      <c r="M126" s="2180"/>
      <c r="N126" s="1626"/>
      <c r="O126" s="1626"/>
      <c r="P126" s="1626"/>
      <c r="Q126" s="1626"/>
      <c r="R126" s="1626"/>
      <c r="S126" s="2178"/>
      <c r="T126" s="2109"/>
      <c r="U126" s="2111" t="s">
        <v>17192</v>
      </c>
      <c r="V126" s="1626"/>
      <c r="W126" s="1626"/>
      <c r="X126" s="1626"/>
      <c r="Y126" s="2332"/>
      <c r="Z126" s="2463"/>
      <c r="AA126" s="2463"/>
      <c r="AB126" s="2463"/>
      <c r="AC126" s="2463"/>
      <c r="AD126" s="2464"/>
      <c r="AE126" s="88"/>
      <c r="AF126" s="98" t="s">
        <v>17429</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17430</v>
      </c>
      <c r="C127" s="97" t="s">
        <v>681</v>
      </c>
      <c r="D127" s="97">
        <v>3</v>
      </c>
      <c r="E127" s="1626"/>
      <c r="F127" s="1626"/>
      <c r="G127" s="1626"/>
      <c r="H127" s="1626"/>
      <c r="I127" s="1626"/>
      <c r="J127" s="1626"/>
      <c r="K127" s="2178"/>
      <c r="L127" s="2112"/>
      <c r="M127" s="2180"/>
      <c r="N127" s="1626"/>
      <c r="O127" s="1626"/>
      <c r="P127" s="1626"/>
      <c r="Q127" s="1626"/>
      <c r="R127" s="1626"/>
      <c r="S127" s="2178"/>
      <c r="T127" s="2109"/>
      <c r="U127" s="2111" t="s">
        <v>17192</v>
      </c>
      <c r="V127" s="1626"/>
      <c r="W127" s="1626"/>
      <c r="X127" s="1626"/>
      <c r="Y127" s="2332"/>
      <c r="Z127" s="2463"/>
      <c r="AA127" s="2463"/>
      <c r="AB127" s="2463"/>
      <c r="AC127" s="2463"/>
      <c r="AD127" s="2464"/>
      <c r="AE127" s="88"/>
      <c r="AF127" s="98" t="s">
        <v>17431</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17432</v>
      </c>
      <c r="C128" s="97" t="s">
        <v>681</v>
      </c>
      <c r="D128" s="97">
        <v>3</v>
      </c>
      <c r="E128" s="1626"/>
      <c r="F128" s="1626"/>
      <c r="G128" s="1626"/>
      <c r="H128" s="1626"/>
      <c r="I128" s="1626"/>
      <c r="J128" s="1626"/>
      <c r="K128" s="2178"/>
      <c r="L128" s="2112"/>
      <c r="M128" s="2180"/>
      <c r="N128" s="1626"/>
      <c r="O128" s="1626"/>
      <c r="P128" s="1626"/>
      <c r="Q128" s="1626"/>
      <c r="R128" s="1626"/>
      <c r="S128" s="2178"/>
      <c r="T128" s="2109"/>
      <c r="U128" s="2111" t="s">
        <v>17192</v>
      </c>
      <c r="V128" s="1626"/>
      <c r="W128" s="1626"/>
      <c r="X128" s="1626"/>
      <c r="Y128" s="2332"/>
      <c r="Z128" s="2463"/>
      <c r="AA128" s="2463"/>
      <c r="AB128" s="2463"/>
      <c r="AC128" s="2463"/>
      <c r="AD128" s="2464"/>
      <c r="AE128" s="88"/>
      <c r="AF128" s="98" t="s">
        <v>17433</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17434</v>
      </c>
      <c r="C129" s="97" t="s">
        <v>681</v>
      </c>
      <c r="D129" s="97">
        <v>3</v>
      </c>
      <c r="E129" s="1626"/>
      <c r="F129" s="1626"/>
      <c r="G129" s="1626"/>
      <c r="H129" s="1626"/>
      <c r="I129" s="1626"/>
      <c r="J129" s="1626"/>
      <c r="K129" s="2178"/>
      <c r="L129" s="2112"/>
      <c r="M129" s="2180"/>
      <c r="N129" s="1626"/>
      <c r="O129" s="1626"/>
      <c r="P129" s="1626"/>
      <c r="Q129" s="1626"/>
      <c r="R129" s="1626"/>
      <c r="S129" s="2178"/>
      <c r="T129" s="2109"/>
      <c r="U129" s="2111" t="s">
        <v>17192</v>
      </c>
      <c r="V129" s="1626"/>
      <c r="W129" s="1626"/>
      <c r="X129" s="1626"/>
      <c r="Y129" s="2332"/>
      <c r="Z129" s="2463"/>
      <c r="AA129" s="2463"/>
      <c r="AB129" s="2463"/>
      <c r="AC129" s="2463"/>
      <c r="AD129" s="2464"/>
      <c r="AE129" s="88"/>
      <c r="AF129" s="98" t="s">
        <v>17435</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17436</v>
      </c>
      <c r="C130" s="97" t="s">
        <v>681</v>
      </c>
      <c r="D130" s="97">
        <v>3</v>
      </c>
      <c r="E130" s="1626"/>
      <c r="F130" s="1626"/>
      <c r="G130" s="1626"/>
      <c r="H130" s="1626"/>
      <c r="I130" s="1626"/>
      <c r="J130" s="1626"/>
      <c r="K130" s="2178"/>
      <c r="L130" s="2112"/>
      <c r="M130" s="2180"/>
      <c r="N130" s="1626"/>
      <c r="O130" s="1626"/>
      <c r="P130" s="1626"/>
      <c r="Q130" s="1626"/>
      <c r="R130" s="1626"/>
      <c r="S130" s="2178"/>
      <c r="T130" s="2109"/>
      <c r="U130" s="2111" t="s">
        <v>17192</v>
      </c>
      <c r="V130" s="1626"/>
      <c r="W130" s="1626"/>
      <c r="X130" s="1626"/>
      <c r="Y130" s="2332"/>
      <c r="Z130" s="2463"/>
      <c r="AA130" s="2463"/>
      <c r="AB130" s="2463"/>
      <c r="AC130" s="2463"/>
      <c r="AD130" s="2464"/>
      <c r="AE130" s="88"/>
      <c r="AF130" s="98" t="s">
        <v>17437</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17438</v>
      </c>
      <c r="C131" s="97" t="s">
        <v>681</v>
      </c>
      <c r="D131" s="97">
        <v>3</v>
      </c>
      <c r="E131" s="1626"/>
      <c r="F131" s="1626"/>
      <c r="G131" s="1626"/>
      <c r="H131" s="1626"/>
      <c r="I131" s="1626"/>
      <c r="J131" s="1626"/>
      <c r="K131" s="2178"/>
      <c r="L131" s="2112"/>
      <c r="M131" s="2180"/>
      <c r="N131" s="1626"/>
      <c r="O131" s="1626"/>
      <c r="P131" s="1626"/>
      <c r="Q131" s="1626"/>
      <c r="R131" s="1626"/>
      <c r="S131" s="2178"/>
      <c r="T131" s="2109"/>
      <c r="U131" s="2111" t="s">
        <v>17192</v>
      </c>
      <c r="V131" s="1626"/>
      <c r="W131" s="1626"/>
      <c r="X131" s="1626"/>
      <c r="Y131" s="2332"/>
      <c r="Z131" s="2463"/>
      <c r="AA131" s="2463"/>
      <c r="AB131" s="2463"/>
      <c r="AC131" s="2463"/>
      <c r="AD131" s="2464"/>
      <c r="AE131" s="88"/>
      <c r="AF131" s="98" t="s">
        <v>17439</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17440</v>
      </c>
      <c r="C132" s="97" t="s">
        <v>681</v>
      </c>
      <c r="D132" s="97">
        <v>3</v>
      </c>
      <c r="E132" s="1626"/>
      <c r="F132" s="1626"/>
      <c r="G132" s="1626"/>
      <c r="H132" s="1626"/>
      <c r="I132" s="1626"/>
      <c r="J132" s="1626"/>
      <c r="K132" s="2178"/>
      <c r="L132" s="2112"/>
      <c r="M132" s="2180"/>
      <c r="N132" s="1626"/>
      <c r="O132" s="1626"/>
      <c r="P132" s="1626"/>
      <c r="Q132" s="1626"/>
      <c r="R132" s="1626"/>
      <c r="S132" s="2178"/>
      <c r="T132" s="2109"/>
      <c r="U132" s="2111" t="s">
        <v>17192</v>
      </c>
      <c r="V132" s="1626"/>
      <c r="W132" s="1626"/>
      <c r="X132" s="1626"/>
      <c r="Y132" s="2332"/>
      <c r="Z132" s="2463"/>
      <c r="AA132" s="2463"/>
      <c r="AB132" s="2463"/>
      <c r="AC132" s="2463"/>
      <c r="AD132" s="2464"/>
      <c r="AE132" s="88"/>
      <c r="AF132" s="98" t="s">
        <v>17441</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17442</v>
      </c>
      <c r="C133" s="97" t="s">
        <v>681</v>
      </c>
      <c r="D133" s="97">
        <v>3</v>
      </c>
      <c r="E133" s="1626"/>
      <c r="F133" s="1626"/>
      <c r="G133" s="1626"/>
      <c r="H133" s="1626"/>
      <c r="I133" s="1626"/>
      <c r="J133" s="1626"/>
      <c r="K133" s="2178"/>
      <c r="L133" s="2112"/>
      <c r="M133" s="2180"/>
      <c r="N133" s="1626"/>
      <c r="O133" s="1626"/>
      <c r="P133" s="1626"/>
      <c r="Q133" s="1626"/>
      <c r="R133" s="1626"/>
      <c r="S133" s="2178"/>
      <c r="T133" s="2109"/>
      <c r="U133" s="2111" t="s">
        <v>17192</v>
      </c>
      <c r="V133" s="1626"/>
      <c r="W133" s="1626"/>
      <c r="X133" s="1626"/>
      <c r="Y133" s="2332"/>
      <c r="Z133" s="2463"/>
      <c r="AA133" s="2463"/>
      <c r="AB133" s="2463"/>
      <c r="AC133" s="2463"/>
      <c r="AD133" s="2464"/>
      <c r="AE133" s="88"/>
      <c r="AF133" s="98" t="s">
        <v>17443</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17444</v>
      </c>
      <c r="C134" s="97" t="s">
        <v>681</v>
      </c>
      <c r="D134" s="97">
        <v>3</v>
      </c>
      <c r="E134" s="1626"/>
      <c r="F134" s="1626"/>
      <c r="G134" s="1626"/>
      <c r="H134" s="1626"/>
      <c r="I134" s="1626"/>
      <c r="J134" s="1626"/>
      <c r="K134" s="2178"/>
      <c r="L134" s="2112"/>
      <c r="M134" s="2180"/>
      <c r="N134" s="1626"/>
      <c r="O134" s="1626"/>
      <c r="P134" s="1626"/>
      <c r="Q134" s="1626"/>
      <c r="R134" s="1626"/>
      <c r="S134" s="2178"/>
      <c r="T134" s="2109"/>
      <c r="U134" s="2111" t="s">
        <v>17192</v>
      </c>
      <c r="V134" s="1626"/>
      <c r="W134" s="1626"/>
      <c r="X134" s="1626"/>
      <c r="Y134" s="2332"/>
      <c r="Z134" s="2463"/>
      <c r="AA134" s="2463"/>
      <c r="AB134" s="2463"/>
      <c r="AC134" s="2463"/>
      <c r="AD134" s="2464"/>
      <c r="AE134" s="88"/>
      <c r="AF134" s="98" t="s">
        <v>17445</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17446</v>
      </c>
      <c r="C135" s="97" t="s">
        <v>681</v>
      </c>
      <c r="D135" s="97">
        <v>3</v>
      </c>
      <c r="E135" s="1626"/>
      <c r="F135" s="1626"/>
      <c r="G135" s="1626"/>
      <c r="H135" s="1626"/>
      <c r="I135" s="1626"/>
      <c r="J135" s="1626"/>
      <c r="K135" s="2178"/>
      <c r="L135" s="2112"/>
      <c r="M135" s="2180"/>
      <c r="N135" s="1626"/>
      <c r="O135" s="1626"/>
      <c r="P135" s="1626"/>
      <c r="Q135" s="1626"/>
      <c r="R135" s="1626"/>
      <c r="S135" s="2178"/>
      <c r="T135" s="2109"/>
      <c r="U135" s="2111" t="s">
        <v>17192</v>
      </c>
      <c r="V135" s="1626"/>
      <c r="W135" s="1626"/>
      <c r="X135" s="1626"/>
      <c r="Y135" s="2332"/>
      <c r="Z135" s="2463"/>
      <c r="AA135" s="2463"/>
      <c r="AB135" s="2463"/>
      <c r="AC135" s="2463"/>
      <c r="AD135" s="2464"/>
      <c r="AE135" s="88"/>
      <c r="AF135" s="98" t="s">
        <v>17447</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17448</v>
      </c>
      <c r="C136" s="97" t="s">
        <v>681</v>
      </c>
      <c r="D136" s="97">
        <v>3</v>
      </c>
      <c r="E136" s="1626"/>
      <c r="F136" s="1626"/>
      <c r="G136" s="1626"/>
      <c r="H136" s="1626"/>
      <c r="I136" s="1626"/>
      <c r="J136" s="1626"/>
      <c r="K136" s="2178"/>
      <c r="L136" s="2112"/>
      <c r="M136" s="2180"/>
      <c r="N136" s="1626"/>
      <c r="O136" s="1626"/>
      <c r="P136" s="1626"/>
      <c r="Q136" s="1626"/>
      <c r="R136" s="1626"/>
      <c r="S136" s="2178"/>
      <c r="T136" s="2109"/>
      <c r="U136" s="2111" t="s">
        <v>17192</v>
      </c>
      <c r="V136" s="1626"/>
      <c r="W136" s="1626"/>
      <c r="X136" s="1626"/>
      <c r="Y136" s="2332"/>
      <c r="Z136" s="2463"/>
      <c r="AA136" s="2463"/>
      <c r="AB136" s="2463"/>
      <c r="AC136" s="2463"/>
      <c r="AD136" s="2464"/>
      <c r="AE136" s="88"/>
      <c r="AF136" s="98" t="s">
        <v>17449</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17450</v>
      </c>
      <c r="C137" s="97" t="s">
        <v>681</v>
      </c>
      <c r="D137" s="97">
        <v>3</v>
      </c>
      <c r="E137" s="1626"/>
      <c r="F137" s="1626"/>
      <c r="G137" s="1626"/>
      <c r="H137" s="1626"/>
      <c r="I137" s="1626"/>
      <c r="J137" s="1626"/>
      <c r="K137" s="2178"/>
      <c r="L137" s="2112"/>
      <c r="M137" s="2180"/>
      <c r="N137" s="1626"/>
      <c r="O137" s="1626"/>
      <c r="P137" s="1626"/>
      <c r="Q137" s="1626"/>
      <c r="R137" s="1626"/>
      <c r="S137" s="2178"/>
      <c r="T137" s="2109"/>
      <c r="U137" s="2111" t="s">
        <v>17192</v>
      </c>
      <c r="V137" s="1626"/>
      <c r="W137" s="1626"/>
      <c r="X137" s="1626"/>
      <c r="Y137" s="2332"/>
      <c r="Z137" s="2463"/>
      <c r="AA137" s="2463"/>
      <c r="AB137" s="2463"/>
      <c r="AC137" s="2463"/>
      <c r="AD137" s="2464"/>
      <c r="AE137" s="88"/>
      <c r="AF137" s="98" t="s">
        <v>17451</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17452</v>
      </c>
      <c r="C138" s="97" t="s">
        <v>681</v>
      </c>
      <c r="D138" s="97">
        <v>3</v>
      </c>
      <c r="E138" s="1626"/>
      <c r="F138" s="1626"/>
      <c r="G138" s="1626"/>
      <c r="H138" s="1626"/>
      <c r="I138" s="1626"/>
      <c r="J138" s="1626"/>
      <c r="K138" s="2178"/>
      <c r="L138" s="2112"/>
      <c r="M138" s="2180"/>
      <c r="N138" s="1626"/>
      <c r="O138" s="1626"/>
      <c r="P138" s="1626"/>
      <c r="Q138" s="1626"/>
      <c r="R138" s="1626"/>
      <c r="S138" s="2178"/>
      <c r="T138" s="2109"/>
      <c r="U138" s="2111" t="s">
        <v>17192</v>
      </c>
      <c r="V138" s="1626"/>
      <c r="W138" s="1626"/>
      <c r="X138" s="1626"/>
      <c r="Y138" s="2332"/>
      <c r="Z138" s="2463"/>
      <c r="AA138" s="2463"/>
      <c r="AB138" s="2463"/>
      <c r="AC138" s="2463"/>
      <c r="AD138" s="2464"/>
      <c r="AE138" s="88"/>
      <c r="AF138" s="98" t="s">
        <v>17453</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17454</v>
      </c>
      <c r="C139" s="97" t="s">
        <v>681</v>
      </c>
      <c r="D139" s="97">
        <v>3</v>
      </c>
      <c r="E139" s="1626"/>
      <c r="F139" s="1626"/>
      <c r="G139" s="1626"/>
      <c r="H139" s="1626"/>
      <c r="I139" s="1626"/>
      <c r="J139" s="1626"/>
      <c r="K139" s="2178"/>
      <c r="L139" s="2112"/>
      <c r="M139" s="2180"/>
      <c r="N139" s="1626"/>
      <c r="O139" s="1626"/>
      <c r="P139" s="1626"/>
      <c r="Q139" s="1626"/>
      <c r="R139" s="1626"/>
      <c r="S139" s="2178"/>
      <c r="T139" s="2109"/>
      <c r="U139" s="2111" t="s">
        <v>17192</v>
      </c>
      <c r="V139" s="1626"/>
      <c r="W139" s="1626"/>
      <c r="X139" s="1626"/>
      <c r="Y139" s="2332"/>
      <c r="Z139" s="2463"/>
      <c r="AA139" s="2463"/>
      <c r="AB139" s="2463"/>
      <c r="AC139" s="2463"/>
      <c r="AD139" s="2464"/>
      <c r="AE139" s="88"/>
      <c r="AF139" s="98" t="s">
        <v>17455</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17456</v>
      </c>
      <c r="C140" s="97" t="s">
        <v>681</v>
      </c>
      <c r="D140" s="97">
        <v>3</v>
      </c>
      <c r="E140" s="1626"/>
      <c r="F140" s="1626"/>
      <c r="G140" s="1626"/>
      <c r="H140" s="1626"/>
      <c r="I140" s="1626"/>
      <c r="J140" s="1626"/>
      <c r="K140" s="2178"/>
      <c r="L140" s="2112"/>
      <c r="M140" s="2180"/>
      <c r="N140" s="1626"/>
      <c r="O140" s="1626"/>
      <c r="P140" s="1626"/>
      <c r="Q140" s="1626"/>
      <c r="R140" s="1626"/>
      <c r="S140" s="2178"/>
      <c r="T140" s="2109"/>
      <c r="U140" s="2111" t="s">
        <v>17192</v>
      </c>
      <c r="V140" s="1626"/>
      <c r="W140" s="1626"/>
      <c r="X140" s="1626"/>
      <c r="Y140" s="2332"/>
      <c r="Z140" s="2463"/>
      <c r="AA140" s="2463"/>
      <c r="AB140" s="2463"/>
      <c r="AC140" s="2463"/>
      <c r="AD140" s="2464"/>
      <c r="AE140" s="88"/>
      <c r="AF140" s="98" t="s">
        <v>17457</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17458</v>
      </c>
      <c r="C141" s="97" t="s">
        <v>681</v>
      </c>
      <c r="D141" s="97">
        <v>3</v>
      </c>
      <c r="E141" s="1626"/>
      <c r="F141" s="1626"/>
      <c r="G141" s="1626"/>
      <c r="H141" s="1626"/>
      <c r="I141" s="1626"/>
      <c r="J141" s="1626"/>
      <c r="K141" s="2178"/>
      <c r="L141" s="2112"/>
      <c r="M141" s="2180"/>
      <c r="N141" s="1626"/>
      <c r="O141" s="1626"/>
      <c r="P141" s="1626"/>
      <c r="Q141" s="1626"/>
      <c r="R141" s="1626"/>
      <c r="S141" s="2178"/>
      <c r="T141" s="2109"/>
      <c r="U141" s="2111" t="s">
        <v>17192</v>
      </c>
      <c r="V141" s="1626"/>
      <c r="W141" s="1626"/>
      <c r="X141" s="1626"/>
      <c r="Y141" s="2332"/>
      <c r="Z141" s="2463"/>
      <c r="AA141" s="2463"/>
      <c r="AB141" s="2463"/>
      <c r="AC141" s="2463"/>
      <c r="AD141" s="2464"/>
      <c r="AE141" s="88"/>
      <c r="AF141" s="98" t="s">
        <v>17459</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17460</v>
      </c>
      <c r="C142" s="97" t="s">
        <v>681</v>
      </c>
      <c r="D142" s="97">
        <v>3</v>
      </c>
      <c r="E142" s="1626"/>
      <c r="F142" s="1626"/>
      <c r="G142" s="1626"/>
      <c r="H142" s="1626"/>
      <c r="I142" s="1626"/>
      <c r="J142" s="1626"/>
      <c r="K142" s="2178"/>
      <c r="L142" s="2112"/>
      <c r="M142" s="2180"/>
      <c r="N142" s="1626"/>
      <c r="O142" s="1626"/>
      <c r="P142" s="1626"/>
      <c r="Q142" s="1626"/>
      <c r="R142" s="1626"/>
      <c r="S142" s="2178"/>
      <c r="T142" s="2109"/>
      <c r="U142" s="2111" t="s">
        <v>17192</v>
      </c>
      <c r="V142" s="1626"/>
      <c r="W142" s="1626"/>
      <c r="X142" s="1626"/>
      <c r="Y142" s="2332"/>
      <c r="Z142" s="2463"/>
      <c r="AA142" s="2463"/>
      <c r="AB142" s="2463"/>
      <c r="AC142" s="2463"/>
      <c r="AD142" s="2464"/>
      <c r="AE142" s="88"/>
      <c r="AF142" s="98" t="s">
        <v>17461</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17462</v>
      </c>
      <c r="C143" s="97" t="s">
        <v>681</v>
      </c>
      <c r="D143" s="97">
        <v>3</v>
      </c>
      <c r="E143" s="1626"/>
      <c r="F143" s="1626"/>
      <c r="G143" s="1626"/>
      <c r="H143" s="1626"/>
      <c r="I143" s="1626"/>
      <c r="J143" s="1626"/>
      <c r="K143" s="2178"/>
      <c r="L143" s="2112"/>
      <c r="M143" s="2180"/>
      <c r="N143" s="1626"/>
      <c r="O143" s="1626"/>
      <c r="P143" s="1626"/>
      <c r="Q143" s="1626"/>
      <c r="R143" s="1626"/>
      <c r="S143" s="2178"/>
      <c r="T143" s="2109"/>
      <c r="U143" s="2111" t="s">
        <v>17192</v>
      </c>
      <c r="V143" s="1626"/>
      <c r="W143" s="1626"/>
      <c r="X143" s="1626"/>
      <c r="Y143" s="2332"/>
      <c r="Z143" s="2463"/>
      <c r="AA143" s="2463"/>
      <c r="AB143" s="2463"/>
      <c r="AC143" s="2463"/>
      <c r="AD143" s="2464"/>
      <c r="AE143" s="88"/>
      <c r="AF143" s="98" t="s">
        <v>17463</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17464</v>
      </c>
      <c r="C144" s="97" t="s">
        <v>681</v>
      </c>
      <c r="D144" s="97">
        <v>3</v>
      </c>
      <c r="E144" s="1626"/>
      <c r="F144" s="1626"/>
      <c r="G144" s="1626"/>
      <c r="H144" s="1626"/>
      <c r="I144" s="1626"/>
      <c r="J144" s="1626"/>
      <c r="K144" s="2178"/>
      <c r="L144" s="2112"/>
      <c r="M144" s="2180"/>
      <c r="N144" s="1626"/>
      <c r="O144" s="1626"/>
      <c r="P144" s="1626"/>
      <c r="Q144" s="1626"/>
      <c r="R144" s="1626"/>
      <c r="S144" s="2178"/>
      <c r="T144" s="2109"/>
      <c r="U144" s="2111" t="s">
        <v>17192</v>
      </c>
      <c r="V144" s="1626"/>
      <c r="W144" s="1626"/>
      <c r="X144" s="1626"/>
      <c r="Y144" s="2332"/>
      <c r="Z144" s="2463"/>
      <c r="AA144" s="2463"/>
      <c r="AB144" s="2463"/>
      <c r="AC144" s="2463"/>
      <c r="AD144" s="2464"/>
      <c r="AE144" s="88"/>
      <c r="AF144" s="98" t="s">
        <v>17465</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17466</v>
      </c>
      <c r="C145" s="97" t="s">
        <v>681</v>
      </c>
      <c r="D145" s="97">
        <v>3</v>
      </c>
      <c r="E145" s="1626"/>
      <c r="F145" s="1626"/>
      <c r="G145" s="1626"/>
      <c r="H145" s="1626"/>
      <c r="I145" s="1626"/>
      <c r="J145" s="1626"/>
      <c r="K145" s="2178"/>
      <c r="L145" s="2112"/>
      <c r="M145" s="2180"/>
      <c r="N145" s="1626"/>
      <c r="O145" s="1626"/>
      <c r="P145" s="1626"/>
      <c r="Q145" s="1626"/>
      <c r="R145" s="1626"/>
      <c r="S145" s="2178"/>
      <c r="T145" s="2109"/>
      <c r="U145" s="2111" t="s">
        <v>17192</v>
      </c>
      <c r="V145" s="1626"/>
      <c r="W145" s="1626"/>
      <c r="X145" s="1626"/>
      <c r="Y145" s="2332"/>
      <c r="Z145" s="2463"/>
      <c r="AA145" s="2463"/>
      <c r="AB145" s="2463"/>
      <c r="AC145" s="2463"/>
      <c r="AD145" s="2464"/>
      <c r="AE145" s="88"/>
      <c r="AF145" s="98" t="s">
        <v>17467</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17468</v>
      </c>
      <c r="C146" s="97" t="s">
        <v>681</v>
      </c>
      <c r="D146" s="97">
        <v>3</v>
      </c>
      <c r="E146" s="1626"/>
      <c r="F146" s="1626"/>
      <c r="G146" s="1626"/>
      <c r="H146" s="1626"/>
      <c r="I146" s="1626"/>
      <c r="J146" s="1626"/>
      <c r="K146" s="2178"/>
      <c r="L146" s="2112"/>
      <c r="M146" s="2180"/>
      <c r="N146" s="1626"/>
      <c r="O146" s="1626"/>
      <c r="P146" s="1626"/>
      <c r="Q146" s="1626"/>
      <c r="R146" s="1626"/>
      <c r="S146" s="2178"/>
      <c r="T146" s="2109"/>
      <c r="U146" s="2111" t="s">
        <v>17192</v>
      </c>
      <c r="V146" s="1626"/>
      <c r="W146" s="1626"/>
      <c r="X146" s="1626"/>
      <c r="Y146" s="2332"/>
      <c r="Z146" s="2463"/>
      <c r="AA146" s="2463"/>
      <c r="AB146" s="2463"/>
      <c r="AC146" s="2463"/>
      <c r="AD146" s="2464"/>
      <c r="AE146" s="88"/>
      <c r="AF146" s="98" t="s">
        <v>17469</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17470</v>
      </c>
      <c r="C147" s="97" t="s">
        <v>681</v>
      </c>
      <c r="D147" s="97">
        <v>3</v>
      </c>
      <c r="E147" s="1626"/>
      <c r="F147" s="1626"/>
      <c r="G147" s="1626"/>
      <c r="H147" s="1626"/>
      <c r="I147" s="1626"/>
      <c r="J147" s="1626"/>
      <c r="K147" s="2178"/>
      <c r="L147" s="2112"/>
      <c r="M147" s="2180"/>
      <c r="N147" s="1626"/>
      <c r="O147" s="1626"/>
      <c r="P147" s="1626"/>
      <c r="Q147" s="1626"/>
      <c r="R147" s="1626"/>
      <c r="S147" s="2178"/>
      <c r="T147" s="2109"/>
      <c r="U147" s="2111" t="s">
        <v>17192</v>
      </c>
      <c r="V147" s="1626"/>
      <c r="W147" s="1626"/>
      <c r="X147" s="1626"/>
      <c r="Y147" s="2332"/>
      <c r="Z147" s="2463"/>
      <c r="AA147" s="2463"/>
      <c r="AB147" s="2463"/>
      <c r="AC147" s="2463"/>
      <c r="AD147" s="2464"/>
      <c r="AE147" s="88"/>
      <c r="AF147" s="98" t="s">
        <v>17471</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17472</v>
      </c>
      <c r="C148" s="97" t="s">
        <v>681</v>
      </c>
      <c r="D148" s="97">
        <v>3</v>
      </c>
      <c r="E148" s="1626"/>
      <c r="F148" s="1626"/>
      <c r="G148" s="1626"/>
      <c r="H148" s="1626"/>
      <c r="I148" s="1626"/>
      <c r="J148" s="1626"/>
      <c r="K148" s="2178"/>
      <c r="L148" s="2112"/>
      <c r="M148" s="2180"/>
      <c r="N148" s="1626"/>
      <c r="O148" s="1626"/>
      <c r="P148" s="1626"/>
      <c r="Q148" s="1626"/>
      <c r="R148" s="1626"/>
      <c r="S148" s="2178"/>
      <c r="T148" s="2109"/>
      <c r="U148" s="2111" t="s">
        <v>17192</v>
      </c>
      <c r="V148" s="1626"/>
      <c r="W148" s="1626"/>
      <c r="X148" s="1626"/>
      <c r="Y148" s="2332"/>
      <c r="Z148" s="2463"/>
      <c r="AA148" s="2463"/>
      <c r="AB148" s="2463"/>
      <c r="AC148" s="2463"/>
      <c r="AD148" s="2464"/>
      <c r="AE148" s="88"/>
      <c r="AF148" s="98" t="s">
        <v>17473</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17474</v>
      </c>
      <c r="C149" s="97" t="s">
        <v>681</v>
      </c>
      <c r="D149" s="97">
        <v>3</v>
      </c>
      <c r="E149" s="1626"/>
      <c r="F149" s="1626"/>
      <c r="G149" s="1626"/>
      <c r="H149" s="1626"/>
      <c r="I149" s="1626"/>
      <c r="J149" s="1626"/>
      <c r="K149" s="2178"/>
      <c r="L149" s="2112"/>
      <c r="M149" s="2180"/>
      <c r="N149" s="1626"/>
      <c r="O149" s="1626"/>
      <c r="P149" s="1626"/>
      <c r="Q149" s="1626"/>
      <c r="R149" s="1626"/>
      <c r="S149" s="2178"/>
      <c r="T149" s="2109"/>
      <c r="U149" s="2111" t="s">
        <v>17192</v>
      </c>
      <c r="V149" s="1626"/>
      <c r="W149" s="1626"/>
      <c r="X149" s="1626"/>
      <c r="Y149" s="2332"/>
      <c r="Z149" s="2463"/>
      <c r="AA149" s="2463"/>
      <c r="AB149" s="2463"/>
      <c r="AC149" s="2463"/>
      <c r="AD149" s="2464"/>
      <c r="AE149" s="88"/>
      <c r="AF149" s="98" t="s">
        <v>17475</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17476</v>
      </c>
      <c r="C150" s="97" t="s">
        <v>681</v>
      </c>
      <c r="D150" s="97">
        <v>3</v>
      </c>
      <c r="E150" s="1626"/>
      <c r="F150" s="1626"/>
      <c r="G150" s="1626"/>
      <c r="H150" s="1626"/>
      <c r="I150" s="1626"/>
      <c r="J150" s="1626"/>
      <c r="K150" s="2178"/>
      <c r="L150" s="2112"/>
      <c r="M150" s="2180"/>
      <c r="N150" s="1626"/>
      <c r="O150" s="1626"/>
      <c r="P150" s="1626"/>
      <c r="Q150" s="1626"/>
      <c r="R150" s="1626"/>
      <c r="S150" s="2178"/>
      <c r="T150" s="2109"/>
      <c r="U150" s="2111" t="s">
        <v>17192</v>
      </c>
      <c r="V150" s="1626"/>
      <c r="W150" s="1626"/>
      <c r="X150" s="1626"/>
      <c r="Y150" s="2332"/>
      <c r="Z150" s="2463"/>
      <c r="AA150" s="2463"/>
      <c r="AB150" s="2463"/>
      <c r="AC150" s="2463"/>
      <c r="AD150" s="2464"/>
      <c r="AE150" s="88"/>
      <c r="AF150" s="98" t="s">
        <v>17477</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17478</v>
      </c>
      <c r="C151" s="97" t="s">
        <v>681</v>
      </c>
      <c r="D151" s="97">
        <v>3</v>
      </c>
      <c r="E151" s="1626"/>
      <c r="F151" s="1626"/>
      <c r="G151" s="1626"/>
      <c r="H151" s="1626"/>
      <c r="I151" s="1626"/>
      <c r="J151" s="1626"/>
      <c r="K151" s="2178"/>
      <c r="L151" s="2112"/>
      <c r="M151" s="2180"/>
      <c r="N151" s="1626"/>
      <c r="O151" s="1626"/>
      <c r="P151" s="1626"/>
      <c r="Q151" s="1626"/>
      <c r="R151" s="1626"/>
      <c r="S151" s="2178"/>
      <c r="T151" s="2109"/>
      <c r="U151" s="2111" t="s">
        <v>17192</v>
      </c>
      <c r="V151" s="1626"/>
      <c r="W151" s="1626"/>
      <c r="X151" s="1626"/>
      <c r="Y151" s="2332"/>
      <c r="Z151" s="2463"/>
      <c r="AA151" s="2463"/>
      <c r="AB151" s="2463"/>
      <c r="AC151" s="2463"/>
      <c r="AD151" s="2464"/>
      <c r="AE151" s="88"/>
      <c r="AF151" s="98" t="s">
        <v>17479</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17480</v>
      </c>
      <c r="C152" s="97" t="s">
        <v>681</v>
      </c>
      <c r="D152" s="97">
        <v>3</v>
      </c>
      <c r="E152" s="1626"/>
      <c r="F152" s="1626"/>
      <c r="G152" s="1626"/>
      <c r="H152" s="1626"/>
      <c r="I152" s="1626"/>
      <c r="J152" s="1626"/>
      <c r="K152" s="2178"/>
      <c r="L152" s="2112"/>
      <c r="M152" s="2180"/>
      <c r="N152" s="1626"/>
      <c r="O152" s="1626"/>
      <c r="P152" s="1626"/>
      <c r="Q152" s="1626"/>
      <c r="R152" s="1626"/>
      <c r="S152" s="2178"/>
      <c r="T152" s="2109"/>
      <c r="U152" s="2111" t="s">
        <v>17192</v>
      </c>
      <c r="V152" s="1626"/>
      <c r="W152" s="1626"/>
      <c r="X152" s="1626"/>
      <c r="Y152" s="2332"/>
      <c r="Z152" s="2463"/>
      <c r="AA152" s="2463"/>
      <c r="AB152" s="2463"/>
      <c r="AC152" s="2463"/>
      <c r="AD152" s="2464"/>
      <c r="AE152" s="88"/>
      <c r="AF152" s="98" t="s">
        <v>17481</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17482</v>
      </c>
      <c r="C153" s="97" t="s">
        <v>681</v>
      </c>
      <c r="D153" s="97">
        <v>3</v>
      </c>
      <c r="E153" s="1626"/>
      <c r="F153" s="1626"/>
      <c r="G153" s="1626"/>
      <c r="H153" s="1626"/>
      <c r="I153" s="1626"/>
      <c r="J153" s="1626"/>
      <c r="K153" s="2178"/>
      <c r="L153" s="2112"/>
      <c r="M153" s="2180"/>
      <c r="N153" s="1626"/>
      <c r="O153" s="1626"/>
      <c r="P153" s="1626"/>
      <c r="Q153" s="1626"/>
      <c r="R153" s="1626"/>
      <c r="S153" s="2178"/>
      <c r="T153" s="2109"/>
      <c r="U153" s="2111" t="s">
        <v>17192</v>
      </c>
      <c r="V153" s="1626"/>
      <c r="W153" s="1626"/>
      <c r="X153" s="1626"/>
      <c r="Y153" s="2332"/>
      <c r="Z153" s="2463"/>
      <c r="AA153" s="2463"/>
      <c r="AB153" s="2463"/>
      <c r="AC153" s="2463"/>
      <c r="AD153" s="2464"/>
      <c r="AE153" s="88"/>
      <c r="AF153" s="98" t="s">
        <v>17483</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17484</v>
      </c>
      <c r="C154" s="97" t="s">
        <v>681</v>
      </c>
      <c r="D154" s="97">
        <v>3</v>
      </c>
      <c r="E154" s="1626"/>
      <c r="F154" s="1626"/>
      <c r="G154" s="1626"/>
      <c r="H154" s="1626"/>
      <c r="I154" s="1626"/>
      <c r="J154" s="1626"/>
      <c r="K154" s="2178"/>
      <c r="L154" s="2112"/>
      <c r="M154" s="2180"/>
      <c r="N154" s="1626"/>
      <c r="O154" s="1626"/>
      <c r="P154" s="1626"/>
      <c r="Q154" s="1626"/>
      <c r="R154" s="1626"/>
      <c r="S154" s="2178"/>
      <c r="T154" s="2109"/>
      <c r="U154" s="2111" t="s">
        <v>17192</v>
      </c>
      <c r="V154" s="1626"/>
      <c r="W154" s="1626"/>
      <c r="X154" s="1626"/>
      <c r="Y154" s="2332"/>
      <c r="Z154" s="2463"/>
      <c r="AA154" s="2463"/>
      <c r="AB154" s="2463"/>
      <c r="AC154" s="2463"/>
      <c r="AD154" s="2464"/>
      <c r="AE154" s="88"/>
      <c r="AF154" s="98" t="s">
        <v>17485</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17486</v>
      </c>
      <c r="C155" s="97" t="s">
        <v>681</v>
      </c>
      <c r="D155" s="97">
        <v>3</v>
      </c>
      <c r="E155" s="1626"/>
      <c r="F155" s="1626"/>
      <c r="G155" s="1626"/>
      <c r="H155" s="1626"/>
      <c r="I155" s="1626"/>
      <c r="J155" s="1626"/>
      <c r="K155" s="2178"/>
      <c r="L155" s="2112"/>
      <c r="M155" s="2180"/>
      <c r="N155" s="1626"/>
      <c r="O155" s="1626"/>
      <c r="P155" s="1626"/>
      <c r="Q155" s="1626"/>
      <c r="R155" s="1626"/>
      <c r="S155" s="2178"/>
      <c r="T155" s="2109"/>
      <c r="U155" s="2111" t="s">
        <v>17192</v>
      </c>
      <c r="V155" s="1626"/>
      <c r="W155" s="1626"/>
      <c r="X155" s="1626"/>
      <c r="Y155" s="2332"/>
      <c r="Z155" s="2463"/>
      <c r="AA155" s="2463"/>
      <c r="AB155" s="2463"/>
      <c r="AC155" s="2463"/>
      <c r="AD155" s="2464"/>
      <c r="AE155" s="88"/>
      <c r="AF155" s="98" t="s">
        <v>17487</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17488</v>
      </c>
      <c r="C156" s="97" t="s">
        <v>681</v>
      </c>
      <c r="D156" s="97">
        <v>3</v>
      </c>
      <c r="E156" s="1626"/>
      <c r="F156" s="1626"/>
      <c r="G156" s="1626"/>
      <c r="H156" s="1626"/>
      <c r="I156" s="1626"/>
      <c r="J156" s="1626"/>
      <c r="K156" s="2178"/>
      <c r="L156" s="2112"/>
      <c r="M156" s="2180"/>
      <c r="N156" s="1626"/>
      <c r="O156" s="1626"/>
      <c r="P156" s="1626"/>
      <c r="Q156" s="1626"/>
      <c r="R156" s="1626"/>
      <c r="S156" s="2178"/>
      <c r="T156" s="2109"/>
      <c r="U156" s="2111" t="s">
        <v>17192</v>
      </c>
      <c r="V156" s="1626"/>
      <c r="W156" s="1626"/>
      <c r="X156" s="1626"/>
      <c r="Y156" s="2332"/>
      <c r="Z156" s="2463"/>
      <c r="AA156" s="2463"/>
      <c r="AB156" s="2463"/>
      <c r="AC156" s="2463"/>
      <c r="AD156" s="2464"/>
      <c r="AE156" s="88"/>
      <c r="AF156" s="98" t="s">
        <v>17489</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17490</v>
      </c>
      <c r="C157" s="97" t="s">
        <v>681</v>
      </c>
      <c r="D157" s="97">
        <v>3</v>
      </c>
      <c r="E157" s="1626"/>
      <c r="F157" s="1626"/>
      <c r="G157" s="1626"/>
      <c r="H157" s="1626"/>
      <c r="I157" s="1626"/>
      <c r="J157" s="1626"/>
      <c r="K157" s="2178"/>
      <c r="L157" s="2112"/>
      <c r="M157" s="2180"/>
      <c r="N157" s="1626"/>
      <c r="O157" s="1626"/>
      <c r="P157" s="1626"/>
      <c r="Q157" s="1626"/>
      <c r="R157" s="1626"/>
      <c r="S157" s="2178"/>
      <c r="T157" s="2109"/>
      <c r="U157" s="2111" t="s">
        <v>17192</v>
      </c>
      <c r="V157" s="1626"/>
      <c r="W157" s="1626"/>
      <c r="X157" s="1626"/>
      <c r="Y157" s="2332"/>
      <c r="Z157" s="2463"/>
      <c r="AA157" s="2463"/>
      <c r="AB157" s="2463"/>
      <c r="AC157" s="2463"/>
      <c r="AD157" s="2464"/>
      <c r="AE157" s="88"/>
      <c r="AF157" s="98" t="s">
        <v>17491</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17492</v>
      </c>
      <c r="C158" s="97" t="s">
        <v>681</v>
      </c>
      <c r="D158" s="97">
        <v>3</v>
      </c>
      <c r="E158" s="1626"/>
      <c r="F158" s="1626"/>
      <c r="G158" s="1626"/>
      <c r="H158" s="1626"/>
      <c r="I158" s="1626"/>
      <c r="J158" s="1626"/>
      <c r="K158" s="2178"/>
      <c r="L158" s="2112"/>
      <c r="M158" s="2180"/>
      <c r="N158" s="1626"/>
      <c r="O158" s="1626"/>
      <c r="P158" s="1626"/>
      <c r="Q158" s="1626"/>
      <c r="R158" s="1626"/>
      <c r="S158" s="2178"/>
      <c r="T158" s="2109"/>
      <c r="U158" s="2111" t="s">
        <v>17192</v>
      </c>
      <c r="V158" s="1626"/>
      <c r="W158" s="1626"/>
      <c r="X158" s="1626"/>
      <c r="Y158" s="2332"/>
      <c r="Z158" s="2463"/>
      <c r="AA158" s="2463"/>
      <c r="AB158" s="2463"/>
      <c r="AC158" s="2463"/>
      <c r="AD158" s="2464"/>
      <c r="AE158" s="88"/>
      <c r="AF158" s="98" t="s">
        <v>17493</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17494</v>
      </c>
      <c r="C159" s="97" t="s">
        <v>681</v>
      </c>
      <c r="D159" s="97">
        <v>3</v>
      </c>
      <c r="E159" s="1626"/>
      <c r="F159" s="1626"/>
      <c r="G159" s="1626"/>
      <c r="H159" s="1626"/>
      <c r="I159" s="1626"/>
      <c r="J159" s="1626"/>
      <c r="K159" s="2178"/>
      <c r="L159" s="2112"/>
      <c r="M159" s="2180"/>
      <c r="N159" s="1626"/>
      <c r="O159" s="1626"/>
      <c r="P159" s="1626"/>
      <c r="Q159" s="1626"/>
      <c r="R159" s="1626"/>
      <c r="S159" s="2178"/>
      <c r="T159" s="2109"/>
      <c r="U159" s="2111" t="s">
        <v>17192</v>
      </c>
      <c r="V159" s="1626"/>
      <c r="W159" s="1626"/>
      <c r="X159" s="1626"/>
      <c r="Y159" s="2332"/>
      <c r="Z159" s="2463"/>
      <c r="AA159" s="2463"/>
      <c r="AB159" s="2463"/>
      <c r="AC159" s="2463"/>
      <c r="AD159" s="2464"/>
      <c r="AE159" s="88"/>
      <c r="AF159" s="98" t="s">
        <v>17495</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17496</v>
      </c>
      <c r="C160" s="97" t="s">
        <v>681</v>
      </c>
      <c r="D160" s="97">
        <v>3</v>
      </c>
      <c r="E160" s="1626"/>
      <c r="F160" s="1626"/>
      <c r="G160" s="1626"/>
      <c r="H160" s="1626"/>
      <c r="I160" s="1626"/>
      <c r="J160" s="1626"/>
      <c r="K160" s="2178"/>
      <c r="L160" s="2112"/>
      <c r="M160" s="2180"/>
      <c r="N160" s="1626"/>
      <c r="O160" s="1626"/>
      <c r="P160" s="1626"/>
      <c r="Q160" s="1626"/>
      <c r="R160" s="1626"/>
      <c r="S160" s="2178"/>
      <c r="T160" s="2109"/>
      <c r="U160" s="2111" t="s">
        <v>17192</v>
      </c>
      <c r="V160" s="1626"/>
      <c r="W160" s="1626"/>
      <c r="X160" s="1626"/>
      <c r="Y160" s="2332"/>
      <c r="Z160" s="2463"/>
      <c r="AA160" s="2463"/>
      <c r="AB160" s="2463"/>
      <c r="AC160" s="2463"/>
      <c r="AD160" s="2464"/>
      <c r="AE160" s="88"/>
      <c r="AF160" s="98" t="s">
        <v>17497</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17498</v>
      </c>
      <c r="C161" s="97" t="s">
        <v>681</v>
      </c>
      <c r="D161" s="97">
        <v>3</v>
      </c>
      <c r="E161" s="1626"/>
      <c r="F161" s="1626"/>
      <c r="G161" s="1626"/>
      <c r="H161" s="1626"/>
      <c r="I161" s="1626"/>
      <c r="J161" s="1626"/>
      <c r="K161" s="2178"/>
      <c r="L161" s="2112"/>
      <c r="M161" s="2180"/>
      <c r="N161" s="1626"/>
      <c r="O161" s="1626"/>
      <c r="P161" s="1626"/>
      <c r="Q161" s="1626"/>
      <c r="R161" s="1626"/>
      <c r="S161" s="2178"/>
      <c r="T161" s="2109"/>
      <c r="U161" s="2111" t="s">
        <v>17192</v>
      </c>
      <c r="V161" s="1626"/>
      <c r="W161" s="1626"/>
      <c r="X161" s="1626"/>
      <c r="Y161" s="2332"/>
      <c r="Z161" s="2463"/>
      <c r="AA161" s="2463"/>
      <c r="AB161" s="2463"/>
      <c r="AC161" s="2463"/>
      <c r="AD161" s="2464"/>
      <c r="AE161" s="88"/>
      <c r="AF161" s="98" t="s">
        <v>17499</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17500</v>
      </c>
      <c r="C162" s="97" t="s">
        <v>681</v>
      </c>
      <c r="D162" s="97">
        <v>3</v>
      </c>
      <c r="E162" s="1626"/>
      <c r="F162" s="1626"/>
      <c r="G162" s="1626"/>
      <c r="H162" s="1626"/>
      <c r="I162" s="1626"/>
      <c r="J162" s="1626"/>
      <c r="K162" s="2178"/>
      <c r="L162" s="2112"/>
      <c r="M162" s="2180"/>
      <c r="N162" s="1626"/>
      <c r="O162" s="1626"/>
      <c r="P162" s="1626"/>
      <c r="Q162" s="1626"/>
      <c r="R162" s="1626"/>
      <c r="S162" s="2178"/>
      <c r="T162" s="2109"/>
      <c r="U162" s="2111" t="s">
        <v>17192</v>
      </c>
      <c r="V162" s="1626"/>
      <c r="W162" s="1626"/>
      <c r="X162" s="1626"/>
      <c r="Y162" s="2332"/>
      <c r="Z162" s="2463"/>
      <c r="AA162" s="2463"/>
      <c r="AB162" s="2463"/>
      <c r="AC162" s="2463"/>
      <c r="AD162" s="2464"/>
      <c r="AE162" s="88"/>
      <c r="AF162" s="98" t="s">
        <v>17501</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17502</v>
      </c>
      <c r="C163" s="97" t="s">
        <v>681</v>
      </c>
      <c r="D163" s="97">
        <v>3</v>
      </c>
      <c r="E163" s="1626"/>
      <c r="F163" s="1626"/>
      <c r="G163" s="1626"/>
      <c r="H163" s="1626"/>
      <c r="I163" s="1626"/>
      <c r="J163" s="1626"/>
      <c r="K163" s="2178"/>
      <c r="L163" s="2112"/>
      <c r="M163" s="2180"/>
      <c r="N163" s="1626"/>
      <c r="O163" s="1626"/>
      <c r="P163" s="1626"/>
      <c r="Q163" s="1626"/>
      <c r="R163" s="1626"/>
      <c r="S163" s="2178"/>
      <c r="T163" s="2109"/>
      <c r="U163" s="2111" t="s">
        <v>17192</v>
      </c>
      <c r="V163" s="1626"/>
      <c r="W163" s="1626"/>
      <c r="X163" s="1626"/>
      <c r="Y163" s="2332"/>
      <c r="Z163" s="2463"/>
      <c r="AA163" s="2463"/>
      <c r="AB163" s="2463"/>
      <c r="AC163" s="2463"/>
      <c r="AD163" s="2464"/>
      <c r="AE163" s="88"/>
      <c r="AF163" s="98" t="s">
        <v>17503</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17504</v>
      </c>
      <c r="C164" s="97" t="s">
        <v>681</v>
      </c>
      <c r="D164" s="97">
        <v>3</v>
      </c>
      <c r="E164" s="1626"/>
      <c r="F164" s="1626"/>
      <c r="G164" s="1626"/>
      <c r="H164" s="1626"/>
      <c r="I164" s="1626"/>
      <c r="J164" s="1626"/>
      <c r="K164" s="2178"/>
      <c r="L164" s="2112"/>
      <c r="M164" s="2180"/>
      <c r="N164" s="1626"/>
      <c r="O164" s="1626"/>
      <c r="P164" s="1626"/>
      <c r="Q164" s="1626"/>
      <c r="R164" s="1626"/>
      <c r="S164" s="2178"/>
      <c r="T164" s="2109"/>
      <c r="U164" s="2111" t="s">
        <v>17192</v>
      </c>
      <c r="V164" s="1626"/>
      <c r="W164" s="1626"/>
      <c r="X164" s="1626"/>
      <c r="Y164" s="2332"/>
      <c r="Z164" s="2463"/>
      <c r="AA164" s="2463"/>
      <c r="AB164" s="2463"/>
      <c r="AC164" s="2463"/>
      <c r="AD164" s="2464"/>
      <c r="AE164" s="88"/>
      <c r="AF164" s="98" t="s">
        <v>17505</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17506</v>
      </c>
      <c r="C165" s="97" t="s">
        <v>681</v>
      </c>
      <c r="D165" s="97">
        <v>3</v>
      </c>
      <c r="E165" s="1626"/>
      <c r="F165" s="1626"/>
      <c r="G165" s="1626"/>
      <c r="H165" s="1626"/>
      <c r="I165" s="1626"/>
      <c r="J165" s="1626"/>
      <c r="K165" s="2178"/>
      <c r="L165" s="2112"/>
      <c r="M165" s="2180"/>
      <c r="N165" s="1626"/>
      <c r="O165" s="1626"/>
      <c r="P165" s="1626"/>
      <c r="Q165" s="1626"/>
      <c r="R165" s="1626"/>
      <c r="S165" s="2178"/>
      <c r="T165" s="2109"/>
      <c r="U165" s="2111" t="s">
        <v>17192</v>
      </c>
      <c r="V165" s="1626"/>
      <c r="W165" s="1626"/>
      <c r="X165" s="1626"/>
      <c r="Y165" s="2332"/>
      <c r="Z165" s="2463"/>
      <c r="AA165" s="2463"/>
      <c r="AB165" s="2463"/>
      <c r="AC165" s="2463"/>
      <c r="AD165" s="2464"/>
      <c r="AE165" s="88"/>
      <c r="AF165" s="98" t="s">
        <v>17507</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17508</v>
      </c>
      <c r="C166" s="97" t="s">
        <v>681</v>
      </c>
      <c r="D166" s="97">
        <v>3</v>
      </c>
      <c r="E166" s="1626"/>
      <c r="F166" s="1626"/>
      <c r="G166" s="1626"/>
      <c r="H166" s="1626"/>
      <c r="I166" s="1626"/>
      <c r="J166" s="1626"/>
      <c r="K166" s="2178"/>
      <c r="L166" s="2112"/>
      <c r="M166" s="2180"/>
      <c r="N166" s="1626"/>
      <c r="O166" s="1626"/>
      <c r="P166" s="1626"/>
      <c r="Q166" s="1626"/>
      <c r="R166" s="1626"/>
      <c r="S166" s="2178"/>
      <c r="T166" s="2109"/>
      <c r="U166" s="2111" t="s">
        <v>17192</v>
      </c>
      <c r="V166" s="1626"/>
      <c r="W166" s="1626"/>
      <c r="X166" s="1626"/>
      <c r="Y166" s="2332"/>
      <c r="Z166" s="2463"/>
      <c r="AA166" s="2463"/>
      <c r="AB166" s="2463"/>
      <c r="AC166" s="2463"/>
      <c r="AD166" s="2464"/>
      <c r="AE166" s="88"/>
      <c r="AF166" s="98" t="s">
        <v>17509</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17510</v>
      </c>
      <c r="C167" s="97" t="s">
        <v>681</v>
      </c>
      <c r="D167" s="97">
        <v>3</v>
      </c>
      <c r="E167" s="1626"/>
      <c r="F167" s="1626"/>
      <c r="G167" s="1626"/>
      <c r="H167" s="1626"/>
      <c r="I167" s="1626"/>
      <c r="J167" s="1626"/>
      <c r="K167" s="2178"/>
      <c r="L167" s="2112"/>
      <c r="M167" s="2180"/>
      <c r="N167" s="1626"/>
      <c r="O167" s="1626"/>
      <c r="P167" s="1626"/>
      <c r="Q167" s="1626"/>
      <c r="R167" s="1626"/>
      <c r="S167" s="2178"/>
      <c r="T167" s="2109"/>
      <c r="U167" s="2111" t="s">
        <v>17192</v>
      </c>
      <c r="V167" s="1626"/>
      <c r="W167" s="1626"/>
      <c r="X167" s="1626"/>
      <c r="Y167" s="2332"/>
      <c r="Z167" s="2463"/>
      <c r="AA167" s="2463"/>
      <c r="AB167" s="2463"/>
      <c r="AC167" s="2463"/>
      <c r="AD167" s="2464"/>
      <c r="AE167" s="88"/>
      <c r="AF167" s="98" t="s">
        <v>17511</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17512</v>
      </c>
      <c r="C168" s="97" t="s">
        <v>681</v>
      </c>
      <c r="D168" s="97">
        <v>3</v>
      </c>
      <c r="E168" s="1626"/>
      <c r="F168" s="1626"/>
      <c r="G168" s="1626"/>
      <c r="H168" s="1626"/>
      <c r="I168" s="1626"/>
      <c r="J168" s="1626"/>
      <c r="K168" s="2178"/>
      <c r="L168" s="2112"/>
      <c r="M168" s="2180"/>
      <c r="N168" s="1626"/>
      <c r="O168" s="1626"/>
      <c r="P168" s="1626"/>
      <c r="Q168" s="1626"/>
      <c r="R168" s="1626"/>
      <c r="S168" s="2178"/>
      <c r="T168" s="2109"/>
      <c r="U168" s="2111" t="s">
        <v>17192</v>
      </c>
      <c r="V168" s="1626"/>
      <c r="W168" s="1626"/>
      <c r="X168" s="1626"/>
      <c r="Y168" s="2332"/>
      <c r="Z168" s="2463"/>
      <c r="AA168" s="2463"/>
      <c r="AB168" s="2463"/>
      <c r="AC168" s="2463"/>
      <c r="AD168" s="2464"/>
      <c r="AE168" s="88"/>
      <c r="AF168" s="98" t="s">
        <v>17513</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17514</v>
      </c>
      <c r="C169" s="97" t="s">
        <v>681</v>
      </c>
      <c r="D169" s="97">
        <v>3</v>
      </c>
      <c r="E169" s="1626"/>
      <c r="F169" s="1626"/>
      <c r="G169" s="1626"/>
      <c r="H169" s="1626"/>
      <c r="I169" s="1626"/>
      <c r="J169" s="1626"/>
      <c r="K169" s="2178"/>
      <c r="L169" s="2112"/>
      <c r="M169" s="2180"/>
      <c r="N169" s="1626"/>
      <c r="O169" s="1626"/>
      <c r="P169" s="1626"/>
      <c r="Q169" s="1626"/>
      <c r="R169" s="1626"/>
      <c r="S169" s="2178"/>
      <c r="T169" s="2109"/>
      <c r="U169" s="2111" t="s">
        <v>17192</v>
      </c>
      <c r="V169" s="1626"/>
      <c r="W169" s="1626"/>
      <c r="X169" s="1626"/>
      <c r="Y169" s="2332"/>
      <c r="Z169" s="2463"/>
      <c r="AA169" s="2463"/>
      <c r="AB169" s="2463"/>
      <c r="AC169" s="2463"/>
      <c r="AD169" s="2464"/>
      <c r="AE169" s="88"/>
      <c r="AF169" s="98" t="s">
        <v>17515</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17516</v>
      </c>
      <c r="C170" s="97" t="s">
        <v>681</v>
      </c>
      <c r="D170" s="97">
        <v>3</v>
      </c>
      <c r="E170" s="1626"/>
      <c r="F170" s="1626"/>
      <c r="G170" s="1626"/>
      <c r="H170" s="1626"/>
      <c r="I170" s="1626"/>
      <c r="J170" s="1626"/>
      <c r="K170" s="2178"/>
      <c r="L170" s="2112"/>
      <c r="M170" s="2180"/>
      <c r="N170" s="1626"/>
      <c r="O170" s="1626"/>
      <c r="P170" s="1626"/>
      <c r="Q170" s="1626"/>
      <c r="R170" s="1626"/>
      <c r="S170" s="2178"/>
      <c r="T170" s="2109"/>
      <c r="U170" s="2111" t="s">
        <v>17192</v>
      </c>
      <c r="V170" s="1626"/>
      <c r="W170" s="1626"/>
      <c r="X170" s="1626"/>
      <c r="Y170" s="2332"/>
      <c r="Z170" s="2463"/>
      <c r="AA170" s="2463"/>
      <c r="AB170" s="2463"/>
      <c r="AC170" s="2463"/>
      <c r="AD170" s="2464"/>
      <c r="AE170" s="88"/>
      <c r="AF170" s="98" t="s">
        <v>17517</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17518</v>
      </c>
      <c r="C171" s="97" t="s">
        <v>681</v>
      </c>
      <c r="D171" s="97">
        <v>3</v>
      </c>
      <c r="E171" s="1626"/>
      <c r="F171" s="1626"/>
      <c r="G171" s="1626"/>
      <c r="H171" s="1626"/>
      <c r="I171" s="1626"/>
      <c r="J171" s="1626"/>
      <c r="K171" s="2178"/>
      <c r="L171" s="2112"/>
      <c r="M171" s="2180"/>
      <c r="N171" s="1626"/>
      <c r="O171" s="1626"/>
      <c r="P171" s="1626"/>
      <c r="Q171" s="1626"/>
      <c r="R171" s="1626"/>
      <c r="S171" s="2178"/>
      <c r="T171" s="2109"/>
      <c r="U171" s="2111" t="s">
        <v>17192</v>
      </c>
      <c r="V171" s="1626"/>
      <c r="W171" s="1626"/>
      <c r="X171" s="1626"/>
      <c r="Y171" s="2332"/>
      <c r="Z171" s="2463"/>
      <c r="AA171" s="2463"/>
      <c r="AB171" s="2463"/>
      <c r="AC171" s="2463"/>
      <c r="AD171" s="2464"/>
      <c r="AE171" s="88"/>
      <c r="AF171" s="98" t="s">
        <v>17519</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17520</v>
      </c>
      <c r="C172" s="97" t="s">
        <v>681</v>
      </c>
      <c r="D172" s="97">
        <v>3</v>
      </c>
      <c r="E172" s="1626"/>
      <c r="F172" s="1626"/>
      <c r="G172" s="1626"/>
      <c r="H172" s="1626"/>
      <c r="I172" s="1626"/>
      <c r="J172" s="1626"/>
      <c r="K172" s="2178"/>
      <c r="L172" s="2112"/>
      <c r="M172" s="2180"/>
      <c r="N172" s="1626"/>
      <c r="O172" s="1626"/>
      <c r="P172" s="1626"/>
      <c r="Q172" s="1626"/>
      <c r="R172" s="1626"/>
      <c r="S172" s="2178"/>
      <c r="T172" s="2109"/>
      <c r="U172" s="2111" t="s">
        <v>17192</v>
      </c>
      <c r="V172" s="1626"/>
      <c r="W172" s="1626"/>
      <c r="X172" s="1626"/>
      <c r="Y172" s="2332"/>
      <c r="Z172" s="2463"/>
      <c r="AA172" s="2463"/>
      <c r="AB172" s="2463"/>
      <c r="AC172" s="2463"/>
      <c r="AD172" s="2464"/>
      <c r="AE172" s="88"/>
      <c r="AF172" s="98" t="s">
        <v>17521</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17522</v>
      </c>
      <c r="C173" s="97" t="s">
        <v>681</v>
      </c>
      <c r="D173" s="97">
        <v>3</v>
      </c>
      <c r="E173" s="1626"/>
      <c r="F173" s="1626"/>
      <c r="G173" s="1626"/>
      <c r="H173" s="1626"/>
      <c r="I173" s="1626"/>
      <c r="J173" s="1626"/>
      <c r="K173" s="2178"/>
      <c r="L173" s="2112"/>
      <c r="M173" s="2180"/>
      <c r="N173" s="1626"/>
      <c r="O173" s="1626"/>
      <c r="P173" s="1626"/>
      <c r="Q173" s="1626"/>
      <c r="R173" s="1626"/>
      <c r="S173" s="2178"/>
      <c r="T173" s="2109"/>
      <c r="U173" s="2111" t="s">
        <v>17192</v>
      </c>
      <c r="V173" s="1626"/>
      <c r="W173" s="1626"/>
      <c r="X173" s="1626"/>
      <c r="Y173" s="2332"/>
      <c r="Z173" s="2463"/>
      <c r="AA173" s="2463"/>
      <c r="AB173" s="2463"/>
      <c r="AC173" s="2463"/>
      <c r="AD173" s="2464"/>
      <c r="AE173" s="88"/>
      <c r="AF173" s="98" t="s">
        <v>17523</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17524</v>
      </c>
      <c r="C174" s="97" t="s">
        <v>681</v>
      </c>
      <c r="D174" s="97">
        <v>3</v>
      </c>
      <c r="E174" s="1626"/>
      <c r="F174" s="1626"/>
      <c r="G174" s="1626"/>
      <c r="H174" s="1626"/>
      <c r="I174" s="1626"/>
      <c r="J174" s="1626"/>
      <c r="K174" s="2178"/>
      <c r="L174" s="2112"/>
      <c r="M174" s="2180"/>
      <c r="N174" s="1626"/>
      <c r="O174" s="1626"/>
      <c r="P174" s="1626"/>
      <c r="Q174" s="1626"/>
      <c r="R174" s="1626"/>
      <c r="S174" s="2178"/>
      <c r="T174" s="2109"/>
      <c r="U174" s="2111" t="s">
        <v>17192</v>
      </c>
      <c r="V174" s="1626"/>
      <c r="W174" s="1626"/>
      <c r="X174" s="1626"/>
      <c r="Y174" s="2332"/>
      <c r="Z174" s="2463"/>
      <c r="AA174" s="2463"/>
      <c r="AB174" s="2463"/>
      <c r="AC174" s="2463"/>
      <c r="AD174" s="2464"/>
      <c r="AE174" s="88"/>
      <c r="AF174" s="98" t="s">
        <v>17525</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17526</v>
      </c>
      <c r="C175" s="97" t="s">
        <v>681</v>
      </c>
      <c r="D175" s="97">
        <v>3</v>
      </c>
      <c r="E175" s="1626"/>
      <c r="F175" s="1626"/>
      <c r="G175" s="1626"/>
      <c r="H175" s="1626"/>
      <c r="I175" s="1626"/>
      <c r="J175" s="1626"/>
      <c r="K175" s="2178"/>
      <c r="L175" s="2112"/>
      <c r="M175" s="2180"/>
      <c r="N175" s="1626"/>
      <c r="O175" s="1626"/>
      <c r="P175" s="1626"/>
      <c r="Q175" s="1626"/>
      <c r="R175" s="1626"/>
      <c r="S175" s="2178"/>
      <c r="T175" s="2109"/>
      <c r="U175" s="2111" t="s">
        <v>17192</v>
      </c>
      <c r="V175" s="1626"/>
      <c r="W175" s="1626"/>
      <c r="X175" s="1626"/>
      <c r="Y175" s="2332"/>
      <c r="Z175" s="2463"/>
      <c r="AA175" s="2463"/>
      <c r="AB175" s="2463"/>
      <c r="AC175" s="2463"/>
      <c r="AD175" s="2464"/>
      <c r="AE175" s="88"/>
      <c r="AF175" s="98" t="s">
        <v>17527</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17528</v>
      </c>
      <c r="C176" s="97" t="s">
        <v>681</v>
      </c>
      <c r="D176" s="97">
        <v>3</v>
      </c>
      <c r="E176" s="1626"/>
      <c r="F176" s="1626"/>
      <c r="G176" s="1626"/>
      <c r="H176" s="1626"/>
      <c r="I176" s="1626"/>
      <c r="J176" s="1626"/>
      <c r="K176" s="2178"/>
      <c r="L176" s="2112"/>
      <c r="M176" s="2180"/>
      <c r="N176" s="1626"/>
      <c r="O176" s="1626"/>
      <c r="P176" s="1626"/>
      <c r="Q176" s="1626"/>
      <c r="R176" s="1626"/>
      <c r="S176" s="2178"/>
      <c r="T176" s="2109"/>
      <c r="U176" s="2111" t="s">
        <v>17192</v>
      </c>
      <c r="V176" s="1626"/>
      <c r="W176" s="1626"/>
      <c r="X176" s="1626"/>
      <c r="Y176" s="2332"/>
      <c r="Z176" s="2463"/>
      <c r="AA176" s="2463"/>
      <c r="AB176" s="2463"/>
      <c r="AC176" s="2463"/>
      <c r="AD176" s="2464"/>
      <c r="AE176" s="88"/>
      <c r="AF176" s="98" t="s">
        <v>17529</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17530</v>
      </c>
      <c r="C177" s="97" t="s">
        <v>681</v>
      </c>
      <c r="D177" s="97">
        <v>3</v>
      </c>
      <c r="E177" s="1626"/>
      <c r="F177" s="1626"/>
      <c r="G177" s="1626"/>
      <c r="H177" s="1626"/>
      <c r="I177" s="1626"/>
      <c r="J177" s="1626"/>
      <c r="K177" s="2178"/>
      <c r="L177" s="2112"/>
      <c r="M177" s="2180"/>
      <c r="N177" s="1626"/>
      <c r="O177" s="1626"/>
      <c r="P177" s="1626"/>
      <c r="Q177" s="1626"/>
      <c r="R177" s="1626"/>
      <c r="S177" s="2178"/>
      <c r="T177" s="2109"/>
      <c r="U177" s="2111" t="s">
        <v>17192</v>
      </c>
      <c r="V177" s="1626"/>
      <c r="W177" s="1626"/>
      <c r="X177" s="1626"/>
      <c r="Y177" s="2332"/>
      <c r="Z177" s="2463"/>
      <c r="AA177" s="2463"/>
      <c r="AB177" s="2463"/>
      <c r="AC177" s="2463"/>
      <c r="AD177" s="2464"/>
      <c r="AE177" s="88"/>
      <c r="AF177" s="98" t="s">
        <v>17531</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17532</v>
      </c>
      <c r="C178" s="97" t="s">
        <v>681</v>
      </c>
      <c r="D178" s="97">
        <v>3</v>
      </c>
      <c r="E178" s="1626"/>
      <c r="F178" s="1626"/>
      <c r="G178" s="1626"/>
      <c r="H178" s="1626"/>
      <c r="I178" s="1626"/>
      <c r="J178" s="1626"/>
      <c r="K178" s="2178"/>
      <c r="L178" s="2112"/>
      <c r="M178" s="2180"/>
      <c r="N178" s="1626"/>
      <c r="O178" s="1626"/>
      <c r="P178" s="1626"/>
      <c r="Q178" s="1626"/>
      <c r="R178" s="1626"/>
      <c r="S178" s="2178"/>
      <c r="T178" s="2109"/>
      <c r="U178" s="2111" t="s">
        <v>17192</v>
      </c>
      <c r="V178" s="1626"/>
      <c r="W178" s="1626"/>
      <c r="X178" s="1626"/>
      <c r="Y178" s="2332"/>
      <c r="Z178" s="2463"/>
      <c r="AA178" s="2463"/>
      <c r="AB178" s="2463"/>
      <c r="AC178" s="2463"/>
      <c r="AD178" s="2464"/>
      <c r="AE178" s="88"/>
      <c r="AF178" s="98" t="s">
        <v>17533</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17534</v>
      </c>
      <c r="C179" s="97" t="s">
        <v>681</v>
      </c>
      <c r="D179" s="97">
        <v>3</v>
      </c>
      <c r="E179" s="1626"/>
      <c r="F179" s="1626"/>
      <c r="G179" s="1626"/>
      <c r="H179" s="1626"/>
      <c r="I179" s="1626"/>
      <c r="J179" s="1626"/>
      <c r="K179" s="2178"/>
      <c r="L179" s="2112"/>
      <c r="M179" s="2180"/>
      <c r="N179" s="1626"/>
      <c r="O179" s="1626"/>
      <c r="P179" s="1626"/>
      <c r="Q179" s="1626"/>
      <c r="R179" s="1626"/>
      <c r="S179" s="2178"/>
      <c r="T179" s="2109"/>
      <c r="U179" s="2111" t="s">
        <v>17192</v>
      </c>
      <c r="V179" s="1626"/>
      <c r="W179" s="1626"/>
      <c r="X179" s="1626"/>
      <c r="Y179" s="2332"/>
      <c r="Z179" s="2463"/>
      <c r="AA179" s="2463"/>
      <c r="AB179" s="2463"/>
      <c r="AC179" s="2463"/>
      <c r="AD179" s="2464"/>
      <c r="AE179" s="88"/>
      <c r="AF179" s="98" t="s">
        <v>17535</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17536</v>
      </c>
      <c r="C180" s="97" t="s">
        <v>681</v>
      </c>
      <c r="D180" s="97">
        <v>3</v>
      </c>
      <c r="E180" s="1626"/>
      <c r="F180" s="1626"/>
      <c r="G180" s="1626"/>
      <c r="H180" s="1626"/>
      <c r="I180" s="1626"/>
      <c r="J180" s="1626"/>
      <c r="K180" s="2178"/>
      <c r="L180" s="2112"/>
      <c r="M180" s="2180"/>
      <c r="N180" s="1626"/>
      <c r="O180" s="1626"/>
      <c r="P180" s="1626"/>
      <c r="Q180" s="1626"/>
      <c r="R180" s="1626"/>
      <c r="S180" s="2178"/>
      <c r="T180" s="2109"/>
      <c r="U180" s="2111" t="s">
        <v>17192</v>
      </c>
      <c r="V180" s="1626"/>
      <c r="W180" s="1626"/>
      <c r="X180" s="1626"/>
      <c r="Y180" s="2332"/>
      <c r="Z180" s="2463"/>
      <c r="AA180" s="2463"/>
      <c r="AB180" s="2463"/>
      <c r="AC180" s="2463"/>
      <c r="AD180" s="2464"/>
      <c r="AE180" s="88"/>
      <c r="AF180" s="98" t="s">
        <v>17537</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17538</v>
      </c>
      <c r="C181" s="97" t="s">
        <v>681</v>
      </c>
      <c r="D181" s="97">
        <v>3</v>
      </c>
      <c r="E181" s="1626"/>
      <c r="F181" s="1626"/>
      <c r="G181" s="1626"/>
      <c r="H181" s="1626"/>
      <c r="I181" s="1626"/>
      <c r="J181" s="1626"/>
      <c r="K181" s="2178"/>
      <c r="L181" s="2112"/>
      <c r="M181" s="2180"/>
      <c r="N181" s="1626"/>
      <c r="O181" s="1626"/>
      <c r="P181" s="1626"/>
      <c r="Q181" s="1626"/>
      <c r="R181" s="1626"/>
      <c r="S181" s="2178"/>
      <c r="T181" s="2109"/>
      <c r="U181" s="2111" t="s">
        <v>17192</v>
      </c>
      <c r="V181" s="1626"/>
      <c r="W181" s="1626"/>
      <c r="X181" s="1626"/>
      <c r="Y181" s="2332"/>
      <c r="Z181" s="2463"/>
      <c r="AA181" s="2463"/>
      <c r="AB181" s="2463"/>
      <c r="AC181" s="2463"/>
      <c r="AD181" s="2464"/>
      <c r="AE181" s="88"/>
      <c r="AF181" s="98" t="s">
        <v>17539</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17540</v>
      </c>
      <c r="C182" s="97" t="s">
        <v>681</v>
      </c>
      <c r="D182" s="97">
        <v>3</v>
      </c>
      <c r="E182" s="1626"/>
      <c r="F182" s="1626"/>
      <c r="G182" s="1626"/>
      <c r="H182" s="1626"/>
      <c r="I182" s="1626"/>
      <c r="J182" s="1626"/>
      <c r="K182" s="2178"/>
      <c r="L182" s="2112"/>
      <c r="M182" s="2180"/>
      <c r="N182" s="1626"/>
      <c r="O182" s="1626"/>
      <c r="P182" s="1626"/>
      <c r="Q182" s="1626"/>
      <c r="R182" s="1626"/>
      <c r="S182" s="2178"/>
      <c r="T182" s="2109"/>
      <c r="U182" s="2111" t="s">
        <v>17192</v>
      </c>
      <c r="V182" s="1626"/>
      <c r="W182" s="1626"/>
      <c r="X182" s="1626"/>
      <c r="Y182" s="2332"/>
      <c r="Z182" s="2463"/>
      <c r="AA182" s="2463"/>
      <c r="AB182" s="2463"/>
      <c r="AC182" s="2463"/>
      <c r="AD182" s="2464"/>
      <c r="AE182" s="88"/>
      <c r="AF182" s="98" t="s">
        <v>17541</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17542</v>
      </c>
      <c r="C183" s="97" t="s">
        <v>681</v>
      </c>
      <c r="D183" s="97">
        <v>3</v>
      </c>
      <c r="E183" s="1626"/>
      <c r="F183" s="1626"/>
      <c r="G183" s="1626"/>
      <c r="H183" s="1626"/>
      <c r="I183" s="1626"/>
      <c r="J183" s="1626"/>
      <c r="K183" s="2178"/>
      <c r="L183" s="2112"/>
      <c r="M183" s="2180"/>
      <c r="N183" s="1626"/>
      <c r="O183" s="1626"/>
      <c r="P183" s="1626"/>
      <c r="Q183" s="1626"/>
      <c r="R183" s="1626"/>
      <c r="S183" s="2178"/>
      <c r="T183" s="2109"/>
      <c r="U183" s="2111" t="s">
        <v>17192</v>
      </c>
      <c r="V183" s="1626"/>
      <c r="W183" s="1626"/>
      <c r="X183" s="1626"/>
      <c r="Y183" s="2332"/>
      <c r="Z183" s="2463"/>
      <c r="AA183" s="2463"/>
      <c r="AB183" s="2463"/>
      <c r="AC183" s="2463"/>
      <c r="AD183" s="2464"/>
      <c r="AE183" s="88"/>
      <c r="AF183" s="98" t="s">
        <v>17543</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17544</v>
      </c>
      <c r="C184" s="97" t="s">
        <v>681</v>
      </c>
      <c r="D184" s="97">
        <v>3</v>
      </c>
      <c r="E184" s="1626"/>
      <c r="F184" s="1626"/>
      <c r="G184" s="1626"/>
      <c r="H184" s="1626"/>
      <c r="I184" s="1626"/>
      <c r="J184" s="1626"/>
      <c r="K184" s="2178"/>
      <c r="L184" s="2112"/>
      <c r="M184" s="2180"/>
      <c r="N184" s="1626"/>
      <c r="O184" s="1626"/>
      <c r="P184" s="1626"/>
      <c r="Q184" s="1626"/>
      <c r="R184" s="1626"/>
      <c r="S184" s="2178"/>
      <c r="T184" s="2109"/>
      <c r="U184" s="2111" t="s">
        <v>17192</v>
      </c>
      <c r="V184" s="1626"/>
      <c r="W184" s="1626"/>
      <c r="X184" s="1626"/>
      <c r="Y184" s="2332"/>
      <c r="Z184" s="2463"/>
      <c r="AA184" s="2463"/>
      <c r="AB184" s="2463"/>
      <c r="AC184" s="2463"/>
      <c r="AD184" s="2464"/>
      <c r="AE184" s="88"/>
      <c r="AF184" s="98" t="s">
        <v>17545</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17546</v>
      </c>
      <c r="C185" s="97" t="s">
        <v>681</v>
      </c>
      <c r="D185" s="97">
        <v>3</v>
      </c>
      <c r="E185" s="1626"/>
      <c r="F185" s="1626"/>
      <c r="G185" s="1626"/>
      <c r="H185" s="1626"/>
      <c r="I185" s="1626"/>
      <c r="J185" s="1626"/>
      <c r="K185" s="2178"/>
      <c r="L185" s="2112"/>
      <c r="M185" s="2180"/>
      <c r="N185" s="1626"/>
      <c r="O185" s="1626"/>
      <c r="P185" s="1626"/>
      <c r="Q185" s="1626"/>
      <c r="R185" s="1626"/>
      <c r="S185" s="2178"/>
      <c r="T185" s="2109"/>
      <c r="U185" s="2111" t="s">
        <v>17192</v>
      </c>
      <c r="V185" s="1626"/>
      <c r="W185" s="1626"/>
      <c r="X185" s="1626"/>
      <c r="Y185" s="2332"/>
      <c r="Z185" s="2463"/>
      <c r="AA185" s="2463"/>
      <c r="AB185" s="2463"/>
      <c r="AC185" s="2463"/>
      <c r="AD185" s="2464"/>
      <c r="AE185" s="88"/>
      <c r="AF185" s="98" t="s">
        <v>17547</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17548</v>
      </c>
      <c r="C186" s="97" t="s">
        <v>681</v>
      </c>
      <c r="D186" s="97">
        <v>3</v>
      </c>
      <c r="E186" s="1626"/>
      <c r="F186" s="1626"/>
      <c r="G186" s="1626"/>
      <c r="H186" s="1626"/>
      <c r="I186" s="1626"/>
      <c r="J186" s="1626"/>
      <c r="K186" s="2178"/>
      <c r="L186" s="2112"/>
      <c r="M186" s="2180"/>
      <c r="N186" s="1626"/>
      <c r="O186" s="1626"/>
      <c r="P186" s="1626"/>
      <c r="Q186" s="1626"/>
      <c r="R186" s="1626"/>
      <c r="S186" s="2178"/>
      <c r="T186" s="2109"/>
      <c r="U186" s="2111" t="s">
        <v>17192</v>
      </c>
      <c r="V186" s="1626"/>
      <c r="W186" s="1626"/>
      <c r="X186" s="1626"/>
      <c r="Y186" s="2332"/>
      <c r="Z186" s="2463"/>
      <c r="AA186" s="2463"/>
      <c r="AB186" s="2463"/>
      <c r="AC186" s="2463"/>
      <c r="AD186" s="2464"/>
      <c r="AE186" s="88"/>
      <c r="AF186" s="98" t="s">
        <v>17549</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17550</v>
      </c>
      <c r="C187" s="97" t="s">
        <v>681</v>
      </c>
      <c r="D187" s="97">
        <v>3</v>
      </c>
      <c r="E187" s="1626"/>
      <c r="F187" s="1626"/>
      <c r="G187" s="1626"/>
      <c r="H187" s="1626"/>
      <c r="I187" s="1626"/>
      <c r="J187" s="1626"/>
      <c r="K187" s="2178"/>
      <c r="L187" s="2112"/>
      <c r="M187" s="2180"/>
      <c r="N187" s="1626"/>
      <c r="O187" s="1626"/>
      <c r="P187" s="1626"/>
      <c r="Q187" s="1626"/>
      <c r="R187" s="1626"/>
      <c r="S187" s="2178"/>
      <c r="T187" s="2109"/>
      <c r="U187" s="2111" t="s">
        <v>17192</v>
      </c>
      <c r="V187" s="1626"/>
      <c r="W187" s="1626"/>
      <c r="X187" s="1626"/>
      <c r="Y187" s="2332"/>
      <c r="Z187" s="2463"/>
      <c r="AA187" s="2463"/>
      <c r="AB187" s="2463"/>
      <c r="AC187" s="2463"/>
      <c r="AD187" s="2464"/>
      <c r="AE187" s="88"/>
      <c r="AF187" s="98" t="s">
        <v>17551</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17552</v>
      </c>
      <c r="C188" s="97" t="s">
        <v>681</v>
      </c>
      <c r="D188" s="97">
        <v>3</v>
      </c>
      <c r="E188" s="1626"/>
      <c r="F188" s="1626"/>
      <c r="G188" s="1626"/>
      <c r="H188" s="1626"/>
      <c r="I188" s="1626"/>
      <c r="J188" s="1626"/>
      <c r="K188" s="2178"/>
      <c r="L188" s="2112"/>
      <c r="M188" s="2180"/>
      <c r="N188" s="1626"/>
      <c r="O188" s="1626"/>
      <c r="P188" s="1626"/>
      <c r="Q188" s="1626"/>
      <c r="R188" s="1626"/>
      <c r="S188" s="2178"/>
      <c r="T188" s="2109"/>
      <c r="U188" s="2111" t="s">
        <v>17192</v>
      </c>
      <c r="V188" s="1626"/>
      <c r="W188" s="1626"/>
      <c r="X188" s="1626"/>
      <c r="Y188" s="2332"/>
      <c r="Z188" s="2463"/>
      <c r="AA188" s="2463"/>
      <c r="AB188" s="2463"/>
      <c r="AC188" s="2463"/>
      <c r="AD188" s="2464"/>
      <c r="AE188" s="88"/>
      <c r="AF188" s="98" t="s">
        <v>17553</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17554</v>
      </c>
      <c r="C189" s="97" t="s">
        <v>681</v>
      </c>
      <c r="D189" s="97">
        <v>3</v>
      </c>
      <c r="E189" s="1626"/>
      <c r="F189" s="1626"/>
      <c r="G189" s="1626"/>
      <c r="H189" s="1626"/>
      <c r="I189" s="1626"/>
      <c r="J189" s="1626"/>
      <c r="K189" s="2178"/>
      <c r="L189" s="2112"/>
      <c r="M189" s="2180"/>
      <c r="N189" s="1626"/>
      <c r="O189" s="1626"/>
      <c r="P189" s="1626"/>
      <c r="Q189" s="1626"/>
      <c r="R189" s="1626"/>
      <c r="S189" s="2178"/>
      <c r="T189" s="2109"/>
      <c r="U189" s="2111" t="s">
        <v>17192</v>
      </c>
      <c r="V189" s="1626"/>
      <c r="W189" s="1626"/>
      <c r="X189" s="1626"/>
      <c r="Y189" s="2332"/>
      <c r="Z189" s="2463"/>
      <c r="AA189" s="2463"/>
      <c r="AB189" s="2463"/>
      <c r="AC189" s="2463"/>
      <c r="AD189" s="2464"/>
      <c r="AE189" s="88"/>
      <c r="AF189" s="98" t="s">
        <v>17555</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17556</v>
      </c>
      <c r="C190" s="97" t="s">
        <v>681</v>
      </c>
      <c r="D190" s="97">
        <v>3</v>
      </c>
      <c r="E190" s="1626"/>
      <c r="F190" s="1626"/>
      <c r="G190" s="1626"/>
      <c r="H190" s="1626"/>
      <c r="I190" s="1626"/>
      <c r="J190" s="1626"/>
      <c r="K190" s="2178"/>
      <c r="L190" s="2112"/>
      <c r="M190" s="2180"/>
      <c r="N190" s="1626"/>
      <c r="O190" s="1626"/>
      <c r="P190" s="1626"/>
      <c r="Q190" s="1626"/>
      <c r="R190" s="1626"/>
      <c r="S190" s="2178"/>
      <c r="T190" s="2109"/>
      <c r="U190" s="2111" t="s">
        <v>17192</v>
      </c>
      <c r="V190" s="1626"/>
      <c r="W190" s="1626"/>
      <c r="X190" s="1626"/>
      <c r="Y190" s="2332"/>
      <c r="Z190" s="2463"/>
      <c r="AA190" s="2463"/>
      <c r="AB190" s="2463"/>
      <c r="AC190" s="2463"/>
      <c r="AD190" s="2464"/>
      <c r="AE190" s="88"/>
      <c r="AF190" s="98" t="s">
        <v>17557</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17558</v>
      </c>
      <c r="C191" s="97" t="s">
        <v>681</v>
      </c>
      <c r="D191" s="97">
        <v>3</v>
      </c>
      <c r="E191" s="1626"/>
      <c r="F191" s="1626"/>
      <c r="G191" s="1626"/>
      <c r="H191" s="1626"/>
      <c r="I191" s="1626"/>
      <c r="J191" s="1626"/>
      <c r="K191" s="2178"/>
      <c r="L191" s="2112"/>
      <c r="M191" s="2180"/>
      <c r="N191" s="1626"/>
      <c r="O191" s="1626"/>
      <c r="P191" s="1626"/>
      <c r="Q191" s="1626"/>
      <c r="R191" s="1626"/>
      <c r="S191" s="2178"/>
      <c r="T191" s="2109"/>
      <c r="U191" s="2111" t="s">
        <v>17192</v>
      </c>
      <c r="V191" s="1626"/>
      <c r="W191" s="1626"/>
      <c r="X191" s="1626"/>
      <c r="Y191" s="2332"/>
      <c r="Z191" s="2463"/>
      <c r="AA191" s="2463"/>
      <c r="AB191" s="2463"/>
      <c r="AC191" s="2463"/>
      <c r="AD191" s="2464"/>
      <c r="AE191" s="88"/>
      <c r="AF191" s="98" t="s">
        <v>17559</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17560</v>
      </c>
      <c r="C192" s="97" t="s">
        <v>681</v>
      </c>
      <c r="D192" s="97">
        <v>3</v>
      </c>
      <c r="E192" s="1626"/>
      <c r="F192" s="1626"/>
      <c r="G192" s="1626"/>
      <c r="H192" s="1626"/>
      <c r="I192" s="1626"/>
      <c r="J192" s="1626"/>
      <c r="K192" s="2178"/>
      <c r="L192" s="2112"/>
      <c r="M192" s="2180"/>
      <c r="N192" s="1626"/>
      <c r="O192" s="1626"/>
      <c r="P192" s="1626"/>
      <c r="Q192" s="1626"/>
      <c r="R192" s="1626"/>
      <c r="S192" s="2178"/>
      <c r="T192" s="2109"/>
      <c r="U192" s="2111" t="s">
        <v>17192</v>
      </c>
      <c r="V192" s="1626"/>
      <c r="W192" s="1626"/>
      <c r="X192" s="1626"/>
      <c r="Y192" s="2332"/>
      <c r="Z192" s="2463"/>
      <c r="AA192" s="2463"/>
      <c r="AB192" s="2463"/>
      <c r="AC192" s="2463"/>
      <c r="AD192" s="2464"/>
      <c r="AE192" s="88"/>
      <c r="AF192" s="98" t="s">
        <v>17561</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17562</v>
      </c>
      <c r="C193" s="97" t="s">
        <v>681</v>
      </c>
      <c r="D193" s="97">
        <v>3</v>
      </c>
      <c r="E193" s="1626"/>
      <c r="F193" s="1626"/>
      <c r="G193" s="1626"/>
      <c r="H193" s="1626"/>
      <c r="I193" s="1626"/>
      <c r="J193" s="1626"/>
      <c r="K193" s="2178"/>
      <c r="L193" s="2112"/>
      <c r="M193" s="2180"/>
      <c r="N193" s="1626"/>
      <c r="O193" s="1626"/>
      <c r="P193" s="1626"/>
      <c r="Q193" s="1626"/>
      <c r="R193" s="1626"/>
      <c r="S193" s="2178"/>
      <c r="T193" s="2109"/>
      <c r="U193" s="2111" t="s">
        <v>17192</v>
      </c>
      <c r="V193" s="1626"/>
      <c r="W193" s="1626"/>
      <c r="X193" s="1626"/>
      <c r="Y193" s="2332"/>
      <c r="Z193" s="2463"/>
      <c r="AA193" s="2463"/>
      <c r="AB193" s="2463"/>
      <c r="AC193" s="2463"/>
      <c r="AD193" s="2464"/>
      <c r="AE193" s="88"/>
      <c r="AF193" s="98" t="s">
        <v>17563</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17564</v>
      </c>
      <c r="C194" s="97" t="s">
        <v>681</v>
      </c>
      <c r="D194" s="97">
        <v>3</v>
      </c>
      <c r="E194" s="1626"/>
      <c r="F194" s="1626"/>
      <c r="G194" s="1626"/>
      <c r="H194" s="1626"/>
      <c r="I194" s="1626"/>
      <c r="J194" s="1626"/>
      <c r="K194" s="2178"/>
      <c r="L194" s="2112"/>
      <c r="M194" s="2180"/>
      <c r="N194" s="1626"/>
      <c r="O194" s="1626"/>
      <c r="P194" s="1626"/>
      <c r="Q194" s="1626"/>
      <c r="R194" s="1626"/>
      <c r="S194" s="2178"/>
      <c r="T194" s="2109"/>
      <c r="U194" s="2111" t="s">
        <v>17192</v>
      </c>
      <c r="V194" s="1626"/>
      <c r="W194" s="1626"/>
      <c r="X194" s="1626"/>
      <c r="Y194" s="2332"/>
      <c r="Z194" s="2463"/>
      <c r="AA194" s="2463"/>
      <c r="AB194" s="2463"/>
      <c r="AC194" s="2463"/>
      <c r="AD194" s="2464"/>
      <c r="AE194" s="88"/>
      <c r="AF194" s="98" t="s">
        <v>17565</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17566</v>
      </c>
      <c r="C195" s="97" t="s">
        <v>681</v>
      </c>
      <c r="D195" s="97">
        <v>3</v>
      </c>
      <c r="E195" s="1626"/>
      <c r="F195" s="1626"/>
      <c r="G195" s="1626"/>
      <c r="H195" s="1626"/>
      <c r="I195" s="1626"/>
      <c r="J195" s="1626"/>
      <c r="K195" s="2178"/>
      <c r="L195" s="2112"/>
      <c r="M195" s="2180"/>
      <c r="N195" s="1626"/>
      <c r="O195" s="1626"/>
      <c r="P195" s="1626"/>
      <c r="Q195" s="1626"/>
      <c r="R195" s="1626"/>
      <c r="S195" s="2178"/>
      <c r="T195" s="2109"/>
      <c r="U195" s="2111" t="s">
        <v>17192</v>
      </c>
      <c r="V195" s="1626"/>
      <c r="W195" s="1626"/>
      <c r="X195" s="1626"/>
      <c r="Y195" s="2332"/>
      <c r="Z195" s="2463"/>
      <c r="AA195" s="2463"/>
      <c r="AB195" s="2463"/>
      <c r="AC195" s="2463"/>
      <c r="AD195" s="2464"/>
      <c r="AE195" s="88"/>
      <c r="AF195" s="98" t="s">
        <v>17567</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17568</v>
      </c>
      <c r="C196" s="97" t="s">
        <v>681</v>
      </c>
      <c r="D196" s="97">
        <v>3</v>
      </c>
      <c r="E196" s="1626"/>
      <c r="F196" s="1626"/>
      <c r="G196" s="1626"/>
      <c r="H196" s="1626"/>
      <c r="I196" s="1626"/>
      <c r="J196" s="1626"/>
      <c r="K196" s="2178"/>
      <c r="L196" s="2112"/>
      <c r="M196" s="2180"/>
      <c r="N196" s="1626"/>
      <c r="O196" s="1626"/>
      <c r="P196" s="1626"/>
      <c r="Q196" s="1626"/>
      <c r="R196" s="1626"/>
      <c r="S196" s="2178"/>
      <c r="T196" s="2109"/>
      <c r="U196" s="2111" t="s">
        <v>17192</v>
      </c>
      <c r="V196" s="1626"/>
      <c r="W196" s="1626"/>
      <c r="X196" s="1626"/>
      <c r="Y196" s="2332"/>
      <c r="Z196" s="2463"/>
      <c r="AA196" s="2463"/>
      <c r="AB196" s="2463"/>
      <c r="AC196" s="2463"/>
      <c r="AD196" s="2464"/>
      <c r="AE196" s="88"/>
      <c r="AF196" s="98" t="s">
        <v>17569</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17570</v>
      </c>
      <c r="C197" s="97" t="s">
        <v>681</v>
      </c>
      <c r="D197" s="97">
        <v>3</v>
      </c>
      <c r="E197" s="1626"/>
      <c r="F197" s="1626"/>
      <c r="G197" s="1626"/>
      <c r="H197" s="1626"/>
      <c r="I197" s="1626"/>
      <c r="J197" s="1626"/>
      <c r="K197" s="2178"/>
      <c r="L197" s="2112"/>
      <c r="M197" s="2180"/>
      <c r="N197" s="1626"/>
      <c r="O197" s="1626"/>
      <c r="P197" s="1626"/>
      <c r="Q197" s="1626"/>
      <c r="R197" s="1626"/>
      <c r="S197" s="2178"/>
      <c r="T197" s="2109"/>
      <c r="U197" s="2111" t="s">
        <v>17192</v>
      </c>
      <c r="V197" s="1626"/>
      <c r="W197" s="1626"/>
      <c r="X197" s="1626"/>
      <c r="Y197" s="2332"/>
      <c r="Z197" s="2463"/>
      <c r="AA197" s="2463"/>
      <c r="AB197" s="2463"/>
      <c r="AC197" s="2463"/>
      <c r="AD197" s="2464"/>
      <c r="AE197" s="88"/>
      <c r="AF197" s="98" t="s">
        <v>17571</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17572</v>
      </c>
      <c r="C198" s="97" t="s">
        <v>681</v>
      </c>
      <c r="D198" s="97">
        <v>3</v>
      </c>
      <c r="E198" s="1626"/>
      <c r="F198" s="1626"/>
      <c r="G198" s="1626"/>
      <c r="H198" s="1626"/>
      <c r="I198" s="1626"/>
      <c r="J198" s="1626"/>
      <c r="K198" s="2178"/>
      <c r="L198" s="2112"/>
      <c r="M198" s="2180"/>
      <c r="N198" s="1626"/>
      <c r="O198" s="1626"/>
      <c r="P198" s="1626"/>
      <c r="Q198" s="1626"/>
      <c r="R198" s="1626"/>
      <c r="S198" s="2178"/>
      <c r="T198" s="2109"/>
      <c r="U198" s="2111" t="s">
        <v>17192</v>
      </c>
      <c r="V198" s="1626"/>
      <c r="W198" s="1626"/>
      <c r="X198" s="1626"/>
      <c r="Y198" s="2332"/>
      <c r="Z198" s="2463"/>
      <c r="AA198" s="2463"/>
      <c r="AB198" s="2463"/>
      <c r="AC198" s="2463"/>
      <c r="AD198" s="2464"/>
      <c r="AE198" s="88"/>
      <c r="AF198" s="98" t="s">
        <v>17573</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17574</v>
      </c>
      <c r="C199" s="97" t="s">
        <v>681</v>
      </c>
      <c r="D199" s="97">
        <v>3</v>
      </c>
      <c r="E199" s="1626"/>
      <c r="F199" s="1626"/>
      <c r="G199" s="1626"/>
      <c r="H199" s="1626"/>
      <c r="I199" s="1626"/>
      <c r="J199" s="1626"/>
      <c r="K199" s="2178"/>
      <c r="L199" s="2112"/>
      <c r="M199" s="2180"/>
      <c r="N199" s="1626"/>
      <c r="O199" s="1626"/>
      <c r="P199" s="1626"/>
      <c r="Q199" s="1626"/>
      <c r="R199" s="1626"/>
      <c r="S199" s="2178"/>
      <c r="T199" s="2109"/>
      <c r="U199" s="2111" t="s">
        <v>17192</v>
      </c>
      <c r="V199" s="1626"/>
      <c r="W199" s="1626"/>
      <c r="X199" s="1626"/>
      <c r="Y199" s="2332"/>
      <c r="Z199" s="2463"/>
      <c r="AA199" s="2463"/>
      <c r="AB199" s="2463"/>
      <c r="AC199" s="2463"/>
      <c r="AD199" s="2464"/>
      <c r="AE199" s="88"/>
      <c r="AF199" s="98" t="s">
        <v>17575</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17576</v>
      </c>
      <c r="C200" s="97" t="s">
        <v>681</v>
      </c>
      <c r="D200" s="97">
        <v>3</v>
      </c>
      <c r="E200" s="1626"/>
      <c r="F200" s="1626"/>
      <c r="G200" s="1626"/>
      <c r="H200" s="1626"/>
      <c r="I200" s="1626"/>
      <c r="J200" s="1626"/>
      <c r="K200" s="2178"/>
      <c r="L200" s="2112"/>
      <c r="M200" s="2180"/>
      <c r="N200" s="1626"/>
      <c r="O200" s="1626"/>
      <c r="P200" s="1626"/>
      <c r="Q200" s="1626"/>
      <c r="R200" s="1626"/>
      <c r="S200" s="2178"/>
      <c r="T200" s="2109"/>
      <c r="U200" s="2111" t="s">
        <v>17192</v>
      </c>
      <c r="V200" s="1626"/>
      <c r="W200" s="1626"/>
      <c r="X200" s="1626"/>
      <c r="Y200" s="2332"/>
      <c r="Z200" s="2463"/>
      <c r="AA200" s="2463"/>
      <c r="AB200" s="2463"/>
      <c r="AC200" s="2463"/>
      <c r="AD200" s="2464"/>
      <c r="AE200" s="88"/>
      <c r="AF200" s="98" t="s">
        <v>17577</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17578</v>
      </c>
      <c r="C201" s="97" t="s">
        <v>681</v>
      </c>
      <c r="D201" s="97">
        <v>3</v>
      </c>
      <c r="E201" s="1626"/>
      <c r="F201" s="1626"/>
      <c r="G201" s="1626"/>
      <c r="H201" s="1626"/>
      <c r="I201" s="1626"/>
      <c r="J201" s="1626"/>
      <c r="K201" s="2178"/>
      <c r="L201" s="2112"/>
      <c r="M201" s="2180"/>
      <c r="N201" s="1626"/>
      <c r="O201" s="1626"/>
      <c r="P201" s="1626"/>
      <c r="Q201" s="1626"/>
      <c r="R201" s="1626"/>
      <c r="S201" s="2178"/>
      <c r="T201" s="2109"/>
      <c r="U201" s="2111" t="s">
        <v>17192</v>
      </c>
      <c r="V201" s="1626"/>
      <c r="W201" s="1626"/>
      <c r="X201" s="1626"/>
      <c r="Y201" s="2332"/>
      <c r="Z201" s="2463"/>
      <c r="AA201" s="2463"/>
      <c r="AB201" s="2463"/>
      <c r="AC201" s="2463"/>
      <c r="AD201" s="2464"/>
      <c r="AE201" s="88"/>
      <c r="AF201" s="98" t="s">
        <v>17579</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17580</v>
      </c>
      <c r="C202" s="97" t="s">
        <v>681</v>
      </c>
      <c r="D202" s="97">
        <v>3</v>
      </c>
      <c r="E202" s="1626"/>
      <c r="F202" s="1626"/>
      <c r="G202" s="1626"/>
      <c r="H202" s="1626"/>
      <c r="I202" s="1626"/>
      <c r="J202" s="1626"/>
      <c r="K202" s="2178"/>
      <c r="L202" s="2112"/>
      <c r="M202" s="2180"/>
      <c r="N202" s="1626"/>
      <c r="O202" s="1626"/>
      <c r="P202" s="1626"/>
      <c r="Q202" s="1626"/>
      <c r="R202" s="1626"/>
      <c r="S202" s="2178"/>
      <c r="T202" s="2109"/>
      <c r="U202" s="2111" t="s">
        <v>17192</v>
      </c>
      <c r="V202" s="1626"/>
      <c r="W202" s="1626"/>
      <c r="X202" s="1626"/>
      <c r="Y202" s="2332"/>
      <c r="Z202" s="2463"/>
      <c r="AA202" s="2463"/>
      <c r="AB202" s="2463"/>
      <c r="AC202" s="2463"/>
      <c r="AD202" s="2464"/>
      <c r="AE202" s="88"/>
      <c r="AF202" s="98" t="s">
        <v>17581</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17582</v>
      </c>
      <c r="C203" s="97" t="s">
        <v>681</v>
      </c>
      <c r="D203" s="97">
        <v>3</v>
      </c>
      <c r="E203" s="1626"/>
      <c r="F203" s="1626"/>
      <c r="G203" s="1626"/>
      <c r="H203" s="1626"/>
      <c r="I203" s="1626"/>
      <c r="J203" s="1626"/>
      <c r="K203" s="2178"/>
      <c r="L203" s="2112"/>
      <c r="M203" s="2180"/>
      <c r="N203" s="1626"/>
      <c r="O203" s="1626"/>
      <c r="P203" s="1626"/>
      <c r="Q203" s="1626"/>
      <c r="R203" s="1626"/>
      <c r="S203" s="2178"/>
      <c r="T203" s="2109"/>
      <c r="U203" s="2111" t="s">
        <v>17192</v>
      </c>
      <c r="V203" s="1626"/>
      <c r="W203" s="1626"/>
      <c r="X203" s="1626"/>
      <c r="Y203" s="2332"/>
      <c r="Z203" s="2463"/>
      <c r="AA203" s="2463"/>
      <c r="AB203" s="2463"/>
      <c r="AC203" s="2463"/>
      <c r="AD203" s="2464"/>
      <c r="AE203" s="88"/>
      <c r="AF203" s="98" t="s">
        <v>17583</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17584</v>
      </c>
      <c r="C204" s="97" t="s">
        <v>681</v>
      </c>
      <c r="D204" s="97">
        <v>3</v>
      </c>
      <c r="E204" s="1626"/>
      <c r="F204" s="1626"/>
      <c r="G204" s="1626"/>
      <c r="H204" s="1626"/>
      <c r="I204" s="1626"/>
      <c r="J204" s="1626"/>
      <c r="K204" s="2178"/>
      <c r="L204" s="2112"/>
      <c r="M204" s="2180"/>
      <c r="N204" s="1626"/>
      <c r="O204" s="1626"/>
      <c r="P204" s="1626"/>
      <c r="Q204" s="1626"/>
      <c r="R204" s="1626"/>
      <c r="S204" s="2178"/>
      <c r="T204" s="2109"/>
      <c r="U204" s="2111" t="s">
        <v>17192</v>
      </c>
      <c r="V204" s="1626"/>
      <c r="W204" s="1626"/>
      <c r="X204" s="1626"/>
      <c r="Y204" s="2332"/>
      <c r="Z204" s="2463"/>
      <c r="AA204" s="2463"/>
      <c r="AB204" s="2463"/>
      <c r="AC204" s="2463"/>
      <c r="AD204" s="2464"/>
      <c r="AE204" s="88"/>
      <c r="AF204" s="98" t="s">
        <v>17585</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17586</v>
      </c>
      <c r="C205" s="97" t="s">
        <v>681</v>
      </c>
      <c r="D205" s="97">
        <v>3</v>
      </c>
      <c r="E205" s="1626"/>
      <c r="F205" s="1626"/>
      <c r="G205" s="1626"/>
      <c r="H205" s="1626"/>
      <c r="I205" s="1626"/>
      <c r="J205" s="1626"/>
      <c r="K205" s="2178"/>
      <c r="L205" s="2112"/>
      <c r="M205" s="2180"/>
      <c r="N205" s="1626"/>
      <c r="O205" s="1626"/>
      <c r="P205" s="1626"/>
      <c r="Q205" s="1626"/>
      <c r="R205" s="1626"/>
      <c r="S205" s="2178"/>
      <c r="T205" s="2109"/>
      <c r="U205" s="2111" t="s">
        <v>17192</v>
      </c>
      <c r="V205" s="1626"/>
      <c r="W205" s="1626"/>
      <c r="X205" s="1626"/>
      <c r="Y205" s="2332"/>
      <c r="Z205" s="2463"/>
      <c r="AA205" s="2463"/>
      <c r="AB205" s="2463"/>
      <c r="AC205" s="2463"/>
      <c r="AD205" s="2464"/>
      <c r="AE205" s="88"/>
      <c r="AF205" s="98" t="s">
        <v>17587</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17588</v>
      </c>
      <c r="C206" s="97" t="s">
        <v>681</v>
      </c>
      <c r="D206" s="97">
        <v>3</v>
      </c>
      <c r="E206" s="1626"/>
      <c r="F206" s="1626"/>
      <c r="G206" s="1626"/>
      <c r="H206" s="1626"/>
      <c r="I206" s="1626"/>
      <c r="J206" s="1626"/>
      <c r="K206" s="2178"/>
      <c r="L206" s="2112"/>
      <c r="M206" s="2180"/>
      <c r="N206" s="1626"/>
      <c r="O206" s="1626"/>
      <c r="P206" s="1626"/>
      <c r="Q206" s="1626"/>
      <c r="R206" s="1626"/>
      <c r="S206" s="2178"/>
      <c r="T206" s="2109"/>
      <c r="U206" s="2111" t="s">
        <v>17192</v>
      </c>
      <c r="V206" s="1626"/>
      <c r="W206" s="1626"/>
      <c r="X206" s="1626"/>
      <c r="Y206" s="2332"/>
      <c r="Z206" s="2463"/>
      <c r="AA206" s="2463"/>
      <c r="AB206" s="2463"/>
      <c r="AC206" s="2463"/>
      <c r="AD206" s="2464"/>
      <c r="AE206" s="88"/>
      <c r="AF206" s="98" t="s">
        <v>17589</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17590</v>
      </c>
      <c r="C207" s="97" t="s">
        <v>681</v>
      </c>
      <c r="D207" s="97">
        <v>3</v>
      </c>
      <c r="E207" s="1626"/>
      <c r="F207" s="1626"/>
      <c r="G207" s="1626"/>
      <c r="H207" s="1626"/>
      <c r="I207" s="1626"/>
      <c r="J207" s="1626"/>
      <c r="K207" s="2178"/>
      <c r="L207" s="2112"/>
      <c r="M207" s="2180"/>
      <c r="N207" s="1626"/>
      <c r="O207" s="1626"/>
      <c r="P207" s="1626"/>
      <c r="Q207" s="1626"/>
      <c r="R207" s="1626"/>
      <c r="S207" s="2178"/>
      <c r="T207" s="2109"/>
      <c r="U207" s="2111" t="s">
        <v>17192</v>
      </c>
      <c r="V207" s="1626"/>
      <c r="W207" s="1626"/>
      <c r="X207" s="1626"/>
      <c r="Y207" s="2332"/>
      <c r="Z207" s="2463"/>
      <c r="AA207" s="2463"/>
      <c r="AB207" s="2463"/>
      <c r="AC207" s="2463"/>
      <c r="AD207" s="2464"/>
      <c r="AE207" s="88"/>
      <c r="AF207" s="98" t="s">
        <v>17591</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17592</v>
      </c>
      <c r="C208" s="97" t="s">
        <v>681</v>
      </c>
      <c r="D208" s="97">
        <v>3</v>
      </c>
      <c r="E208" s="1626"/>
      <c r="F208" s="1626"/>
      <c r="G208" s="1626"/>
      <c r="H208" s="1626"/>
      <c r="I208" s="1626"/>
      <c r="J208" s="1626"/>
      <c r="K208" s="2178"/>
      <c r="L208" s="2112"/>
      <c r="M208" s="2180"/>
      <c r="N208" s="1626"/>
      <c r="O208" s="1626"/>
      <c r="P208" s="1626"/>
      <c r="Q208" s="1626"/>
      <c r="R208" s="1626"/>
      <c r="S208" s="2178"/>
      <c r="T208" s="2109"/>
      <c r="U208" s="2113" t="s">
        <v>17192</v>
      </c>
      <c r="V208" s="1628"/>
      <c r="W208" s="1628"/>
      <c r="X208" s="1628"/>
      <c r="Y208" s="2333"/>
      <c r="Z208" s="2465"/>
      <c r="AA208" s="2465"/>
      <c r="AB208" s="2465"/>
      <c r="AC208" s="2465"/>
      <c r="AD208" s="2466"/>
      <c r="AE208" s="88"/>
      <c r="AF208" s="98" t="s">
        <v>17593</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7445</v>
      </c>
      <c r="C209" s="101" t="s">
        <v>681</v>
      </c>
      <c r="D209" s="101">
        <v>3</v>
      </c>
      <c r="E209" s="1637">
        <f>IFERROR(SUM(E9:E208),0)</f>
        <v>11.282999999999999</v>
      </c>
      <c r="F209" s="1637">
        <f t="shared" ref="F209:K209" si="76">IFERROR(SUM(F9:F208),0)</f>
        <v>2.6829999999999998</v>
      </c>
      <c r="G209" s="1637">
        <f t="shared" si="76"/>
        <v>6.3400000000000007</v>
      </c>
      <c r="H209" s="1637">
        <f t="shared" si="76"/>
        <v>16.664999999999999</v>
      </c>
      <c r="I209" s="1637">
        <f t="shared" si="76"/>
        <v>51.75500000000001</v>
      </c>
      <c r="J209" s="1637">
        <f t="shared" si="76"/>
        <v>29.695</v>
      </c>
      <c r="K209" s="1629">
        <f t="shared" si="76"/>
        <v>1.5</v>
      </c>
      <c r="L209" s="85"/>
      <c r="M209" s="2181">
        <f t="shared" ref="M209:S209" si="77">IFERROR(SUM(M9:M208),0)</f>
        <v>7.1999999999999995E-2</v>
      </c>
      <c r="N209" s="1637">
        <f t="shared" si="77"/>
        <v>0.13900000000000001</v>
      </c>
      <c r="O209" s="1637">
        <f t="shared" si="77"/>
        <v>0.13900000000000001</v>
      </c>
      <c r="P209" s="1637">
        <f t="shared" si="77"/>
        <v>0.13900000000000001</v>
      </c>
      <c r="Q209" s="1637">
        <f t="shared" si="77"/>
        <v>0.13900000000000001</v>
      </c>
      <c r="R209" s="1637">
        <f t="shared" si="77"/>
        <v>2.0499999999999998</v>
      </c>
      <c r="S209" s="1629">
        <f t="shared" si="77"/>
        <v>3.4230000000000009</v>
      </c>
      <c r="T209" s="88"/>
      <c r="U209" s="88"/>
      <c r="V209" s="88"/>
      <c r="W209" s="88"/>
      <c r="X209" s="88"/>
      <c r="Y209" s="88"/>
      <c r="Z209" s="88"/>
      <c r="AA209" s="88"/>
      <c r="AB209" s="88"/>
      <c r="AC209" s="88"/>
      <c r="AD209" s="88"/>
      <c r="AE209" s="88"/>
      <c r="AF209" s="102" t="s">
        <v>17594</v>
      </c>
      <c r="AH209" s="238"/>
      <c r="AJ209" s="238"/>
      <c r="BF209" s="238"/>
      <c r="BG209" s="1360"/>
      <c r="BH209" s="1360"/>
      <c r="BI209" s="1360"/>
      <c r="BJ209" s="1360"/>
      <c r="BK209" s="1360"/>
      <c r="BL209" s="1360"/>
    </row>
    <row r="210" spans="2:64" ht="15.75" thickTop="1">
      <c r="B210" s="358"/>
      <c r="C210" s="85"/>
      <c r="D210" s="85"/>
      <c r="E210" s="86"/>
      <c r="F210" s="86"/>
      <c r="G210" s="86"/>
      <c r="H210" s="86"/>
      <c r="I210" s="86"/>
      <c r="J210" s="86"/>
      <c r="K210" s="83"/>
      <c r="L210" s="86"/>
      <c r="M210" s="1358"/>
      <c r="N210" s="1358"/>
      <c r="O210" s="1358"/>
      <c r="P210" s="1358"/>
      <c r="Q210" s="1358"/>
      <c r="R210" s="1358"/>
      <c r="S210" s="1358"/>
      <c r="T210" s="2910"/>
      <c r="U210" s="2910"/>
      <c r="V210" s="1358"/>
      <c r="W210" s="1358"/>
      <c r="X210" s="1358"/>
      <c r="Y210" s="1358"/>
      <c r="Z210" s="1358"/>
      <c r="AA210" s="1358"/>
      <c r="AB210" s="1358"/>
      <c r="AC210" s="1358"/>
      <c r="AD210" s="1358"/>
      <c r="AE210" s="2910"/>
      <c r="AF210" s="2910"/>
      <c r="BG210" s="1358"/>
      <c r="BH210" s="1358"/>
      <c r="BI210" s="1358"/>
      <c r="BJ210" s="1358"/>
      <c r="BK210" s="1358"/>
      <c r="BL210" s="1358"/>
    </row>
    <row r="211" spans="2:64" ht="15">
      <c r="B211" s="358"/>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tabColor rgb="FF00B050"/>
    <pageSetUpPr fitToPage="1"/>
  </sheetPr>
  <dimension ref="A1:R40"/>
  <sheetViews>
    <sheetView showGridLines="0" topLeftCell="A9" zoomScale="70" zoomScaleNormal="70" zoomScaleSheetLayoutView="100" workbookViewId="0">
      <selection activeCell="E35" sqref="E35"/>
    </sheetView>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10.875" style="219" bestFit="1" customWidth="1"/>
    <col min="6" max="6" width="1.625" style="219" customWidth="1"/>
    <col min="7" max="7" width="11.7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B1" s="1229" t="s">
        <v>17595</v>
      </c>
      <c r="C1" s="1229"/>
      <c r="D1" s="1229"/>
      <c r="E1" s="1229"/>
      <c r="F1" s="1355"/>
      <c r="G1" s="261"/>
      <c r="K1" s="238"/>
      <c r="M1" s="238"/>
      <c r="O1" s="238"/>
      <c r="Q1" s="1229" t="s">
        <v>7220</v>
      </c>
      <c r="R1" s="1229"/>
    </row>
    <row r="2" spans="1:18" ht="30" customHeight="1">
      <c r="B2" s="1229" t="str">
        <f>SelectCompany!B4</f>
        <v>Northumbrian Water</v>
      </c>
      <c r="C2" s="529"/>
      <c r="D2" s="529"/>
      <c r="E2" s="529"/>
      <c r="F2" s="528"/>
      <c r="G2" s="261"/>
      <c r="K2" s="238"/>
      <c r="M2" s="238"/>
      <c r="O2" s="238"/>
      <c r="Q2" s="1229"/>
      <c r="R2" s="529"/>
    </row>
    <row r="3" spans="1:18" ht="45.75" customHeight="1">
      <c r="B3" s="2807" t="s">
        <v>17596</v>
      </c>
      <c r="C3" s="2807"/>
      <c r="D3" s="2807"/>
      <c r="E3" s="2807"/>
      <c r="F3" s="2807"/>
      <c r="G3" s="2807"/>
      <c r="H3" s="2807"/>
      <c r="I3" s="2807"/>
      <c r="K3" s="238"/>
      <c r="L3" s="1240" t="s">
        <v>7222</v>
      </c>
      <c r="M3" s="238"/>
      <c r="O3" s="238"/>
      <c r="Q3" s="2807" t="s">
        <v>17596</v>
      </c>
      <c r="R3" s="2807"/>
    </row>
    <row r="4" spans="1:18" ht="15" customHeight="1" thickBot="1">
      <c r="B4" s="690"/>
      <c r="C4" s="690"/>
      <c r="D4" s="690"/>
      <c r="E4" s="690"/>
      <c r="F4" s="827"/>
      <c r="G4" s="261"/>
      <c r="K4" s="238"/>
      <c r="M4" s="238"/>
      <c r="N4" s="240" t="s">
        <v>7223</v>
      </c>
      <c r="O4" s="238"/>
      <c r="Q4" s="690"/>
      <c r="R4" s="690"/>
    </row>
    <row r="5" spans="1:18" ht="46.5" thickTop="1" thickBot="1">
      <c r="A5" s="242"/>
      <c r="B5" s="445" t="s">
        <v>7224</v>
      </c>
      <c r="C5" s="446" t="s">
        <v>7225</v>
      </c>
      <c r="D5" s="446" t="s">
        <v>670</v>
      </c>
      <c r="E5" s="447" t="s">
        <v>7445</v>
      </c>
      <c r="F5" s="197"/>
      <c r="G5" s="449" t="s">
        <v>7229</v>
      </c>
      <c r="H5" s="242"/>
      <c r="I5" s="449" t="s">
        <v>7230</v>
      </c>
      <c r="J5" s="242"/>
      <c r="K5" s="238"/>
      <c r="M5" s="238"/>
      <c r="N5" s="269" t="s">
        <v>7231</v>
      </c>
      <c r="O5" s="238"/>
      <c r="Q5" s="445" t="s">
        <v>7224</v>
      </c>
      <c r="R5" s="447" t="s">
        <v>7445</v>
      </c>
    </row>
    <row r="6" spans="1:18" ht="15.75" customHeight="1" thickTop="1" thickBot="1">
      <c r="A6" s="242"/>
      <c r="B6" s="358"/>
      <c r="C6" s="83"/>
      <c r="D6" s="83"/>
      <c r="E6" s="871"/>
      <c r="F6" s="197"/>
      <c r="G6" s="261"/>
      <c r="H6" s="242"/>
      <c r="I6" s="242"/>
      <c r="J6" s="242"/>
      <c r="K6" s="238"/>
      <c r="M6" s="238"/>
      <c r="O6" s="238"/>
      <c r="Q6" s="358"/>
      <c r="R6" s="871"/>
    </row>
    <row r="7" spans="1:18" ht="15.75" thickTop="1">
      <c r="A7" s="242"/>
      <c r="B7" s="451" t="s">
        <v>17597</v>
      </c>
      <c r="C7" s="277" t="s">
        <v>17598</v>
      </c>
      <c r="D7" s="277">
        <v>1</v>
      </c>
      <c r="E7" s="1754">
        <v>69.8</v>
      </c>
      <c r="F7" s="106"/>
      <c r="G7" s="281" t="s">
        <v>17599</v>
      </c>
      <c r="H7" s="242"/>
      <c r="I7" s="1231"/>
      <c r="J7" s="242"/>
      <c r="K7" s="238"/>
      <c r="L7" s="1232">
        <f>IF( SUM( N7:N7 ) = 0, 0, $N$5 )</f>
        <v>0</v>
      </c>
      <c r="M7" s="238"/>
      <c r="N7" s="285">
        <f xml:space="preserve"> IF( ISNUMBER(E7 ), 0, 1 )</f>
        <v>0</v>
      </c>
      <c r="O7" s="238"/>
      <c r="Q7" s="451" t="s">
        <v>17597</v>
      </c>
      <c r="R7" s="960" t="s">
        <v>17600</v>
      </c>
    </row>
    <row r="8" spans="1:18" ht="18">
      <c r="A8" s="242"/>
      <c r="B8" s="460" t="s">
        <v>17601</v>
      </c>
      <c r="C8" s="286" t="s">
        <v>17598</v>
      </c>
      <c r="D8" s="286">
        <v>1</v>
      </c>
      <c r="E8" s="1755">
        <v>0</v>
      </c>
      <c r="F8" s="106"/>
      <c r="G8" s="290" t="s">
        <v>17602</v>
      </c>
      <c r="H8" s="242"/>
      <c r="I8" s="1233"/>
      <c r="J8" s="242"/>
      <c r="K8" s="238"/>
      <c r="L8" s="1232">
        <f t="shared" ref="L8" si="0">IF( SUM( N8:N8 ) = 0, 0, $N$5 )</f>
        <v>0</v>
      </c>
      <c r="M8" s="238"/>
      <c r="N8" s="285">
        <f t="shared" ref="N8" si="1" xml:space="preserve"> IF( ISNUMBER(E8 ), 0, 1 )</f>
        <v>0</v>
      </c>
      <c r="O8" s="238"/>
      <c r="Q8" s="460" t="s">
        <v>17601</v>
      </c>
      <c r="R8" s="964" t="s">
        <v>17603</v>
      </c>
    </row>
    <row r="9" spans="1:18" ht="15">
      <c r="A9" s="242"/>
      <c r="B9" s="460" t="s">
        <v>17604</v>
      </c>
      <c r="C9" s="286" t="s">
        <v>17598</v>
      </c>
      <c r="D9" s="286">
        <v>1</v>
      </c>
      <c r="E9" s="1756">
        <f>IFERROR(E7 + E8, 0)</f>
        <v>69.8</v>
      </c>
      <c r="F9" s="106"/>
      <c r="G9" s="290" t="s">
        <v>17605</v>
      </c>
      <c r="H9" s="242"/>
      <c r="I9" s="1233"/>
      <c r="J9" s="242"/>
      <c r="K9" s="238"/>
      <c r="M9" s="238"/>
      <c r="O9" s="238"/>
      <c r="Q9" s="460" t="s">
        <v>17604</v>
      </c>
      <c r="R9" s="1361" t="s">
        <v>17606</v>
      </c>
    </row>
    <row r="10" spans="1:18" ht="15.75" customHeight="1" thickBot="1">
      <c r="A10" s="242"/>
      <c r="B10" s="463" t="s">
        <v>17607</v>
      </c>
      <c r="C10" s="355" t="s">
        <v>17598</v>
      </c>
      <c r="D10" s="355">
        <v>1</v>
      </c>
      <c r="E10" s="1757">
        <v>0.8</v>
      </c>
      <c r="F10" s="106"/>
      <c r="G10" s="356" t="s">
        <v>17608</v>
      </c>
      <c r="H10" s="242"/>
      <c r="I10" s="1237"/>
      <c r="J10" s="242"/>
      <c r="K10" s="238"/>
      <c r="L10" s="1232">
        <f>IF( SUM( N10:N10 ) = 0, 0, $N$5 )</f>
        <v>0</v>
      </c>
      <c r="M10" s="238"/>
      <c r="N10" s="285">
        <f xml:space="preserve"> IF( ISNUMBER(E10 ), 0, 1 )</f>
        <v>0</v>
      </c>
      <c r="O10" s="238"/>
      <c r="Q10" s="463" t="s">
        <v>17607</v>
      </c>
      <c r="R10" s="1267" t="s">
        <v>17609</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17610</v>
      </c>
      <c r="C12" s="371" t="s">
        <v>3137</v>
      </c>
      <c r="D12" s="371">
        <v>2</v>
      </c>
      <c r="E12" s="1759">
        <v>66.349999999999994</v>
      </c>
      <c r="F12" s="106"/>
      <c r="G12" s="374" t="s">
        <v>17611</v>
      </c>
      <c r="H12" s="242"/>
      <c r="I12" s="1363"/>
      <c r="J12" s="242"/>
      <c r="K12" s="238"/>
      <c r="L12" s="1232">
        <f>IF( SUM( N12:N12 ) = 0, 0, $N$5 )</f>
        <v>0</v>
      </c>
      <c r="M12" s="238"/>
      <c r="N12" s="285">
        <f xml:space="preserve"> IF( ISNUMBER(E12 ), 0, 1 )</f>
        <v>0</v>
      </c>
      <c r="O12" s="238"/>
      <c r="Q12" s="469" t="s">
        <v>17610</v>
      </c>
      <c r="R12" s="1362" t="s">
        <v>17612</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17613</v>
      </c>
      <c r="C14" s="277" t="s">
        <v>17598</v>
      </c>
      <c r="D14" s="277">
        <v>1</v>
      </c>
      <c r="E14" s="1754">
        <v>27.8</v>
      </c>
      <c r="F14" s="106"/>
      <c r="G14" s="281" t="s">
        <v>17614</v>
      </c>
      <c r="H14" s="242"/>
      <c r="I14" s="1231"/>
      <c r="J14" s="242"/>
      <c r="K14" s="238"/>
      <c r="L14" s="1232">
        <f>IF( SUM( N14:N14 ) = 0, 0, $N$5 )</f>
        <v>0</v>
      </c>
      <c r="M14" s="238"/>
      <c r="N14" s="285">
        <f t="shared" ref="N14:N15" si="2" xml:space="preserve"> IF( ISNUMBER(E14 ), 0, 1 )</f>
        <v>0</v>
      </c>
      <c r="O14" s="238"/>
      <c r="Q14" s="451" t="s">
        <v>17613</v>
      </c>
      <c r="R14" s="960" t="s">
        <v>17615</v>
      </c>
    </row>
    <row r="15" spans="1:18" ht="15.75" customHeight="1">
      <c r="A15" s="242"/>
      <c r="B15" s="460" t="s">
        <v>17616</v>
      </c>
      <c r="C15" s="286" t="s">
        <v>17598</v>
      </c>
      <c r="D15" s="286">
        <v>1</v>
      </c>
      <c r="E15" s="1755">
        <v>0</v>
      </c>
      <c r="F15" s="106"/>
      <c r="G15" s="290" t="s">
        <v>17617</v>
      </c>
      <c r="H15" s="242"/>
      <c r="I15" s="1233"/>
      <c r="J15" s="242"/>
      <c r="K15" s="238"/>
      <c r="L15" s="1232">
        <f>IF( SUM( N15:N15 ) = 0, 0, $N$5 )</f>
        <v>0</v>
      </c>
      <c r="M15" s="238"/>
      <c r="N15" s="285">
        <f t="shared" si="2"/>
        <v>0</v>
      </c>
      <c r="O15" s="238"/>
      <c r="Q15" s="460" t="s">
        <v>17616</v>
      </c>
      <c r="R15" s="964" t="s">
        <v>17618</v>
      </c>
    </row>
    <row r="16" spans="1:18" ht="15.75" customHeight="1" thickBot="1">
      <c r="A16" s="242"/>
      <c r="B16" s="463" t="s">
        <v>17619</v>
      </c>
      <c r="C16" s="355" t="s">
        <v>17598</v>
      </c>
      <c r="D16" s="355">
        <v>1</v>
      </c>
      <c r="E16" s="1758">
        <f>IFERROR(E14 + E15, 0)</f>
        <v>27.8</v>
      </c>
      <c r="F16" s="106"/>
      <c r="G16" s="356" t="s">
        <v>17620</v>
      </c>
      <c r="H16" s="242"/>
      <c r="I16" s="1237"/>
      <c r="J16" s="242"/>
      <c r="K16" s="238"/>
      <c r="M16" s="238"/>
      <c r="O16" s="238"/>
      <c r="Q16" s="463" t="s">
        <v>17619</v>
      </c>
      <c r="R16" s="1364" t="s">
        <v>17621</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17622</v>
      </c>
      <c r="C18" s="277" t="s">
        <v>17623</v>
      </c>
      <c r="D18" s="277">
        <v>0</v>
      </c>
      <c r="E18" s="1732">
        <v>0</v>
      </c>
      <c r="F18" s="106"/>
      <c r="G18" s="281" t="s">
        <v>17624</v>
      </c>
      <c r="H18" s="242"/>
      <c r="I18" s="1231"/>
      <c r="J18" s="242"/>
      <c r="K18" s="238"/>
      <c r="L18" s="1232">
        <f>IF( SUM( N18:N18 ) = 0, 0, $N$5 )</f>
        <v>0</v>
      </c>
      <c r="M18" s="238"/>
      <c r="N18" s="285">
        <f xml:space="preserve"> IF( ISNUMBER(E18 ), 0, 1 )</f>
        <v>0</v>
      </c>
      <c r="O18" s="238"/>
      <c r="Q18" s="451" t="s">
        <v>17622</v>
      </c>
      <c r="R18" s="960" t="s">
        <v>17625</v>
      </c>
    </row>
    <row r="19" spans="1:18" ht="15.75" customHeight="1">
      <c r="A19" s="242"/>
      <c r="B19" s="460" t="s">
        <v>17626</v>
      </c>
      <c r="C19" s="286" t="s">
        <v>17623</v>
      </c>
      <c r="D19" s="286">
        <v>0</v>
      </c>
      <c r="E19" s="1328">
        <v>665</v>
      </c>
      <c r="F19" s="106"/>
      <c r="G19" s="290" t="s">
        <v>17627</v>
      </c>
      <c r="H19" s="242"/>
      <c r="I19" s="1233"/>
      <c r="J19" s="242"/>
      <c r="K19" s="238"/>
      <c r="L19" s="1232">
        <f>IF( SUM( N19:N19 ) = 0, 0, $N$5 )</f>
        <v>0</v>
      </c>
      <c r="M19" s="238"/>
      <c r="N19" s="285">
        <f t="shared" ref="N19:N20" si="3" xml:space="preserve"> IF( ISNUMBER(E19 ), 0, 1 )</f>
        <v>0</v>
      </c>
      <c r="O19" s="238"/>
      <c r="Q19" s="460" t="s">
        <v>17626</v>
      </c>
      <c r="R19" s="964" t="s">
        <v>17628</v>
      </c>
    </row>
    <row r="20" spans="1:18" ht="15.75" customHeight="1">
      <c r="A20" s="242"/>
      <c r="B20" s="460" t="s">
        <v>17629</v>
      </c>
      <c r="C20" s="286" t="s">
        <v>17623</v>
      </c>
      <c r="D20" s="286">
        <v>0</v>
      </c>
      <c r="E20" s="1328">
        <v>813</v>
      </c>
      <c r="F20" s="106"/>
      <c r="G20" s="290" t="s">
        <v>17630</v>
      </c>
      <c r="H20" s="242"/>
      <c r="I20" s="1233"/>
      <c r="J20" s="242"/>
      <c r="K20" s="238"/>
      <c r="L20" s="1232">
        <f>IF( SUM( N20:N20 ) = 0, 0, $N$5 )</f>
        <v>0</v>
      </c>
      <c r="M20" s="238"/>
      <c r="N20" s="285">
        <f t="shared" si="3"/>
        <v>0</v>
      </c>
      <c r="O20" s="238"/>
      <c r="Q20" s="460" t="s">
        <v>17629</v>
      </c>
      <c r="R20" s="964" t="s">
        <v>17631</v>
      </c>
    </row>
    <row r="21" spans="1:18" ht="15.75" customHeight="1" thickBot="1">
      <c r="A21" s="242"/>
      <c r="B21" s="463" t="s">
        <v>17632</v>
      </c>
      <c r="C21" s="355" t="s">
        <v>17623</v>
      </c>
      <c r="D21" s="355">
        <v>0</v>
      </c>
      <c r="E21" s="1751">
        <f>IFERROR(E18 + E19 + E20, 0)</f>
        <v>1478</v>
      </c>
      <c r="F21" s="106"/>
      <c r="G21" s="356" t="s">
        <v>17633</v>
      </c>
      <c r="H21" s="242"/>
      <c r="I21" s="1237"/>
      <c r="J21" s="242"/>
      <c r="K21" s="238"/>
      <c r="M21" s="238"/>
      <c r="O21" s="238"/>
      <c r="Q21" s="463" t="s">
        <v>17632</v>
      </c>
      <c r="R21" s="1353" t="s">
        <v>17634</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17635</v>
      </c>
      <c r="C23" s="371" t="s">
        <v>17636</v>
      </c>
      <c r="D23" s="371">
        <v>0</v>
      </c>
      <c r="E23" s="1365">
        <v>21053360</v>
      </c>
      <c r="F23" s="106"/>
      <c r="G23" s="374" t="s">
        <v>17637</v>
      </c>
      <c r="H23" s="242"/>
      <c r="I23" s="1363"/>
      <c r="J23" s="242"/>
      <c r="K23" s="238"/>
      <c r="L23" s="1232">
        <f>IF( SUM( N23:N23 ) = 0, 0, $N$5 )</f>
        <v>0</v>
      </c>
      <c r="M23" s="238"/>
      <c r="N23" s="285">
        <f xml:space="preserve"> IF( ISNUMBER(E23 ), 0, 1 )</f>
        <v>0</v>
      </c>
      <c r="O23" s="238"/>
      <c r="Q23" s="469" t="s">
        <v>17638</v>
      </c>
      <c r="R23" s="1365" t="s">
        <v>17639</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6920</v>
      </c>
      <c r="C25" s="277" t="s">
        <v>17623</v>
      </c>
      <c r="D25" s="277">
        <v>0</v>
      </c>
      <c r="E25" s="1732">
        <v>0</v>
      </c>
      <c r="F25" s="106"/>
      <c r="G25" s="281" t="s">
        <v>17640</v>
      </c>
      <c r="H25" s="242"/>
      <c r="I25" s="1231"/>
      <c r="J25" s="242"/>
      <c r="K25" s="238"/>
      <c r="L25" s="1232">
        <f t="shared" ref="L25:L27" si="4">IF( SUM( N25:N25 ) = 0, 0, $N$5 )</f>
        <v>0</v>
      </c>
      <c r="M25" s="238"/>
      <c r="N25" s="285">
        <f t="shared" ref="N25:N27" si="5" xml:space="preserve"> IF( ISNUMBER(E25 ), 0, 1 )</f>
        <v>0</v>
      </c>
      <c r="O25" s="238"/>
      <c r="Q25" s="451" t="s">
        <v>6920</v>
      </c>
      <c r="R25" s="960" t="s">
        <v>17641</v>
      </c>
    </row>
    <row r="26" spans="1:18" ht="15.75" customHeight="1">
      <c r="A26" s="242"/>
      <c r="B26" s="460" t="s">
        <v>6921</v>
      </c>
      <c r="C26" s="286" t="s">
        <v>17623</v>
      </c>
      <c r="D26" s="286">
        <v>0</v>
      </c>
      <c r="E26" s="1328">
        <v>0</v>
      </c>
      <c r="F26" s="106"/>
      <c r="G26" s="290" t="s">
        <v>17642</v>
      </c>
      <c r="H26" s="242"/>
      <c r="I26" s="1233"/>
      <c r="J26" s="242"/>
      <c r="K26" s="238"/>
      <c r="L26" s="1232">
        <f t="shared" si="4"/>
        <v>0</v>
      </c>
      <c r="M26" s="238"/>
      <c r="N26" s="285">
        <f t="shared" si="5"/>
        <v>0</v>
      </c>
      <c r="O26" s="238"/>
      <c r="Q26" s="460" t="s">
        <v>6921</v>
      </c>
      <c r="R26" s="964" t="s">
        <v>17643</v>
      </c>
    </row>
    <row r="27" spans="1:18" ht="15.75" customHeight="1">
      <c r="A27" s="242"/>
      <c r="B27" s="460" t="s">
        <v>6922</v>
      </c>
      <c r="C27" s="286" t="s">
        <v>17623</v>
      </c>
      <c r="D27" s="286">
        <v>0</v>
      </c>
      <c r="E27" s="1328">
        <v>857</v>
      </c>
      <c r="F27" s="106"/>
      <c r="G27" s="290" t="s">
        <v>17644</v>
      </c>
      <c r="H27" s="242"/>
      <c r="I27" s="1233"/>
      <c r="J27" s="242"/>
      <c r="K27" s="238"/>
      <c r="L27" s="1232">
        <f t="shared" si="4"/>
        <v>0</v>
      </c>
      <c r="M27" s="238"/>
      <c r="N27" s="285">
        <f t="shared" si="5"/>
        <v>0</v>
      </c>
      <c r="O27" s="238"/>
      <c r="Q27" s="460" t="s">
        <v>6922</v>
      </c>
      <c r="R27" s="964" t="s">
        <v>17645</v>
      </c>
    </row>
    <row r="28" spans="1:18" ht="15.75" customHeight="1" thickBot="1">
      <c r="A28" s="242"/>
      <c r="B28" s="463" t="s">
        <v>6923</v>
      </c>
      <c r="C28" s="355" t="s">
        <v>17623</v>
      </c>
      <c r="D28" s="355">
        <v>0</v>
      </c>
      <c r="E28" s="1751">
        <f>IFERROR(E25 + E26 + E27, 0)</f>
        <v>857</v>
      </c>
      <c r="F28" s="106"/>
      <c r="G28" s="356" t="s">
        <v>17646</v>
      </c>
      <c r="H28" s="242"/>
      <c r="I28" s="1237"/>
      <c r="J28" s="242"/>
      <c r="K28" s="238"/>
      <c r="M28" s="238"/>
      <c r="O28" s="238"/>
      <c r="Q28" s="463" t="s">
        <v>6923</v>
      </c>
      <c r="R28" s="1140" t="s">
        <v>17647</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6924</v>
      </c>
      <c r="C30" s="277" t="s">
        <v>17636</v>
      </c>
      <c r="D30" s="277">
        <v>0</v>
      </c>
      <c r="E30" s="1732">
        <v>0</v>
      </c>
      <c r="F30" s="106"/>
      <c r="G30" s="281" t="s">
        <v>17648</v>
      </c>
      <c r="H30" s="242"/>
      <c r="I30" s="1231"/>
      <c r="J30" s="242"/>
      <c r="K30" s="238"/>
      <c r="L30" s="1232">
        <f t="shared" ref="L30:L31" si="6">IF( SUM( N30:N30 ) = 0, 0, $N$5 )</f>
        <v>0</v>
      </c>
      <c r="M30" s="238"/>
      <c r="N30" s="285">
        <f t="shared" ref="N30:N31" si="7" xml:space="preserve"> IF( ISNUMBER(E30 ), 0, 1 )</f>
        <v>0</v>
      </c>
      <c r="O30" s="238"/>
      <c r="Q30" s="451" t="s">
        <v>6924</v>
      </c>
      <c r="R30" s="960" t="s">
        <v>17649</v>
      </c>
    </row>
    <row r="31" spans="1:18" ht="15.75" customHeight="1" thickBot="1">
      <c r="A31" s="242"/>
      <c r="B31" s="463" t="s">
        <v>17650</v>
      </c>
      <c r="C31" s="355" t="s">
        <v>3137</v>
      </c>
      <c r="D31" s="355">
        <v>2</v>
      </c>
      <c r="E31" s="1760">
        <v>14.28</v>
      </c>
      <c r="F31" s="106"/>
      <c r="G31" s="356" t="s">
        <v>17651</v>
      </c>
      <c r="H31" s="242"/>
      <c r="I31" s="1237"/>
      <c r="J31" s="242"/>
      <c r="K31" s="238"/>
      <c r="L31" s="1232">
        <f t="shared" si="6"/>
        <v>0</v>
      </c>
      <c r="M31" s="238"/>
      <c r="N31" s="285">
        <f t="shared" si="7"/>
        <v>0</v>
      </c>
      <c r="O31" s="238"/>
      <c r="Q31" s="463" t="s">
        <v>17650</v>
      </c>
      <c r="R31" s="1236" t="s">
        <v>17652</v>
      </c>
    </row>
    <row r="32" spans="1:18" ht="15.75"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tabColor rgb="FF00B050"/>
    <pageSetUpPr fitToPage="1"/>
  </sheetPr>
  <dimension ref="A1:AP55"/>
  <sheetViews>
    <sheetView showGridLines="0" topLeftCell="A28" zoomScale="50" zoomScaleNormal="50" zoomScaleSheetLayoutView="100" workbookViewId="0">
      <selection activeCell="A43" sqref="A43"/>
    </sheetView>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705" customWidth="1"/>
    <col min="12" max="12" width="10.75" style="224" customWidth="1"/>
    <col min="13" max="13" width="12.5" style="224" customWidth="1"/>
    <col min="14" max="14" width="1.625" style="224" customWidth="1"/>
    <col min="15" max="15" width="12.5" style="248" customWidth="1"/>
    <col min="16" max="16" width="1.625" style="105" customWidth="1"/>
    <col min="17" max="17" width="27.625" style="105" customWidth="1"/>
    <col min="18" max="18" width="1.625" style="105" customWidth="1"/>
    <col min="19" max="19" width="1.625" style="219" customWidth="1"/>
    <col min="20" max="20" width="25.125" style="705"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89" customFormat="1" ht="30" customHeight="1">
      <c r="B1" s="1229" t="s">
        <v>17653</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7220</v>
      </c>
      <c r="AG1" s="1229"/>
      <c r="AH1" s="1229"/>
      <c r="AI1" s="1355"/>
      <c r="AJ1" s="261"/>
      <c r="AK1" s="1229"/>
      <c r="AL1" s="1229"/>
      <c r="AM1" s="1229"/>
      <c r="AN1" s="1355"/>
      <c r="AO1" s="261"/>
    </row>
    <row r="2" spans="1:41" s="389" customFormat="1" ht="30" customHeight="1">
      <c r="B2" s="1229" t="str">
        <f>SelectCompany!B4</f>
        <v>Northumbrian Water</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07" t="s">
        <v>17654</v>
      </c>
      <c r="C3" s="2807"/>
      <c r="D3" s="2807"/>
      <c r="E3" s="2807"/>
      <c r="F3" s="2807"/>
      <c r="G3" s="2807"/>
      <c r="H3" s="2807"/>
      <c r="I3" s="2807"/>
      <c r="J3" s="2807"/>
      <c r="K3" s="2807"/>
      <c r="L3" s="2807"/>
      <c r="M3" s="2807"/>
      <c r="N3" s="2807"/>
      <c r="O3" s="2807"/>
      <c r="P3" s="2807"/>
      <c r="Q3" s="2807"/>
      <c r="R3" s="267"/>
      <c r="S3" s="238"/>
      <c r="T3" s="1240" t="s">
        <v>7222</v>
      </c>
      <c r="U3" s="238"/>
      <c r="AC3" s="219"/>
      <c r="AD3" s="238"/>
      <c r="AE3" s="243"/>
      <c r="AF3" s="2807" t="s">
        <v>17654</v>
      </c>
      <c r="AG3" s="2807"/>
      <c r="AH3" s="2807"/>
      <c r="AI3" s="2807"/>
      <c r="AJ3" s="2807"/>
      <c r="AK3" s="2807"/>
      <c r="AL3" s="2807"/>
      <c r="AM3" s="2807"/>
      <c r="AN3" s="2807"/>
      <c r="AO3" s="2807"/>
    </row>
    <row r="4" spans="1:41" ht="15" customHeight="1" thickBot="1">
      <c r="B4" s="690"/>
      <c r="C4" s="690"/>
      <c r="D4" s="690"/>
      <c r="E4" s="690"/>
      <c r="F4" s="690"/>
      <c r="G4" s="827"/>
      <c r="H4" s="261"/>
      <c r="I4" s="690"/>
      <c r="J4" s="690"/>
      <c r="K4" s="690"/>
      <c r="L4" s="827"/>
      <c r="M4" s="261"/>
      <c r="N4" s="870"/>
      <c r="O4" s="992"/>
      <c r="P4" s="224"/>
      <c r="Q4" s="224"/>
      <c r="R4" s="224"/>
      <c r="S4" s="238"/>
      <c r="U4" s="238"/>
      <c r="V4" s="2918" t="s">
        <v>7223</v>
      </c>
      <c r="W4" s="2918"/>
      <c r="X4" s="2918"/>
      <c r="Y4" s="2918"/>
      <c r="Z4" s="2918"/>
      <c r="AA4" s="2918"/>
      <c r="AB4" s="2918"/>
      <c r="AC4" s="2918"/>
      <c r="AD4" s="238"/>
      <c r="AF4" s="690"/>
      <c r="AG4" s="690"/>
      <c r="AH4" s="690"/>
      <c r="AI4" s="827"/>
      <c r="AJ4" s="261"/>
      <c r="AK4" s="690"/>
      <c r="AL4" s="690"/>
      <c r="AM4" s="690"/>
      <c r="AN4" s="827"/>
      <c r="AO4" s="261"/>
    </row>
    <row r="5" spans="1:41" ht="46.5" thickTop="1" thickBot="1">
      <c r="A5" s="197"/>
      <c r="B5" s="445" t="s">
        <v>7224</v>
      </c>
      <c r="C5" s="446" t="s">
        <v>7225</v>
      </c>
      <c r="D5" s="446" t="s">
        <v>670</v>
      </c>
      <c r="E5" s="446" t="s">
        <v>17655</v>
      </c>
      <c r="F5" s="446" t="s">
        <v>17656</v>
      </c>
      <c r="G5" s="446" t="s">
        <v>17657</v>
      </c>
      <c r="H5" s="447" t="s">
        <v>7445</v>
      </c>
      <c r="I5" s="106"/>
      <c r="J5" s="106"/>
      <c r="K5" s="106"/>
      <c r="L5" s="106"/>
      <c r="M5" s="197"/>
      <c r="N5" s="106"/>
      <c r="O5" s="449" t="s">
        <v>7229</v>
      </c>
      <c r="P5" s="197"/>
      <c r="Q5" s="449" t="s">
        <v>7230</v>
      </c>
      <c r="R5" s="197"/>
      <c r="S5" s="238"/>
      <c r="U5" s="238"/>
      <c r="V5" s="269" t="s">
        <v>7231</v>
      </c>
      <c r="AC5" s="219"/>
      <c r="AD5" s="238"/>
      <c r="AF5" s="445" t="s">
        <v>7224</v>
      </c>
      <c r="AG5" s="446" t="s">
        <v>17655</v>
      </c>
      <c r="AH5" s="446" t="s">
        <v>17656</v>
      </c>
      <c r="AI5" s="446" t="s">
        <v>17657</v>
      </c>
      <c r="AJ5" s="447" t="s">
        <v>7445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17658</v>
      </c>
      <c r="C7" s="242"/>
      <c r="D7" s="242"/>
      <c r="E7" s="482"/>
      <c r="F7" s="482"/>
      <c r="G7" s="482"/>
      <c r="H7" s="482"/>
      <c r="I7" s="106"/>
      <c r="J7" s="106"/>
      <c r="K7" s="106"/>
      <c r="L7" s="106"/>
      <c r="M7" s="197"/>
      <c r="N7" s="106"/>
      <c r="O7" s="86"/>
      <c r="P7" s="197"/>
      <c r="Q7" s="197"/>
      <c r="R7" s="197"/>
      <c r="S7" s="238"/>
      <c r="U7" s="238"/>
      <c r="AC7" s="263"/>
      <c r="AD7" s="238"/>
      <c r="AF7" s="1370" t="s">
        <v>17658</v>
      </c>
      <c r="AG7" s="482"/>
      <c r="AH7" s="482"/>
      <c r="AI7" s="482"/>
      <c r="AJ7" s="482"/>
      <c r="AK7" s="106"/>
      <c r="AL7" s="106"/>
      <c r="AM7" s="106"/>
      <c r="AN7" s="106"/>
      <c r="AO7" s="106"/>
    </row>
    <row r="8" spans="1:41" ht="15.75" customHeight="1" thickTop="1">
      <c r="A8" s="197"/>
      <c r="B8" s="451" t="s">
        <v>8262</v>
      </c>
      <c r="C8" s="277" t="s">
        <v>681</v>
      </c>
      <c r="D8" s="277">
        <v>3</v>
      </c>
      <c r="E8" s="694">
        <v>0</v>
      </c>
      <c r="F8" s="694">
        <v>1.593</v>
      </c>
      <c r="G8" s="694">
        <v>0</v>
      </c>
      <c r="H8" s="1596">
        <f>IFERROR(SUM(E8:G8), 0)</f>
        <v>1.593</v>
      </c>
      <c r="I8" s="86"/>
      <c r="J8" s="106"/>
      <c r="K8" s="106"/>
      <c r="L8" s="106"/>
      <c r="M8" s="197"/>
      <c r="N8" s="106"/>
      <c r="O8" s="281" t="s">
        <v>17659</v>
      </c>
      <c r="P8" s="197"/>
      <c r="Q8" s="283"/>
      <c r="R8" s="197"/>
      <c r="S8" s="238"/>
      <c r="T8" s="1232">
        <f>IF( SUM( V8:AC8 ) = 0, 0, $V$5 )</f>
        <v>0</v>
      </c>
      <c r="U8" s="238"/>
      <c r="V8" s="285">
        <f xml:space="preserve"> IF( ISNUMBER(E8 ), 0, 1 )</f>
        <v>0</v>
      </c>
      <c r="W8" s="285">
        <f t="shared" ref="W8:W11" si="0" xml:space="preserve"> IF( ISNUMBER(F8 ), 0, 1 )</f>
        <v>0</v>
      </c>
      <c r="X8" s="285">
        <f t="shared" ref="X8:X11" si="1" xml:space="preserve"> IF( ISNUMBER(G8 ), 0, 1 )</f>
        <v>0</v>
      </c>
      <c r="AD8" s="238"/>
      <c r="AF8" s="451" t="s">
        <v>8262</v>
      </c>
      <c r="AG8" s="904" t="s">
        <v>17660</v>
      </c>
      <c r="AH8" s="904" t="s">
        <v>17661</v>
      </c>
      <c r="AI8" s="904" t="s">
        <v>17662</v>
      </c>
      <c r="AJ8" s="416" t="s">
        <v>17663</v>
      </c>
      <c r="AK8" s="86"/>
      <c r="AL8" s="106"/>
      <c r="AM8" s="106"/>
      <c r="AN8" s="106"/>
      <c r="AO8" s="106"/>
    </row>
    <row r="9" spans="1:41" ht="15.75" customHeight="1">
      <c r="A9" s="197"/>
      <c r="B9" s="460" t="s">
        <v>8270</v>
      </c>
      <c r="C9" s="286" t="s">
        <v>681</v>
      </c>
      <c r="D9" s="286">
        <v>3</v>
      </c>
      <c r="E9" s="697">
        <v>0</v>
      </c>
      <c r="F9" s="697">
        <v>0</v>
      </c>
      <c r="G9" s="697">
        <v>0</v>
      </c>
      <c r="H9" s="1598">
        <f>IFERROR(SUM(E9:G9), 0)</f>
        <v>0</v>
      </c>
      <c r="I9" s="86"/>
      <c r="J9" s="106"/>
      <c r="K9" s="106"/>
      <c r="L9" s="106"/>
      <c r="M9" s="197"/>
      <c r="N9" s="106"/>
      <c r="O9" s="290" t="s">
        <v>17664</v>
      </c>
      <c r="P9" s="197"/>
      <c r="Q9" s="291"/>
      <c r="R9" s="197"/>
      <c r="S9" s="238"/>
      <c r="T9" s="1232">
        <f t="shared" ref="T9:T11" si="2">IF( SUM( V9:AC9 ) = 0, 0, $V$5 )</f>
        <v>0</v>
      </c>
      <c r="U9" s="238"/>
      <c r="V9" s="285">
        <f t="shared" ref="V9:V11" si="3" xml:space="preserve"> IF( ISNUMBER(E9 ), 0, 1 )</f>
        <v>0</v>
      </c>
      <c r="W9" s="285">
        <f t="shared" si="0"/>
        <v>0</v>
      </c>
      <c r="X9" s="285">
        <f t="shared" si="1"/>
        <v>0</v>
      </c>
      <c r="AD9" s="238"/>
      <c r="AF9" s="460" t="s">
        <v>8270</v>
      </c>
      <c r="AG9" s="905" t="s">
        <v>17665</v>
      </c>
      <c r="AH9" s="905" t="s">
        <v>17666</v>
      </c>
      <c r="AI9" s="905" t="s">
        <v>17667</v>
      </c>
      <c r="AJ9" s="893" t="s">
        <v>17668</v>
      </c>
      <c r="AK9" s="86"/>
      <c r="AL9" s="106"/>
      <c r="AM9" s="106"/>
      <c r="AN9" s="106"/>
      <c r="AO9" s="106"/>
    </row>
    <row r="10" spans="1:41" ht="15.75" customHeight="1">
      <c r="A10" s="197"/>
      <c r="B10" s="460" t="s">
        <v>17669</v>
      </c>
      <c r="C10" s="286" t="s">
        <v>681</v>
      </c>
      <c r="D10" s="286">
        <v>3</v>
      </c>
      <c r="E10" s="697">
        <v>0</v>
      </c>
      <c r="F10" s="697">
        <v>0</v>
      </c>
      <c r="G10" s="697">
        <v>0</v>
      </c>
      <c r="H10" s="1598">
        <f>IFERROR(SUM(E10:G10), 0)</f>
        <v>0</v>
      </c>
      <c r="I10" s="86"/>
      <c r="J10" s="106"/>
      <c r="K10" s="106"/>
      <c r="L10" s="106"/>
      <c r="M10" s="197"/>
      <c r="N10" s="106"/>
      <c r="O10" s="290" t="s">
        <v>17670</v>
      </c>
      <c r="P10" s="197"/>
      <c r="Q10" s="291"/>
      <c r="R10" s="197"/>
      <c r="S10" s="238"/>
      <c r="T10" s="1232">
        <f t="shared" si="2"/>
        <v>0</v>
      </c>
      <c r="U10" s="238"/>
      <c r="V10" s="285">
        <f t="shared" si="3"/>
        <v>0</v>
      </c>
      <c r="W10" s="285">
        <f t="shared" si="0"/>
        <v>0</v>
      </c>
      <c r="X10" s="285">
        <f t="shared" si="1"/>
        <v>0</v>
      </c>
      <c r="AD10" s="238"/>
      <c r="AF10" s="460" t="s">
        <v>17669</v>
      </c>
      <c r="AG10" s="905" t="s">
        <v>17671</v>
      </c>
      <c r="AH10" s="905" t="s">
        <v>17672</v>
      </c>
      <c r="AI10" s="905" t="s">
        <v>17673</v>
      </c>
      <c r="AJ10" s="893" t="s">
        <v>17674</v>
      </c>
      <c r="AK10" s="86"/>
      <c r="AL10" s="106"/>
      <c r="AM10" s="106"/>
      <c r="AN10" s="106"/>
      <c r="AO10" s="106"/>
    </row>
    <row r="11" spans="1:41" ht="15.75" customHeight="1" thickBot="1">
      <c r="A11" s="197"/>
      <c r="B11" s="463" t="s">
        <v>12204</v>
      </c>
      <c r="C11" s="355" t="s">
        <v>681</v>
      </c>
      <c r="D11" s="355">
        <v>3</v>
      </c>
      <c r="E11" s="1640">
        <v>0</v>
      </c>
      <c r="F11" s="1640">
        <v>0</v>
      </c>
      <c r="G11" s="1640">
        <v>0</v>
      </c>
      <c r="H11" s="1599">
        <f t="shared" ref="H11" si="4">IFERROR(SUM(E11:G11), 0)</f>
        <v>0</v>
      </c>
      <c r="I11" s="86"/>
      <c r="J11" s="106"/>
      <c r="K11" s="106"/>
      <c r="L11" s="106"/>
      <c r="M11" s="197"/>
      <c r="N11" s="106"/>
      <c r="O11" s="356" t="s">
        <v>17675</v>
      </c>
      <c r="P11" s="197"/>
      <c r="Q11" s="302"/>
      <c r="R11" s="197"/>
      <c r="S11" s="238"/>
      <c r="T11" s="1232">
        <f t="shared" si="2"/>
        <v>0</v>
      </c>
      <c r="U11" s="238"/>
      <c r="V11" s="285">
        <f t="shared" si="3"/>
        <v>0</v>
      </c>
      <c r="W11" s="285">
        <f t="shared" si="0"/>
        <v>0</v>
      </c>
      <c r="X11" s="285">
        <f t="shared" si="1"/>
        <v>0</v>
      </c>
      <c r="AD11" s="238"/>
      <c r="AF11" s="463" t="s">
        <v>12204</v>
      </c>
      <c r="AG11" s="1042" t="s">
        <v>17676</v>
      </c>
      <c r="AH11" s="1042" t="s">
        <v>17677</v>
      </c>
      <c r="AI11" s="1042" t="s">
        <v>17678</v>
      </c>
      <c r="AJ11" s="417" t="s">
        <v>17679</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8313</v>
      </c>
      <c r="C13" s="242"/>
      <c r="D13" s="242"/>
      <c r="E13" s="1631"/>
      <c r="F13" s="1631"/>
      <c r="G13" s="1631"/>
      <c r="H13" s="1631"/>
      <c r="I13" s="86"/>
      <c r="J13" s="86"/>
      <c r="K13" s="86"/>
      <c r="L13" s="86"/>
      <c r="M13" s="197"/>
      <c r="N13" s="106"/>
      <c r="O13" s="1014"/>
      <c r="P13" s="197"/>
      <c r="Q13" s="197"/>
      <c r="R13" s="197"/>
      <c r="S13" s="238"/>
      <c r="T13" s="1232"/>
      <c r="U13" s="238"/>
      <c r="AD13" s="238"/>
      <c r="AF13" s="393" t="s">
        <v>8313</v>
      </c>
      <c r="AG13" s="482"/>
      <c r="AH13" s="482"/>
      <c r="AI13" s="482"/>
      <c r="AJ13" s="482"/>
      <c r="AK13" s="86"/>
      <c r="AL13" s="86"/>
      <c r="AM13" s="86"/>
      <c r="AN13" s="86"/>
      <c r="AO13" s="86"/>
    </row>
    <row r="14" spans="1:41" ht="15.75" customHeight="1" thickTop="1">
      <c r="A14" s="197"/>
      <c r="B14" s="451" t="s">
        <v>8295</v>
      </c>
      <c r="C14" s="277" t="s">
        <v>681</v>
      </c>
      <c r="D14" s="277">
        <v>3</v>
      </c>
      <c r="E14" s="694">
        <v>0</v>
      </c>
      <c r="F14" s="694">
        <v>0</v>
      </c>
      <c r="G14" s="694">
        <v>0</v>
      </c>
      <c r="H14" s="1596">
        <f>IFERROR(SUM(E14:G14), 0)</f>
        <v>0</v>
      </c>
      <c r="I14" s="86"/>
      <c r="J14" s="86"/>
      <c r="K14" s="86"/>
      <c r="L14" s="86"/>
      <c r="M14" s="197"/>
      <c r="N14" s="106"/>
      <c r="O14" s="281" t="s">
        <v>17680</v>
      </c>
      <c r="P14" s="197"/>
      <c r="Q14" s="283"/>
      <c r="R14" s="197"/>
      <c r="S14" s="238"/>
      <c r="T14" s="1232">
        <f t="shared" ref="T14:T16" si="5">IF( SUM( V14:AC14 ) = 0, 0, $V$5 )</f>
        <v>0</v>
      </c>
      <c r="U14" s="238"/>
      <c r="V14" s="285">
        <f t="shared" ref="V14:V16" si="6" xml:space="preserve"> IF( ISNUMBER(E14 ), 0, 1 )</f>
        <v>0</v>
      </c>
      <c r="W14" s="285">
        <f t="shared" ref="W14:W16" si="7" xml:space="preserve"> IF( ISNUMBER(F14 ), 0, 1 )</f>
        <v>0</v>
      </c>
      <c r="X14" s="285">
        <f t="shared" ref="X14:X16" si="8" xml:space="preserve"> IF( ISNUMBER(G14 ), 0, 1 )</f>
        <v>0</v>
      </c>
      <c r="AD14" s="238"/>
      <c r="AF14" s="451" t="s">
        <v>8295</v>
      </c>
      <c r="AG14" s="904" t="s">
        <v>17681</v>
      </c>
      <c r="AH14" s="904" t="s">
        <v>17682</v>
      </c>
      <c r="AI14" s="904" t="s">
        <v>17683</v>
      </c>
      <c r="AJ14" s="416" t="s">
        <v>17684</v>
      </c>
      <c r="AK14" s="86"/>
      <c r="AL14" s="86"/>
      <c r="AM14" s="86"/>
      <c r="AN14" s="86"/>
      <c r="AO14" s="86"/>
    </row>
    <row r="15" spans="1:41" ht="15.75" customHeight="1">
      <c r="A15" s="197"/>
      <c r="B15" s="460" t="s">
        <v>8303</v>
      </c>
      <c r="C15" s="286" t="s">
        <v>681</v>
      </c>
      <c r="D15" s="286">
        <v>3</v>
      </c>
      <c r="E15" s="697">
        <v>0</v>
      </c>
      <c r="F15" s="697">
        <v>0</v>
      </c>
      <c r="G15" s="697">
        <v>0</v>
      </c>
      <c r="H15" s="1598">
        <f t="shared" ref="H15:H18" si="9">IFERROR(SUM(E15:G15), 0)</f>
        <v>0</v>
      </c>
      <c r="I15" s="86"/>
      <c r="J15" s="86"/>
      <c r="K15" s="86"/>
      <c r="L15" s="86"/>
      <c r="M15" s="197"/>
      <c r="N15" s="106"/>
      <c r="O15" s="290" t="s">
        <v>17685</v>
      </c>
      <c r="P15" s="197"/>
      <c r="Q15" s="291"/>
      <c r="R15" s="197"/>
      <c r="S15" s="238"/>
      <c r="T15" s="1232">
        <f t="shared" si="5"/>
        <v>0</v>
      </c>
      <c r="U15" s="238"/>
      <c r="V15" s="285">
        <f t="shared" si="6"/>
        <v>0</v>
      </c>
      <c r="W15" s="285">
        <f t="shared" si="7"/>
        <v>0</v>
      </c>
      <c r="X15" s="285">
        <f t="shared" si="8"/>
        <v>0</v>
      </c>
      <c r="AD15" s="238"/>
      <c r="AF15" s="460" t="s">
        <v>8303</v>
      </c>
      <c r="AG15" s="905" t="s">
        <v>17686</v>
      </c>
      <c r="AH15" s="905" t="s">
        <v>17687</v>
      </c>
      <c r="AI15" s="905" t="s">
        <v>17688</v>
      </c>
      <c r="AJ15" s="893" t="s">
        <v>17689</v>
      </c>
      <c r="AK15" s="86"/>
      <c r="AL15" s="86"/>
      <c r="AM15" s="86"/>
      <c r="AN15" s="86"/>
      <c r="AO15" s="86"/>
    </row>
    <row r="16" spans="1:41" ht="15.75" customHeight="1">
      <c r="A16" s="197"/>
      <c r="B16" s="460" t="s">
        <v>15740</v>
      </c>
      <c r="C16" s="286" t="s">
        <v>681</v>
      </c>
      <c r="D16" s="286">
        <v>3</v>
      </c>
      <c r="E16" s="697">
        <v>0</v>
      </c>
      <c r="F16" s="697">
        <v>3.8809999999999998</v>
      </c>
      <c r="G16" s="697">
        <v>0</v>
      </c>
      <c r="H16" s="1598">
        <f t="shared" si="9"/>
        <v>3.8809999999999998</v>
      </c>
      <c r="I16" s="86"/>
      <c r="J16" s="86"/>
      <c r="K16" s="86"/>
      <c r="L16" s="86"/>
      <c r="M16" s="197"/>
      <c r="N16" s="106"/>
      <c r="O16" s="290" t="s">
        <v>17690</v>
      </c>
      <c r="P16" s="197"/>
      <c r="Q16" s="291"/>
      <c r="R16" s="197"/>
      <c r="S16" s="238"/>
      <c r="T16" s="1232">
        <f t="shared" si="5"/>
        <v>0</v>
      </c>
      <c r="U16" s="238"/>
      <c r="V16" s="285">
        <f t="shared" si="6"/>
        <v>0</v>
      </c>
      <c r="W16" s="285">
        <f t="shared" si="7"/>
        <v>0</v>
      </c>
      <c r="X16" s="285">
        <f t="shared" si="8"/>
        <v>0</v>
      </c>
      <c r="AD16" s="238"/>
      <c r="AF16" s="460" t="s">
        <v>17691</v>
      </c>
      <c r="AG16" s="905" t="s">
        <v>17692</v>
      </c>
      <c r="AH16" s="905" t="s">
        <v>17693</v>
      </c>
      <c r="AI16" s="905" t="s">
        <v>17694</v>
      </c>
      <c r="AJ16" s="893" t="s">
        <v>17695</v>
      </c>
      <c r="AK16" s="86"/>
      <c r="AL16" s="86"/>
      <c r="AM16" s="86"/>
      <c r="AN16" s="86"/>
      <c r="AO16" s="86"/>
    </row>
    <row r="17" spans="1:41" ht="15.75" customHeight="1">
      <c r="A17" s="197"/>
      <c r="B17" s="460" t="s">
        <v>17696</v>
      </c>
      <c r="C17" s="286" t="s">
        <v>681</v>
      </c>
      <c r="D17" s="286">
        <v>3</v>
      </c>
      <c r="E17" s="1597">
        <f>IFERROR(SUM(E8:E11,E14:E16), 0)</f>
        <v>0</v>
      </c>
      <c r="F17" s="1597">
        <f>IFERROR(SUM(F8:F11,F14:F16), 0)</f>
        <v>5.4740000000000002</v>
      </c>
      <c r="G17" s="1597">
        <f>IFERROR(SUM(G8:G11,G14:G16), 0)</f>
        <v>0</v>
      </c>
      <c r="H17" s="1598">
        <f t="shared" si="9"/>
        <v>5.4740000000000002</v>
      </c>
      <c r="I17" s="86"/>
      <c r="J17" s="86"/>
      <c r="K17" s="86"/>
      <c r="L17" s="86"/>
      <c r="M17" s="197"/>
      <c r="N17" s="106"/>
      <c r="O17" s="290" t="s">
        <v>17697</v>
      </c>
      <c r="P17" s="197"/>
      <c r="Q17" s="291"/>
      <c r="R17" s="197"/>
      <c r="S17" s="238"/>
      <c r="T17" s="1232"/>
      <c r="U17" s="238"/>
      <c r="AD17" s="238"/>
      <c r="AE17" s="270"/>
      <c r="AF17" s="460" t="s">
        <v>17696</v>
      </c>
      <c r="AG17" s="677" t="s">
        <v>17698</v>
      </c>
      <c r="AH17" s="677" t="s">
        <v>17699</v>
      </c>
      <c r="AI17" s="677" t="s">
        <v>17700</v>
      </c>
      <c r="AJ17" s="893" t="s">
        <v>17701</v>
      </c>
      <c r="AK17" s="86"/>
      <c r="AL17" s="86"/>
      <c r="AM17" s="86"/>
      <c r="AN17" s="86"/>
      <c r="AO17" s="86"/>
    </row>
    <row r="18" spans="1:41" s="197" customFormat="1" ht="15.75" customHeight="1">
      <c r="B18" s="460" t="s">
        <v>8320</v>
      </c>
      <c r="C18" s="286" t="s">
        <v>681</v>
      </c>
      <c r="D18" s="286">
        <v>3</v>
      </c>
      <c r="E18" s="697">
        <v>0</v>
      </c>
      <c r="F18" s="697">
        <v>0</v>
      </c>
      <c r="G18" s="697">
        <v>0</v>
      </c>
      <c r="H18" s="1598">
        <f t="shared" si="9"/>
        <v>0</v>
      </c>
      <c r="I18" s="86"/>
      <c r="J18" s="86"/>
      <c r="K18" s="86"/>
      <c r="L18" s="86"/>
      <c r="N18" s="106"/>
      <c r="O18" s="290" t="s">
        <v>17702</v>
      </c>
      <c r="P18" s="106"/>
      <c r="Q18" s="291"/>
      <c r="R18" s="106"/>
      <c r="S18" s="238"/>
      <c r="T18" s="1232">
        <f>IF( SUM( V18:AC18 ) = 0, 0, $V$5 )</f>
        <v>0</v>
      </c>
      <c r="U18" s="238"/>
      <c r="V18" s="285">
        <f t="shared" ref="V18" si="10" xml:space="preserve"> IF( ISNUMBER(E18 ), 0, 1 )</f>
        <v>0</v>
      </c>
      <c r="W18" s="285">
        <f t="shared" ref="W18" si="11" xml:space="preserve"> IF( ISNUMBER(F18 ), 0, 1 )</f>
        <v>0</v>
      </c>
      <c r="X18" s="285">
        <f t="shared" ref="X18" si="12" xml:space="preserve"> IF( ISNUMBER(G18 ), 0, 1 )</f>
        <v>0</v>
      </c>
      <c r="Y18" s="224"/>
      <c r="Z18" s="224"/>
      <c r="AA18" s="224"/>
      <c r="AB18" s="224"/>
      <c r="AC18" s="224"/>
      <c r="AD18" s="238"/>
      <c r="AE18" s="219"/>
      <c r="AF18" s="460" t="s">
        <v>8320</v>
      </c>
      <c r="AG18" s="905" t="s">
        <v>17703</v>
      </c>
      <c r="AH18" s="905" t="s">
        <v>17704</v>
      </c>
      <c r="AI18" s="905" t="s">
        <v>17705</v>
      </c>
      <c r="AJ18" s="893" t="s">
        <v>17706</v>
      </c>
      <c r="AK18" s="86"/>
      <c r="AL18" s="86"/>
      <c r="AM18" s="86"/>
      <c r="AN18" s="86"/>
      <c r="AO18" s="86"/>
    </row>
    <row r="19" spans="1:41" s="197" customFormat="1" ht="15.75" customHeight="1" thickBot="1">
      <c r="B19" s="463" t="s">
        <v>15760</v>
      </c>
      <c r="C19" s="355" t="s">
        <v>681</v>
      </c>
      <c r="D19" s="355">
        <v>3</v>
      </c>
      <c r="E19" s="1589">
        <f>IFERROR(E17 + E18, 0)</f>
        <v>0</v>
      </c>
      <c r="F19" s="1589">
        <f>IFERROR(F17 + F18, 0)</f>
        <v>5.4740000000000002</v>
      </c>
      <c r="G19" s="1589">
        <f>IFERROR(G17 + G18, 0)</f>
        <v>0</v>
      </c>
      <c r="H19" s="1599">
        <f>IFERROR(SUM(E19:G19), 0)</f>
        <v>5.4740000000000002</v>
      </c>
      <c r="I19" s="86"/>
      <c r="J19" s="86"/>
      <c r="K19" s="86"/>
      <c r="L19" s="86"/>
      <c r="N19" s="106"/>
      <c r="O19" s="356" t="s">
        <v>17707</v>
      </c>
      <c r="P19" s="106"/>
      <c r="Q19" s="302"/>
      <c r="R19" s="106"/>
      <c r="S19" s="238"/>
      <c r="T19" s="1232"/>
      <c r="U19" s="238"/>
      <c r="V19" s="224"/>
      <c r="W19" s="224"/>
      <c r="X19" s="224"/>
      <c r="Y19" s="224"/>
      <c r="Z19" s="224"/>
      <c r="AA19" s="224"/>
      <c r="AB19" s="224"/>
      <c r="AC19" s="224"/>
      <c r="AD19" s="238"/>
      <c r="AE19" s="219"/>
      <c r="AF19" s="463" t="s">
        <v>15760</v>
      </c>
      <c r="AG19" s="679" t="s">
        <v>17708</v>
      </c>
      <c r="AH19" s="679" t="s">
        <v>17709</v>
      </c>
      <c r="AI19" s="679" t="s">
        <v>17710</v>
      </c>
      <c r="AJ19" s="417" t="s">
        <v>17711</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7224</v>
      </c>
      <c r="C21" s="446" t="s">
        <v>7225</v>
      </c>
      <c r="D21" s="446" t="s">
        <v>670</v>
      </c>
      <c r="E21" s="446" t="s">
        <v>17712</v>
      </c>
      <c r="F21" s="446" t="s">
        <v>17713</v>
      </c>
      <c r="G21" s="446" t="s">
        <v>17714</v>
      </c>
      <c r="H21" s="446" t="s">
        <v>17715</v>
      </c>
      <c r="I21" s="446" t="s">
        <v>17716</v>
      </c>
      <c r="J21" s="446" t="s">
        <v>17717</v>
      </c>
      <c r="K21" s="446" t="s">
        <v>7742</v>
      </c>
      <c r="L21" s="447" t="s">
        <v>7445</v>
      </c>
      <c r="M21" s="197"/>
      <c r="N21" s="349"/>
      <c r="O21" s="1014"/>
      <c r="P21" s="1023"/>
      <c r="Q21" s="1023"/>
      <c r="R21" s="1023"/>
      <c r="S21" s="238"/>
      <c r="T21" s="1232"/>
      <c r="U21" s="238"/>
      <c r="AD21" s="238"/>
      <c r="AF21" s="445" t="s">
        <v>7224</v>
      </c>
      <c r="AG21" s="446" t="s">
        <v>17712</v>
      </c>
      <c r="AH21" s="446" t="s">
        <v>17713</v>
      </c>
      <c r="AI21" s="446" t="s">
        <v>17714</v>
      </c>
      <c r="AJ21" s="446" t="s">
        <v>17715</v>
      </c>
      <c r="AK21" s="446" t="s">
        <v>17716</v>
      </c>
      <c r="AL21" s="446" t="s">
        <v>17717</v>
      </c>
      <c r="AM21" s="446" t="s">
        <v>7742</v>
      </c>
      <c r="AN21" s="447" t="s">
        <v>7445</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17718</v>
      </c>
      <c r="C23" s="242"/>
      <c r="D23" s="242"/>
      <c r="E23" s="482"/>
      <c r="F23" s="482"/>
      <c r="G23" s="482"/>
      <c r="H23" s="482"/>
      <c r="I23" s="106"/>
      <c r="J23" s="106"/>
      <c r="K23" s="106"/>
      <c r="L23" s="106"/>
      <c r="M23" s="197"/>
      <c r="N23" s="106"/>
      <c r="O23" s="86"/>
      <c r="P23" s="1023"/>
      <c r="Q23" s="1023"/>
      <c r="R23" s="1023"/>
      <c r="S23" s="238"/>
      <c r="T23" s="1232"/>
      <c r="U23" s="238"/>
      <c r="AD23" s="238"/>
      <c r="AF23" s="1370" t="s">
        <v>17718</v>
      </c>
      <c r="AG23" s="482"/>
      <c r="AH23" s="482"/>
      <c r="AI23" s="482"/>
      <c r="AJ23" s="482"/>
      <c r="AK23" s="106"/>
      <c r="AL23" s="106"/>
      <c r="AM23" s="106"/>
      <c r="AN23" s="106"/>
    </row>
    <row r="24" spans="1:41" ht="15.75" customHeight="1" thickTop="1">
      <c r="A24" s="197"/>
      <c r="B24" s="451" t="s">
        <v>8262</v>
      </c>
      <c r="C24" s="277" t="s">
        <v>681</v>
      </c>
      <c r="D24" s="277">
        <v>3</v>
      </c>
      <c r="E24" s="694">
        <v>0</v>
      </c>
      <c r="F24" s="694">
        <v>0</v>
      </c>
      <c r="G24" s="694">
        <v>0</v>
      </c>
      <c r="H24" s="694">
        <v>0</v>
      </c>
      <c r="I24" s="694">
        <v>0</v>
      </c>
      <c r="J24" s="694">
        <v>7.9459999999999997</v>
      </c>
      <c r="K24" s="694">
        <v>0</v>
      </c>
      <c r="L24" s="1596">
        <f>IFERROR(SUM(E24:K24), 0)</f>
        <v>7.9459999999999997</v>
      </c>
      <c r="M24" s="197"/>
      <c r="N24" s="106"/>
      <c r="O24" s="281" t="s">
        <v>17719</v>
      </c>
      <c r="P24" s="1023"/>
      <c r="Q24" s="283"/>
      <c r="R24" s="1023"/>
      <c r="S24" s="238"/>
      <c r="T24" s="1232">
        <f t="shared" ref="T24:T27" si="13">IF( SUM( V24:AC24 ) = 0, 0, $V$5 )</f>
        <v>0</v>
      </c>
      <c r="U24" s="238"/>
      <c r="V24" s="285">
        <f t="shared" ref="V24:V27" si="14" xml:space="preserve"> IF( ISNUMBER(E24 ), 0, 1 )</f>
        <v>0</v>
      </c>
      <c r="W24" s="285">
        <f t="shared" ref="W24:W27" si="15" xml:space="preserve"> IF( ISNUMBER(F24 ), 0, 1 )</f>
        <v>0</v>
      </c>
      <c r="X24" s="285">
        <f t="shared" ref="X24:X27" si="16" xml:space="preserve"> IF( ISNUMBER(G24 ), 0, 1 )</f>
        <v>0</v>
      </c>
      <c r="Y24" s="285">
        <f t="shared" ref="Y24:Y27" si="17" xml:space="preserve"> IF( ISNUMBER(H24 ), 0, 1 )</f>
        <v>0</v>
      </c>
      <c r="Z24" s="285">
        <f t="shared" ref="Z24:Z27" si="18" xml:space="preserve"> IF( ISNUMBER(I24 ), 0, 1 )</f>
        <v>0</v>
      </c>
      <c r="AA24" s="285">
        <f t="shared" ref="AA24:AA27" si="19" xml:space="preserve"> IF( ISNUMBER(J24 ), 0, 1 )</f>
        <v>0</v>
      </c>
      <c r="AB24" s="285">
        <f t="shared" ref="AB24:AB27" si="20" xml:space="preserve"> IF( ISNUMBER(K24 ), 0, 1 )</f>
        <v>0</v>
      </c>
      <c r="AD24" s="238"/>
      <c r="AF24" s="451" t="s">
        <v>8262</v>
      </c>
      <c r="AG24" s="904" t="s">
        <v>17720</v>
      </c>
      <c r="AH24" s="904" t="s">
        <v>17721</v>
      </c>
      <c r="AI24" s="904" t="s">
        <v>17722</v>
      </c>
      <c r="AJ24" s="904" t="s">
        <v>17723</v>
      </c>
      <c r="AK24" s="904" t="s">
        <v>17724</v>
      </c>
      <c r="AL24" s="904" t="s">
        <v>17725</v>
      </c>
      <c r="AM24" s="904" t="s">
        <v>17726</v>
      </c>
      <c r="AN24" s="416" t="s">
        <v>17727</v>
      </c>
    </row>
    <row r="25" spans="1:41" ht="15.75" customHeight="1">
      <c r="A25" s="197"/>
      <c r="B25" s="460" t="s">
        <v>8270</v>
      </c>
      <c r="C25" s="286" t="s">
        <v>681</v>
      </c>
      <c r="D25" s="286">
        <v>3</v>
      </c>
      <c r="E25" s="697">
        <v>0</v>
      </c>
      <c r="F25" s="697">
        <v>0</v>
      </c>
      <c r="G25" s="697">
        <v>0</v>
      </c>
      <c r="H25" s="697">
        <v>0</v>
      </c>
      <c r="I25" s="697">
        <v>0</v>
      </c>
      <c r="J25" s="697">
        <v>-19.463000000000001</v>
      </c>
      <c r="K25" s="697">
        <v>0</v>
      </c>
      <c r="L25" s="1598">
        <f>IFERROR(SUM(E25:K25), 0)</f>
        <v>-19.463000000000001</v>
      </c>
      <c r="M25" s="197"/>
      <c r="N25" s="106"/>
      <c r="O25" s="290" t="s">
        <v>17728</v>
      </c>
      <c r="P25" s="1023"/>
      <c r="Q25" s="291"/>
      <c r="R25" s="1023"/>
      <c r="S25" s="238"/>
      <c r="T25" s="1232">
        <f t="shared" si="13"/>
        <v>0</v>
      </c>
      <c r="U25" s="238"/>
      <c r="V25" s="285">
        <f t="shared" si="14"/>
        <v>0</v>
      </c>
      <c r="W25" s="285">
        <f t="shared" si="15"/>
        <v>0</v>
      </c>
      <c r="X25" s="285">
        <f t="shared" si="16"/>
        <v>0</v>
      </c>
      <c r="Y25" s="285">
        <f t="shared" si="17"/>
        <v>0</v>
      </c>
      <c r="Z25" s="285">
        <f t="shared" si="18"/>
        <v>0</v>
      </c>
      <c r="AA25" s="285">
        <f t="shared" si="19"/>
        <v>0</v>
      </c>
      <c r="AB25" s="285">
        <f t="shared" si="20"/>
        <v>0</v>
      </c>
      <c r="AD25" s="238"/>
      <c r="AF25" s="460" t="s">
        <v>8270</v>
      </c>
      <c r="AG25" s="905" t="s">
        <v>17729</v>
      </c>
      <c r="AH25" s="905" t="s">
        <v>17730</v>
      </c>
      <c r="AI25" s="905" t="s">
        <v>17731</v>
      </c>
      <c r="AJ25" s="905" t="s">
        <v>17732</v>
      </c>
      <c r="AK25" s="905" t="s">
        <v>17733</v>
      </c>
      <c r="AL25" s="905" t="s">
        <v>17734</v>
      </c>
      <c r="AM25" s="905" t="s">
        <v>17735</v>
      </c>
      <c r="AN25" s="893" t="s">
        <v>17736</v>
      </c>
    </row>
    <row r="26" spans="1:41" ht="15.75" customHeight="1">
      <c r="A26" s="197"/>
      <c r="B26" s="460" t="s">
        <v>17669</v>
      </c>
      <c r="C26" s="286" t="s">
        <v>681</v>
      </c>
      <c r="D26" s="286">
        <v>3</v>
      </c>
      <c r="E26" s="697">
        <v>0</v>
      </c>
      <c r="F26" s="697">
        <v>0</v>
      </c>
      <c r="G26" s="697">
        <v>0</v>
      </c>
      <c r="H26" s="697">
        <v>0</v>
      </c>
      <c r="I26" s="697">
        <v>0</v>
      </c>
      <c r="J26" s="697">
        <v>0</v>
      </c>
      <c r="K26" s="697">
        <v>0</v>
      </c>
      <c r="L26" s="1598">
        <f>IFERROR(SUM(E26:K26), 0)</f>
        <v>0</v>
      </c>
      <c r="M26" s="197"/>
      <c r="N26" s="106"/>
      <c r="O26" s="290" t="s">
        <v>17737</v>
      </c>
      <c r="P26" s="1023"/>
      <c r="Q26" s="291"/>
      <c r="R26" s="1023"/>
      <c r="S26" s="238"/>
      <c r="T26" s="1232">
        <f t="shared" si="13"/>
        <v>0</v>
      </c>
      <c r="U26" s="238"/>
      <c r="V26" s="285">
        <f t="shared" si="14"/>
        <v>0</v>
      </c>
      <c r="W26" s="285">
        <f t="shared" si="15"/>
        <v>0</v>
      </c>
      <c r="X26" s="285">
        <f t="shared" si="16"/>
        <v>0</v>
      </c>
      <c r="Y26" s="285">
        <f t="shared" si="17"/>
        <v>0</v>
      </c>
      <c r="Z26" s="285">
        <f t="shared" si="18"/>
        <v>0</v>
      </c>
      <c r="AA26" s="285">
        <f t="shared" si="19"/>
        <v>0</v>
      </c>
      <c r="AB26" s="285">
        <f t="shared" si="20"/>
        <v>0</v>
      </c>
      <c r="AD26" s="238"/>
      <c r="AF26" s="460" t="s">
        <v>17669</v>
      </c>
      <c r="AG26" s="905" t="s">
        <v>17738</v>
      </c>
      <c r="AH26" s="905" t="s">
        <v>17739</v>
      </c>
      <c r="AI26" s="905" t="s">
        <v>17740</v>
      </c>
      <c r="AJ26" s="905" t="s">
        <v>17741</v>
      </c>
      <c r="AK26" s="905" t="s">
        <v>17742</v>
      </c>
      <c r="AL26" s="905" t="s">
        <v>17743</v>
      </c>
      <c r="AM26" s="905" t="s">
        <v>17744</v>
      </c>
      <c r="AN26" s="893" t="s">
        <v>17745</v>
      </c>
    </row>
    <row r="27" spans="1:41" ht="15.75" customHeight="1" thickBot="1">
      <c r="A27" s="197"/>
      <c r="B27" s="463" t="s">
        <v>12204</v>
      </c>
      <c r="C27" s="355" t="s">
        <v>681</v>
      </c>
      <c r="D27" s="355">
        <v>3</v>
      </c>
      <c r="E27" s="1640">
        <v>0</v>
      </c>
      <c r="F27" s="1640">
        <v>0</v>
      </c>
      <c r="G27" s="1640">
        <v>0</v>
      </c>
      <c r="H27" s="1640">
        <v>0</v>
      </c>
      <c r="I27" s="1640">
        <v>0</v>
      </c>
      <c r="J27" s="1640">
        <v>0</v>
      </c>
      <c r="K27" s="1640">
        <v>0</v>
      </c>
      <c r="L27" s="1599">
        <f>IFERROR(SUM(E27:K27), 0)</f>
        <v>0</v>
      </c>
      <c r="M27" s="197"/>
      <c r="N27" s="106"/>
      <c r="O27" s="356" t="s">
        <v>17746</v>
      </c>
      <c r="P27" s="1023"/>
      <c r="Q27" s="302"/>
      <c r="R27" s="1023"/>
      <c r="S27" s="238"/>
      <c r="T27" s="1232">
        <f t="shared" si="13"/>
        <v>0</v>
      </c>
      <c r="U27" s="238"/>
      <c r="V27" s="285">
        <f t="shared" si="14"/>
        <v>0</v>
      </c>
      <c r="W27" s="285">
        <f t="shared" si="15"/>
        <v>0</v>
      </c>
      <c r="X27" s="285">
        <f t="shared" si="16"/>
        <v>0</v>
      </c>
      <c r="Y27" s="285">
        <f t="shared" si="17"/>
        <v>0</v>
      </c>
      <c r="Z27" s="285">
        <f t="shared" si="18"/>
        <v>0</v>
      </c>
      <c r="AA27" s="285">
        <f t="shared" si="19"/>
        <v>0</v>
      </c>
      <c r="AB27" s="285">
        <f t="shared" si="20"/>
        <v>0</v>
      </c>
      <c r="AD27" s="238"/>
      <c r="AF27" s="463" t="s">
        <v>12204</v>
      </c>
      <c r="AG27" s="1042" t="s">
        <v>17747</v>
      </c>
      <c r="AH27" s="1042" t="s">
        <v>17748</v>
      </c>
      <c r="AI27" s="1042" t="s">
        <v>17749</v>
      </c>
      <c r="AJ27" s="1042" t="s">
        <v>17750</v>
      </c>
      <c r="AK27" s="1042" t="s">
        <v>17751</v>
      </c>
      <c r="AL27" s="1042" t="s">
        <v>17752</v>
      </c>
      <c r="AM27" s="1042" t="s">
        <v>17753</v>
      </c>
      <c r="AN27" s="417" t="s">
        <v>17754</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8313</v>
      </c>
      <c r="C29" s="242"/>
      <c r="D29" s="242"/>
      <c r="E29" s="1631"/>
      <c r="F29" s="1631"/>
      <c r="G29" s="1631"/>
      <c r="H29" s="1631"/>
      <c r="I29" s="1761"/>
      <c r="J29" s="1761"/>
      <c r="K29" s="1761"/>
      <c r="L29" s="1761"/>
      <c r="M29" s="197"/>
      <c r="N29" s="106"/>
      <c r="O29" s="1014"/>
      <c r="P29" s="1023"/>
      <c r="Q29" s="1023"/>
      <c r="R29" s="1023"/>
      <c r="S29" s="238"/>
      <c r="T29" s="1232"/>
      <c r="U29" s="238"/>
      <c r="AD29" s="238"/>
      <c r="AF29" s="393" t="s">
        <v>8313</v>
      </c>
      <c r="AG29" s="482"/>
      <c r="AH29" s="482"/>
      <c r="AI29" s="482"/>
      <c r="AJ29" s="482"/>
      <c r="AK29" s="86"/>
      <c r="AL29" s="86"/>
      <c r="AM29" s="86"/>
      <c r="AN29" s="86"/>
    </row>
    <row r="30" spans="1:41" ht="15.75" customHeight="1" thickTop="1">
      <c r="A30" s="197"/>
      <c r="B30" s="451" t="s">
        <v>8295</v>
      </c>
      <c r="C30" s="277" t="s">
        <v>681</v>
      </c>
      <c r="D30" s="277">
        <v>3</v>
      </c>
      <c r="E30" s="694">
        <v>0</v>
      </c>
      <c r="F30" s="694">
        <v>0</v>
      </c>
      <c r="G30" s="694">
        <v>0</v>
      </c>
      <c r="H30" s="694">
        <v>0</v>
      </c>
      <c r="I30" s="694">
        <v>0</v>
      </c>
      <c r="J30" s="694">
        <v>0</v>
      </c>
      <c r="K30" s="694">
        <v>0</v>
      </c>
      <c r="L30" s="1596">
        <f t="shared" ref="L30:L35" si="21">IFERROR(SUM(E30:K30), 0)</f>
        <v>0</v>
      </c>
      <c r="M30" s="197"/>
      <c r="N30" s="106"/>
      <c r="O30" s="281" t="s">
        <v>17755</v>
      </c>
      <c r="P30" s="1023"/>
      <c r="Q30" s="283"/>
      <c r="R30" s="1023"/>
      <c r="S30" s="238"/>
      <c r="T30" s="1232">
        <f t="shared" ref="T30:T34" si="22">IF( SUM( V30:AC30 ) = 0, 0, $V$5 )</f>
        <v>0</v>
      </c>
      <c r="U30" s="238"/>
      <c r="V30" s="285">
        <f t="shared" ref="V30:V34" si="23" xml:space="preserve"> IF( ISNUMBER(E30 ), 0, 1 )</f>
        <v>0</v>
      </c>
      <c r="W30" s="285">
        <f t="shared" ref="W30:W34" si="24" xml:space="preserve"> IF( ISNUMBER(F30 ), 0, 1 )</f>
        <v>0</v>
      </c>
      <c r="X30" s="285">
        <f t="shared" ref="X30:X34" si="25" xml:space="preserve"> IF( ISNUMBER(G30 ), 0, 1 )</f>
        <v>0</v>
      </c>
      <c r="Y30" s="285">
        <f t="shared" ref="Y30:Y34" si="26" xml:space="preserve"> IF( ISNUMBER(H30 ), 0, 1 )</f>
        <v>0</v>
      </c>
      <c r="Z30" s="285">
        <f t="shared" ref="Z30:Z34" si="27" xml:space="preserve"> IF( ISNUMBER(I30 ), 0, 1 )</f>
        <v>0</v>
      </c>
      <c r="AA30" s="285">
        <f t="shared" ref="AA30:AA34" si="28" xml:space="preserve"> IF( ISNUMBER(J30 ), 0, 1 )</f>
        <v>0</v>
      </c>
      <c r="AB30" s="285">
        <f t="shared" ref="AB30:AB34" si="29" xml:space="preserve"> IF( ISNUMBER(K30 ), 0, 1 )</f>
        <v>0</v>
      </c>
      <c r="AD30" s="238"/>
      <c r="AF30" s="451" t="s">
        <v>8295</v>
      </c>
      <c r="AG30" s="904" t="s">
        <v>17756</v>
      </c>
      <c r="AH30" s="904" t="s">
        <v>17757</v>
      </c>
      <c r="AI30" s="904" t="s">
        <v>17758</v>
      </c>
      <c r="AJ30" s="904" t="s">
        <v>17759</v>
      </c>
      <c r="AK30" s="904" t="s">
        <v>17760</v>
      </c>
      <c r="AL30" s="904" t="s">
        <v>17761</v>
      </c>
      <c r="AM30" s="904" t="s">
        <v>17762</v>
      </c>
      <c r="AN30" s="416" t="s">
        <v>17763</v>
      </c>
    </row>
    <row r="31" spans="1:41" ht="15.75" customHeight="1">
      <c r="A31" s="197"/>
      <c r="B31" s="460" t="s">
        <v>8303</v>
      </c>
      <c r="C31" s="286" t="s">
        <v>681</v>
      </c>
      <c r="D31" s="286">
        <v>3</v>
      </c>
      <c r="E31" s="697">
        <v>0</v>
      </c>
      <c r="F31" s="697">
        <v>0</v>
      </c>
      <c r="G31" s="697">
        <v>0</v>
      </c>
      <c r="H31" s="697">
        <v>0</v>
      </c>
      <c r="I31" s="697">
        <v>0</v>
      </c>
      <c r="J31" s="697">
        <v>0.20799999999999999</v>
      </c>
      <c r="K31" s="697">
        <v>0</v>
      </c>
      <c r="L31" s="1598">
        <f t="shared" si="21"/>
        <v>0.20799999999999999</v>
      </c>
      <c r="M31" s="197"/>
      <c r="N31" s="106"/>
      <c r="O31" s="290" t="s">
        <v>17764</v>
      </c>
      <c r="P31" s="1023"/>
      <c r="Q31" s="291"/>
      <c r="R31" s="1023"/>
      <c r="S31" s="238"/>
      <c r="T31" s="1232">
        <f t="shared" si="22"/>
        <v>0</v>
      </c>
      <c r="U31" s="238"/>
      <c r="V31" s="285">
        <f t="shared" si="23"/>
        <v>0</v>
      </c>
      <c r="W31" s="285">
        <f t="shared" si="24"/>
        <v>0</v>
      </c>
      <c r="X31" s="285">
        <f t="shared" si="25"/>
        <v>0</v>
      </c>
      <c r="Y31" s="285">
        <f t="shared" si="26"/>
        <v>0</v>
      </c>
      <c r="Z31" s="285">
        <f t="shared" si="27"/>
        <v>0</v>
      </c>
      <c r="AA31" s="285">
        <f t="shared" si="28"/>
        <v>0</v>
      </c>
      <c r="AB31" s="285">
        <f t="shared" si="29"/>
        <v>0</v>
      </c>
      <c r="AD31" s="238"/>
      <c r="AF31" s="460" t="s">
        <v>8303</v>
      </c>
      <c r="AG31" s="905" t="s">
        <v>17765</v>
      </c>
      <c r="AH31" s="905" t="s">
        <v>17766</v>
      </c>
      <c r="AI31" s="905" t="s">
        <v>17767</v>
      </c>
      <c r="AJ31" s="905" t="s">
        <v>17768</v>
      </c>
      <c r="AK31" s="905" t="s">
        <v>17769</v>
      </c>
      <c r="AL31" s="905" t="s">
        <v>17770</v>
      </c>
      <c r="AM31" s="905" t="s">
        <v>17771</v>
      </c>
      <c r="AN31" s="893" t="s">
        <v>17772</v>
      </c>
    </row>
    <row r="32" spans="1:41" ht="15.75" customHeight="1">
      <c r="A32" s="197"/>
      <c r="B32" s="460" t="s">
        <v>15740</v>
      </c>
      <c r="C32" s="286" t="s">
        <v>681</v>
      </c>
      <c r="D32" s="286">
        <v>3</v>
      </c>
      <c r="E32" s="697">
        <v>0</v>
      </c>
      <c r="F32" s="697">
        <v>0</v>
      </c>
      <c r="G32" s="697">
        <v>0</v>
      </c>
      <c r="H32" s="697">
        <v>0</v>
      </c>
      <c r="I32" s="697">
        <v>0</v>
      </c>
      <c r="J32" s="697">
        <v>16.690000000000001</v>
      </c>
      <c r="K32" s="697">
        <v>0</v>
      </c>
      <c r="L32" s="1598">
        <f t="shared" si="21"/>
        <v>16.690000000000001</v>
      </c>
      <c r="M32" s="197"/>
      <c r="N32" s="106"/>
      <c r="O32" s="290" t="s">
        <v>17773</v>
      </c>
      <c r="P32" s="1023"/>
      <c r="Q32" s="291"/>
      <c r="R32" s="1023"/>
      <c r="S32" s="238"/>
      <c r="T32" s="1232">
        <f t="shared" si="22"/>
        <v>0</v>
      </c>
      <c r="U32" s="238"/>
      <c r="V32" s="285">
        <f t="shared" si="23"/>
        <v>0</v>
      </c>
      <c r="W32" s="285">
        <f t="shared" si="24"/>
        <v>0</v>
      </c>
      <c r="X32" s="285">
        <f t="shared" si="25"/>
        <v>0</v>
      </c>
      <c r="Y32" s="285">
        <f t="shared" si="26"/>
        <v>0</v>
      </c>
      <c r="Z32" s="285">
        <f t="shared" si="27"/>
        <v>0</v>
      </c>
      <c r="AA32" s="285">
        <f t="shared" si="28"/>
        <v>0</v>
      </c>
      <c r="AB32" s="285">
        <f t="shared" si="29"/>
        <v>0</v>
      </c>
      <c r="AD32" s="238"/>
      <c r="AF32" s="460" t="s">
        <v>17691</v>
      </c>
      <c r="AG32" s="905" t="s">
        <v>17774</v>
      </c>
      <c r="AH32" s="905" t="s">
        <v>17775</v>
      </c>
      <c r="AI32" s="905" t="s">
        <v>17776</v>
      </c>
      <c r="AJ32" s="905" t="s">
        <v>17777</v>
      </c>
      <c r="AK32" s="905" t="s">
        <v>17778</v>
      </c>
      <c r="AL32" s="905" t="s">
        <v>17779</v>
      </c>
      <c r="AM32" s="905" t="s">
        <v>17780</v>
      </c>
      <c r="AN32" s="893" t="s">
        <v>17781</v>
      </c>
    </row>
    <row r="33" spans="2:42" s="197" customFormat="1" ht="15.75" customHeight="1">
      <c r="B33" s="460" t="s">
        <v>17696</v>
      </c>
      <c r="C33" s="286" t="s">
        <v>681</v>
      </c>
      <c r="D33" s="286">
        <v>3</v>
      </c>
      <c r="E33" s="1597">
        <f>IFERROR(SUM(E24:E27,E30:E32), 0)</f>
        <v>0</v>
      </c>
      <c r="F33" s="1597">
        <f t="shared" ref="F33:K33" si="30">IFERROR(SUM(F24:F27,F30:F32), 0)</f>
        <v>0</v>
      </c>
      <c r="G33" s="1597">
        <f t="shared" si="30"/>
        <v>0</v>
      </c>
      <c r="H33" s="1597">
        <f t="shared" si="30"/>
        <v>0</v>
      </c>
      <c r="I33" s="1597">
        <f t="shared" si="30"/>
        <v>0</v>
      </c>
      <c r="J33" s="1597">
        <f t="shared" si="30"/>
        <v>5.3810000000000002</v>
      </c>
      <c r="K33" s="1597">
        <f t="shared" si="30"/>
        <v>0</v>
      </c>
      <c r="L33" s="1598">
        <f t="shared" si="21"/>
        <v>5.3810000000000002</v>
      </c>
      <c r="N33" s="106"/>
      <c r="O33" s="290" t="s">
        <v>17782</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15742</v>
      </c>
      <c r="AG33" s="677" t="s">
        <v>17783</v>
      </c>
      <c r="AH33" s="677" t="s">
        <v>17784</v>
      </c>
      <c r="AI33" s="677" t="s">
        <v>17785</v>
      </c>
      <c r="AJ33" s="677" t="s">
        <v>17786</v>
      </c>
      <c r="AK33" s="677" t="s">
        <v>17787</v>
      </c>
      <c r="AL33" s="677" t="s">
        <v>17788</v>
      </c>
      <c r="AM33" s="677" t="s">
        <v>17789</v>
      </c>
      <c r="AN33" s="893" t="s">
        <v>17790</v>
      </c>
    </row>
    <row r="34" spans="2:42" s="197" customFormat="1" ht="15.75" customHeight="1">
      <c r="B34" s="460" t="s">
        <v>8320</v>
      </c>
      <c r="C34" s="286" t="s">
        <v>681</v>
      </c>
      <c r="D34" s="286">
        <v>3</v>
      </c>
      <c r="E34" s="697">
        <v>0</v>
      </c>
      <c r="F34" s="697">
        <v>0</v>
      </c>
      <c r="G34" s="697">
        <v>0</v>
      </c>
      <c r="H34" s="697">
        <v>0</v>
      </c>
      <c r="I34" s="697">
        <v>0</v>
      </c>
      <c r="J34" s="697">
        <v>1.615</v>
      </c>
      <c r="K34" s="697">
        <v>0</v>
      </c>
      <c r="L34" s="1598">
        <f t="shared" si="21"/>
        <v>1.615</v>
      </c>
      <c r="N34" s="106"/>
      <c r="O34" s="290" t="s">
        <v>17791</v>
      </c>
      <c r="P34" s="1023"/>
      <c r="Q34" s="291"/>
      <c r="R34" s="1023"/>
      <c r="S34" s="238"/>
      <c r="T34" s="1232">
        <f t="shared" si="22"/>
        <v>0</v>
      </c>
      <c r="U34" s="238"/>
      <c r="V34" s="285">
        <f t="shared" si="23"/>
        <v>0</v>
      </c>
      <c r="W34" s="285">
        <f t="shared" si="24"/>
        <v>0</v>
      </c>
      <c r="X34" s="285">
        <f t="shared" si="25"/>
        <v>0</v>
      </c>
      <c r="Y34" s="285">
        <f t="shared" si="26"/>
        <v>0</v>
      </c>
      <c r="Z34" s="285">
        <f t="shared" si="27"/>
        <v>0</v>
      </c>
      <c r="AA34" s="285">
        <f t="shared" si="28"/>
        <v>0</v>
      </c>
      <c r="AB34" s="285">
        <f t="shared" si="29"/>
        <v>0</v>
      </c>
      <c r="AC34" s="224"/>
      <c r="AD34" s="238"/>
      <c r="AE34" s="219"/>
      <c r="AF34" s="460" t="s">
        <v>8320</v>
      </c>
      <c r="AG34" s="905" t="s">
        <v>17792</v>
      </c>
      <c r="AH34" s="905" t="s">
        <v>17793</v>
      </c>
      <c r="AI34" s="905" t="s">
        <v>17794</v>
      </c>
      <c r="AJ34" s="905" t="s">
        <v>17795</v>
      </c>
      <c r="AK34" s="905" t="s">
        <v>17796</v>
      </c>
      <c r="AL34" s="905" t="s">
        <v>17797</v>
      </c>
      <c r="AM34" s="905" t="s">
        <v>17798</v>
      </c>
      <c r="AN34" s="893" t="s">
        <v>17799</v>
      </c>
    </row>
    <row r="35" spans="2:42" s="197" customFormat="1" ht="15.75" customHeight="1" thickBot="1">
      <c r="B35" s="463" t="s">
        <v>15760</v>
      </c>
      <c r="C35" s="355" t="s">
        <v>681</v>
      </c>
      <c r="D35" s="355">
        <v>3</v>
      </c>
      <c r="E35" s="1589">
        <f>IFERROR(E33 + E34, 0)</f>
        <v>0</v>
      </c>
      <c r="F35" s="1589">
        <f t="shared" ref="F35:K35" si="31">IFERROR(F33 + F34, 0)</f>
        <v>0</v>
      </c>
      <c r="G35" s="1589">
        <f t="shared" si="31"/>
        <v>0</v>
      </c>
      <c r="H35" s="1589">
        <f t="shared" si="31"/>
        <v>0</v>
      </c>
      <c r="I35" s="1589">
        <f t="shared" si="31"/>
        <v>0</v>
      </c>
      <c r="J35" s="1589">
        <f t="shared" si="31"/>
        <v>6.9960000000000004</v>
      </c>
      <c r="K35" s="1589">
        <f t="shared" si="31"/>
        <v>0</v>
      </c>
      <c r="L35" s="1599">
        <f t="shared" si="21"/>
        <v>6.9960000000000004</v>
      </c>
      <c r="N35" s="106"/>
      <c r="O35" s="356" t="s">
        <v>17800</v>
      </c>
      <c r="P35" s="1023"/>
      <c r="Q35" s="302"/>
      <c r="R35" s="1023"/>
      <c r="S35" s="238"/>
      <c r="T35" s="1232"/>
      <c r="U35" s="238"/>
      <c r="V35" s="224"/>
      <c r="W35" s="224"/>
      <c r="X35" s="224"/>
      <c r="Y35" s="224"/>
      <c r="Z35" s="224"/>
      <c r="AA35" s="224"/>
      <c r="AB35" s="224"/>
      <c r="AC35" s="224"/>
      <c r="AD35" s="238"/>
      <c r="AE35" s="219"/>
      <c r="AF35" s="463" t="s">
        <v>15760</v>
      </c>
      <c r="AG35" s="679" t="s">
        <v>17801</v>
      </c>
      <c r="AH35" s="679" t="s">
        <v>17802</v>
      </c>
      <c r="AI35" s="679" t="s">
        <v>17803</v>
      </c>
      <c r="AJ35" s="679" t="s">
        <v>17804</v>
      </c>
      <c r="AK35" s="679" t="s">
        <v>17805</v>
      </c>
      <c r="AL35" s="679" t="s">
        <v>17806</v>
      </c>
      <c r="AM35" s="679" t="s">
        <v>17807</v>
      </c>
      <c r="AN35" s="417" t="s">
        <v>17808</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7224</v>
      </c>
      <c r="C37" s="446" t="s">
        <v>7225</v>
      </c>
      <c r="D37" s="446" t="s">
        <v>670</v>
      </c>
      <c r="E37" s="446" t="s">
        <v>17809</v>
      </c>
      <c r="F37" s="446" t="s">
        <v>17810</v>
      </c>
      <c r="G37" s="446" t="s">
        <v>17811</v>
      </c>
      <c r="H37" s="446" t="s">
        <v>17812</v>
      </c>
      <c r="I37" s="446" t="s">
        <v>17813</v>
      </c>
      <c r="J37" s="446" t="s">
        <v>7742</v>
      </c>
      <c r="K37" s="447" t="s">
        <v>7445</v>
      </c>
      <c r="L37" s="349"/>
      <c r="M37" s="349"/>
      <c r="O37" s="349"/>
      <c r="P37" s="1014"/>
      <c r="Q37" s="1023"/>
      <c r="R37" s="1023"/>
      <c r="S37" s="238"/>
      <c r="T37" s="1232"/>
      <c r="U37" s="238"/>
      <c r="V37" s="224"/>
      <c r="W37" s="224"/>
      <c r="X37" s="224"/>
      <c r="Y37" s="224"/>
      <c r="Z37" s="224"/>
      <c r="AA37" s="224"/>
      <c r="AB37" s="224"/>
      <c r="AC37" s="224"/>
      <c r="AD37" s="238"/>
      <c r="AE37" s="219"/>
      <c r="AF37" s="445" t="s">
        <v>7224</v>
      </c>
      <c r="AG37" s="446" t="s">
        <v>17814</v>
      </c>
      <c r="AH37" s="446" t="s">
        <v>17815</v>
      </c>
      <c r="AI37" s="446" t="s">
        <v>17816</v>
      </c>
      <c r="AJ37" s="446" t="s">
        <v>17817</v>
      </c>
      <c r="AK37" s="446" t="s">
        <v>17813</v>
      </c>
      <c r="AL37" s="446" t="s">
        <v>7742</v>
      </c>
      <c r="AM37" s="447" t="s">
        <v>7445</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17818</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17818</v>
      </c>
      <c r="AG39" s="482"/>
      <c r="AH39" s="482"/>
      <c r="AI39" s="482"/>
      <c r="AJ39" s="482"/>
      <c r="AL39" s="106"/>
      <c r="AM39" s="106"/>
      <c r="AN39" s="106"/>
      <c r="AO39" s="106"/>
      <c r="AP39" s="106"/>
    </row>
    <row r="40" spans="2:42" s="197" customFormat="1" ht="15.75" customHeight="1" thickTop="1">
      <c r="B40" s="451" t="s">
        <v>8262</v>
      </c>
      <c r="C40" s="277" t="s">
        <v>681</v>
      </c>
      <c r="D40" s="277">
        <v>3</v>
      </c>
      <c r="E40" s="694">
        <v>0</v>
      </c>
      <c r="F40" s="694">
        <v>0</v>
      </c>
      <c r="G40" s="694">
        <v>0</v>
      </c>
      <c r="H40" s="694">
        <v>1E-3</v>
      </c>
      <c r="I40" s="694">
        <v>0</v>
      </c>
      <c r="J40" s="694">
        <v>0</v>
      </c>
      <c r="K40" s="1596">
        <f>IFERROR(SUM(E40:J40), 0)</f>
        <v>1E-3</v>
      </c>
      <c r="L40" s="106"/>
      <c r="M40" s="106"/>
      <c r="O40" s="281" t="s">
        <v>17819</v>
      </c>
      <c r="P40" s="1023"/>
      <c r="Q40" s="283"/>
      <c r="S40" s="238"/>
      <c r="T40" s="1232">
        <f t="shared" ref="T40:T43" si="32">IF( SUM( V40:AC40 ) = 0, 0, $V$5 )</f>
        <v>0</v>
      </c>
      <c r="U40" s="238"/>
      <c r="V40" s="285">
        <f t="shared" ref="V40:V43" si="33" xml:space="preserve"> IF( ISNUMBER(E40 ), 0, 1 )</f>
        <v>0</v>
      </c>
      <c r="W40" s="285">
        <f t="shared" ref="W40:W43" si="34" xml:space="preserve"> IF( ISNUMBER(F40 ), 0, 1 )</f>
        <v>0</v>
      </c>
      <c r="X40" s="285">
        <f t="shared" ref="X40:X43" si="35" xml:space="preserve"> IF( ISNUMBER(G40 ), 0, 1 )</f>
        <v>0</v>
      </c>
      <c r="Y40" s="285">
        <f t="shared" ref="Y40:Y43" si="36" xml:space="preserve"> IF( ISNUMBER(H40 ), 0, 1 )</f>
        <v>0</v>
      </c>
      <c r="Z40" s="285">
        <f t="shared" ref="Z40:Z43" si="37" xml:space="preserve"> IF( ISNUMBER(I40 ), 0, 1 )</f>
        <v>0</v>
      </c>
      <c r="AA40" s="285">
        <f t="shared" ref="AA40:AA43" si="38" xml:space="preserve"> IF( ISNUMBER(J40 ), 0, 1 )</f>
        <v>0</v>
      </c>
      <c r="AB40" s="224"/>
      <c r="AC40" s="224"/>
      <c r="AD40" s="238"/>
      <c r="AE40" s="219"/>
      <c r="AF40" s="451" t="s">
        <v>8262</v>
      </c>
      <c r="AG40" s="904" t="s">
        <v>17820</v>
      </c>
      <c r="AH40" s="904" t="s">
        <v>17821</v>
      </c>
      <c r="AI40" s="904" t="s">
        <v>17822</v>
      </c>
      <c r="AJ40" s="904" t="s">
        <v>17823</v>
      </c>
      <c r="AK40" s="904" t="s">
        <v>17824</v>
      </c>
      <c r="AL40" s="904" t="s">
        <v>17825</v>
      </c>
      <c r="AM40" s="416" t="s">
        <v>17826</v>
      </c>
      <c r="AN40" s="106"/>
      <c r="AO40" s="106"/>
    </row>
    <row r="41" spans="2:42" s="197" customFormat="1" ht="15.75" customHeight="1">
      <c r="B41" s="460" t="s">
        <v>8270</v>
      </c>
      <c r="C41" s="286" t="s">
        <v>681</v>
      </c>
      <c r="D41" s="286">
        <v>3</v>
      </c>
      <c r="E41" s="697">
        <v>0</v>
      </c>
      <c r="F41" s="697">
        <v>0</v>
      </c>
      <c r="G41" s="697">
        <v>0</v>
      </c>
      <c r="H41" s="697">
        <v>0</v>
      </c>
      <c r="I41" s="697">
        <v>0</v>
      </c>
      <c r="J41" s="697">
        <v>0</v>
      </c>
      <c r="K41" s="1598">
        <f>IFERROR(SUM(E41:J41), 0)</f>
        <v>0</v>
      </c>
      <c r="L41" s="106"/>
      <c r="M41" s="106"/>
      <c r="O41" s="290" t="s">
        <v>17827</v>
      </c>
      <c r="P41" s="1023"/>
      <c r="Q41" s="291"/>
      <c r="S41" s="238"/>
      <c r="T41" s="1232">
        <f t="shared" si="32"/>
        <v>0</v>
      </c>
      <c r="U41" s="238"/>
      <c r="V41" s="285">
        <f t="shared" si="33"/>
        <v>0</v>
      </c>
      <c r="W41" s="285">
        <f t="shared" si="34"/>
        <v>0</v>
      </c>
      <c r="X41" s="285">
        <f t="shared" si="35"/>
        <v>0</v>
      </c>
      <c r="Y41" s="285">
        <f t="shared" si="36"/>
        <v>0</v>
      </c>
      <c r="Z41" s="285">
        <f t="shared" si="37"/>
        <v>0</v>
      </c>
      <c r="AA41" s="285">
        <f t="shared" si="38"/>
        <v>0</v>
      </c>
      <c r="AB41" s="224"/>
      <c r="AC41" s="224"/>
      <c r="AD41" s="238"/>
      <c r="AE41" s="219"/>
      <c r="AF41" s="460" t="s">
        <v>8270</v>
      </c>
      <c r="AG41" s="905" t="s">
        <v>17828</v>
      </c>
      <c r="AH41" s="905" t="s">
        <v>17829</v>
      </c>
      <c r="AI41" s="905" t="s">
        <v>17830</v>
      </c>
      <c r="AJ41" s="905" t="s">
        <v>17831</v>
      </c>
      <c r="AK41" s="905" t="s">
        <v>17832</v>
      </c>
      <c r="AL41" s="905" t="s">
        <v>17833</v>
      </c>
      <c r="AM41" s="893" t="s">
        <v>17834</v>
      </c>
      <c r="AN41" s="106"/>
      <c r="AO41" s="106"/>
    </row>
    <row r="42" spans="2:42" s="197" customFormat="1" ht="15.75" customHeight="1">
      <c r="B42" s="460" t="s">
        <v>17669</v>
      </c>
      <c r="C42" s="286" t="s">
        <v>681</v>
      </c>
      <c r="D42" s="286">
        <v>3</v>
      </c>
      <c r="E42" s="697">
        <v>0</v>
      </c>
      <c r="F42" s="697">
        <v>0</v>
      </c>
      <c r="G42" s="697">
        <v>0</v>
      </c>
      <c r="H42" s="697">
        <v>0</v>
      </c>
      <c r="I42" s="697">
        <v>0</v>
      </c>
      <c r="J42" s="697">
        <v>0</v>
      </c>
      <c r="K42" s="1598">
        <f>IFERROR(SUM(E42:J42), 0)</f>
        <v>0</v>
      </c>
      <c r="L42" s="106"/>
      <c r="M42" s="106"/>
      <c r="O42" s="290" t="s">
        <v>17835</v>
      </c>
      <c r="P42" s="1372"/>
      <c r="Q42" s="291"/>
      <c r="S42" s="238"/>
      <c r="T42" s="1232">
        <f t="shared" si="32"/>
        <v>0</v>
      </c>
      <c r="U42" s="238"/>
      <c r="V42" s="285">
        <f t="shared" si="33"/>
        <v>0</v>
      </c>
      <c r="W42" s="285">
        <f t="shared" si="34"/>
        <v>0</v>
      </c>
      <c r="X42" s="285">
        <f t="shared" si="35"/>
        <v>0</v>
      </c>
      <c r="Y42" s="285">
        <f t="shared" si="36"/>
        <v>0</v>
      </c>
      <c r="Z42" s="285">
        <f t="shared" si="37"/>
        <v>0</v>
      </c>
      <c r="AA42" s="285">
        <f t="shared" si="38"/>
        <v>0</v>
      </c>
      <c r="AB42" s="224"/>
      <c r="AC42" s="224"/>
      <c r="AD42" s="238"/>
      <c r="AE42" s="219"/>
      <c r="AF42" s="460" t="s">
        <v>17669</v>
      </c>
      <c r="AG42" s="905" t="s">
        <v>17836</v>
      </c>
      <c r="AH42" s="905" t="s">
        <v>17837</v>
      </c>
      <c r="AI42" s="905" t="s">
        <v>17838</v>
      </c>
      <c r="AJ42" s="905" t="s">
        <v>17839</v>
      </c>
      <c r="AK42" s="905" t="s">
        <v>17840</v>
      </c>
      <c r="AL42" s="905" t="s">
        <v>17841</v>
      </c>
      <c r="AM42" s="893" t="s">
        <v>17842</v>
      </c>
      <c r="AN42" s="106"/>
      <c r="AO42" s="106"/>
    </row>
    <row r="43" spans="2:42" s="197" customFormat="1" ht="15.75" customHeight="1" thickBot="1">
      <c r="B43" s="463" t="s">
        <v>12204</v>
      </c>
      <c r="C43" s="355" t="s">
        <v>681</v>
      </c>
      <c r="D43" s="355">
        <v>3</v>
      </c>
      <c r="E43" s="1640">
        <v>0</v>
      </c>
      <c r="F43" s="1640">
        <v>0</v>
      </c>
      <c r="G43" s="1640">
        <v>0</v>
      </c>
      <c r="H43" s="1640">
        <v>0</v>
      </c>
      <c r="I43" s="1640">
        <v>0</v>
      </c>
      <c r="J43" s="1640">
        <v>0</v>
      </c>
      <c r="K43" s="1599">
        <f>IFERROR(SUM(E43:J43), 0)</f>
        <v>0</v>
      </c>
      <c r="L43" s="106"/>
      <c r="M43" s="106"/>
      <c r="O43" s="356" t="s">
        <v>17843</v>
      </c>
      <c r="P43" s="1023"/>
      <c r="Q43" s="302"/>
      <c r="S43" s="238"/>
      <c r="T43" s="1232">
        <f t="shared" si="32"/>
        <v>0</v>
      </c>
      <c r="U43" s="238"/>
      <c r="V43" s="285">
        <f t="shared" si="33"/>
        <v>0</v>
      </c>
      <c r="W43" s="285">
        <f t="shared" si="34"/>
        <v>0</v>
      </c>
      <c r="X43" s="285">
        <f t="shared" si="35"/>
        <v>0</v>
      </c>
      <c r="Y43" s="285">
        <f t="shared" si="36"/>
        <v>0</v>
      </c>
      <c r="Z43" s="285">
        <f t="shared" si="37"/>
        <v>0</v>
      </c>
      <c r="AA43" s="285">
        <f t="shared" si="38"/>
        <v>0</v>
      </c>
      <c r="AB43" s="224"/>
      <c r="AC43" s="224"/>
      <c r="AD43" s="238"/>
      <c r="AE43" s="219"/>
      <c r="AF43" s="463" t="s">
        <v>12204</v>
      </c>
      <c r="AG43" s="1042" t="s">
        <v>17844</v>
      </c>
      <c r="AH43" s="1042" t="s">
        <v>17845</v>
      </c>
      <c r="AI43" s="1042" t="s">
        <v>17846</v>
      </c>
      <c r="AJ43" s="1042" t="s">
        <v>17847</v>
      </c>
      <c r="AK43" s="1042" t="s">
        <v>17848</v>
      </c>
      <c r="AL43" s="1042" t="s">
        <v>17849</v>
      </c>
      <c r="AM43" s="417" t="s">
        <v>17850</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8313</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8313</v>
      </c>
      <c r="AG45" s="482"/>
      <c r="AH45" s="482"/>
      <c r="AI45" s="482"/>
      <c r="AJ45" s="482"/>
      <c r="AL45" s="86"/>
      <c r="AM45" s="86"/>
      <c r="AN45" s="349"/>
      <c r="AO45" s="349"/>
      <c r="AP45" s="349"/>
    </row>
    <row r="46" spans="2:42" s="197" customFormat="1" ht="15.75" customHeight="1" thickTop="1">
      <c r="B46" s="451" t="s">
        <v>8295</v>
      </c>
      <c r="C46" s="277" t="s">
        <v>681</v>
      </c>
      <c r="D46" s="277">
        <v>3</v>
      </c>
      <c r="E46" s="694">
        <v>0</v>
      </c>
      <c r="F46" s="694">
        <v>0</v>
      </c>
      <c r="G46" s="694">
        <v>0</v>
      </c>
      <c r="H46" s="694">
        <v>0</v>
      </c>
      <c r="I46" s="694">
        <v>0</v>
      </c>
      <c r="J46" s="694">
        <v>0</v>
      </c>
      <c r="K46" s="1596">
        <f t="shared" ref="K46:K51" si="39">IFERROR(SUM(E46:J46), 0)</f>
        <v>0</v>
      </c>
      <c r="L46" s="349"/>
      <c r="M46" s="349"/>
      <c r="O46" s="281" t="s">
        <v>17851</v>
      </c>
      <c r="P46" s="1023"/>
      <c r="Q46" s="283"/>
      <c r="S46" s="238"/>
      <c r="T46" s="1232">
        <f t="shared" ref="T46:T48" si="40">IF( SUM( V46:AC46 ) = 0, 0, $V$5 )</f>
        <v>0</v>
      </c>
      <c r="U46" s="238"/>
      <c r="V46" s="285">
        <f t="shared" ref="V46:V48" si="41" xml:space="preserve"> IF( ISNUMBER(E46 ), 0, 1 )</f>
        <v>0</v>
      </c>
      <c r="W46" s="285">
        <f t="shared" ref="W46:W48" si="42" xml:space="preserve"> IF( ISNUMBER(F46 ), 0, 1 )</f>
        <v>0</v>
      </c>
      <c r="X46" s="285">
        <f t="shared" ref="X46:X48" si="43" xml:space="preserve"> IF( ISNUMBER(G46 ), 0, 1 )</f>
        <v>0</v>
      </c>
      <c r="Y46" s="285">
        <f t="shared" ref="Y46:Y48" si="44" xml:space="preserve"> IF( ISNUMBER(H46 ), 0, 1 )</f>
        <v>0</v>
      </c>
      <c r="Z46" s="285">
        <f t="shared" ref="Z46:Z48" si="45" xml:space="preserve"> IF( ISNUMBER(I46 ), 0, 1 )</f>
        <v>0</v>
      </c>
      <c r="AA46" s="285">
        <f t="shared" ref="AA46:AA48" si="46" xml:space="preserve"> IF( ISNUMBER(J46 ), 0, 1 )</f>
        <v>0</v>
      </c>
      <c r="AB46" s="224"/>
      <c r="AC46" s="224"/>
      <c r="AD46" s="238"/>
      <c r="AE46" s="219"/>
      <c r="AF46" s="451" t="s">
        <v>8295</v>
      </c>
      <c r="AG46" s="904" t="s">
        <v>17852</v>
      </c>
      <c r="AH46" s="904" t="s">
        <v>17853</v>
      </c>
      <c r="AI46" s="904" t="s">
        <v>17854</v>
      </c>
      <c r="AJ46" s="904" t="s">
        <v>17855</v>
      </c>
      <c r="AK46" s="904" t="s">
        <v>17856</v>
      </c>
      <c r="AL46" s="904" t="s">
        <v>17857</v>
      </c>
      <c r="AM46" s="416" t="s">
        <v>17858</v>
      </c>
      <c r="AN46" s="349"/>
      <c r="AO46" s="349"/>
      <c r="AP46" s="349"/>
    </row>
    <row r="47" spans="2:42" s="197" customFormat="1" ht="15.75" customHeight="1">
      <c r="B47" s="460" t="s">
        <v>8303</v>
      </c>
      <c r="C47" s="286" t="s">
        <v>681</v>
      </c>
      <c r="D47" s="286">
        <v>3</v>
      </c>
      <c r="E47" s="697">
        <v>0</v>
      </c>
      <c r="F47" s="697">
        <v>0</v>
      </c>
      <c r="G47" s="697">
        <v>0</v>
      </c>
      <c r="H47" s="697">
        <v>6.0000000000000001E-3</v>
      </c>
      <c r="I47" s="697">
        <v>0</v>
      </c>
      <c r="J47" s="697">
        <v>0</v>
      </c>
      <c r="K47" s="1598">
        <f t="shared" si="39"/>
        <v>6.0000000000000001E-3</v>
      </c>
      <c r="L47" s="349"/>
      <c r="M47" s="349"/>
      <c r="O47" s="290" t="s">
        <v>17859</v>
      </c>
      <c r="P47" s="1023"/>
      <c r="Q47" s="291"/>
      <c r="S47" s="238"/>
      <c r="T47" s="1232">
        <f t="shared" si="40"/>
        <v>0</v>
      </c>
      <c r="U47" s="238"/>
      <c r="V47" s="285">
        <f t="shared" si="41"/>
        <v>0</v>
      </c>
      <c r="W47" s="285">
        <f t="shared" si="42"/>
        <v>0</v>
      </c>
      <c r="X47" s="285">
        <f t="shared" si="43"/>
        <v>0</v>
      </c>
      <c r="Y47" s="285">
        <f t="shared" si="44"/>
        <v>0</v>
      </c>
      <c r="Z47" s="285">
        <f t="shared" si="45"/>
        <v>0</v>
      </c>
      <c r="AA47" s="285">
        <f t="shared" si="46"/>
        <v>0</v>
      </c>
      <c r="AB47" s="224"/>
      <c r="AC47" s="224"/>
      <c r="AD47" s="238"/>
      <c r="AE47" s="219"/>
      <c r="AF47" s="460" t="s">
        <v>8303</v>
      </c>
      <c r="AG47" s="905" t="s">
        <v>17860</v>
      </c>
      <c r="AH47" s="905" t="s">
        <v>17861</v>
      </c>
      <c r="AI47" s="905" t="s">
        <v>17862</v>
      </c>
      <c r="AJ47" s="905" t="s">
        <v>17863</v>
      </c>
      <c r="AK47" s="905" t="s">
        <v>17864</v>
      </c>
      <c r="AL47" s="905" t="s">
        <v>17865</v>
      </c>
      <c r="AM47" s="893" t="s">
        <v>17866</v>
      </c>
      <c r="AN47" s="349"/>
      <c r="AO47" s="349"/>
      <c r="AP47" s="349"/>
    </row>
    <row r="48" spans="2:42" s="197" customFormat="1" ht="15.75" customHeight="1">
      <c r="B48" s="460" t="s">
        <v>15740</v>
      </c>
      <c r="C48" s="286" t="s">
        <v>681</v>
      </c>
      <c r="D48" s="286">
        <v>3</v>
      </c>
      <c r="E48" s="697">
        <v>0</v>
      </c>
      <c r="F48" s="697">
        <v>0</v>
      </c>
      <c r="G48" s="697">
        <v>0</v>
      </c>
      <c r="H48" s="697">
        <v>1.141</v>
      </c>
      <c r="I48" s="697">
        <v>0</v>
      </c>
      <c r="J48" s="697">
        <v>0</v>
      </c>
      <c r="K48" s="1598">
        <f t="shared" si="39"/>
        <v>1.141</v>
      </c>
      <c r="L48" s="349"/>
      <c r="M48" s="349"/>
      <c r="O48" s="290" t="s">
        <v>17867</v>
      </c>
      <c r="P48" s="1023"/>
      <c r="Q48" s="291"/>
      <c r="S48" s="238"/>
      <c r="T48" s="1232">
        <f t="shared" si="40"/>
        <v>0</v>
      </c>
      <c r="U48" s="238"/>
      <c r="V48" s="285">
        <f t="shared" si="41"/>
        <v>0</v>
      </c>
      <c r="W48" s="285">
        <f t="shared" si="42"/>
        <v>0</v>
      </c>
      <c r="X48" s="285">
        <f t="shared" si="43"/>
        <v>0</v>
      </c>
      <c r="Y48" s="285">
        <f t="shared" si="44"/>
        <v>0</v>
      </c>
      <c r="Z48" s="285">
        <f t="shared" si="45"/>
        <v>0</v>
      </c>
      <c r="AA48" s="285">
        <f t="shared" si="46"/>
        <v>0</v>
      </c>
      <c r="AB48" s="224"/>
      <c r="AC48" s="224"/>
      <c r="AD48" s="238"/>
      <c r="AE48" s="219"/>
      <c r="AF48" s="460" t="s">
        <v>17691</v>
      </c>
      <c r="AG48" s="905" t="s">
        <v>17868</v>
      </c>
      <c r="AH48" s="905" t="s">
        <v>17869</v>
      </c>
      <c r="AI48" s="905" t="s">
        <v>17870</v>
      </c>
      <c r="AJ48" s="905" t="s">
        <v>17871</v>
      </c>
      <c r="AK48" s="905" t="s">
        <v>17872</v>
      </c>
      <c r="AL48" s="905" t="s">
        <v>17873</v>
      </c>
      <c r="AM48" s="893" t="s">
        <v>17874</v>
      </c>
      <c r="AN48" s="349"/>
      <c r="AO48" s="349"/>
      <c r="AP48" s="349"/>
    </row>
    <row r="49" spans="1:42" s="197" customFormat="1" ht="15.75" customHeight="1">
      <c r="B49" s="460" t="s">
        <v>17696</v>
      </c>
      <c r="C49" s="286" t="s">
        <v>681</v>
      </c>
      <c r="D49" s="286">
        <v>3</v>
      </c>
      <c r="E49" s="1597">
        <f>IFERROR(SUM(E40:E43,E46:E48), 0)</f>
        <v>0</v>
      </c>
      <c r="F49" s="1597">
        <f>IFERROR(SUM(F40:F43,F46:F48), 0)</f>
        <v>0</v>
      </c>
      <c r="G49" s="1597">
        <f>IFERROR(SUM(G40:G43,G46:G48), 0)</f>
        <v>0</v>
      </c>
      <c r="H49" s="1597">
        <f>IFERROR(SUM(H40:H43,H46:H48), 0)</f>
        <v>1.1479999999999999</v>
      </c>
      <c r="I49" s="1597">
        <f t="shared" ref="I49" si="47">IFERROR(SUM(I40:I43,I46:I48), 0)</f>
        <v>0</v>
      </c>
      <c r="J49" s="1597">
        <f>IFERROR(SUM(J40:J43,J46:J48), 0)</f>
        <v>0</v>
      </c>
      <c r="K49" s="1598">
        <f t="shared" si="39"/>
        <v>1.1479999999999999</v>
      </c>
      <c r="L49" s="349"/>
      <c r="M49" s="349"/>
      <c r="O49" s="290" t="s">
        <v>17875</v>
      </c>
      <c r="P49" s="1023"/>
      <c r="Q49" s="291"/>
      <c r="S49" s="238"/>
      <c r="T49" s="1232"/>
      <c r="U49" s="238"/>
      <c r="V49" s="224"/>
      <c r="W49" s="224"/>
      <c r="X49" s="224"/>
      <c r="Y49" s="224"/>
      <c r="Z49" s="224"/>
      <c r="AA49" s="224"/>
      <c r="AB49" s="224"/>
      <c r="AC49" s="224"/>
      <c r="AD49" s="238"/>
      <c r="AE49" s="219"/>
      <c r="AF49" s="460" t="s">
        <v>17696</v>
      </c>
      <c r="AG49" s="677" t="s">
        <v>17876</v>
      </c>
      <c r="AH49" s="677" t="s">
        <v>17877</v>
      </c>
      <c r="AI49" s="677" t="s">
        <v>17878</v>
      </c>
      <c r="AJ49" s="677" t="s">
        <v>17879</v>
      </c>
      <c r="AK49" s="677" t="s">
        <v>17880</v>
      </c>
      <c r="AL49" s="677" t="s">
        <v>17881</v>
      </c>
      <c r="AM49" s="893" t="s">
        <v>17882</v>
      </c>
      <c r="AN49" s="349"/>
      <c r="AO49" s="349"/>
      <c r="AP49" s="349"/>
    </row>
    <row r="50" spans="1:42" s="197" customFormat="1" ht="15.75" customHeight="1">
      <c r="B50" s="460" t="s">
        <v>8320</v>
      </c>
      <c r="C50" s="286" t="s">
        <v>681</v>
      </c>
      <c r="D50" s="286">
        <v>3</v>
      </c>
      <c r="E50" s="697">
        <v>0</v>
      </c>
      <c r="F50" s="697">
        <v>0</v>
      </c>
      <c r="G50" s="697">
        <v>0</v>
      </c>
      <c r="H50" s="697">
        <v>0</v>
      </c>
      <c r="I50" s="697">
        <v>0</v>
      </c>
      <c r="J50" s="697">
        <v>0</v>
      </c>
      <c r="K50" s="1598">
        <f t="shared" si="39"/>
        <v>0</v>
      </c>
      <c r="L50" s="349"/>
      <c r="M50" s="349"/>
      <c r="O50" s="290" t="s">
        <v>17883</v>
      </c>
      <c r="P50" s="1023"/>
      <c r="Q50" s="291"/>
      <c r="S50" s="238"/>
      <c r="T50" s="1232">
        <f>IF( SUM( V50:AC50 ) = 0, 0, $V$5 )</f>
        <v>0</v>
      </c>
      <c r="U50" s="238"/>
      <c r="V50" s="285">
        <f t="shared" ref="V50" si="48" xml:space="preserve"> IF( ISNUMBER(E50 ), 0, 1 )</f>
        <v>0</v>
      </c>
      <c r="W50" s="285">
        <f t="shared" ref="W50" si="49" xml:space="preserve"> IF( ISNUMBER(F50 ), 0, 1 )</f>
        <v>0</v>
      </c>
      <c r="X50" s="285">
        <f t="shared" ref="X50" si="50" xml:space="preserve"> IF( ISNUMBER(G50 ), 0, 1 )</f>
        <v>0</v>
      </c>
      <c r="Y50" s="285">
        <f t="shared" ref="Y50" si="51" xml:space="preserve"> IF( ISNUMBER(H50 ), 0, 1 )</f>
        <v>0</v>
      </c>
      <c r="Z50" s="285">
        <f t="shared" ref="Z50" si="52" xml:space="preserve"> IF( ISNUMBER(I50 ), 0, 1 )</f>
        <v>0</v>
      </c>
      <c r="AA50" s="285">
        <f t="shared" ref="AA50" si="53" xml:space="preserve"> IF( ISNUMBER(J50 ), 0, 1 )</f>
        <v>0</v>
      </c>
      <c r="AB50" s="224"/>
      <c r="AC50" s="224"/>
      <c r="AD50" s="238"/>
      <c r="AE50" s="219"/>
      <c r="AF50" s="460" t="s">
        <v>8320</v>
      </c>
      <c r="AG50" s="905" t="s">
        <v>17884</v>
      </c>
      <c r="AH50" s="905" t="s">
        <v>17885</v>
      </c>
      <c r="AI50" s="905" t="s">
        <v>17886</v>
      </c>
      <c r="AJ50" s="905" t="s">
        <v>17887</v>
      </c>
      <c r="AK50" s="905" t="s">
        <v>17888</v>
      </c>
      <c r="AL50" s="905" t="s">
        <v>17889</v>
      </c>
      <c r="AM50" s="893" t="s">
        <v>17890</v>
      </c>
      <c r="AN50" s="349"/>
      <c r="AO50" s="349"/>
      <c r="AP50" s="349"/>
    </row>
    <row r="51" spans="1:42" s="197" customFormat="1" ht="15.75" customHeight="1" thickBot="1">
      <c r="B51" s="463" t="s">
        <v>15760</v>
      </c>
      <c r="C51" s="355" t="s">
        <v>681</v>
      </c>
      <c r="D51" s="355">
        <v>3</v>
      </c>
      <c r="E51" s="1589">
        <f>IFERROR(E49 + E50, 0)</f>
        <v>0</v>
      </c>
      <c r="F51" s="1589">
        <f t="shared" ref="F51:I51" si="54">IFERROR(F49 + F50, 0)</f>
        <v>0</v>
      </c>
      <c r="G51" s="1589">
        <f t="shared" si="54"/>
        <v>0</v>
      </c>
      <c r="H51" s="1589">
        <f t="shared" si="54"/>
        <v>1.1479999999999999</v>
      </c>
      <c r="I51" s="1589">
        <f t="shared" si="54"/>
        <v>0</v>
      </c>
      <c r="J51" s="1589">
        <f>IFERROR(J49 + J50, 0)</f>
        <v>0</v>
      </c>
      <c r="K51" s="1599">
        <f t="shared" si="39"/>
        <v>1.1479999999999999</v>
      </c>
      <c r="L51" s="349"/>
      <c r="M51" s="349"/>
      <c r="O51" s="356" t="s">
        <v>17891</v>
      </c>
      <c r="P51" s="1023"/>
      <c r="Q51" s="302"/>
      <c r="S51" s="238"/>
      <c r="T51" s="1232"/>
      <c r="U51" s="238"/>
      <c r="V51" s="224"/>
      <c r="W51" s="224"/>
      <c r="X51" s="224"/>
      <c r="Y51" s="224"/>
      <c r="Z51" s="224"/>
      <c r="AA51" s="224"/>
      <c r="AB51" s="224"/>
      <c r="AC51" s="224"/>
      <c r="AD51" s="238"/>
      <c r="AE51" s="219"/>
      <c r="AF51" s="463" t="s">
        <v>15760</v>
      </c>
      <c r="AG51" s="679" t="s">
        <v>17892</v>
      </c>
      <c r="AH51" s="679" t="s">
        <v>17893</v>
      </c>
      <c r="AI51" s="679" t="s">
        <v>17894</v>
      </c>
      <c r="AJ51" s="679" t="s">
        <v>17895</v>
      </c>
      <c r="AK51" s="679" t="s">
        <v>17896</v>
      </c>
      <c r="AL51" s="679" t="s">
        <v>17897</v>
      </c>
      <c r="AM51" s="417" t="s">
        <v>17898</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tabColor rgb="FF00B050"/>
    <pageSetUpPr fitToPage="1"/>
  </sheetPr>
  <dimension ref="A1:AM57"/>
  <sheetViews>
    <sheetView showGridLines="0" topLeftCell="C23" zoomScale="50" zoomScaleNormal="50" zoomScaleSheetLayoutView="100" workbookViewId="0">
      <selection activeCell="J53" sqref="J53"/>
    </sheetView>
  </sheetViews>
  <sheetFormatPr defaultColWidth="9" defaultRowHeight="15.75"/>
  <cols>
    <col min="1" max="1" width="1.625" style="705" customWidth="1"/>
    <col min="2" max="2" width="63.75" style="705" customWidth="1"/>
    <col min="3" max="4" width="19.75" style="1312" bestFit="1" customWidth="1"/>
    <col min="5" max="12" width="12.5" style="705" customWidth="1"/>
    <col min="13" max="13" width="1.625" style="1412" customWidth="1"/>
    <col min="14" max="14" width="12.5" style="1412" customWidth="1"/>
    <col min="15" max="15" width="1.625" style="1404" customWidth="1"/>
    <col min="16" max="16" width="33.625" style="1404" customWidth="1"/>
    <col min="17" max="17" width="1.625" style="1404" customWidth="1"/>
    <col min="18" max="18" width="1.625" style="219" customWidth="1"/>
    <col min="19" max="19" width="21.125" style="705" customWidth="1"/>
    <col min="20" max="20" width="1.625" style="219" customWidth="1"/>
    <col min="21" max="28" width="9" style="705" hidden="1" customWidth="1"/>
    <col min="29" max="29" width="1.625" style="219" hidden="1" customWidth="1"/>
    <col min="30" max="30" width="1.625" style="219" customWidth="1"/>
    <col min="31" max="31" width="36.125" style="219" customWidth="1"/>
    <col min="32" max="38" width="16.625" style="219" customWidth="1"/>
    <col min="39" max="39" width="16.625" style="705" customWidth="1"/>
    <col min="40" max="40" width="1.625" style="705" customWidth="1"/>
    <col min="41" max="16384" width="9" style="705"/>
  </cols>
  <sheetData>
    <row r="1" spans="1:39" s="1366" customFormat="1" ht="30" customHeight="1">
      <c r="B1" s="1229" t="s">
        <v>17899</v>
      </c>
      <c r="C1" s="1229"/>
      <c r="D1" s="1229"/>
      <c r="E1" s="1229"/>
      <c r="F1" s="1229"/>
      <c r="G1" s="1229"/>
      <c r="H1" s="1229"/>
      <c r="I1" s="1229"/>
      <c r="J1" s="1229"/>
      <c r="K1" s="1229"/>
      <c r="L1" s="1373"/>
      <c r="M1" s="1373"/>
      <c r="N1" s="1373"/>
      <c r="O1" s="1374"/>
      <c r="P1" s="1374"/>
      <c r="Q1" s="1374"/>
      <c r="R1" s="238"/>
      <c r="T1" s="238"/>
      <c r="AC1" s="238"/>
      <c r="AD1" s="1375"/>
      <c r="AE1" s="1229" t="s">
        <v>7220</v>
      </c>
      <c r="AF1" s="1229"/>
      <c r="AG1" s="1229"/>
      <c r="AH1" s="1229"/>
      <c r="AI1" s="1229"/>
      <c r="AJ1" s="1229"/>
      <c r="AK1" s="1229"/>
      <c r="AL1" s="1229"/>
      <c r="AM1" s="1229"/>
    </row>
    <row r="2" spans="1:39" s="1366" customFormat="1" ht="30" customHeight="1">
      <c r="B2" s="1229" t="str">
        <f>SelectCompany!B4</f>
        <v>Northumbrian Water</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07" t="s">
        <v>17900</v>
      </c>
      <c r="C3" s="2807"/>
      <c r="D3" s="2807"/>
      <c r="E3" s="2807"/>
      <c r="F3" s="2807"/>
      <c r="G3" s="2807"/>
      <c r="H3" s="2807"/>
      <c r="I3" s="2807"/>
      <c r="J3" s="2807"/>
      <c r="K3" s="2807"/>
      <c r="L3" s="2807"/>
      <c r="M3" s="2807"/>
      <c r="N3" s="2807"/>
      <c r="O3" s="2807"/>
      <c r="P3" s="2807"/>
      <c r="Q3" s="1379"/>
      <c r="R3" s="238"/>
      <c r="S3" s="1240" t="s">
        <v>7222</v>
      </c>
      <c r="T3" s="238"/>
      <c r="AC3" s="238"/>
      <c r="AD3" s="270"/>
      <c r="AE3" s="2807" t="s">
        <v>17900</v>
      </c>
      <c r="AF3" s="2807"/>
      <c r="AG3" s="2807"/>
      <c r="AH3" s="2807"/>
      <c r="AI3" s="2807"/>
      <c r="AJ3" s="2807"/>
      <c r="AK3" s="2807"/>
      <c r="AL3" s="2807"/>
      <c r="AM3" s="2807"/>
    </row>
    <row r="4" spans="1:39" ht="15" customHeight="1" thickBot="1">
      <c r="B4" s="690"/>
      <c r="C4" s="690"/>
      <c r="D4" s="690"/>
      <c r="E4" s="690"/>
      <c r="F4" s="690"/>
      <c r="G4" s="690"/>
      <c r="H4" s="690"/>
      <c r="I4" s="690"/>
      <c r="J4" s="690"/>
      <c r="K4" s="690"/>
      <c r="L4" s="1380"/>
      <c r="M4" s="1381"/>
      <c r="N4" s="1381"/>
      <c r="O4" s="1379"/>
      <c r="P4" s="1379"/>
      <c r="Q4" s="1379"/>
      <c r="R4" s="238"/>
      <c r="T4" s="238"/>
      <c r="U4" s="2919" t="s">
        <v>7223</v>
      </c>
      <c r="V4" s="2919"/>
      <c r="W4" s="2919"/>
      <c r="X4" s="2919"/>
      <c r="Y4" s="2919"/>
      <c r="Z4" s="2919"/>
      <c r="AA4" s="2919"/>
      <c r="AB4" s="2919"/>
      <c r="AC4" s="238"/>
      <c r="AE4" s="690"/>
      <c r="AF4" s="690"/>
      <c r="AG4" s="690"/>
      <c r="AH4" s="690"/>
      <c r="AI4" s="690"/>
      <c r="AJ4" s="690"/>
      <c r="AK4" s="690"/>
      <c r="AL4" s="690"/>
      <c r="AM4" s="690"/>
    </row>
    <row r="5" spans="1:39" ht="30" customHeight="1" thickTop="1">
      <c r="A5" s="200"/>
      <c r="B5" s="2711" t="s">
        <v>7224</v>
      </c>
      <c r="C5" s="2673" t="s">
        <v>7225</v>
      </c>
      <c r="D5" s="2673" t="s">
        <v>670</v>
      </c>
      <c r="E5" s="670" t="s">
        <v>17901</v>
      </c>
      <c r="F5" s="670" t="s">
        <v>17902</v>
      </c>
      <c r="G5" s="670" t="s">
        <v>17903</v>
      </c>
      <c r="H5" s="670" t="s">
        <v>7445</v>
      </c>
      <c r="I5" s="670" t="s">
        <v>17901</v>
      </c>
      <c r="J5" s="670" t="s">
        <v>17902</v>
      </c>
      <c r="K5" s="670" t="s">
        <v>17903</v>
      </c>
      <c r="L5" s="671" t="s">
        <v>7445</v>
      </c>
      <c r="M5" s="200"/>
      <c r="N5" s="2790" t="s">
        <v>7229</v>
      </c>
      <c r="O5" s="864"/>
      <c r="P5" s="2790" t="s">
        <v>7230</v>
      </c>
      <c r="Q5" s="864"/>
      <c r="R5" s="238"/>
      <c r="T5" s="238"/>
      <c r="U5" s="269" t="s">
        <v>7231</v>
      </c>
      <c r="AC5" s="238"/>
      <c r="AE5" s="2711" t="s">
        <v>7224</v>
      </c>
      <c r="AF5" s="670" t="s">
        <v>17901</v>
      </c>
      <c r="AG5" s="670" t="s">
        <v>17902</v>
      </c>
      <c r="AH5" s="670" t="s">
        <v>17903</v>
      </c>
      <c r="AI5" s="670" t="s">
        <v>7445</v>
      </c>
      <c r="AJ5" s="670" t="s">
        <v>17901</v>
      </c>
      <c r="AK5" s="670" t="s">
        <v>17902</v>
      </c>
      <c r="AL5" s="670" t="s">
        <v>17903</v>
      </c>
      <c r="AM5" s="671" t="s">
        <v>7445</v>
      </c>
    </row>
    <row r="6" spans="1:39" ht="30" customHeight="1" thickBot="1">
      <c r="A6" s="200"/>
      <c r="B6" s="2712"/>
      <c r="C6" s="2674"/>
      <c r="D6" s="2674"/>
      <c r="E6" s="271" t="s">
        <v>17904</v>
      </c>
      <c r="F6" s="271" t="s">
        <v>17904</v>
      </c>
      <c r="G6" s="271" t="s">
        <v>17904</v>
      </c>
      <c r="H6" s="271" t="s">
        <v>17904</v>
      </c>
      <c r="I6" s="271" t="s">
        <v>17905</v>
      </c>
      <c r="J6" s="271" t="s">
        <v>17905</v>
      </c>
      <c r="K6" s="271" t="s">
        <v>17905</v>
      </c>
      <c r="L6" s="672" t="s">
        <v>17905</v>
      </c>
      <c r="M6" s="200"/>
      <c r="N6" s="2792"/>
      <c r="O6" s="864"/>
      <c r="P6" s="2792"/>
      <c r="Q6" s="864"/>
      <c r="R6" s="238"/>
      <c r="T6" s="238"/>
      <c r="AC6" s="238"/>
      <c r="AE6" s="2712"/>
      <c r="AF6" s="271" t="s">
        <v>17904</v>
      </c>
      <c r="AG6" s="271" t="s">
        <v>17904</v>
      </c>
      <c r="AH6" s="271" t="s">
        <v>17904</v>
      </c>
      <c r="AI6" s="271" t="s">
        <v>17904</v>
      </c>
      <c r="AJ6" s="271" t="s">
        <v>17905</v>
      </c>
      <c r="AK6" s="271" t="s">
        <v>17905</v>
      </c>
      <c r="AL6" s="271" t="s">
        <v>17905</v>
      </c>
      <c r="AM6" s="672" t="s">
        <v>17905</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17906</v>
      </c>
      <c r="C8" s="242"/>
      <c r="D8" s="242"/>
      <c r="E8" s="482"/>
      <c r="F8" s="482"/>
      <c r="G8" s="482"/>
      <c r="H8" s="482"/>
      <c r="I8" s="482"/>
      <c r="J8" s="1151"/>
      <c r="K8" s="1151"/>
      <c r="L8" s="1151"/>
      <c r="M8" s="1382"/>
      <c r="N8" s="1383"/>
      <c r="O8" s="864"/>
      <c r="P8" s="864"/>
      <c r="Q8" s="864"/>
      <c r="R8" s="238"/>
      <c r="T8" s="238"/>
      <c r="AC8" s="238"/>
      <c r="AE8" s="393" t="s">
        <v>17906</v>
      </c>
      <c r="AF8" s="482"/>
      <c r="AG8" s="482"/>
      <c r="AH8" s="482"/>
      <c r="AI8" s="482"/>
      <c r="AJ8" s="482"/>
      <c r="AK8" s="1151"/>
      <c r="AL8" s="1151"/>
      <c r="AM8" s="1151"/>
    </row>
    <row r="9" spans="1:39" ht="15.75" customHeight="1" thickTop="1">
      <c r="A9" s="200"/>
      <c r="B9" s="451" t="s">
        <v>17907</v>
      </c>
      <c r="C9" s="277" t="s">
        <v>3635</v>
      </c>
      <c r="D9" s="277" t="s">
        <v>3635</v>
      </c>
      <c r="E9" s="1762"/>
      <c r="F9" s="1762"/>
      <c r="G9" s="1762"/>
      <c r="H9" s="2606">
        <v>186300</v>
      </c>
      <c r="I9" s="1767"/>
      <c r="J9" s="1767"/>
      <c r="K9" s="1767"/>
      <c r="L9" s="717">
        <v>16.170000000000002</v>
      </c>
      <c r="M9" s="1382"/>
      <c r="N9" s="281" t="s">
        <v>17908</v>
      </c>
      <c r="O9" s="864"/>
      <c r="P9" s="283"/>
      <c r="Q9" s="864"/>
      <c r="R9" s="238"/>
      <c r="S9" s="1232">
        <f>IF( SUM( U9:AB9 ) = 0, 0, $U$5 )</f>
        <v>0</v>
      </c>
      <c r="T9" s="238"/>
      <c r="AB9" s="285">
        <f xml:space="preserve"> IF( ISNUMBER(L9 ), 0, 1 )</f>
        <v>0</v>
      </c>
      <c r="AC9" s="238"/>
      <c r="AE9" s="451" t="s">
        <v>17907</v>
      </c>
      <c r="AF9" s="1384"/>
      <c r="AG9" s="1384"/>
      <c r="AH9" s="1384"/>
      <c r="AI9" s="717" t="s">
        <v>3249</v>
      </c>
      <c r="AJ9" s="1384"/>
      <c r="AK9" s="1384"/>
      <c r="AL9" s="1384"/>
      <c r="AM9" s="717" t="s">
        <v>17909</v>
      </c>
    </row>
    <row r="10" spans="1:39" ht="15.75" customHeight="1">
      <c r="A10" s="200"/>
      <c r="B10" s="460" t="s">
        <v>17910</v>
      </c>
      <c r="C10" s="286" t="s">
        <v>3635</v>
      </c>
      <c r="D10" s="286" t="s">
        <v>3635</v>
      </c>
      <c r="E10" s="1763">
        <v>18513.264892727275</v>
      </c>
      <c r="F10" s="1763">
        <v>49966.678278732405</v>
      </c>
      <c r="G10" s="1763">
        <v>30741.936777777773</v>
      </c>
      <c r="H10" s="1764">
        <f>IFERROR(SUM(E10:G10), 0)</f>
        <v>99221.879949237453</v>
      </c>
      <c r="I10" s="287">
        <v>4.7110000000000003</v>
      </c>
      <c r="J10" s="287">
        <v>3.468</v>
      </c>
      <c r="K10" s="287">
        <v>2.1390000000000002</v>
      </c>
      <c r="L10" s="1598">
        <f>IFERROR(SUM(I10:K10), 0)</f>
        <v>10.318000000000001</v>
      </c>
      <c r="M10" s="1382"/>
      <c r="N10" s="290" t="s">
        <v>17911</v>
      </c>
      <c r="O10" s="864"/>
      <c r="P10" s="291"/>
      <c r="Q10" s="864"/>
      <c r="R10" s="238"/>
      <c r="S10" s="1232">
        <f t="shared" ref="S10:S14" si="0">IF( SUM( U10:AB10 ) = 0, 0, $U$5 )</f>
        <v>0</v>
      </c>
      <c r="T10" s="238"/>
      <c r="U10" s="285">
        <f t="shared" ref="U10" si="1" xml:space="preserve"> IF( ISNUMBER(E10 ), 0, 1 )</f>
        <v>0</v>
      </c>
      <c r="V10" s="285">
        <f t="shared" ref="V10" si="2" xml:space="preserve"> IF( ISNUMBER(F10 ), 0, 1 )</f>
        <v>0</v>
      </c>
      <c r="W10" s="285">
        <f t="shared" ref="W10" si="3" xml:space="preserve"> IF( ISNUMBER(G10 ), 0, 1 )</f>
        <v>0</v>
      </c>
      <c r="Y10" s="285">
        <f t="shared" ref="Y10:AA10" si="4" xml:space="preserve"> IF( ISNUMBER(I10 ), 0, 1 )</f>
        <v>0</v>
      </c>
      <c r="Z10" s="285">
        <f t="shared" si="4"/>
        <v>0</v>
      </c>
      <c r="AA10" s="285">
        <f t="shared" si="4"/>
        <v>0</v>
      </c>
      <c r="AC10" s="238"/>
      <c r="AE10" s="460" t="s">
        <v>17910</v>
      </c>
      <c r="AF10" s="1385" t="s">
        <v>17912</v>
      </c>
      <c r="AG10" s="1385" t="s">
        <v>17913</v>
      </c>
      <c r="AH10" s="1385" t="s">
        <v>17914</v>
      </c>
      <c r="AI10" s="1386" t="s">
        <v>17915</v>
      </c>
      <c r="AJ10" s="287" t="s">
        <v>17916</v>
      </c>
      <c r="AK10" s="287" t="s">
        <v>17917</v>
      </c>
      <c r="AL10" s="287" t="s">
        <v>17918</v>
      </c>
      <c r="AM10" s="893" t="s">
        <v>17919</v>
      </c>
    </row>
    <row r="11" spans="1:39" ht="15.75" customHeight="1">
      <c r="A11" s="200"/>
      <c r="B11" s="460" t="s">
        <v>17920</v>
      </c>
      <c r="C11" s="286" t="s">
        <v>3635</v>
      </c>
      <c r="D11" s="286" t="s">
        <v>3635</v>
      </c>
      <c r="E11" s="1763">
        <v>48225.018007272723</v>
      </c>
      <c r="F11" s="1763">
        <v>0</v>
      </c>
      <c r="G11" s="1763">
        <v>0</v>
      </c>
      <c r="H11" s="1764">
        <f>IFERROR(SUM(E11:G11), 0)</f>
        <v>48225.018007272723</v>
      </c>
      <c r="I11" s="287">
        <v>12.151</v>
      </c>
      <c r="J11" s="287">
        <v>0</v>
      </c>
      <c r="K11" s="287">
        <v>0</v>
      </c>
      <c r="L11" s="1598">
        <f>IFERROR(SUM(I11:K11), 0)</f>
        <v>12.151</v>
      </c>
      <c r="M11" s="1382"/>
      <c r="N11" s="290" t="s">
        <v>17921</v>
      </c>
      <c r="O11" s="864"/>
      <c r="P11" s="291"/>
      <c r="Q11" s="864"/>
      <c r="R11" s="238"/>
      <c r="S11" s="1232">
        <f t="shared" si="0"/>
        <v>0</v>
      </c>
      <c r="T11" s="238"/>
      <c r="U11" s="285">
        <f t="shared" ref="U11:U13" si="5" xml:space="preserve"> IF( ISNUMBER(E11 ), 0, 1 )</f>
        <v>0</v>
      </c>
      <c r="V11" s="285">
        <f t="shared" ref="V11:V13" si="6" xml:space="preserve"> IF( ISNUMBER(F11 ), 0, 1 )</f>
        <v>0</v>
      </c>
      <c r="W11" s="285">
        <f t="shared" ref="W11:W13" si="7" xml:space="preserve"> IF( ISNUMBER(G11 ), 0, 1 )</f>
        <v>0</v>
      </c>
      <c r="Y11" s="285">
        <f t="shared" ref="Y11:Y12" si="8" xml:space="preserve"> IF( ISNUMBER(I11 ), 0, 1 )</f>
        <v>0</v>
      </c>
      <c r="Z11" s="285">
        <f t="shared" ref="Z11:Z12" si="9" xml:space="preserve"> IF( ISNUMBER(J11 ), 0, 1 )</f>
        <v>0</v>
      </c>
      <c r="AA11" s="285">
        <f t="shared" ref="AA11:AA12" si="10" xml:space="preserve"> IF( ISNUMBER(K11 ), 0, 1 )</f>
        <v>0</v>
      </c>
      <c r="AC11" s="238"/>
      <c r="AE11" s="460" t="s">
        <v>17920</v>
      </c>
      <c r="AF11" s="1385" t="s">
        <v>17922</v>
      </c>
      <c r="AG11" s="1385" t="s">
        <v>17923</v>
      </c>
      <c r="AH11" s="1385" t="s">
        <v>17924</v>
      </c>
      <c r="AI11" s="1386" t="s">
        <v>17925</v>
      </c>
      <c r="AJ11" s="287" t="s">
        <v>17926</v>
      </c>
      <c r="AK11" s="287" t="s">
        <v>17927</v>
      </c>
      <c r="AL11" s="287" t="s">
        <v>17928</v>
      </c>
      <c r="AM11" s="893" t="s">
        <v>17929</v>
      </c>
    </row>
    <row r="12" spans="1:39" ht="15.75" customHeight="1">
      <c r="A12" s="200"/>
      <c r="B12" s="460" t="s">
        <v>17930</v>
      </c>
      <c r="C12" s="286" t="s">
        <v>3635</v>
      </c>
      <c r="D12" s="286" t="s">
        <v>3635</v>
      </c>
      <c r="E12" s="1763">
        <v>259.10000000000002</v>
      </c>
      <c r="F12" s="1763">
        <v>0</v>
      </c>
      <c r="G12" s="1763">
        <v>131207.52558333334</v>
      </c>
      <c r="H12" s="1764">
        <f>IFERROR(SUM(E12:G12), 0)</f>
        <v>131466.62558333334</v>
      </c>
      <c r="I12" s="287">
        <v>6.2E-2</v>
      </c>
      <c r="J12" s="287">
        <v>0</v>
      </c>
      <c r="K12" s="287">
        <v>8.6269999999999989</v>
      </c>
      <c r="L12" s="1598">
        <f>IFERROR(SUM(I12:K12), 0)</f>
        <v>8.6889999999999983</v>
      </c>
      <c r="M12" s="1382"/>
      <c r="N12" s="290" t="s">
        <v>17931</v>
      </c>
      <c r="O12" s="864"/>
      <c r="P12" s="291"/>
      <c r="Q12" s="864"/>
      <c r="R12" s="238"/>
      <c r="S12" s="1232">
        <f t="shared" si="0"/>
        <v>0</v>
      </c>
      <c r="T12" s="238"/>
      <c r="U12" s="285">
        <f t="shared" si="5"/>
        <v>0</v>
      </c>
      <c r="V12" s="285">
        <f t="shared" si="6"/>
        <v>0</v>
      </c>
      <c r="W12" s="285">
        <f t="shared" si="7"/>
        <v>0</v>
      </c>
      <c r="Y12" s="285">
        <f t="shared" si="8"/>
        <v>0</v>
      </c>
      <c r="Z12" s="285">
        <f t="shared" si="9"/>
        <v>0</v>
      </c>
      <c r="AA12" s="285">
        <f t="shared" si="10"/>
        <v>0</v>
      </c>
      <c r="AC12" s="238"/>
      <c r="AE12" s="460" t="s">
        <v>17930</v>
      </c>
      <c r="AF12" s="1385" t="s">
        <v>17932</v>
      </c>
      <c r="AG12" s="1385" t="s">
        <v>17933</v>
      </c>
      <c r="AH12" s="1385" t="s">
        <v>17934</v>
      </c>
      <c r="AI12" s="1386" t="s">
        <v>17935</v>
      </c>
      <c r="AJ12" s="287" t="s">
        <v>17936</v>
      </c>
      <c r="AK12" s="287" t="s">
        <v>17937</v>
      </c>
      <c r="AL12" s="287" t="s">
        <v>17938</v>
      </c>
      <c r="AM12" s="893" t="s">
        <v>17939</v>
      </c>
    </row>
    <row r="13" spans="1:39" ht="15.75" customHeight="1">
      <c r="A13" s="200"/>
      <c r="B13" s="460" t="s">
        <v>17940</v>
      </c>
      <c r="C13" s="286" t="s">
        <v>3635</v>
      </c>
      <c r="D13" s="286" t="s">
        <v>3635</v>
      </c>
      <c r="E13" s="1763">
        <v>0</v>
      </c>
      <c r="F13" s="1763">
        <v>4928.051721267595</v>
      </c>
      <c r="G13" s="1763">
        <v>8218.7210054866227</v>
      </c>
      <c r="H13" s="1764">
        <f>IFERROR(SUM(E13:G13), 0)</f>
        <v>13146.772726754218</v>
      </c>
      <c r="I13" s="2114"/>
      <c r="J13" s="2115"/>
      <c r="K13" s="2115"/>
      <c r="L13" s="1768"/>
      <c r="M13" s="1382"/>
      <c r="N13" s="290" t="s">
        <v>17941</v>
      </c>
      <c r="O13" s="864"/>
      <c r="P13" s="1390"/>
      <c r="Q13" s="864"/>
      <c r="R13" s="238"/>
      <c r="S13" s="1232">
        <f t="shared" si="0"/>
        <v>0</v>
      </c>
      <c r="T13" s="238"/>
      <c r="U13" s="285">
        <f t="shared" si="5"/>
        <v>0</v>
      </c>
      <c r="V13" s="285">
        <f t="shared" si="6"/>
        <v>0</v>
      </c>
      <c r="W13" s="285">
        <f t="shared" si="7"/>
        <v>0</v>
      </c>
      <c r="AC13" s="238"/>
      <c r="AE13" s="460" t="s">
        <v>17940</v>
      </c>
      <c r="AF13" s="1385" t="s">
        <v>17942</v>
      </c>
      <c r="AG13" s="1385" t="s">
        <v>17943</v>
      </c>
      <c r="AH13" s="1385" t="s">
        <v>17944</v>
      </c>
      <c r="AI13" s="1386" t="s">
        <v>17945</v>
      </c>
      <c r="AJ13" s="1387"/>
      <c r="AK13" s="1388"/>
      <c r="AL13" s="1388"/>
      <c r="AM13" s="1389"/>
    </row>
    <row r="14" spans="1:39" ht="15.75" customHeight="1" thickBot="1">
      <c r="A14" s="200"/>
      <c r="B14" s="463" t="s">
        <v>17946</v>
      </c>
      <c r="C14" s="355" t="s">
        <v>3635</v>
      </c>
      <c r="D14" s="355" t="s">
        <v>3635</v>
      </c>
      <c r="E14" s="1765">
        <v>5321.1224866874218</v>
      </c>
      <c r="F14" s="1765">
        <v>0</v>
      </c>
      <c r="G14" s="1765">
        <v>191551.39909999998</v>
      </c>
      <c r="H14" s="1766">
        <f>IFERROR(SUM(E14:G14), 0)</f>
        <v>196872.52158668739</v>
      </c>
      <c r="I14" s="297">
        <v>1.288</v>
      </c>
      <c r="J14" s="297">
        <v>0</v>
      </c>
      <c r="K14" s="297">
        <v>13.285</v>
      </c>
      <c r="L14" s="1599">
        <f>IFERROR(SUM(I14:K14), 0)</f>
        <v>14.573</v>
      </c>
      <c r="M14" s="1382"/>
      <c r="N14" s="356" t="s">
        <v>17947</v>
      </c>
      <c r="O14" s="864"/>
      <c r="P14" s="302"/>
      <c r="Q14" s="864"/>
      <c r="R14" s="238"/>
      <c r="S14" s="1232">
        <f t="shared" si="0"/>
        <v>0</v>
      </c>
      <c r="T14" s="238"/>
      <c r="U14" s="285">
        <f t="shared" ref="U14" si="11" xml:space="preserve"> IF( ISNUMBER(E14 ), 0, 1 )</f>
        <v>0</v>
      </c>
      <c r="V14" s="285">
        <f t="shared" ref="V14" si="12" xml:space="preserve"> IF( ISNUMBER(F14 ), 0, 1 )</f>
        <v>0</v>
      </c>
      <c r="W14" s="285">
        <f t="shared" ref="W14" si="13" xml:space="preserve"> IF( ISNUMBER(G14 ), 0, 1 )</f>
        <v>0</v>
      </c>
      <c r="Y14" s="285">
        <f t="shared" ref="Y14" si="14" xml:space="preserve"> IF( ISNUMBER(I14 ), 0, 1 )</f>
        <v>0</v>
      </c>
      <c r="Z14" s="285">
        <f t="shared" ref="Z14" si="15" xml:space="preserve"> IF( ISNUMBER(J14 ), 0, 1 )</f>
        <v>0</v>
      </c>
      <c r="AA14" s="285">
        <f t="shared" ref="AA14" si="16" xml:space="preserve"> IF( ISNUMBER(K14 ), 0, 1 )</f>
        <v>0</v>
      </c>
      <c r="AC14" s="238"/>
      <c r="AE14" s="463" t="s">
        <v>17946</v>
      </c>
      <c r="AF14" s="1391" t="s">
        <v>17948</v>
      </c>
      <c r="AG14" s="1391" t="s">
        <v>17949</v>
      </c>
      <c r="AH14" s="1391" t="s">
        <v>17950</v>
      </c>
      <c r="AI14" s="1392" t="s">
        <v>17951</v>
      </c>
      <c r="AJ14" s="297" t="s">
        <v>17952</v>
      </c>
      <c r="AK14" s="297" t="s">
        <v>17953</v>
      </c>
      <c r="AL14" s="297" t="s">
        <v>17954</v>
      </c>
      <c r="AM14" s="417" t="s">
        <v>17955</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17956</v>
      </c>
      <c r="C16" s="1189" t="s">
        <v>668</v>
      </c>
      <c r="D16" s="1189" t="s">
        <v>670</v>
      </c>
      <c r="E16" s="1393" t="s">
        <v>17957</v>
      </c>
      <c r="F16" s="83"/>
      <c r="G16" s="83"/>
      <c r="H16" s="83"/>
      <c r="I16" s="83"/>
      <c r="J16" s="83"/>
      <c r="K16" s="83"/>
      <c r="L16" s="1382"/>
      <c r="M16" s="282"/>
      <c r="N16" s="282"/>
      <c r="O16" s="864"/>
      <c r="P16" s="969"/>
      <c r="Q16" s="864"/>
      <c r="R16" s="238"/>
      <c r="T16" s="238"/>
      <c r="AC16" s="238"/>
      <c r="AE16" s="1188" t="s">
        <v>17956</v>
      </c>
      <c r="AF16" s="1393" t="s">
        <v>17957</v>
      </c>
      <c r="AG16" s="83"/>
      <c r="AH16" s="83"/>
      <c r="AI16" s="83"/>
      <c r="AJ16" s="83"/>
      <c r="AK16" s="83"/>
      <c r="AL16" s="83"/>
      <c r="AM16" s="1382"/>
    </row>
    <row r="17" spans="1:39" ht="15.75" customHeight="1" thickTop="1" thickBot="1">
      <c r="A17" s="200"/>
      <c r="B17" s="451" t="s">
        <v>17958</v>
      </c>
      <c r="C17" s="277" t="s">
        <v>681</v>
      </c>
      <c r="D17" s="277">
        <v>3</v>
      </c>
      <c r="E17" s="717">
        <v>0.11799999999999999</v>
      </c>
      <c r="F17" s="83"/>
      <c r="G17" s="83"/>
      <c r="H17" s="83"/>
      <c r="I17" s="83"/>
      <c r="J17" s="83"/>
      <c r="K17" s="83"/>
      <c r="L17" s="1382"/>
      <c r="M17" s="282"/>
      <c r="N17" s="281" t="s">
        <v>17959</v>
      </c>
      <c r="O17" s="864"/>
      <c r="P17" s="283"/>
      <c r="Q17" s="864"/>
      <c r="R17" s="238"/>
      <c r="S17" s="1232">
        <f t="shared" ref="S17:S21" si="17">IF( SUM( U17:AB17 ) = 0, 0, $U$5 )</f>
        <v>0</v>
      </c>
      <c r="T17" s="238"/>
      <c r="U17" s="285">
        <f t="shared" ref="U17:U24" si="18" xml:space="preserve"> IF( ISNUMBER(E17 ), 0, 1 )</f>
        <v>0</v>
      </c>
      <c r="AC17" s="238"/>
      <c r="AE17" s="1394" t="s">
        <v>17958</v>
      </c>
      <c r="AF17" s="1395" t="s">
        <v>17960</v>
      </c>
      <c r="AG17" s="83"/>
      <c r="AH17" s="83"/>
      <c r="AI17" s="83"/>
      <c r="AJ17" s="83"/>
      <c r="AK17" s="83"/>
      <c r="AL17" s="83"/>
      <c r="AM17" s="1382"/>
    </row>
    <row r="18" spans="1:39" ht="15.75" customHeight="1" thickTop="1">
      <c r="A18" s="200"/>
      <c r="B18" s="460" t="s">
        <v>17961</v>
      </c>
      <c r="C18" s="286" t="s">
        <v>681</v>
      </c>
      <c r="D18" s="286">
        <v>3</v>
      </c>
      <c r="E18" s="405">
        <v>9.2959999999999994</v>
      </c>
      <c r="F18" s="83"/>
      <c r="G18" s="83"/>
      <c r="H18" s="83"/>
      <c r="I18" s="83"/>
      <c r="J18" s="83"/>
      <c r="K18" s="83"/>
      <c r="L18" s="1382"/>
      <c r="M18" s="282"/>
      <c r="N18" s="290" t="s">
        <v>17962</v>
      </c>
      <c r="O18" s="864"/>
      <c r="P18" s="291"/>
      <c r="Q18" s="864"/>
      <c r="R18" s="238"/>
      <c r="S18" s="1232">
        <f t="shared" si="17"/>
        <v>0</v>
      </c>
      <c r="T18" s="238"/>
      <c r="U18" s="285">
        <f t="shared" si="18"/>
        <v>0</v>
      </c>
      <c r="AC18" s="238"/>
      <c r="AE18" s="451" t="s">
        <v>17961</v>
      </c>
      <c r="AF18" s="717" t="s">
        <v>17963</v>
      </c>
      <c r="AG18" s="83"/>
      <c r="AH18" s="83"/>
      <c r="AI18" s="83"/>
      <c r="AJ18" s="83"/>
      <c r="AK18" s="83"/>
      <c r="AL18" s="83"/>
      <c r="AM18" s="1382"/>
    </row>
    <row r="19" spans="1:39" ht="15.75" customHeight="1">
      <c r="A19" s="200"/>
      <c r="B19" s="460" t="s">
        <v>17964</v>
      </c>
      <c r="C19" s="286" t="s">
        <v>681</v>
      </c>
      <c r="D19" s="286">
        <v>3</v>
      </c>
      <c r="E19" s="405">
        <v>0</v>
      </c>
      <c r="F19" s="83"/>
      <c r="G19" s="83"/>
      <c r="H19" s="83"/>
      <c r="I19" s="83"/>
      <c r="J19" s="83"/>
      <c r="K19" s="83"/>
      <c r="L19" s="1382"/>
      <c r="M19" s="282"/>
      <c r="N19" s="290" t="s">
        <v>17965</v>
      </c>
      <c r="O19" s="864"/>
      <c r="P19" s="291"/>
      <c r="Q19" s="864"/>
      <c r="R19" s="238"/>
      <c r="S19" s="1232">
        <f t="shared" si="17"/>
        <v>0</v>
      </c>
      <c r="T19" s="238"/>
      <c r="U19" s="285">
        <f t="shared" si="18"/>
        <v>0</v>
      </c>
      <c r="AC19" s="238"/>
      <c r="AE19" s="460" t="s">
        <v>17964</v>
      </c>
      <c r="AF19" s="405" t="s">
        <v>17966</v>
      </c>
      <c r="AG19" s="83"/>
      <c r="AH19" s="83"/>
      <c r="AI19" s="83"/>
      <c r="AJ19" s="83"/>
      <c r="AK19" s="83"/>
      <c r="AL19" s="83"/>
      <c r="AM19" s="1382"/>
    </row>
    <row r="20" spans="1:39" ht="15.75" customHeight="1">
      <c r="A20" s="200"/>
      <c r="B20" s="460" t="s">
        <v>17967</v>
      </c>
      <c r="C20" s="286" t="s">
        <v>681</v>
      </c>
      <c r="D20" s="286">
        <v>3</v>
      </c>
      <c r="E20" s="405">
        <v>0</v>
      </c>
      <c r="F20" s="83"/>
      <c r="G20" s="83"/>
      <c r="H20" s="83"/>
      <c r="I20" s="83"/>
      <c r="J20" s="83"/>
      <c r="K20" s="83"/>
      <c r="L20" s="1382"/>
      <c r="M20" s="282"/>
      <c r="N20" s="290" t="s">
        <v>17968</v>
      </c>
      <c r="O20" s="864"/>
      <c r="P20" s="291"/>
      <c r="Q20" s="864"/>
      <c r="R20" s="238"/>
      <c r="S20" s="1232">
        <f t="shared" si="17"/>
        <v>0</v>
      </c>
      <c r="T20" s="238"/>
      <c r="U20" s="285">
        <f t="shared" si="18"/>
        <v>0</v>
      </c>
      <c r="AC20" s="238"/>
      <c r="AE20" s="460" t="s">
        <v>17967</v>
      </c>
      <c r="AF20" s="405" t="s">
        <v>17969</v>
      </c>
      <c r="AG20" s="83"/>
      <c r="AH20" s="83"/>
      <c r="AI20" s="83"/>
      <c r="AJ20" s="83"/>
      <c r="AK20" s="83"/>
      <c r="AL20" s="83"/>
      <c r="AM20" s="1382"/>
    </row>
    <row r="21" spans="1:39" ht="15.75" customHeight="1">
      <c r="A21" s="200"/>
      <c r="B21" s="460" t="s">
        <v>17970</v>
      </c>
      <c r="C21" s="286" t="s">
        <v>681</v>
      </c>
      <c r="D21" s="286">
        <v>3</v>
      </c>
      <c r="E21" s="405">
        <v>0</v>
      </c>
      <c r="F21" s="83"/>
      <c r="G21" s="83"/>
      <c r="H21" s="83"/>
      <c r="I21" s="83"/>
      <c r="J21" s="83"/>
      <c r="K21" s="83"/>
      <c r="L21" s="1382"/>
      <c r="M21" s="282"/>
      <c r="N21" s="290" t="s">
        <v>17971</v>
      </c>
      <c r="O21" s="864"/>
      <c r="P21" s="291"/>
      <c r="Q21" s="864"/>
      <c r="R21" s="238"/>
      <c r="S21" s="1232">
        <f t="shared" si="17"/>
        <v>0</v>
      </c>
      <c r="T21" s="238"/>
      <c r="U21" s="285">
        <f t="shared" si="18"/>
        <v>0</v>
      </c>
      <c r="AC21" s="238"/>
      <c r="AD21" s="270"/>
      <c r="AE21" s="460" t="s">
        <v>17970</v>
      </c>
      <c r="AF21" s="405" t="s">
        <v>17972</v>
      </c>
      <c r="AG21" s="83"/>
      <c r="AH21" s="83"/>
      <c r="AI21" s="83"/>
      <c r="AJ21" s="83"/>
      <c r="AK21" s="83"/>
      <c r="AL21" s="83"/>
      <c r="AM21" s="1382"/>
    </row>
    <row r="22" spans="1:39" ht="15.75" customHeight="1">
      <c r="A22" s="200"/>
      <c r="B22" s="460" t="s">
        <v>17973</v>
      </c>
      <c r="C22" s="286" t="s">
        <v>681</v>
      </c>
      <c r="D22" s="286">
        <v>3</v>
      </c>
      <c r="E22" s="1598">
        <f>IFERROR(SUM(E17:E21), 0)</f>
        <v>9.4139999999999997</v>
      </c>
      <c r="F22" s="83"/>
      <c r="G22" s="83"/>
      <c r="H22" s="83"/>
      <c r="I22" s="83"/>
      <c r="J22" s="83"/>
      <c r="K22" s="83"/>
      <c r="L22" s="1382"/>
      <c r="M22" s="282"/>
      <c r="N22" s="290" t="s">
        <v>17974</v>
      </c>
      <c r="O22" s="864"/>
      <c r="P22" s="291"/>
      <c r="Q22" s="864"/>
      <c r="R22" s="238"/>
      <c r="T22" s="238"/>
      <c r="AC22" s="238"/>
      <c r="AD22" s="270"/>
      <c r="AE22" s="460" t="s">
        <v>17973</v>
      </c>
      <c r="AF22" s="893" t="s">
        <v>17975</v>
      </c>
      <c r="AG22" s="83"/>
      <c r="AH22" s="83"/>
      <c r="AI22" s="83"/>
      <c r="AJ22" s="83"/>
      <c r="AK22" s="83"/>
      <c r="AL22" s="83"/>
      <c r="AM22" s="1382"/>
    </row>
    <row r="23" spans="1:39" ht="32.25" customHeight="1">
      <c r="A23" s="200"/>
      <c r="B23" s="460" t="s">
        <v>17976</v>
      </c>
      <c r="C23" s="286" t="s">
        <v>3137</v>
      </c>
      <c r="D23" s="286">
        <v>0</v>
      </c>
      <c r="E23" s="1396">
        <v>0</v>
      </c>
      <c r="F23" s="83"/>
      <c r="G23" s="83"/>
      <c r="H23" s="83"/>
      <c r="I23" s="83"/>
      <c r="J23" s="83"/>
      <c r="K23" s="83"/>
      <c r="L23" s="1382"/>
      <c r="M23" s="282"/>
      <c r="N23" s="290" t="s">
        <v>17977</v>
      </c>
      <c r="O23" s="864"/>
      <c r="P23" s="291"/>
      <c r="Q23" s="864"/>
      <c r="R23" s="238"/>
      <c r="S23" s="1232">
        <f t="shared" ref="S23:S24" si="19">IF( SUM( U23:AB23 ) = 0, 0, $U$5 )</f>
        <v>0</v>
      </c>
      <c r="T23" s="238"/>
      <c r="U23" s="285">
        <f t="shared" si="18"/>
        <v>0</v>
      </c>
      <c r="AC23" s="238"/>
      <c r="AD23" s="270"/>
      <c r="AE23" s="460" t="s">
        <v>17976</v>
      </c>
      <c r="AF23" s="1396" t="s">
        <v>17978</v>
      </c>
      <c r="AG23" s="83"/>
      <c r="AH23" s="83"/>
      <c r="AI23" s="83"/>
      <c r="AJ23" s="83"/>
      <c r="AK23" s="83"/>
      <c r="AL23" s="83"/>
      <c r="AM23" s="1382"/>
    </row>
    <row r="24" spans="1:39" ht="32.25" customHeight="1" thickBot="1">
      <c r="A24" s="200"/>
      <c r="B24" s="463" t="s">
        <v>17979</v>
      </c>
      <c r="C24" s="355" t="s">
        <v>681</v>
      </c>
      <c r="D24" s="355">
        <v>3</v>
      </c>
      <c r="E24" s="718">
        <v>0</v>
      </c>
      <c r="F24" s="83"/>
      <c r="G24" s="83"/>
      <c r="H24" s="83"/>
      <c r="I24" s="83"/>
      <c r="J24" s="83"/>
      <c r="K24" s="83"/>
      <c r="L24" s="1382"/>
      <c r="M24" s="282"/>
      <c r="N24" s="356" t="s">
        <v>17980</v>
      </c>
      <c r="O24" s="864"/>
      <c r="P24" s="302"/>
      <c r="Q24" s="864"/>
      <c r="R24" s="238"/>
      <c r="S24" s="1232">
        <f t="shared" si="19"/>
        <v>0</v>
      </c>
      <c r="T24" s="238"/>
      <c r="U24" s="285">
        <f t="shared" si="18"/>
        <v>0</v>
      </c>
      <c r="AC24" s="238"/>
      <c r="AD24" s="270"/>
      <c r="AE24" s="463" t="s">
        <v>17979</v>
      </c>
      <c r="AF24" s="718" t="s">
        <v>17981</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17982</v>
      </c>
      <c r="C26" s="1398"/>
      <c r="D26" s="1398"/>
      <c r="E26" s="1399"/>
      <c r="F26" s="1399"/>
      <c r="G26" s="1399"/>
      <c r="H26" s="1399"/>
      <c r="I26" s="1399"/>
      <c r="J26" s="1399"/>
      <c r="K26" s="1399"/>
      <c r="L26" s="1382"/>
      <c r="M26" s="242"/>
      <c r="N26" s="242"/>
      <c r="O26" s="864"/>
      <c r="P26" s="969"/>
      <c r="Q26" s="864"/>
      <c r="R26" s="238"/>
      <c r="T26" s="238"/>
      <c r="AC26" s="238"/>
      <c r="AD26" s="270"/>
      <c r="AE26" s="1400" t="s">
        <v>17983</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17984</v>
      </c>
      <c r="C28" s="1189" t="s">
        <v>668</v>
      </c>
      <c r="D28" s="1189" t="s">
        <v>670</v>
      </c>
      <c r="E28" s="1393" t="s">
        <v>17957</v>
      </c>
      <c r="F28" s="482"/>
      <c r="G28" s="1399"/>
      <c r="H28" s="1151"/>
      <c r="I28" s="1151"/>
      <c r="J28" s="1151"/>
      <c r="K28" s="1151"/>
      <c r="L28" s="1382"/>
      <c r="M28" s="1401"/>
      <c r="N28" s="1401"/>
      <c r="O28" s="864"/>
      <c r="P28" s="969"/>
      <c r="Q28" s="864"/>
      <c r="R28" s="238"/>
      <c r="T28" s="238"/>
      <c r="AC28" s="238"/>
      <c r="AE28" s="1188" t="s">
        <v>17985</v>
      </c>
      <c r="AF28" s="1393" t="s">
        <v>17957</v>
      </c>
      <c r="AG28" s="482"/>
      <c r="AH28" s="1399"/>
      <c r="AI28" s="1151"/>
      <c r="AJ28" s="1151"/>
      <c r="AK28" s="1151"/>
      <c r="AL28" s="1151"/>
      <c r="AM28" s="1382"/>
    </row>
    <row r="29" spans="1:39" ht="32.25" customHeight="1" thickTop="1" thickBot="1">
      <c r="A29" s="200"/>
      <c r="B29" s="451" t="s">
        <v>17986</v>
      </c>
      <c r="C29" s="277" t="s">
        <v>17987</v>
      </c>
      <c r="D29" s="277">
        <v>0</v>
      </c>
      <c r="E29" s="1769">
        <v>23267</v>
      </c>
      <c r="F29" s="83"/>
      <c r="G29" s="1399"/>
      <c r="H29" s="1399"/>
      <c r="I29" s="1399"/>
      <c r="J29" s="1399"/>
      <c r="K29" s="1399"/>
      <c r="L29" s="1382"/>
      <c r="M29" s="174"/>
      <c r="N29" s="1040" t="s">
        <v>17988</v>
      </c>
      <c r="O29" s="864"/>
      <c r="P29" s="283"/>
      <c r="Q29" s="864"/>
      <c r="R29" s="238"/>
      <c r="S29" s="1232">
        <f t="shared" ref="S29:S31" si="20">IF( SUM( U29:AB29 ) = 0, 0, $U$5 )</f>
        <v>0</v>
      </c>
      <c r="T29" s="238"/>
      <c r="U29" s="285">
        <f t="shared" ref="U29:U31" si="21" xml:space="preserve"> IF( ISNUMBER(E29 ), 0, 1 )</f>
        <v>0</v>
      </c>
      <c r="AC29" s="238"/>
      <c r="AD29" s="270"/>
      <c r="AE29" s="1394" t="s">
        <v>17986</v>
      </c>
      <c r="AF29" s="1402" t="s">
        <v>17989</v>
      </c>
      <c r="AG29" s="83"/>
      <c r="AH29" s="1399"/>
      <c r="AI29" s="1399"/>
      <c r="AJ29" s="1399"/>
      <c r="AK29" s="1399"/>
      <c r="AL29" s="1399"/>
      <c r="AM29" s="1382"/>
    </row>
    <row r="30" spans="1:39" ht="32.25" customHeight="1" thickTop="1">
      <c r="A30" s="200"/>
      <c r="B30" s="460" t="s">
        <v>17990</v>
      </c>
      <c r="C30" s="286" t="s">
        <v>17991</v>
      </c>
      <c r="D30" s="286">
        <v>0</v>
      </c>
      <c r="E30" s="1770">
        <v>1292</v>
      </c>
      <c r="F30" s="83"/>
      <c r="G30" s="1399"/>
      <c r="H30" s="1399"/>
      <c r="I30" s="1399"/>
      <c r="J30" s="1399"/>
      <c r="K30" s="1399"/>
      <c r="L30" s="1382"/>
      <c r="M30" s="174"/>
      <c r="N30" s="1041" t="s">
        <v>17992</v>
      </c>
      <c r="O30" s="864"/>
      <c r="P30" s="291"/>
      <c r="Q30" s="864"/>
      <c r="R30" s="238"/>
      <c r="S30" s="1232">
        <f t="shared" si="20"/>
        <v>0</v>
      </c>
      <c r="T30" s="238"/>
      <c r="U30" s="285">
        <f t="shared" si="21"/>
        <v>0</v>
      </c>
      <c r="AC30" s="238"/>
      <c r="AD30" s="270"/>
      <c r="AE30" s="451" t="s">
        <v>17990</v>
      </c>
      <c r="AF30" s="1403" t="s">
        <v>17993</v>
      </c>
      <c r="AG30" s="83"/>
      <c r="AH30" s="1399"/>
      <c r="AI30" s="1399"/>
      <c r="AJ30" s="1399"/>
      <c r="AK30" s="1399"/>
      <c r="AL30" s="1399"/>
      <c r="AM30" s="1382"/>
    </row>
    <row r="31" spans="1:39" ht="32.25" customHeight="1" thickBot="1">
      <c r="A31" s="200"/>
      <c r="B31" s="463" t="s">
        <v>17994</v>
      </c>
      <c r="C31" s="355" t="s">
        <v>681</v>
      </c>
      <c r="D31" s="355">
        <v>3</v>
      </c>
      <c r="E31" s="718">
        <v>12.787000000000001</v>
      </c>
      <c r="F31" s="83"/>
      <c r="G31" s="1399"/>
      <c r="H31" s="1399"/>
      <c r="I31" s="1399"/>
      <c r="J31" s="1399"/>
      <c r="K31" s="1399"/>
      <c r="L31" s="1382"/>
      <c r="M31" s="174"/>
      <c r="N31" s="1043" t="s">
        <v>17995</v>
      </c>
      <c r="O31" s="864"/>
      <c r="P31" s="302"/>
      <c r="Q31" s="864"/>
      <c r="R31" s="238"/>
      <c r="S31" s="1232">
        <f t="shared" si="20"/>
        <v>0</v>
      </c>
      <c r="T31" s="238"/>
      <c r="U31" s="285">
        <f t="shared" si="21"/>
        <v>0</v>
      </c>
      <c r="AC31" s="238"/>
      <c r="AD31" s="270"/>
      <c r="AE31" s="463" t="s">
        <v>17994</v>
      </c>
      <c r="AF31" s="718" t="s">
        <v>17996</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11"/>
      <c r="C33" s="2673" t="s">
        <v>7225</v>
      </c>
      <c r="D33" s="2673" t="s">
        <v>670</v>
      </c>
      <c r="E33" s="670" t="s">
        <v>17901</v>
      </c>
      <c r="F33" s="670" t="s">
        <v>17902</v>
      </c>
      <c r="G33" s="670" t="s">
        <v>17903</v>
      </c>
      <c r="H33" s="670" t="s">
        <v>7445</v>
      </c>
      <c r="I33" s="670" t="s">
        <v>17901</v>
      </c>
      <c r="J33" s="670" t="s">
        <v>17902</v>
      </c>
      <c r="K33" s="670" t="s">
        <v>17903</v>
      </c>
      <c r="L33" s="671" t="s">
        <v>7445</v>
      </c>
      <c r="M33" s="715"/>
      <c r="N33" s="715"/>
      <c r="R33" s="238"/>
      <c r="T33" s="238"/>
      <c r="AC33" s="238"/>
      <c r="AE33" s="2711"/>
      <c r="AF33" s="670" t="s">
        <v>17901</v>
      </c>
      <c r="AG33" s="670" t="s">
        <v>17902</v>
      </c>
      <c r="AH33" s="670" t="s">
        <v>17903</v>
      </c>
      <c r="AI33" s="670" t="s">
        <v>7445</v>
      </c>
      <c r="AJ33" s="670" t="s">
        <v>17901</v>
      </c>
      <c r="AK33" s="670" t="s">
        <v>17902</v>
      </c>
      <c r="AL33" s="670" t="s">
        <v>17903</v>
      </c>
      <c r="AM33" s="671" t="s">
        <v>7445</v>
      </c>
    </row>
    <row r="34" spans="1:39" ht="30.75" thickBot="1">
      <c r="A34" s="200"/>
      <c r="B34" s="2712"/>
      <c r="C34" s="2674"/>
      <c r="D34" s="2674"/>
      <c r="E34" s="271" t="s">
        <v>17904</v>
      </c>
      <c r="F34" s="271" t="s">
        <v>17904</v>
      </c>
      <c r="G34" s="271" t="s">
        <v>17904</v>
      </c>
      <c r="H34" s="271" t="s">
        <v>17904</v>
      </c>
      <c r="I34" s="271" t="s">
        <v>17905</v>
      </c>
      <c r="J34" s="271" t="s">
        <v>17905</v>
      </c>
      <c r="K34" s="271" t="s">
        <v>17905</v>
      </c>
      <c r="L34" s="672" t="s">
        <v>17905</v>
      </c>
      <c r="M34" s="772"/>
      <c r="N34" s="772"/>
      <c r="R34" s="238"/>
      <c r="T34" s="238"/>
      <c r="AC34" s="238"/>
      <c r="AE34" s="2712"/>
      <c r="AF34" s="271" t="s">
        <v>17904</v>
      </c>
      <c r="AG34" s="271" t="s">
        <v>17904</v>
      </c>
      <c r="AH34" s="271" t="s">
        <v>17904</v>
      </c>
      <c r="AI34" s="271" t="s">
        <v>17904</v>
      </c>
      <c r="AJ34" s="271" t="s">
        <v>17905</v>
      </c>
      <c r="AK34" s="271" t="s">
        <v>17905</v>
      </c>
      <c r="AL34" s="271" t="s">
        <v>17905</v>
      </c>
      <c r="AM34" s="672" t="s">
        <v>17905</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17997</v>
      </c>
      <c r="C36" s="693"/>
      <c r="D36" s="693"/>
      <c r="E36" s="482"/>
      <c r="F36" s="482"/>
      <c r="G36" s="482"/>
      <c r="H36" s="482"/>
      <c r="I36" s="482"/>
      <c r="J36" s="1151"/>
      <c r="K36" s="1151"/>
      <c r="L36" s="1151"/>
      <c r="M36" s="772"/>
      <c r="N36" s="772"/>
      <c r="R36" s="238"/>
      <c r="T36" s="238"/>
      <c r="AC36" s="238"/>
      <c r="AD36" s="270"/>
      <c r="AE36" s="393" t="s">
        <v>17997</v>
      </c>
      <c r="AF36" s="482"/>
      <c r="AG36" s="482"/>
      <c r="AH36" s="482"/>
      <c r="AI36" s="482"/>
      <c r="AJ36" s="482"/>
      <c r="AK36" s="1151"/>
      <c r="AL36" s="1151"/>
      <c r="AM36" s="1151"/>
    </row>
    <row r="37" spans="1:39" ht="15.75" customHeight="1" thickTop="1">
      <c r="A37" s="200"/>
      <c r="B37" s="451" t="s">
        <v>17907</v>
      </c>
      <c r="C37" s="277" t="s">
        <v>3635</v>
      </c>
      <c r="D37" s="277" t="s">
        <v>3635</v>
      </c>
      <c r="E37" s="1762"/>
      <c r="F37" s="1762"/>
      <c r="G37" s="1762"/>
      <c r="H37" s="2606">
        <v>186300</v>
      </c>
      <c r="I37" s="1767"/>
      <c r="J37" s="1767"/>
      <c r="K37" s="1767"/>
      <c r="L37" s="695">
        <v>16.170000000000002</v>
      </c>
      <c r="M37" s="772"/>
      <c r="N37" s="281" t="s">
        <v>17998</v>
      </c>
      <c r="P37" s="283"/>
      <c r="R37" s="238"/>
      <c r="S37" s="1232">
        <f t="shared" ref="S37:S42" si="22">IF( SUM( U37:AB37 ) = 0, 0, $U$5 )</f>
        <v>0</v>
      </c>
      <c r="T37" s="238"/>
      <c r="AB37" s="285">
        <f t="shared" ref="AB37" si="23" xml:space="preserve"> IF( ISNUMBER(L37 ), 0, 1 )</f>
        <v>0</v>
      </c>
      <c r="AC37" s="238"/>
      <c r="AD37" s="270"/>
      <c r="AE37" s="451" t="s">
        <v>17907</v>
      </c>
      <c r="AF37" s="1406"/>
      <c r="AG37" s="1406"/>
      <c r="AH37" s="1406"/>
      <c r="AI37" s="1072" t="s">
        <v>3252</v>
      </c>
      <c r="AJ37" s="1406"/>
      <c r="AK37" s="1406"/>
      <c r="AL37" s="1406"/>
      <c r="AM37" s="1407" t="s">
        <v>17999</v>
      </c>
    </row>
    <row r="38" spans="1:39" ht="15.75" customHeight="1">
      <c r="A38" s="200"/>
      <c r="B38" s="460" t="s">
        <v>17910</v>
      </c>
      <c r="C38" s="286" t="s">
        <v>3635</v>
      </c>
      <c r="D38" s="286" t="s">
        <v>3635</v>
      </c>
      <c r="E38" s="1717">
        <v>18513</v>
      </c>
      <c r="F38" s="1717">
        <v>49967</v>
      </c>
      <c r="G38" s="1717">
        <v>30742</v>
      </c>
      <c r="H38" s="1721">
        <f t="shared" ref="H38:H42" si="24">IFERROR(SUM(E38:G38), 0)</f>
        <v>99222</v>
      </c>
      <c r="I38" s="697">
        <v>4.7110000000000003</v>
      </c>
      <c r="J38" s="697">
        <v>3.468</v>
      </c>
      <c r="K38" s="697">
        <v>2.1390000000000002</v>
      </c>
      <c r="L38" s="1598">
        <f t="shared" ref="L38:L40" si="25">IFERROR(SUM(I38:K38), 0)</f>
        <v>10.318000000000001</v>
      </c>
      <c r="M38" s="772"/>
      <c r="N38" s="290" t="s">
        <v>18000</v>
      </c>
      <c r="P38" s="291"/>
      <c r="R38" s="238"/>
      <c r="S38" s="1232">
        <f t="shared" si="22"/>
        <v>0</v>
      </c>
      <c r="T38" s="238"/>
      <c r="U38" s="285">
        <f t="shared" ref="U38:U40" si="26" xml:space="preserve"> IF( ISNUMBER(E38 ), 0, 1 )</f>
        <v>0</v>
      </c>
      <c r="V38" s="285">
        <f t="shared" ref="V38:V42" si="27" xml:space="preserve"> IF( ISNUMBER(F38 ), 0, 1 )</f>
        <v>0</v>
      </c>
      <c r="W38" s="285">
        <f t="shared" ref="W38:W42" si="28" xml:space="preserve"> IF( ISNUMBER(G38 ), 0, 1 )</f>
        <v>0</v>
      </c>
      <c r="Y38" s="285">
        <f t="shared" ref="Y38:Y40" si="29" xml:space="preserve"> IF( ISNUMBER(I38 ), 0, 1 )</f>
        <v>0</v>
      </c>
      <c r="Z38" s="285">
        <f t="shared" ref="Z38:Z40" si="30" xml:space="preserve"> IF( ISNUMBER(J38 ), 0, 1 )</f>
        <v>0</v>
      </c>
      <c r="AA38" s="285">
        <f t="shared" ref="AA38:AA40" si="31" xml:space="preserve"> IF( ISNUMBER(K38 ), 0, 1 )</f>
        <v>0</v>
      </c>
      <c r="AC38" s="238"/>
      <c r="AD38" s="270"/>
      <c r="AE38" s="460" t="s">
        <v>17910</v>
      </c>
      <c r="AF38" s="1072" t="s">
        <v>18001</v>
      </c>
      <c r="AG38" s="1072" t="s">
        <v>18002</v>
      </c>
      <c r="AH38" s="1072" t="s">
        <v>18003</v>
      </c>
      <c r="AI38" s="1155" t="s">
        <v>18004</v>
      </c>
      <c r="AJ38" s="1072" t="s">
        <v>18005</v>
      </c>
      <c r="AK38" s="1072" t="s">
        <v>18006</v>
      </c>
      <c r="AL38" s="1072" t="s">
        <v>18007</v>
      </c>
      <c r="AM38" s="1137" t="s">
        <v>18008</v>
      </c>
    </row>
    <row r="39" spans="1:39" ht="15.75" customHeight="1">
      <c r="A39" s="200"/>
      <c r="B39" s="460" t="s">
        <v>17920</v>
      </c>
      <c r="C39" s="286" t="s">
        <v>3635</v>
      </c>
      <c r="D39" s="286" t="s">
        <v>3635</v>
      </c>
      <c r="E39" s="1717">
        <v>48225</v>
      </c>
      <c r="F39" s="1717">
        <v>0</v>
      </c>
      <c r="G39" s="1717">
        <v>0</v>
      </c>
      <c r="H39" s="1721">
        <f t="shared" si="24"/>
        <v>48225</v>
      </c>
      <c r="I39" s="697">
        <v>12.151</v>
      </c>
      <c r="J39" s="697">
        <v>0</v>
      </c>
      <c r="K39" s="697">
        <v>0</v>
      </c>
      <c r="L39" s="1598">
        <f t="shared" si="25"/>
        <v>12.151</v>
      </c>
      <c r="M39" s="772"/>
      <c r="N39" s="290" t="s">
        <v>18009</v>
      </c>
      <c r="P39" s="291"/>
      <c r="R39" s="238"/>
      <c r="S39" s="1232">
        <f t="shared" si="22"/>
        <v>0</v>
      </c>
      <c r="T39" s="238"/>
      <c r="U39" s="285">
        <f t="shared" si="26"/>
        <v>0</v>
      </c>
      <c r="V39" s="285">
        <f t="shared" si="27"/>
        <v>0</v>
      </c>
      <c r="W39" s="285">
        <f t="shared" si="28"/>
        <v>0</v>
      </c>
      <c r="Y39" s="285">
        <f t="shared" si="29"/>
        <v>0</v>
      </c>
      <c r="Z39" s="285">
        <f t="shared" si="30"/>
        <v>0</v>
      </c>
      <c r="AA39" s="285">
        <f t="shared" si="31"/>
        <v>0</v>
      </c>
      <c r="AC39" s="238"/>
      <c r="AD39" s="270"/>
      <c r="AE39" s="460" t="s">
        <v>17920</v>
      </c>
      <c r="AF39" s="1072" t="s">
        <v>18010</v>
      </c>
      <c r="AG39" s="1072" t="s">
        <v>18011</v>
      </c>
      <c r="AH39" s="1072" t="s">
        <v>18012</v>
      </c>
      <c r="AI39" s="1155" t="s">
        <v>18013</v>
      </c>
      <c r="AJ39" s="1072" t="s">
        <v>18014</v>
      </c>
      <c r="AK39" s="1072" t="s">
        <v>18015</v>
      </c>
      <c r="AL39" s="1072" t="s">
        <v>18016</v>
      </c>
      <c r="AM39" s="1137" t="s">
        <v>18017</v>
      </c>
    </row>
    <row r="40" spans="1:39" ht="15.75" customHeight="1">
      <c r="A40" s="200"/>
      <c r="B40" s="460" t="s">
        <v>17930</v>
      </c>
      <c r="C40" s="286" t="s">
        <v>3635</v>
      </c>
      <c r="D40" s="286" t="s">
        <v>3635</v>
      </c>
      <c r="E40" s="1717">
        <v>259</v>
      </c>
      <c r="F40" s="1717">
        <v>0</v>
      </c>
      <c r="G40" s="1717">
        <v>131208</v>
      </c>
      <c r="H40" s="1721">
        <f t="shared" si="24"/>
        <v>131467</v>
      </c>
      <c r="I40" s="697">
        <v>6.2E-2</v>
      </c>
      <c r="J40" s="697">
        <v>0</v>
      </c>
      <c r="K40" s="697">
        <v>8.6269999999999989</v>
      </c>
      <c r="L40" s="1598">
        <f t="shared" si="25"/>
        <v>8.6889999999999983</v>
      </c>
      <c r="M40" s="772"/>
      <c r="N40" s="290" t="s">
        <v>18018</v>
      </c>
      <c r="P40" s="291"/>
      <c r="R40" s="238"/>
      <c r="S40" s="1232">
        <f t="shared" si="22"/>
        <v>0</v>
      </c>
      <c r="T40" s="238"/>
      <c r="U40" s="285">
        <f t="shared" si="26"/>
        <v>0</v>
      </c>
      <c r="V40" s="285">
        <f t="shared" si="27"/>
        <v>0</v>
      </c>
      <c r="W40" s="285">
        <f t="shared" si="28"/>
        <v>0</v>
      </c>
      <c r="Y40" s="285">
        <f t="shared" si="29"/>
        <v>0</v>
      </c>
      <c r="Z40" s="285">
        <f t="shared" si="30"/>
        <v>0</v>
      </c>
      <c r="AA40" s="285">
        <f t="shared" si="31"/>
        <v>0</v>
      </c>
      <c r="AC40" s="238"/>
      <c r="AD40" s="270"/>
      <c r="AE40" s="460" t="s">
        <v>17930</v>
      </c>
      <c r="AF40" s="1072" t="s">
        <v>18019</v>
      </c>
      <c r="AG40" s="1072" t="s">
        <v>18020</v>
      </c>
      <c r="AH40" s="1072" t="s">
        <v>18021</v>
      </c>
      <c r="AI40" s="1155" t="s">
        <v>18022</v>
      </c>
      <c r="AJ40" s="1072" t="s">
        <v>18023</v>
      </c>
      <c r="AK40" s="1072" t="s">
        <v>18024</v>
      </c>
      <c r="AL40" s="1072" t="s">
        <v>18025</v>
      </c>
      <c r="AM40" s="1137" t="s">
        <v>18026</v>
      </c>
    </row>
    <row r="41" spans="1:39" ht="15.75" customHeight="1">
      <c r="A41" s="200"/>
      <c r="B41" s="460" t="s">
        <v>17940</v>
      </c>
      <c r="C41" s="286" t="s">
        <v>3635</v>
      </c>
      <c r="D41" s="286" t="s">
        <v>3635</v>
      </c>
      <c r="E41" s="1717">
        <v>0</v>
      </c>
      <c r="F41" s="1717">
        <v>4928</v>
      </c>
      <c r="G41" s="1717">
        <v>8219</v>
      </c>
      <c r="H41" s="1721">
        <f t="shared" si="24"/>
        <v>13147</v>
      </c>
      <c r="I41" s="2116"/>
      <c r="J41" s="2115"/>
      <c r="K41" s="2115"/>
      <c r="L41" s="1768"/>
      <c r="M41" s="772"/>
      <c r="N41" s="290" t="s">
        <v>18027</v>
      </c>
      <c r="P41" s="291"/>
      <c r="R41" s="238"/>
      <c r="S41" s="1232">
        <f t="shared" si="22"/>
        <v>0</v>
      </c>
      <c r="T41" s="238"/>
      <c r="U41" s="285">
        <f t="shared" ref="U41:U42" si="32" xml:space="preserve"> IF( ISNUMBER(E41 ), 0, 1 )</f>
        <v>0</v>
      </c>
      <c r="V41" s="285">
        <f t="shared" si="27"/>
        <v>0</v>
      </c>
      <c r="W41" s="285">
        <f t="shared" si="28"/>
        <v>0</v>
      </c>
      <c r="AC41" s="238"/>
      <c r="AD41" s="270"/>
      <c r="AE41" s="460" t="s">
        <v>17940</v>
      </c>
      <c r="AF41" s="1072" t="s">
        <v>18028</v>
      </c>
      <c r="AG41" s="1072" t="s">
        <v>18029</v>
      </c>
      <c r="AH41" s="1072" t="s">
        <v>18030</v>
      </c>
      <c r="AI41" s="1155" t="s">
        <v>18031</v>
      </c>
      <c r="AJ41" s="1408"/>
      <c r="AK41" s="1388"/>
      <c r="AL41" s="1388"/>
      <c r="AM41" s="1389"/>
    </row>
    <row r="42" spans="1:39" ht="15.75" customHeight="1" thickBot="1">
      <c r="A42" s="200"/>
      <c r="B42" s="463" t="s">
        <v>17946</v>
      </c>
      <c r="C42" s="355" t="s">
        <v>3635</v>
      </c>
      <c r="D42" s="355" t="s">
        <v>3635</v>
      </c>
      <c r="E42" s="1722">
        <v>5321</v>
      </c>
      <c r="F42" s="1722">
        <v>0</v>
      </c>
      <c r="G42" s="1722">
        <v>191551</v>
      </c>
      <c r="H42" s="1729">
        <f t="shared" si="24"/>
        <v>196872</v>
      </c>
      <c r="I42" s="1640">
        <v>1.288</v>
      </c>
      <c r="J42" s="1640">
        <v>0</v>
      </c>
      <c r="K42" s="1640">
        <v>13.285</v>
      </c>
      <c r="L42" s="1599">
        <f t="shared" ref="L42" si="33">IFERROR(SUM(I42:K42), 0)</f>
        <v>14.573</v>
      </c>
      <c r="M42" s="772"/>
      <c r="N42" s="356" t="s">
        <v>18032</v>
      </c>
      <c r="P42" s="302"/>
      <c r="R42" s="238"/>
      <c r="S42" s="1232">
        <f t="shared" si="22"/>
        <v>0</v>
      </c>
      <c r="T42" s="238"/>
      <c r="U42" s="285">
        <f t="shared" si="32"/>
        <v>0</v>
      </c>
      <c r="V42" s="285">
        <f t="shared" si="27"/>
        <v>0</v>
      </c>
      <c r="W42" s="285">
        <f t="shared" si="28"/>
        <v>0</v>
      </c>
      <c r="Y42" s="285">
        <f t="shared" ref="Y42" si="34" xml:space="preserve"> IF( ISNUMBER(I42 ), 0, 1 )</f>
        <v>0</v>
      </c>
      <c r="Z42" s="285">
        <f t="shared" ref="Z42" si="35" xml:space="preserve"> IF( ISNUMBER(J42 ), 0, 1 )</f>
        <v>0</v>
      </c>
      <c r="AA42" s="285">
        <f t="shared" ref="AA42" si="36" xml:space="preserve"> IF( ISNUMBER(K42 ), 0, 1 )</f>
        <v>0</v>
      </c>
      <c r="AC42" s="238"/>
      <c r="AD42" s="270"/>
      <c r="AE42" s="463" t="s">
        <v>17946</v>
      </c>
      <c r="AF42" s="1409" t="s">
        <v>18033</v>
      </c>
      <c r="AG42" s="1409" t="s">
        <v>18034</v>
      </c>
      <c r="AH42" s="1409" t="s">
        <v>18035</v>
      </c>
      <c r="AI42" s="1139" t="s">
        <v>18036</v>
      </c>
      <c r="AJ42" s="1409" t="s">
        <v>18037</v>
      </c>
      <c r="AK42" s="1409" t="s">
        <v>18038</v>
      </c>
      <c r="AL42" s="1409" t="s">
        <v>18039</v>
      </c>
      <c r="AM42" s="1140" t="s">
        <v>18040</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3137</v>
      </c>
      <c r="D44" s="692"/>
      <c r="E44" s="692"/>
      <c r="F44" s="692"/>
      <c r="G44" s="692"/>
      <c r="H44" s="692"/>
      <c r="I44" s="692"/>
      <c r="J44" s="692"/>
      <c r="K44" s="715"/>
      <c r="L44" s="200"/>
      <c r="M44" s="772"/>
      <c r="N44" s="1404"/>
      <c r="R44" s="238"/>
      <c r="T44" s="238"/>
      <c r="AC44" s="238"/>
      <c r="AD44" s="270"/>
      <c r="AE44" s="445"/>
      <c r="AF44" s="447" t="s">
        <v>3137</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18041</v>
      </c>
      <c r="C46" s="2117">
        <v>0.98425799999999997</v>
      </c>
      <c r="D46" s="692"/>
      <c r="E46" s="692"/>
      <c r="F46" s="692"/>
      <c r="G46" s="692"/>
      <c r="H46" s="692"/>
      <c r="I46" s="692"/>
      <c r="J46" s="692"/>
      <c r="K46" s="692"/>
      <c r="L46" s="200"/>
      <c r="M46" s="772"/>
      <c r="N46" s="374" t="s">
        <v>18042</v>
      </c>
      <c r="P46" s="375"/>
      <c r="R46" s="238"/>
      <c r="S46" s="1232">
        <f>IF( SUM( U46:AB46 ) = 0, 0, $U$5 )</f>
        <v>0</v>
      </c>
      <c r="T46" s="238"/>
      <c r="U46" s="285">
        <f xml:space="preserve"> IF( ISNUMBER(C46 ), 0, 1 )</f>
        <v>0</v>
      </c>
      <c r="AC46" s="238"/>
      <c r="AD46" s="270"/>
      <c r="AE46" s="469" t="s">
        <v>18041</v>
      </c>
      <c r="AF46" s="1410" t="s">
        <v>18043</v>
      </c>
      <c r="AG46" s="692"/>
      <c r="AH46" s="692"/>
      <c r="AI46" s="692"/>
      <c r="AJ46" s="692"/>
      <c r="AK46" s="692"/>
      <c r="AL46" s="692"/>
      <c r="AM46" s="200"/>
    </row>
    <row r="47" spans="1:39" ht="16.5"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tabColor rgb="FF00B050"/>
    <pageSetUpPr fitToPage="1"/>
  </sheetPr>
  <dimension ref="A1:U26"/>
  <sheetViews>
    <sheetView showGridLines="0" topLeftCell="A10" zoomScaleNormal="100" zoomScaleSheetLayoutView="100" workbookViewId="0">
      <selection activeCell="B26" sqref="B26"/>
    </sheetView>
  </sheetViews>
  <sheetFormatPr defaultColWidth="9" defaultRowHeight="14.25"/>
  <cols>
    <col min="1" max="1" width="1.625" style="219" customWidth="1"/>
    <col min="2" max="2" width="59" style="246"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418" bestFit="1" customWidth="1"/>
    <col min="9" max="9" width="1.625" style="219" customWidth="1"/>
    <col min="10" max="10" width="29.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B1" s="1229" t="s">
        <v>18044</v>
      </c>
      <c r="C1" s="1229"/>
      <c r="D1" s="1229"/>
      <c r="E1" s="1229"/>
      <c r="F1" s="1229"/>
      <c r="G1" s="1229"/>
      <c r="H1" s="1229"/>
      <c r="I1" s="1229"/>
      <c r="J1" s="1229"/>
      <c r="K1" s="1229"/>
      <c r="L1" s="238"/>
      <c r="N1" s="238"/>
      <c r="Q1" s="238"/>
      <c r="S1" s="1229" t="s">
        <v>7220</v>
      </c>
      <c r="T1" s="1229"/>
      <c r="U1" s="1229"/>
    </row>
    <row r="2" spans="1:21" ht="30" customHeight="1">
      <c r="B2" s="1229" t="str">
        <f>SelectCompany!B4</f>
        <v>Northumbrian Water</v>
      </c>
      <c r="C2" s="529"/>
      <c r="D2" s="529"/>
      <c r="E2" s="529"/>
      <c r="F2" s="529"/>
      <c r="G2" s="529"/>
      <c r="H2" s="529"/>
      <c r="I2" s="529"/>
      <c r="J2" s="529"/>
      <c r="K2" s="529"/>
      <c r="L2" s="238"/>
      <c r="N2" s="238"/>
      <c r="Q2" s="238"/>
      <c r="S2" s="1229"/>
      <c r="T2" s="529"/>
      <c r="U2" s="529"/>
    </row>
    <row r="3" spans="1:21" ht="45" customHeight="1">
      <c r="B3" s="2807" t="s">
        <v>18045</v>
      </c>
      <c r="C3" s="2807"/>
      <c r="D3" s="2807"/>
      <c r="E3" s="2807"/>
      <c r="F3" s="2807"/>
      <c r="G3" s="2807"/>
      <c r="H3" s="2807"/>
      <c r="I3" s="2807"/>
      <c r="J3" s="2807"/>
      <c r="K3" s="1413"/>
      <c r="L3" s="238"/>
      <c r="M3" s="1240" t="s">
        <v>7222</v>
      </c>
      <c r="N3" s="238"/>
      <c r="Q3" s="238"/>
      <c r="S3" s="2807" t="s">
        <v>18045</v>
      </c>
      <c r="T3" s="2807"/>
      <c r="U3" s="2807"/>
    </row>
    <row r="4" spans="1:21" ht="14.25" customHeight="1" thickBot="1">
      <c r="B4" s="690"/>
      <c r="C4" s="690"/>
      <c r="D4" s="690"/>
      <c r="E4" s="690"/>
      <c r="F4" s="690"/>
      <c r="G4" s="690"/>
      <c r="H4" s="1413"/>
      <c r="L4" s="238"/>
      <c r="N4" s="238"/>
      <c r="O4" s="2895" t="s">
        <v>7223</v>
      </c>
      <c r="P4" s="2895"/>
      <c r="Q4" s="238"/>
      <c r="S4" s="690"/>
      <c r="T4" s="690"/>
      <c r="U4" s="690"/>
    </row>
    <row r="5" spans="1:21" ht="55.5" customHeight="1" thickTop="1" thickBot="1">
      <c r="A5" s="242"/>
      <c r="B5" s="445" t="s">
        <v>7224</v>
      </c>
      <c r="C5" s="446" t="s">
        <v>7225</v>
      </c>
      <c r="D5" s="446" t="s">
        <v>670</v>
      </c>
      <c r="E5" s="446" t="s">
        <v>18046</v>
      </c>
      <c r="F5" s="447" t="s">
        <v>18047</v>
      </c>
      <c r="G5" s="1336"/>
      <c r="H5" s="449" t="s">
        <v>7229</v>
      </c>
      <c r="I5" s="242"/>
      <c r="J5" s="449" t="s">
        <v>7230</v>
      </c>
      <c r="K5" s="242"/>
      <c r="L5" s="238"/>
      <c r="N5" s="238"/>
      <c r="O5" s="269" t="s">
        <v>7231</v>
      </c>
      <c r="Q5" s="238"/>
      <c r="S5" s="445" t="s">
        <v>7224</v>
      </c>
      <c r="T5" s="446" t="s">
        <v>18046</v>
      </c>
      <c r="U5" s="447" t="s">
        <v>18047</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18048</v>
      </c>
      <c r="C7" s="482"/>
      <c r="D7" s="482"/>
      <c r="E7" s="482"/>
      <c r="F7" s="114"/>
      <c r="G7" s="114"/>
      <c r="H7" s="874"/>
      <c r="I7" s="242"/>
      <c r="J7" s="242"/>
      <c r="K7" s="242"/>
      <c r="L7" s="238"/>
      <c r="N7" s="238"/>
      <c r="Q7" s="238"/>
      <c r="S7" s="393" t="s">
        <v>18048</v>
      </c>
      <c r="T7" s="482"/>
      <c r="U7" s="114"/>
    </row>
    <row r="8" spans="1:21" ht="15.75" customHeight="1" thickTop="1">
      <c r="A8" s="242"/>
      <c r="B8" s="451" t="s">
        <v>18049</v>
      </c>
      <c r="C8" s="277" t="s">
        <v>3137</v>
      </c>
      <c r="D8" s="277">
        <v>1</v>
      </c>
      <c r="E8" s="1771">
        <v>0</v>
      </c>
      <c r="F8" s="1772">
        <v>0</v>
      </c>
      <c r="G8" s="114"/>
      <c r="H8" s="281" t="s">
        <v>18050</v>
      </c>
      <c r="I8" s="242"/>
      <c r="J8" s="1231"/>
      <c r="K8" s="242"/>
      <c r="L8" s="238"/>
      <c r="M8" s="1232">
        <f t="shared" ref="M8:M13" si="0">IF( SUM( O8:P8 ) = 0, 0, $O$5 )</f>
        <v>0</v>
      </c>
      <c r="N8" s="238"/>
      <c r="O8" s="285">
        <f t="shared" ref="O8" si="1" xml:space="preserve"> IF( ISNUMBER(E8 ), 0, 1 )</f>
        <v>0</v>
      </c>
      <c r="P8" s="285">
        <f t="shared" ref="P8:P13" si="2" xml:space="preserve"> IF( ISNUMBER(F8 ), 0, 1 )</f>
        <v>0</v>
      </c>
      <c r="Q8" s="238"/>
      <c r="S8" s="451" t="s">
        <v>18049</v>
      </c>
      <c r="T8" s="1414" t="s">
        <v>18051</v>
      </c>
      <c r="U8" s="1268" t="s">
        <v>18052</v>
      </c>
    </row>
    <row r="9" spans="1:21" ht="15.75" customHeight="1">
      <c r="A9" s="242"/>
      <c r="B9" s="460" t="s">
        <v>18053</v>
      </c>
      <c r="C9" s="286" t="s">
        <v>3137</v>
      </c>
      <c r="D9" s="286">
        <v>1</v>
      </c>
      <c r="E9" s="1773">
        <v>0</v>
      </c>
      <c r="F9" s="1774">
        <v>0</v>
      </c>
      <c r="G9" s="114"/>
      <c r="H9" s="290" t="s">
        <v>18054</v>
      </c>
      <c r="I9" s="242"/>
      <c r="J9" s="1233"/>
      <c r="K9" s="242"/>
      <c r="L9" s="238"/>
      <c r="M9" s="1232">
        <f t="shared" si="0"/>
        <v>0</v>
      </c>
      <c r="N9" s="238"/>
      <c r="O9" s="285">
        <f t="shared" ref="O9:O13" si="3" xml:space="preserve"> IF( ISNUMBER(E9 ), 0, 1 )</f>
        <v>0</v>
      </c>
      <c r="P9" s="285">
        <f t="shared" si="2"/>
        <v>0</v>
      </c>
      <c r="Q9" s="238"/>
      <c r="S9" s="460" t="s">
        <v>18053</v>
      </c>
      <c r="T9" s="1415" t="s">
        <v>18055</v>
      </c>
      <c r="U9" s="1269" t="s">
        <v>18056</v>
      </c>
    </row>
    <row r="10" spans="1:21" ht="15.75" customHeight="1">
      <c r="A10" s="242"/>
      <c r="B10" s="460" t="s">
        <v>18057</v>
      </c>
      <c r="C10" s="286" t="s">
        <v>3137</v>
      </c>
      <c r="D10" s="286">
        <v>1</v>
      </c>
      <c r="E10" s="1773">
        <v>0</v>
      </c>
      <c r="F10" s="1774">
        <v>0</v>
      </c>
      <c r="G10" s="114"/>
      <c r="H10" s="290" t="s">
        <v>18058</v>
      </c>
      <c r="I10" s="242"/>
      <c r="J10" s="1233"/>
      <c r="K10" s="242"/>
      <c r="L10" s="238"/>
      <c r="M10" s="1232">
        <f t="shared" si="0"/>
        <v>0</v>
      </c>
      <c r="N10" s="238"/>
      <c r="O10" s="285">
        <f t="shared" si="3"/>
        <v>0</v>
      </c>
      <c r="P10" s="285">
        <f t="shared" si="2"/>
        <v>0</v>
      </c>
      <c r="Q10" s="238"/>
      <c r="S10" s="460" t="s">
        <v>18057</v>
      </c>
      <c r="T10" s="1284" t="s">
        <v>18059</v>
      </c>
      <c r="U10" s="1269" t="s">
        <v>18060</v>
      </c>
    </row>
    <row r="11" spans="1:21" ht="15.75" customHeight="1">
      <c r="A11" s="242"/>
      <c r="B11" s="460" t="s">
        <v>18061</v>
      </c>
      <c r="C11" s="286" t="s">
        <v>3137</v>
      </c>
      <c r="D11" s="286">
        <v>1</v>
      </c>
      <c r="E11" s="1773">
        <v>1</v>
      </c>
      <c r="F11" s="1774">
        <v>0</v>
      </c>
      <c r="G11" s="432"/>
      <c r="H11" s="290" t="s">
        <v>18062</v>
      </c>
      <c r="I11" s="242"/>
      <c r="J11" s="1233"/>
      <c r="K11" s="242"/>
      <c r="L11" s="238"/>
      <c r="M11" s="1232">
        <f t="shared" si="0"/>
        <v>0</v>
      </c>
      <c r="N11" s="238"/>
      <c r="O11" s="285">
        <f t="shared" si="3"/>
        <v>0</v>
      </c>
      <c r="P11" s="285">
        <f t="shared" si="2"/>
        <v>0</v>
      </c>
      <c r="Q11" s="238"/>
      <c r="S11" s="460" t="s">
        <v>18061</v>
      </c>
      <c r="T11" s="1415" t="s">
        <v>18063</v>
      </c>
      <c r="U11" s="1269" t="s">
        <v>18064</v>
      </c>
    </row>
    <row r="12" spans="1:21" ht="15.75" customHeight="1">
      <c r="A12" s="242"/>
      <c r="B12" s="460" t="s">
        <v>18065</v>
      </c>
      <c r="C12" s="286" t="s">
        <v>3137</v>
      </c>
      <c r="D12" s="286">
        <v>1</v>
      </c>
      <c r="E12" s="1773">
        <v>0</v>
      </c>
      <c r="F12" s="1774">
        <v>0</v>
      </c>
      <c r="G12" s="114"/>
      <c r="H12" s="290" t="s">
        <v>18066</v>
      </c>
      <c r="I12" s="242"/>
      <c r="J12" s="1233"/>
      <c r="K12" s="242"/>
      <c r="L12" s="238"/>
      <c r="M12" s="1232">
        <f t="shared" si="0"/>
        <v>0</v>
      </c>
      <c r="N12" s="238"/>
      <c r="O12" s="285">
        <f t="shared" si="3"/>
        <v>0</v>
      </c>
      <c r="P12" s="285">
        <f t="shared" si="2"/>
        <v>0</v>
      </c>
      <c r="Q12" s="238"/>
      <c r="S12" s="460" t="s">
        <v>18065</v>
      </c>
      <c r="T12" s="1415" t="s">
        <v>18067</v>
      </c>
      <c r="U12" s="1269" t="s">
        <v>18068</v>
      </c>
    </row>
    <row r="13" spans="1:21" ht="15.75" customHeight="1">
      <c r="A13" s="242"/>
      <c r="B13" s="460" t="s">
        <v>18069</v>
      </c>
      <c r="C13" s="286" t="s">
        <v>3137</v>
      </c>
      <c r="D13" s="286">
        <v>1</v>
      </c>
      <c r="E13" s="1773">
        <v>0</v>
      </c>
      <c r="F13" s="1774">
        <v>0</v>
      </c>
      <c r="G13" s="111"/>
      <c r="H13" s="290" t="s">
        <v>18070</v>
      </c>
      <c r="I13" s="242"/>
      <c r="J13" s="1233"/>
      <c r="K13" s="242"/>
      <c r="L13" s="238"/>
      <c r="M13" s="1232">
        <f t="shared" si="0"/>
        <v>0</v>
      </c>
      <c r="N13" s="238"/>
      <c r="O13" s="285">
        <f t="shared" si="3"/>
        <v>0</v>
      </c>
      <c r="P13" s="285">
        <f t="shared" si="2"/>
        <v>0</v>
      </c>
      <c r="Q13" s="238"/>
      <c r="S13" s="460" t="s">
        <v>18069</v>
      </c>
      <c r="T13" s="1415" t="s">
        <v>18071</v>
      </c>
      <c r="U13" s="1269" t="s">
        <v>18072</v>
      </c>
    </row>
    <row r="14" spans="1:21" ht="15.75" customHeight="1" thickBot="1">
      <c r="A14" s="242"/>
      <c r="B14" s="463" t="s">
        <v>18073</v>
      </c>
      <c r="C14" s="355" t="s">
        <v>3137</v>
      </c>
      <c r="D14" s="355">
        <v>1</v>
      </c>
      <c r="E14" s="1775">
        <f>IFERROR(SUM(E8:E13), 0)</f>
        <v>1</v>
      </c>
      <c r="F14" s="1776">
        <f>IFERROR(SUM(F8:F13), 0)</f>
        <v>0</v>
      </c>
      <c r="G14" s="111"/>
      <c r="H14" s="356" t="s">
        <v>18074</v>
      </c>
      <c r="I14" s="242"/>
      <c r="J14" s="1237"/>
      <c r="K14" s="242"/>
      <c r="L14" s="238"/>
      <c r="N14" s="238"/>
      <c r="Q14" s="238"/>
      <c r="S14" s="463" t="s">
        <v>18073</v>
      </c>
      <c r="T14" s="1416" t="s">
        <v>18075</v>
      </c>
      <c r="U14" s="1364" t="s">
        <v>18076</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18077</v>
      </c>
      <c r="C16" s="482"/>
      <c r="D16" s="482"/>
      <c r="E16" s="1778"/>
      <c r="F16" s="1777"/>
      <c r="G16" s="114"/>
      <c r="H16" s="874"/>
      <c r="I16" s="242"/>
      <c r="J16" s="242"/>
      <c r="K16" s="242"/>
      <c r="L16" s="238"/>
      <c r="N16" s="238"/>
      <c r="Q16" s="238"/>
      <c r="S16" s="393" t="s">
        <v>18077</v>
      </c>
      <c r="T16" s="482"/>
      <c r="U16" s="114"/>
    </row>
    <row r="17" spans="1:21" ht="15.75" customHeight="1" thickTop="1">
      <c r="A17" s="242"/>
      <c r="B17" s="451" t="s">
        <v>18078</v>
      </c>
      <c r="C17" s="277" t="s">
        <v>3137</v>
      </c>
      <c r="D17" s="277">
        <v>1</v>
      </c>
      <c r="E17" s="1771">
        <v>0</v>
      </c>
      <c r="F17" s="1772">
        <v>0</v>
      </c>
      <c r="G17" s="114"/>
      <c r="H17" s="281" t="s">
        <v>18079</v>
      </c>
      <c r="I17" s="242"/>
      <c r="J17" s="1231"/>
      <c r="K17" s="242"/>
      <c r="L17" s="238"/>
      <c r="M17" s="1232">
        <f t="shared" ref="M17:M21" si="4">IF( SUM( O17:P17 ) = 0, 0, $O$5 )</f>
        <v>0</v>
      </c>
      <c r="N17" s="238"/>
      <c r="O17" s="285">
        <f t="shared" ref="O17:O21" si="5" xml:space="preserve"> IF( ISNUMBER(E17 ), 0, 1 )</f>
        <v>0</v>
      </c>
      <c r="P17" s="285">
        <f t="shared" ref="P17:P21" si="6" xml:space="preserve"> IF( ISNUMBER(F17 ), 0, 1 )</f>
        <v>0</v>
      </c>
      <c r="Q17" s="238"/>
      <c r="S17" s="451" t="s">
        <v>18078</v>
      </c>
      <c r="T17" s="1414" t="s">
        <v>18080</v>
      </c>
      <c r="U17" s="1268" t="s">
        <v>18081</v>
      </c>
    </row>
    <row r="18" spans="1:21" ht="15.75" customHeight="1">
      <c r="A18" s="242"/>
      <c r="B18" s="460" t="s">
        <v>18082</v>
      </c>
      <c r="C18" s="286" t="s">
        <v>3137</v>
      </c>
      <c r="D18" s="286">
        <v>1</v>
      </c>
      <c r="E18" s="1773">
        <v>0</v>
      </c>
      <c r="F18" s="1774">
        <v>0</v>
      </c>
      <c r="G18" s="114"/>
      <c r="H18" s="290" t="s">
        <v>18083</v>
      </c>
      <c r="I18" s="242"/>
      <c r="J18" s="1233"/>
      <c r="K18" s="242"/>
      <c r="L18" s="238"/>
      <c r="M18" s="1232">
        <f t="shared" si="4"/>
        <v>0</v>
      </c>
      <c r="N18" s="238"/>
      <c r="O18" s="285">
        <f t="shared" si="5"/>
        <v>0</v>
      </c>
      <c r="P18" s="285">
        <f t="shared" si="6"/>
        <v>0</v>
      </c>
      <c r="Q18" s="238"/>
      <c r="S18" s="460" t="s">
        <v>18082</v>
      </c>
      <c r="T18" s="1415" t="s">
        <v>18084</v>
      </c>
      <c r="U18" s="1269" t="s">
        <v>18085</v>
      </c>
    </row>
    <row r="19" spans="1:21" ht="15.75" customHeight="1">
      <c r="A19" s="242"/>
      <c r="B19" s="460" t="s">
        <v>18086</v>
      </c>
      <c r="C19" s="286" t="s">
        <v>3137</v>
      </c>
      <c r="D19" s="286">
        <v>1</v>
      </c>
      <c r="E19" s="1773">
        <v>0</v>
      </c>
      <c r="F19" s="1774">
        <v>0</v>
      </c>
      <c r="G19" s="114"/>
      <c r="H19" s="290" t="s">
        <v>18087</v>
      </c>
      <c r="I19" s="242"/>
      <c r="J19" s="1233"/>
      <c r="K19" s="242"/>
      <c r="L19" s="238"/>
      <c r="M19" s="1232">
        <f t="shared" si="4"/>
        <v>0</v>
      </c>
      <c r="N19" s="238"/>
      <c r="O19" s="285">
        <f t="shared" si="5"/>
        <v>0</v>
      </c>
      <c r="P19" s="285">
        <f t="shared" si="6"/>
        <v>0</v>
      </c>
      <c r="Q19" s="238"/>
      <c r="S19" s="460" t="s">
        <v>18086</v>
      </c>
      <c r="T19" s="1415" t="s">
        <v>18088</v>
      </c>
      <c r="U19" s="1269" t="s">
        <v>18089</v>
      </c>
    </row>
    <row r="20" spans="1:21" ht="15.75" customHeight="1">
      <c r="A20" s="242"/>
      <c r="B20" s="460" t="s">
        <v>18090</v>
      </c>
      <c r="C20" s="286" t="s">
        <v>3137</v>
      </c>
      <c r="D20" s="286">
        <v>1</v>
      </c>
      <c r="E20" s="1773">
        <v>1</v>
      </c>
      <c r="F20" s="1774">
        <v>0</v>
      </c>
      <c r="G20" s="432"/>
      <c r="H20" s="290" t="s">
        <v>18091</v>
      </c>
      <c r="I20" s="242"/>
      <c r="J20" s="1233"/>
      <c r="K20" s="242"/>
      <c r="L20" s="238"/>
      <c r="M20" s="1232">
        <f t="shared" si="4"/>
        <v>0</v>
      </c>
      <c r="N20" s="238"/>
      <c r="O20" s="285">
        <f t="shared" si="5"/>
        <v>0</v>
      </c>
      <c r="P20" s="285">
        <f t="shared" si="6"/>
        <v>0</v>
      </c>
      <c r="Q20" s="238"/>
      <c r="S20" s="460" t="s">
        <v>18090</v>
      </c>
      <c r="T20" s="1415" t="s">
        <v>18092</v>
      </c>
      <c r="U20" s="1269" t="s">
        <v>18093</v>
      </c>
    </row>
    <row r="21" spans="1:21" ht="15.75" customHeight="1">
      <c r="A21" s="242"/>
      <c r="B21" s="460" t="s">
        <v>18094</v>
      </c>
      <c r="C21" s="286" t="s">
        <v>3137</v>
      </c>
      <c r="D21" s="286">
        <v>1</v>
      </c>
      <c r="E21" s="1773">
        <v>0</v>
      </c>
      <c r="F21" s="1774">
        <v>0</v>
      </c>
      <c r="G21" s="114"/>
      <c r="H21" s="290" t="s">
        <v>18095</v>
      </c>
      <c r="I21" s="242"/>
      <c r="J21" s="1233"/>
      <c r="K21" s="242"/>
      <c r="L21" s="238"/>
      <c r="M21" s="1232">
        <f t="shared" si="4"/>
        <v>0</v>
      </c>
      <c r="N21" s="238"/>
      <c r="O21" s="285">
        <f t="shared" si="5"/>
        <v>0</v>
      </c>
      <c r="P21" s="285">
        <f t="shared" si="6"/>
        <v>0</v>
      </c>
      <c r="Q21" s="238"/>
      <c r="S21" s="460" t="s">
        <v>18094</v>
      </c>
      <c r="T21" s="1415" t="s">
        <v>18096</v>
      </c>
      <c r="U21" s="1269" t="s">
        <v>18097</v>
      </c>
    </row>
    <row r="22" spans="1:21" ht="15.75" customHeight="1" thickBot="1">
      <c r="A22" s="242"/>
      <c r="B22" s="463" t="s">
        <v>18098</v>
      </c>
      <c r="C22" s="355" t="s">
        <v>3137</v>
      </c>
      <c r="D22" s="355">
        <v>1</v>
      </c>
      <c r="E22" s="1775">
        <f>IFERROR(SUM(E17:E21), 0)</f>
        <v>1</v>
      </c>
      <c r="F22" s="1776">
        <f>IFERROR(SUM(F17:F21), 0)</f>
        <v>0</v>
      </c>
      <c r="G22" s="111"/>
      <c r="H22" s="356" t="s">
        <v>18099</v>
      </c>
      <c r="I22" s="242"/>
      <c r="J22" s="1237"/>
      <c r="K22" s="242"/>
      <c r="L22" s="238"/>
      <c r="N22" s="238"/>
      <c r="Q22" s="238"/>
      <c r="S22" s="463" t="s">
        <v>18098</v>
      </c>
      <c r="T22" s="1416" t="s">
        <v>18100</v>
      </c>
      <c r="U22" s="1364" t="s">
        <v>18101</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
      <c r="A25" s="242"/>
      <c r="B25" s="1059"/>
      <c r="C25" s="242"/>
      <c r="D25" s="242"/>
      <c r="E25" s="242"/>
      <c r="F25" s="242"/>
      <c r="G25" s="242"/>
      <c r="H25" s="954"/>
      <c r="I25" s="242"/>
      <c r="J25" s="242"/>
      <c r="K25" s="242"/>
    </row>
    <row r="26" spans="1:21" ht="1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tabColor rgb="FF00B050"/>
    <pageSetUpPr fitToPage="1"/>
  </sheetPr>
  <dimension ref="A1:AW45"/>
  <sheetViews>
    <sheetView showGridLines="0" zoomScale="40" zoomScaleNormal="40" zoomScaleSheetLayoutView="100" workbookViewId="0">
      <selection activeCell="S1" sqref="S1"/>
    </sheetView>
  </sheetViews>
  <sheetFormatPr defaultColWidth="9" defaultRowHeight="14.25"/>
  <cols>
    <col min="1" max="1" width="1.625" style="1419" customWidth="1"/>
    <col min="2" max="2" width="80.625" style="1419" customWidth="1"/>
    <col min="3" max="4" width="19.25" style="1431" customWidth="1"/>
    <col min="5" max="5" width="19.5" style="1431" bestFit="1" customWidth="1"/>
    <col min="6" max="6" width="19.25" style="1419" customWidth="1"/>
    <col min="7" max="7" width="14.625" style="1419" bestFit="1" customWidth="1"/>
    <col min="8" max="9" width="21.75" style="1419" bestFit="1" customWidth="1"/>
    <col min="10" max="10" width="14.625" style="1419" bestFit="1" customWidth="1"/>
    <col min="11" max="12" width="14.75" style="1419" bestFit="1" customWidth="1"/>
    <col min="13" max="13" width="14.75" style="1419" customWidth="1"/>
    <col min="14" max="16" width="15.125" style="1419" customWidth="1"/>
    <col min="17" max="17" width="12.5" style="1419" customWidth="1"/>
    <col min="18" max="18" width="1.625" style="1419" customWidth="1"/>
    <col min="19" max="19" width="33.625" style="1419" customWidth="1"/>
    <col min="20" max="20" width="1.625" style="1419"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419" customWidth="1"/>
    <col min="36" max="36" width="44.25" style="1419"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419" customWidth="1"/>
    <col min="52" max="16384" width="9" style="1419"/>
  </cols>
  <sheetData>
    <row r="1" spans="1:48" ht="30.75" customHeight="1">
      <c r="B1" s="1229" t="s">
        <v>18102</v>
      </c>
      <c r="C1" s="1420"/>
      <c r="D1" s="1420"/>
      <c r="E1" s="1420"/>
      <c r="F1" s="1229"/>
      <c r="G1" s="1229"/>
      <c r="H1" s="1229"/>
      <c r="U1" s="238"/>
      <c r="W1" s="238"/>
      <c r="AH1" s="238"/>
      <c r="AJ1" s="1229" t="s">
        <v>7220</v>
      </c>
      <c r="AK1" s="1229"/>
      <c r="AL1" s="1229"/>
      <c r="AM1" s="1229"/>
      <c r="AN1" s="1419"/>
      <c r="AO1" s="1419"/>
      <c r="AP1" s="1419"/>
      <c r="AQ1" s="1419"/>
    </row>
    <row r="2" spans="1:48" ht="30.75" customHeight="1">
      <c r="B2" s="1229" t="str">
        <f>SelectCompany!B4</f>
        <v>Northumbrian Water</v>
      </c>
      <c r="C2" s="1239"/>
      <c r="D2" s="1239"/>
      <c r="E2" s="1239"/>
      <c r="F2" s="529"/>
      <c r="G2" s="529"/>
      <c r="H2" s="529"/>
      <c r="U2" s="238"/>
      <c r="W2" s="238"/>
      <c r="AH2" s="238"/>
      <c r="AJ2" s="529"/>
      <c r="AK2" s="529"/>
      <c r="AL2" s="529"/>
      <c r="AM2" s="529"/>
      <c r="AN2" s="1419"/>
      <c r="AO2" s="1419"/>
      <c r="AP2" s="1419"/>
      <c r="AQ2" s="1419"/>
    </row>
    <row r="3" spans="1:48" ht="45" customHeight="1">
      <c r="B3" s="2807" t="s">
        <v>18103</v>
      </c>
      <c r="C3" s="2807"/>
      <c r="D3" s="2807"/>
      <c r="E3" s="2807"/>
      <c r="F3" s="2807"/>
      <c r="G3" s="2807"/>
      <c r="H3" s="2807"/>
      <c r="I3" s="2807"/>
      <c r="J3" s="2807"/>
      <c r="K3" s="2807"/>
      <c r="L3" s="2807"/>
      <c r="M3" s="2807"/>
      <c r="N3" s="2807"/>
      <c r="O3" s="2807"/>
      <c r="P3" s="2807"/>
      <c r="Q3" s="2807"/>
      <c r="R3" s="2807"/>
      <c r="S3" s="2807"/>
      <c r="U3" s="238"/>
      <c r="V3" s="1240" t="s">
        <v>7222</v>
      </c>
      <c r="W3" s="238"/>
      <c r="AH3" s="238"/>
      <c r="AJ3" s="2807" t="s">
        <v>18103</v>
      </c>
      <c r="AK3" s="2807"/>
      <c r="AL3" s="2807"/>
      <c r="AM3" s="2807"/>
      <c r="AN3" s="2807"/>
      <c r="AO3" s="2807"/>
      <c r="AP3" s="2807"/>
      <c r="AQ3" s="2807"/>
      <c r="AR3" s="1419"/>
      <c r="AS3" s="1419"/>
      <c r="AT3" s="1419"/>
      <c r="AU3" s="1419"/>
      <c r="AV3" s="1419"/>
    </row>
    <row r="4" spans="1:48" ht="15.75" customHeight="1" thickBot="1">
      <c r="B4" s="690"/>
      <c r="C4" s="690"/>
      <c r="D4" s="690"/>
      <c r="E4" s="690"/>
      <c r="F4" s="690"/>
      <c r="G4" s="690"/>
      <c r="H4" s="690"/>
      <c r="U4" s="238"/>
      <c r="W4" s="238"/>
      <c r="X4" s="2920" t="s">
        <v>7223</v>
      </c>
      <c r="Y4" s="2920"/>
      <c r="Z4" s="2920"/>
      <c r="AA4" s="2920"/>
      <c r="AB4" s="2920"/>
      <c r="AC4" s="2920"/>
      <c r="AD4" s="2920"/>
      <c r="AE4" s="2920"/>
      <c r="AF4" s="2920"/>
      <c r="AG4" s="2920"/>
      <c r="AH4" s="238"/>
      <c r="AJ4" s="690"/>
      <c r="AK4" s="690"/>
      <c r="AL4" s="690"/>
      <c r="AM4" s="690"/>
      <c r="AN4" s="1419"/>
      <c r="AO4" s="1419"/>
      <c r="AP4" s="1419"/>
      <c r="AQ4" s="1419"/>
      <c r="AR4" s="1419"/>
      <c r="AS4" s="1419"/>
      <c r="AT4" s="1419"/>
      <c r="AU4" s="1419"/>
      <c r="AV4" s="1419"/>
    </row>
    <row r="5" spans="1:48" ht="50.85" customHeight="1" thickTop="1" thickBot="1">
      <c r="A5" s="1147"/>
      <c r="B5" s="445" t="s">
        <v>7224</v>
      </c>
      <c r="C5" s="446" t="s">
        <v>7225</v>
      </c>
      <c r="D5" s="446" t="s">
        <v>670</v>
      </c>
      <c r="E5" s="2544" t="s">
        <v>7341</v>
      </c>
      <c r="F5" s="2334"/>
      <c r="G5" s="1147"/>
      <c r="H5" s="1147"/>
      <c r="I5" s="1147"/>
      <c r="J5" s="1147"/>
      <c r="K5" s="1147"/>
      <c r="L5" s="1147"/>
      <c r="M5" s="1147"/>
      <c r="N5" s="1147"/>
      <c r="O5" s="1147"/>
      <c r="P5" s="1147"/>
      <c r="Q5" s="449" t="s">
        <v>7229</v>
      </c>
      <c r="R5" s="1147"/>
      <c r="S5" s="449" t="s">
        <v>7230</v>
      </c>
      <c r="T5" s="1147"/>
      <c r="U5" s="238"/>
      <c r="W5" s="238"/>
      <c r="X5" s="269" t="s">
        <v>7231</v>
      </c>
      <c r="Y5" s="269"/>
      <c r="Z5" s="269"/>
      <c r="AA5" s="269"/>
      <c r="AB5" s="269"/>
      <c r="AC5" s="269"/>
      <c r="AD5" s="269"/>
      <c r="AE5" s="269"/>
      <c r="AF5" s="269"/>
      <c r="AG5" s="269"/>
      <c r="AH5" s="238"/>
      <c r="AJ5" s="445" t="s">
        <v>7224</v>
      </c>
      <c r="AK5" s="2544" t="s">
        <v>7341</v>
      </c>
      <c r="AL5" s="2334"/>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18104</v>
      </c>
      <c r="C7" s="482"/>
      <c r="D7" s="482"/>
      <c r="E7" s="482"/>
      <c r="F7" s="1421"/>
      <c r="G7" s="1421"/>
      <c r="H7" s="1421"/>
      <c r="I7" s="1421"/>
      <c r="J7" s="1421"/>
      <c r="K7" s="1421"/>
      <c r="L7" s="1421"/>
      <c r="M7" s="1421"/>
      <c r="N7" s="1421"/>
      <c r="O7" s="1421"/>
      <c r="P7" s="1421"/>
      <c r="Q7" s="1147"/>
      <c r="R7" s="1147"/>
      <c r="S7" s="1147"/>
      <c r="T7" s="1147"/>
      <c r="U7" s="238"/>
      <c r="W7" s="238"/>
      <c r="AH7" s="238"/>
      <c r="AJ7" s="393" t="s">
        <v>18104</v>
      </c>
      <c r="AK7" s="482"/>
      <c r="AL7" s="1421"/>
      <c r="AM7" s="1419"/>
      <c r="AN7" s="1419"/>
      <c r="AO7" s="1419"/>
      <c r="AP7" s="1419"/>
      <c r="AQ7" s="1419"/>
      <c r="AR7" s="1419"/>
      <c r="AS7" s="1419"/>
      <c r="AT7" s="1419"/>
      <c r="AU7" s="1419"/>
      <c r="AV7" s="1419"/>
    </row>
    <row r="8" spans="1:48" ht="31.5" thickTop="1" thickBot="1">
      <c r="A8" s="1147"/>
      <c r="B8" s="469" t="s">
        <v>18105</v>
      </c>
      <c r="C8" s="384" t="s">
        <v>681</v>
      </c>
      <c r="D8" s="384">
        <v>3</v>
      </c>
      <c r="E8" s="2545">
        <v>2.6419999999999999</v>
      </c>
      <c r="F8" s="1421"/>
      <c r="G8" s="1421"/>
      <c r="H8" s="1421"/>
      <c r="I8" s="1421"/>
      <c r="J8" s="1421"/>
      <c r="K8" s="1421"/>
      <c r="L8" s="1421"/>
      <c r="M8" s="1421"/>
      <c r="N8" s="1421"/>
      <c r="O8" s="1421"/>
      <c r="P8" s="1421"/>
      <c r="Q8" s="1048" t="s">
        <v>18106</v>
      </c>
      <c r="R8" s="1147"/>
      <c r="S8" s="375"/>
      <c r="T8" s="1147"/>
      <c r="U8" s="238"/>
      <c r="V8" s="1232" t="str">
        <f>IF( SUM( X8:AG8 ) = 0, 0, $X$5 )</f>
        <v>Please complete all cells in row</v>
      </c>
      <c r="W8" s="238"/>
      <c r="Z8" s="285">
        <f xml:space="preserve"> IF( ISNUMBER(F8 ), 0, 1 )</f>
        <v>1</v>
      </c>
      <c r="AH8" s="238"/>
      <c r="AJ8" s="469" t="s">
        <v>18105</v>
      </c>
      <c r="AK8" s="2545" t="s">
        <v>18107</v>
      </c>
      <c r="AL8" s="1421"/>
      <c r="AM8" s="1419"/>
      <c r="AN8" s="1419"/>
      <c r="AO8" s="1419"/>
      <c r="AP8" s="1419"/>
      <c r="AQ8" s="1419"/>
      <c r="AR8" s="1419"/>
      <c r="AS8" s="1419"/>
      <c r="AT8" s="1419"/>
      <c r="AU8" s="1419"/>
      <c r="AV8" s="1419"/>
    </row>
    <row r="9" spans="1:48" ht="15.75" customHeight="1" thickTop="1" thickBot="1">
      <c r="A9" s="1147"/>
      <c r="B9" s="1397"/>
      <c r="C9" s="1398"/>
      <c r="D9" s="1398"/>
      <c r="E9" s="2546"/>
      <c r="F9" s="1421"/>
      <c r="G9" s="1421"/>
      <c r="H9" s="1421"/>
      <c r="I9" s="1421"/>
      <c r="J9" s="1421"/>
      <c r="K9" s="1421"/>
      <c r="L9" s="1421"/>
      <c r="M9" s="1421"/>
      <c r="N9" s="1421"/>
      <c r="O9" s="1421"/>
      <c r="P9" s="1421"/>
      <c r="Q9" s="1423"/>
      <c r="R9" s="1147"/>
      <c r="S9" s="1147"/>
      <c r="T9" s="1147"/>
      <c r="U9" s="238"/>
      <c r="W9" s="238"/>
      <c r="AH9" s="238"/>
      <c r="AJ9" s="1397"/>
      <c r="AK9" s="2546"/>
      <c r="AL9" s="1421"/>
      <c r="AM9" s="1419"/>
      <c r="AN9" s="1419"/>
      <c r="AO9" s="1419"/>
      <c r="AP9" s="1419"/>
      <c r="AQ9" s="1419"/>
      <c r="AR9" s="1419"/>
      <c r="AS9" s="1419"/>
      <c r="AT9" s="1419"/>
      <c r="AU9" s="1419"/>
      <c r="AV9" s="1419"/>
    </row>
    <row r="10" spans="1:48" ht="35.25" customHeight="1" thickTop="1" thickBot="1">
      <c r="A10" s="1147"/>
      <c r="B10" s="393" t="s">
        <v>18108</v>
      </c>
      <c r="C10" s="482"/>
      <c r="D10" s="114"/>
      <c r="E10" s="2547"/>
      <c r="F10" s="1421"/>
      <c r="G10" s="1421"/>
      <c r="H10" s="1421"/>
      <c r="I10" s="1421"/>
      <c r="J10" s="1421"/>
      <c r="K10" s="1421"/>
      <c r="L10" s="1421"/>
      <c r="M10" s="1421"/>
      <c r="N10" s="1421"/>
      <c r="O10" s="1421"/>
      <c r="P10" s="1421"/>
      <c r="Q10" s="1147"/>
      <c r="R10" s="1147"/>
      <c r="S10" s="1147"/>
      <c r="T10" s="1147"/>
      <c r="U10" s="238"/>
      <c r="W10" s="238"/>
      <c r="AH10" s="238"/>
      <c r="AJ10" s="393" t="s">
        <v>18108</v>
      </c>
      <c r="AK10" s="2547"/>
      <c r="AL10" s="1421"/>
      <c r="AM10" s="1419"/>
      <c r="AN10" s="1419"/>
      <c r="AO10" s="1419"/>
      <c r="AP10" s="1419"/>
      <c r="AQ10" s="1419"/>
      <c r="AR10" s="1419"/>
      <c r="AS10" s="1419"/>
      <c r="AT10" s="1419"/>
      <c r="AU10" s="1419"/>
      <c r="AV10" s="1419"/>
    </row>
    <row r="11" spans="1:48" s="1421" customFormat="1" ht="15.75" customHeight="1" thickTop="1">
      <c r="A11" s="1147"/>
      <c r="B11" s="451" t="s">
        <v>18109</v>
      </c>
      <c r="C11" s="1424" t="s">
        <v>681</v>
      </c>
      <c r="D11" s="1424">
        <v>3</v>
      </c>
      <c r="E11" s="2519">
        <v>2.6419999999999999</v>
      </c>
      <c r="Q11" s="281" t="s">
        <v>18110</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18109</v>
      </c>
      <c r="AK11" s="2519" t="s">
        <v>18111</v>
      </c>
    </row>
    <row r="12" spans="1:48" s="1421" customFormat="1" ht="15.75" customHeight="1">
      <c r="A12" s="1147"/>
      <c r="B12" s="460" t="s">
        <v>18112</v>
      </c>
      <c r="C12" s="1425" t="s">
        <v>681</v>
      </c>
      <c r="D12" s="1425">
        <v>3</v>
      </c>
      <c r="E12" s="2522">
        <v>11.778</v>
      </c>
      <c r="Q12" s="290" t="s">
        <v>18113</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18112</v>
      </c>
      <c r="AK12" s="2522" t="s">
        <v>18114</v>
      </c>
    </row>
    <row r="13" spans="1:48" s="1421" customFormat="1" ht="15.75" customHeight="1">
      <c r="A13" s="1147"/>
      <c r="B13" s="460" t="s">
        <v>18115</v>
      </c>
      <c r="C13" s="1425" t="s">
        <v>681</v>
      </c>
      <c r="D13" s="1425">
        <v>3</v>
      </c>
      <c r="E13" s="2522">
        <v>0</v>
      </c>
      <c r="Q13" s="1041" t="s">
        <v>18116</v>
      </c>
      <c r="R13" s="1147"/>
      <c r="S13" s="558"/>
      <c r="T13" s="1147"/>
      <c r="U13" s="238"/>
      <c r="V13" s="2319"/>
      <c r="W13" s="238"/>
      <c r="X13" s="241"/>
      <c r="Y13" s="241"/>
      <c r="Z13" s="285"/>
      <c r="AA13" s="241"/>
      <c r="AB13" s="241"/>
      <c r="AC13" s="241"/>
      <c r="AD13" s="241"/>
      <c r="AE13" s="241"/>
      <c r="AF13" s="241"/>
      <c r="AG13" s="241"/>
      <c r="AH13" s="241"/>
      <c r="AI13" s="1419"/>
      <c r="AJ13" s="460" t="s">
        <v>18115</v>
      </c>
      <c r="AK13" s="2522" t="s">
        <v>3254</v>
      </c>
    </row>
    <row r="14" spans="1:48" s="1421" customFormat="1" ht="34.9" customHeight="1">
      <c r="A14" s="1147"/>
      <c r="B14" s="460" t="s">
        <v>18117</v>
      </c>
      <c r="C14" s="1425" t="s">
        <v>681</v>
      </c>
      <c r="D14" s="1425">
        <v>3</v>
      </c>
      <c r="E14" s="2522">
        <v>0</v>
      </c>
      <c r="Q14" s="290" t="s">
        <v>18118</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18117</v>
      </c>
      <c r="AK14" s="2522" t="s">
        <v>18119</v>
      </c>
    </row>
    <row r="15" spans="1:48" s="1421" customFormat="1" ht="27.4" customHeight="1">
      <c r="A15" s="1147"/>
      <c r="B15" s="460" t="s">
        <v>18120</v>
      </c>
      <c r="C15" s="1425" t="s">
        <v>681</v>
      </c>
      <c r="D15" s="1425">
        <v>3</v>
      </c>
      <c r="E15" s="2522">
        <v>3.5089999999999999</v>
      </c>
      <c r="Q15" s="290" t="s">
        <v>18121</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18120</v>
      </c>
      <c r="AK15" s="2522" t="s">
        <v>18122</v>
      </c>
    </row>
    <row r="16" spans="1:48" s="1421" customFormat="1" ht="15.75" customHeight="1" thickBot="1">
      <c r="A16" s="1147"/>
      <c r="B16" s="463" t="s">
        <v>18123</v>
      </c>
      <c r="C16" s="1426" t="s">
        <v>681</v>
      </c>
      <c r="D16" s="1426">
        <v>3</v>
      </c>
      <c r="E16" s="2520">
        <v>0</v>
      </c>
      <c r="Q16" s="356" t="s">
        <v>18124</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18123</v>
      </c>
      <c r="AK16" s="2520" t="s">
        <v>18125</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18126</v>
      </c>
      <c r="Q18" s="1147"/>
      <c r="R18" s="1147"/>
      <c r="S18" s="1147"/>
      <c r="T18" s="1147"/>
      <c r="U18" s="238"/>
      <c r="V18" s="1232"/>
      <c r="W18" s="238"/>
      <c r="X18" s="241"/>
      <c r="Y18" s="241"/>
      <c r="Z18" s="241"/>
      <c r="AA18" s="241"/>
      <c r="AB18" s="241"/>
      <c r="AC18" s="241"/>
      <c r="AD18" s="241"/>
      <c r="AE18" s="241"/>
      <c r="AF18" s="241"/>
      <c r="AG18" s="241"/>
      <c r="AH18" s="241"/>
      <c r="AI18" s="1419"/>
      <c r="AJ18" s="393" t="s">
        <v>18126</v>
      </c>
    </row>
    <row r="19" spans="1:49" s="1421" customFormat="1" ht="15.75" customHeight="1" thickTop="1" thickBot="1">
      <c r="A19" s="1147"/>
      <c r="B19" s="469" t="s">
        <v>18127</v>
      </c>
      <c r="C19" s="2470" t="s">
        <v>681</v>
      </c>
      <c r="D19" s="2470">
        <v>3</v>
      </c>
      <c r="E19" s="2471">
        <v>0.106</v>
      </c>
      <c r="Q19" s="1048" t="s">
        <v>18128</v>
      </c>
      <c r="R19" s="1147"/>
      <c r="S19" s="2469"/>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18127</v>
      </c>
      <c r="AK19" s="2471" t="s">
        <v>3256</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7224</v>
      </c>
      <c r="C21" s="670" t="s">
        <v>18129</v>
      </c>
      <c r="D21" s="670" t="s">
        <v>18130</v>
      </c>
      <c r="E21" s="670" t="s">
        <v>18131</v>
      </c>
      <c r="F21" s="670" t="s">
        <v>18132</v>
      </c>
      <c r="G21" s="670" t="s">
        <v>18133</v>
      </c>
      <c r="H21" s="670" t="s">
        <v>18134</v>
      </c>
      <c r="I21" s="670" t="s">
        <v>18135</v>
      </c>
      <c r="J21" s="670" t="s">
        <v>18133</v>
      </c>
      <c r="K21" s="670" t="s">
        <v>18136</v>
      </c>
      <c r="L21" s="670" t="s">
        <v>18137</v>
      </c>
      <c r="M21" s="2587" t="s">
        <v>18138</v>
      </c>
      <c r="N21" s="671" t="s">
        <v>18139</v>
      </c>
      <c r="O21" s="671" t="s">
        <v>18140</v>
      </c>
      <c r="P21" s="1421"/>
      <c r="Q21" s="1147"/>
      <c r="R21" s="1147"/>
      <c r="S21" s="1147"/>
      <c r="T21" s="1147"/>
      <c r="U21" s="238"/>
      <c r="W21" s="238"/>
      <c r="AH21" s="238"/>
      <c r="AJ21" s="652" t="s">
        <v>7224</v>
      </c>
      <c r="AK21" s="670" t="s">
        <v>18129</v>
      </c>
      <c r="AL21" s="670" t="s">
        <v>18130</v>
      </c>
      <c r="AM21" s="670" t="s">
        <v>18131</v>
      </c>
      <c r="AN21" s="670" t="s">
        <v>18132</v>
      </c>
      <c r="AO21" s="670" t="s">
        <v>18133</v>
      </c>
      <c r="AP21" s="670" t="s">
        <v>18134</v>
      </c>
      <c r="AQ21" s="670" t="s">
        <v>18135</v>
      </c>
      <c r="AR21" s="670" t="s">
        <v>18133</v>
      </c>
      <c r="AS21" s="670" t="s">
        <v>18136</v>
      </c>
      <c r="AT21" s="670" t="s">
        <v>18141</v>
      </c>
      <c r="AU21" s="670" t="s">
        <v>18138</v>
      </c>
      <c r="AV21" s="670" t="s">
        <v>18139</v>
      </c>
      <c r="AW21" s="670" t="s">
        <v>18140</v>
      </c>
    </row>
    <row r="22" spans="1:49" ht="15.75" customHeight="1">
      <c r="A22" s="1147"/>
      <c r="B22" s="429" t="s">
        <v>7225</v>
      </c>
      <c r="C22" s="427" t="s">
        <v>681</v>
      </c>
      <c r="D22" s="427" t="s">
        <v>681</v>
      </c>
      <c r="E22" s="427" t="s">
        <v>681</v>
      </c>
      <c r="F22" s="427" t="s">
        <v>681</v>
      </c>
      <c r="G22" s="427" t="s">
        <v>681</v>
      </c>
      <c r="H22" s="427" t="s">
        <v>681</v>
      </c>
      <c r="I22" s="427" t="s">
        <v>681</v>
      </c>
      <c r="J22" s="427" t="s">
        <v>681</v>
      </c>
      <c r="K22" s="427" t="s">
        <v>681</v>
      </c>
      <c r="L22" s="427" t="s">
        <v>681</v>
      </c>
      <c r="M22" s="2588" t="s">
        <v>681</v>
      </c>
      <c r="N22" s="428" t="s">
        <v>681</v>
      </c>
      <c r="O22" s="428" t="s">
        <v>681</v>
      </c>
      <c r="P22" s="1421"/>
      <c r="Q22" s="1147"/>
      <c r="R22" s="1147"/>
      <c r="S22" s="1147"/>
      <c r="T22" s="1147"/>
      <c r="U22" s="238"/>
      <c r="W22" s="238"/>
      <c r="AH22" s="238"/>
      <c r="AJ22" s="429" t="s">
        <v>7225</v>
      </c>
      <c r="AK22" s="427" t="s">
        <v>681</v>
      </c>
      <c r="AL22" s="427" t="s">
        <v>681</v>
      </c>
      <c r="AM22" s="427" t="s">
        <v>681</v>
      </c>
      <c r="AN22" s="427" t="s">
        <v>681</v>
      </c>
      <c r="AO22" s="427" t="s">
        <v>681</v>
      </c>
      <c r="AP22" s="427" t="s">
        <v>681</v>
      </c>
      <c r="AQ22" s="427" t="s">
        <v>681</v>
      </c>
      <c r="AR22" s="427" t="s">
        <v>681</v>
      </c>
      <c r="AS22" s="427" t="s">
        <v>681</v>
      </c>
      <c r="AT22" s="427" t="s">
        <v>681</v>
      </c>
      <c r="AU22" s="427" t="s">
        <v>681</v>
      </c>
      <c r="AV22" s="427" t="s">
        <v>681</v>
      </c>
      <c r="AW22" s="427" t="s">
        <v>681</v>
      </c>
    </row>
    <row r="23" spans="1:49" ht="15.75" customHeight="1" thickBot="1">
      <c r="A23" s="1147"/>
      <c r="B23" s="430" t="s">
        <v>670</v>
      </c>
      <c r="C23" s="271">
        <v>3</v>
      </c>
      <c r="D23" s="271">
        <v>3</v>
      </c>
      <c r="E23" s="271">
        <v>3</v>
      </c>
      <c r="F23" s="271">
        <v>3</v>
      </c>
      <c r="G23" s="271">
        <v>3</v>
      </c>
      <c r="H23" s="271">
        <v>3</v>
      </c>
      <c r="I23" s="271">
        <v>3</v>
      </c>
      <c r="J23" s="271">
        <v>3</v>
      </c>
      <c r="K23" s="271">
        <v>3</v>
      </c>
      <c r="L23" s="271">
        <v>3</v>
      </c>
      <c r="M23" s="2589">
        <v>3</v>
      </c>
      <c r="N23" s="672">
        <v>3</v>
      </c>
      <c r="O23" s="672">
        <v>3</v>
      </c>
      <c r="P23" s="1421"/>
      <c r="Q23" s="1147"/>
      <c r="R23" s="1147"/>
      <c r="S23" s="1147"/>
      <c r="T23" s="1147"/>
      <c r="U23" s="238"/>
      <c r="W23" s="238"/>
      <c r="AH23" s="238"/>
      <c r="AJ23" s="430" t="s">
        <v>670</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1147"/>
      <c r="N24" s="1147"/>
      <c r="O24" s="1147"/>
      <c r="P24" s="2590"/>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18142</v>
      </c>
      <c r="C25" s="694">
        <v>3.7850000000000001</v>
      </c>
      <c r="D25" s="694">
        <v>0</v>
      </c>
      <c r="E25" s="694">
        <v>0.23899999999999999</v>
      </c>
      <c r="F25" s="694">
        <v>0.23899999999999999</v>
      </c>
      <c r="G25" s="1595">
        <f t="shared" ref="G25:G39" si="2">IFERROR(F25-E25,0)</f>
        <v>0</v>
      </c>
      <c r="H25" s="694">
        <v>3.7850000000000001</v>
      </c>
      <c r="I25" s="694">
        <v>0.23899999999999999</v>
      </c>
      <c r="J25" s="1595">
        <f t="shared" ref="J25:J39" si="3">IFERROR(I25-H25,0)</f>
        <v>-3.5460000000000003</v>
      </c>
      <c r="K25" s="694">
        <v>3.5460000000000003</v>
      </c>
      <c r="L25" s="694">
        <v>0</v>
      </c>
      <c r="M25" s="2591">
        <v>0</v>
      </c>
      <c r="N25" s="695">
        <v>0</v>
      </c>
      <c r="O25" s="695">
        <v>0</v>
      </c>
      <c r="P25" s="1421"/>
      <c r="Q25" s="281" t="s">
        <v>18143</v>
      </c>
      <c r="R25" s="1147"/>
      <c r="S25" s="283"/>
      <c r="T25" s="1147"/>
      <c r="U25" s="238"/>
      <c r="V25" s="1232">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18144</v>
      </c>
      <c r="AK25" s="694" t="s">
        <v>3258</v>
      </c>
      <c r="AL25" s="694" t="s">
        <v>3259</v>
      </c>
      <c r="AM25" s="694" t="s">
        <v>3260</v>
      </c>
      <c r="AN25" s="694" t="s">
        <v>3261</v>
      </c>
      <c r="AO25" s="1595" t="s">
        <v>3262</v>
      </c>
      <c r="AP25" s="694" t="s">
        <v>3264</v>
      </c>
      <c r="AQ25" s="694" t="s">
        <v>3265</v>
      </c>
      <c r="AR25" s="1595" t="s">
        <v>3266</v>
      </c>
      <c r="AS25" s="694" t="s">
        <v>3267</v>
      </c>
      <c r="AT25" s="694" t="s">
        <v>3268</v>
      </c>
      <c r="AU25" s="694" t="s">
        <v>3269</v>
      </c>
      <c r="AV25" s="695" t="s">
        <v>3270</v>
      </c>
      <c r="AW25" s="695" t="s">
        <v>3271</v>
      </c>
    </row>
    <row r="26" spans="1:49" ht="15.75" customHeight="1">
      <c r="A26" s="1147"/>
      <c r="B26" s="460" t="s">
        <v>18145</v>
      </c>
      <c r="C26" s="697">
        <v>5.32</v>
      </c>
      <c r="D26" s="697">
        <v>0</v>
      </c>
      <c r="E26" s="697">
        <v>0.14199999999999999</v>
      </c>
      <c r="F26" s="697">
        <v>0.14199999999999999</v>
      </c>
      <c r="G26" s="1597">
        <f t="shared" si="2"/>
        <v>0</v>
      </c>
      <c r="H26" s="697">
        <v>5.32</v>
      </c>
      <c r="I26" s="697">
        <v>0.14199999999999999</v>
      </c>
      <c r="J26" s="1597">
        <f t="shared" si="3"/>
        <v>-5.1779999999999999</v>
      </c>
      <c r="K26" s="697">
        <v>5.1779999999999999</v>
      </c>
      <c r="L26" s="697">
        <v>0</v>
      </c>
      <c r="M26" s="2592">
        <v>0</v>
      </c>
      <c r="N26" s="698">
        <v>0</v>
      </c>
      <c r="O26" s="698">
        <v>0</v>
      </c>
      <c r="P26" s="1421"/>
      <c r="Q26" s="290" t="s">
        <v>18146</v>
      </c>
      <c r="R26" s="1147"/>
      <c r="S26" s="291"/>
      <c r="T26" s="1147"/>
      <c r="U26" s="238"/>
      <c r="V26" s="1232">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18147</v>
      </c>
      <c r="AK26" s="697" t="s">
        <v>3272</v>
      </c>
      <c r="AL26" s="697" t="s">
        <v>3273</v>
      </c>
      <c r="AM26" s="697" t="s">
        <v>3274</v>
      </c>
      <c r="AN26" s="697" t="s">
        <v>3275</v>
      </c>
      <c r="AO26" s="1597" t="s">
        <v>3276</v>
      </c>
      <c r="AP26" s="697" t="s">
        <v>3278</v>
      </c>
      <c r="AQ26" s="697" t="s">
        <v>3279</v>
      </c>
      <c r="AR26" s="1597" t="s">
        <v>3280</v>
      </c>
      <c r="AS26" s="697" t="s">
        <v>3281</v>
      </c>
      <c r="AT26" s="697" t="s">
        <v>3282</v>
      </c>
      <c r="AU26" s="697" t="s">
        <v>3283</v>
      </c>
      <c r="AV26" s="698" t="s">
        <v>3284</v>
      </c>
      <c r="AW26" s="698" t="s">
        <v>3285</v>
      </c>
    </row>
    <row r="27" spans="1:49" ht="15.75" customHeight="1">
      <c r="A27" s="1147"/>
      <c r="B27" s="460" t="s">
        <v>18148</v>
      </c>
      <c r="C27" s="697">
        <v>0.88</v>
      </c>
      <c r="D27" s="697">
        <v>0</v>
      </c>
      <c r="E27" s="697">
        <v>0.80200000000000005</v>
      </c>
      <c r="F27" s="697">
        <v>0.80200000000000005</v>
      </c>
      <c r="G27" s="1597">
        <f t="shared" si="2"/>
        <v>0</v>
      </c>
      <c r="H27" s="697">
        <v>0.88</v>
      </c>
      <c r="I27" s="697">
        <v>0.80200000000000005</v>
      </c>
      <c r="J27" s="1597">
        <f t="shared" si="3"/>
        <v>-7.7999999999999958E-2</v>
      </c>
      <c r="K27" s="697">
        <v>7.7999999999999958E-2</v>
      </c>
      <c r="L27" s="697">
        <v>0</v>
      </c>
      <c r="M27" s="2592">
        <v>0</v>
      </c>
      <c r="N27" s="698">
        <v>0</v>
      </c>
      <c r="O27" s="698">
        <v>0</v>
      </c>
      <c r="P27" s="1421"/>
      <c r="Q27" s="290" t="s">
        <v>18149</v>
      </c>
      <c r="R27" s="1147"/>
      <c r="S27" s="291"/>
      <c r="T27" s="1147"/>
      <c r="U27" s="238"/>
      <c r="V27" s="1232">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18150</v>
      </c>
      <c r="AK27" s="697" t="s">
        <v>3286</v>
      </c>
      <c r="AL27" s="697" t="s">
        <v>3287</v>
      </c>
      <c r="AM27" s="697" t="s">
        <v>3288</v>
      </c>
      <c r="AN27" s="697" t="s">
        <v>3289</v>
      </c>
      <c r="AO27" s="1597" t="s">
        <v>3290</v>
      </c>
      <c r="AP27" s="697" t="s">
        <v>3292</v>
      </c>
      <c r="AQ27" s="697" t="s">
        <v>3293</v>
      </c>
      <c r="AR27" s="1597" t="s">
        <v>3294</v>
      </c>
      <c r="AS27" s="697" t="s">
        <v>3295</v>
      </c>
      <c r="AT27" s="697" t="s">
        <v>3296</v>
      </c>
      <c r="AU27" s="697" t="s">
        <v>3297</v>
      </c>
      <c r="AV27" s="698" t="s">
        <v>3298</v>
      </c>
      <c r="AW27" s="698" t="s">
        <v>3299</v>
      </c>
    </row>
    <row r="28" spans="1:49" ht="15.75" customHeight="1">
      <c r="A28" s="1147"/>
      <c r="B28" s="460" t="s">
        <v>18151</v>
      </c>
      <c r="C28" s="697">
        <v>0.63200000000000001</v>
      </c>
      <c r="D28" s="697">
        <v>0</v>
      </c>
      <c r="E28" s="697">
        <v>0.30599999999999999</v>
      </c>
      <c r="F28" s="697">
        <v>0.30599999999999999</v>
      </c>
      <c r="G28" s="1597">
        <f t="shared" si="2"/>
        <v>0</v>
      </c>
      <c r="H28" s="697">
        <v>0.63200000000000001</v>
      </c>
      <c r="I28" s="697">
        <v>0.30599999999999999</v>
      </c>
      <c r="J28" s="1597">
        <f t="shared" si="3"/>
        <v>-0.32600000000000001</v>
      </c>
      <c r="K28" s="697">
        <v>0.32600000000000001</v>
      </c>
      <c r="L28" s="697">
        <v>0</v>
      </c>
      <c r="M28" s="2592">
        <v>0</v>
      </c>
      <c r="N28" s="698">
        <v>0</v>
      </c>
      <c r="O28" s="698">
        <v>0</v>
      </c>
      <c r="P28" s="1421"/>
      <c r="Q28" s="290" t="s">
        <v>18152</v>
      </c>
      <c r="R28" s="1147"/>
      <c r="S28" s="291"/>
      <c r="T28" s="1147"/>
      <c r="U28" s="238"/>
      <c r="V28" s="1232">
        <f t="shared" si="4"/>
        <v>0</v>
      </c>
      <c r="W28" s="238"/>
      <c r="X28" s="285">
        <f t="shared" si="5"/>
        <v>0</v>
      </c>
      <c r="Y28" s="285">
        <f t="shared" si="6"/>
        <v>0</v>
      </c>
      <c r="Z28" s="285">
        <f t="shared" si="7"/>
        <v>0</v>
      </c>
      <c r="AB28" s="285">
        <f t="shared" si="8"/>
        <v>0</v>
      </c>
      <c r="AC28" s="285">
        <f t="shared" si="9"/>
        <v>0</v>
      </c>
      <c r="AE28" s="285">
        <f t="shared" si="10"/>
        <v>0</v>
      </c>
      <c r="AF28" s="285">
        <f t="shared" si="11"/>
        <v>0</v>
      </c>
      <c r="AG28" s="285">
        <f t="shared" si="13"/>
        <v>0</v>
      </c>
      <c r="AH28" s="238"/>
      <c r="AJ28" s="460" t="s">
        <v>18153</v>
      </c>
      <c r="AK28" s="697" t="s">
        <v>3300</v>
      </c>
      <c r="AL28" s="697" t="s">
        <v>3301</v>
      </c>
      <c r="AM28" s="697" t="s">
        <v>3302</v>
      </c>
      <c r="AN28" s="697" t="s">
        <v>3303</v>
      </c>
      <c r="AO28" s="1597" t="s">
        <v>3304</v>
      </c>
      <c r="AP28" s="697" t="s">
        <v>3306</v>
      </c>
      <c r="AQ28" s="697" t="s">
        <v>3307</v>
      </c>
      <c r="AR28" s="1597" t="s">
        <v>3308</v>
      </c>
      <c r="AS28" s="697" t="s">
        <v>3309</v>
      </c>
      <c r="AT28" s="697" t="s">
        <v>3310</v>
      </c>
      <c r="AU28" s="697" t="s">
        <v>3311</v>
      </c>
      <c r="AV28" s="698" t="s">
        <v>3312</v>
      </c>
      <c r="AW28" s="698" t="s">
        <v>3313</v>
      </c>
    </row>
    <row r="29" spans="1:49" ht="15.75" customHeight="1">
      <c r="A29" s="1147"/>
      <c r="B29" s="460" t="s">
        <v>18154</v>
      </c>
      <c r="C29" s="697">
        <v>0.44600000000000001</v>
      </c>
      <c r="D29" s="697">
        <v>0</v>
      </c>
      <c r="E29" s="697">
        <v>0</v>
      </c>
      <c r="F29" s="697">
        <v>0</v>
      </c>
      <c r="G29" s="1597">
        <f t="shared" si="2"/>
        <v>0</v>
      </c>
      <c r="H29" s="697">
        <v>0.44600000000000001</v>
      </c>
      <c r="I29" s="697">
        <v>0</v>
      </c>
      <c r="J29" s="1597">
        <f t="shared" si="3"/>
        <v>-0.44600000000000001</v>
      </c>
      <c r="K29" s="697">
        <v>0.44600000000000001</v>
      </c>
      <c r="L29" s="697">
        <v>0</v>
      </c>
      <c r="M29" s="2592">
        <v>0</v>
      </c>
      <c r="N29" s="698">
        <v>0</v>
      </c>
      <c r="O29" s="698">
        <v>0</v>
      </c>
      <c r="P29" s="1421"/>
      <c r="Q29" s="290" t="s">
        <v>18155</v>
      </c>
      <c r="R29" s="1147"/>
      <c r="S29" s="291"/>
      <c r="T29" s="1147"/>
      <c r="U29" s="238"/>
      <c r="V29" s="1232">
        <f t="shared" si="4"/>
        <v>0</v>
      </c>
      <c r="W29" s="238"/>
      <c r="X29" s="285">
        <f t="shared" si="5"/>
        <v>0</v>
      </c>
      <c r="Y29" s="285">
        <f t="shared" si="6"/>
        <v>0</v>
      </c>
      <c r="Z29" s="285">
        <f t="shared" si="7"/>
        <v>0</v>
      </c>
      <c r="AB29" s="285">
        <f t="shared" si="8"/>
        <v>0</v>
      </c>
      <c r="AC29" s="285">
        <f t="shared" si="9"/>
        <v>0</v>
      </c>
      <c r="AE29" s="285">
        <f t="shared" si="10"/>
        <v>0</v>
      </c>
      <c r="AF29" s="285">
        <f t="shared" si="11"/>
        <v>0</v>
      </c>
      <c r="AG29" s="285">
        <f t="shared" si="13"/>
        <v>0</v>
      </c>
      <c r="AH29" s="238"/>
      <c r="AJ29" s="460" t="s">
        <v>18156</v>
      </c>
      <c r="AK29" s="697" t="s">
        <v>3314</v>
      </c>
      <c r="AL29" s="697" t="s">
        <v>3315</v>
      </c>
      <c r="AM29" s="697" t="s">
        <v>3316</v>
      </c>
      <c r="AN29" s="697" t="s">
        <v>3317</v>
      </c>
      <c r="AO29" s="1597" t="s">
        <v>3318</v>
      </c>
      <c r="AP29" s="697" t="s">
        <v>3320</v>
      </c>
      <c r="AQ29" s="697" t="s">
        <v>3321</v>
      </c>
      <c r="AR29" s="1597" t="s">
        <v>3322</v>
      </c>
      <c r="AS29" s="697" t="s">
        <v>3323</v>
      </c>
      <c r="AT29" s="697" t="s">
        <v>3324</v>
      </c>
      <c r="AU29" s="697" t="s">
        <v>3325</v>
      </c>
      <c r="AV29" s="698" t="s">
        <v>3326</v>
      </c>
      <c r="AW29" s="698" t="s">
        <v>3327</v>
      </c>
    </row>
    <row r="30" spans="1:49" ht="15.75" customHeight="1">
      <c r="A30" s="1147"/>
      <c r="B30" s="460" t="s">
        <v>18157</v>
      </c>
      <c r="C30" s="697">
        <v>0.71499999999999997</v>
      </c>
      <c r="D30" s="697">
        <v>0</v>
      </c>
      <c r="E30" s="697">
        <v>0.06</v>
      </c>
      <c r="F30" s="697">
        <v>0.06</v>
      </c>
      <c r="G30" s="1597">
        <f t="shared" si="2"/>
        <v>0</v>
      </c>
      <c r="H30" s="697">
        <v>0.71499999999999997</v>
      </c>
      <c r="I30" s="697">
        <v>0.06</v>
      </c>
      <c r="J30" s="1597">
        <f t="shared" si="3"/>
        <v>-0.65500000000000003</v>
      </c>
      <c r="K30" s="697">
        <v>0.65500000000000003</v>
      </c>
      <c r="L30" s="697">
        <v>0</v>
      </c>
      <c r="M30" s="2592">
        <v>0</v>
      </c>
      <c r="N30" s="698">
        <v>0</v>
      </c>
      <c r="O30" s="698">
        <v>0</v>
      </c>
      <c r="P30" s="1421"/>
      <c r="Q30" s="290" t="s">
        <v>18158</v>
      </c>
      <c r="R30" s="1147"/>
      <c r="S30" s="291"/>
      <c r="T30" s="1147"/>
      <c r="U30" s="238"/>
      <c r="V30" s="1232">
        <f t="shared" si="4"/>
        <v>0</v>
      </c>
      <c r="W30" s="238"/>
      <c r="X30" s="285">
        <f t="shared" si="5"/>
        <v>0</v>
      </c>
      <c r="Y30" s="285">
        <f t="shared" si="6"/>
        <v>0</v>
      </c>
      <c r="Z30" s="285">
        <f t="shared" si="7"/>
        <v>0</v>
      </c>
      <c r="AB30" s="285">
        <f t="shared" si="8"/>
        <v>0</v>
      </c>
      <c r="AC30" s="285">
        <f t="shared" si="9"/>
        <v>0</v>
      </c>
      <c r="AE30" s="285">
        <f t="shared" si="10"/>
        <v>0</v>
      </c>
      <c r="AF30" s="285">
        <f t="shared" si="11"/>
        <v>0</v>
      </c>
      <c r="AG30" s="285">
        <f t="shared" si="13"/>
        <v>0</v>
      </c>
      <c r="AH30" s="238"/>
      <c r="AJ30" s="460" t="s">
        <v>18159</v>
      </c>
      <c r="AK30" s="697" t="s">
        <v>3328</v>
      </c>
      <c r="AL30" s="697" t="s">
        <v>3329</v>
      </c>
      <c r="AM30" s="697" t="s">
        <v>3330</v>
      </c>
      <c r="AN30" s="697" t="s">
        <v>3331</v>
      </c>
      <c r="AO30" s="1597" t="s">
        <v>3332</v>
      </c>
      <c r="AP30" s="697" t="s">
        <v>3334</v>
      </c>
      <c r="AQ30" s="697" t="s">
        <v>3335</v>
      </c>
      <c r="AR30" s="1597" t="s">
        <v>3336</v>
      </c>
      <c r="AS30" s="697" t="s">
        <v>3337</v>
      </c>
      <c r="AT30" s="697" t="s">
        <v>3338</v>
      </c>
      <c r="AU30" s="697" t="s">
        <v>3339</v>
      </c>
      <c r="AV30" s="698" t="s">
        <v>3340</v>
      </c>
      <c r="AW30" s="698" t="s">
        <v>3341</v>
      </c>
    </row>
    <row r="31" spans="1:49" ht="15.75" customHeight="1">
      <c r="A31" s="1147"/>
      <c r="B31" s="460" t="s">
        <v>18160</v>
      </c>
      <c r="C31" s="697"/>
      <c r="D31" s="697"/>
      <c r="E31" s="697"/>
      <c r="F31" s="697"/>
      <c r="G31" s="1597">
        <f t="shared" si="2"/>
        <v>0</v>
      </c>
      <c r="H31" s="697"/>
      <c r="I31" s="697"/>
      <c r="J31" s="1597">
        <f t="shared" si="3"/>
        <v>0</v>
      </c>
      <c r="K31" s="697"/>
      <c r="L31" s="697"/>
      <c r="M31" s="2592"/>
      <c r="N31" s="698"/>
      <c r="O31" s="698"/>
      <c r="P31" s="1421"/>
      <c r="Q31" s="290" t="s">
        <v>18161</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18160</v>
      </c>
      <c r="AK31" s="697" t="s">
        <v>3342</v>
      </c>
      <c r="AL31" s="697" t="s">
        <v>3343</v>
      </c>
      <c r="AM31" s="697" t="s">
        <v>3344</v>
      </c>
      <c r="AN31" s="697" t="s">
        <v>3345</v>
      </c>
      <c r="AO31" s="1597" t="s">
        <v>3346</v>
      </c>
      <c r="AP31" s="697" t="s">
        <v>3348</v>
      </c>
      <c r="AQ31" s="697" t="s">
        <v>3349</v>
      </c>
      <c r="AR31" s="1597" t="s">
        <v>3350</v>
      </c>
      <c r="AS31" s="697" t="s">
        <v>3351</v>
      </c>
      <c r="AT31" s="697" t="s">
        <v>3352</v>
      </c>
      <c r="AU31" s="697" t="s">
        <v>3353</v>
      </c>
      <c r="AV31" s="698" t="s">
        <v>3354</v>
      </c>
      <c r="AW31" s="698" t="s">
        <v>3355</v>
      </c>
    </row>
    <row r="32" spans="1:49" ht="15.75" customHeight="1">
      <c r="A32" s="1147"/>
      <c r="B32" s="460" t="s">
        <v>18162</v>
      </c>
      <c r="C32" s="697"/>
      <c r="D32" s="697"/>
      <c r="E32" s="697"/>
      <c r="F32" s="697"/>
      <c r="G32" s="1597">
        <f t="shared" si="2"/>
        <v>0</v>
      </c>
      <c r="H32" s="697"/>
      <c r="I32" s="697"/>
      <c r="J32" s="1597">
        <f t="shared" si="3"/>
        <v>0</v>
      </c>
      <c r="K32" s="697"/>
      <c r="L32" s="697"/>
      <c r="M32" s="2592"/>
      <c r="N32" s="698"/>
      <c r="O32" s="698"/>
      <c r="P32" s="1421"/>
      <c r="Q32" s="290" t="s">
        <v>18163</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18162</v>
      </c>
      <c r="AK32" s="697" t="s">
        <v>3356</v>
      </c>
      <c r="AL32" s="697" t="s">
        <v>3357</v>
      </c>
      <c r="AM32" s="697" t="s">
        <v>3358</v>
      </c>
      <c r="AN32" s="697" t="s">
        <v>3359</v>
      </c>
      <c r="AO32" s="1597" t="s">
        <v>3360</v>
      </c>
      <c r="AP32" s="697" t="s">
        <v>3362</v>
      </c>
      <c r="AQ32" s="697" t="s">
        <v>3363</v>
      </c>
      <c r="AR32" s="1597" t="s">
        <v>3364</v>
      </c>
      <c r="AS32" s="697" t="s">
        <v>3365</v>
      </c>
      <c r="AT32" s="697" t="s">
        <v>3366</v>
      </c>
      <c r="AU32" s="697" t="s">
        <v>3367</v>
      </c>
      <c r="AV32" s="698" t="s">
        <v>3368</v>
      </c>
      <c r="AW32" s="698" t="s">
        <v>3369</v>
      </c>
    </row>
    <row r="33" spans="1:49" ht="15.75" customHeight="1">
      <c r="A33" s="1147"/>
      <c r="B33" s="460" t="s">
        <v>18164</v>
      </c>
      <c r="C33" s="697"/>
      <c r="D33" s="697"/>
      <c r="E33" s="697"/>
      <c r="F33" s="697"/>
      <c r="G33" s="1597">
        <f t="shared" si="2"/>
        <v>0</v>
      </c>
      <c r="H33" s="697"/>
      <c r="I33" s="697"/>
      <c r="J33" s="1597">
        <f t="shared" si="3"/>
        <v>0</v>
      </c>
      <c r="K33" s="697"/>
      <c r="L33" s="697"/>
      <c r="M33" s="2592"/>
      <c r="N33" s="698"/>
      <c r="O33" s="698"/>
      <c r="P33" s="1421"/>
      <c r="Q33" s="290" t="s">
        <v>18165</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18164</v>
      </c>
      <c r="AK33" s="697" t="s">
        <v>3370</v>
      </c>
      <c r="AL33" s="697" t="s">
        <v>3371</v>
      </c>
      <c r="AM33" s="697" t="s">
        <v>3372</v>
      </c>
      <c r="AN33" s="697" t="s">
        <v>3373</v>
      </c>
      <c r="AO33" s="1597" t="s">
        <v>3374</v>
      </c>
      <c r="AP33" s="697" t="s">
        <v>3376</v>
      </c>
      <c r="AQ33" s="697" t="s">
        <v>3377</v>
      </c>
      <c r="AR33" s="1597" t="s">
        <v>3378</v>
      </c>
      <c r="AS33" s="697" t="s">
        <v>3379</v>
      </c>
      <c r="AT33" s="697" t="s">
        <v>3380</v>
      </c>
      <c r="AU33" s="697" t="s">
        <v>3381</v>
      </c>
      <c r="AV33" s="698" t="s">
        <v>3382</v>
      </c>
      <c r="AW33" s="698" t="s">
        <v>3383</v>
      </c>
    </row>
    <row r="34" spans="1:49" ht="15.75" customHeight="1">
      <c r="A34" s="1147"/>
      <c r="B34" s="460" t="s">
        <v>18166</v>
      </c>
      <c r="C34" s="697"/>
      <c r="D34" s="697"/>
      <c r="E34" s="697"/>
      <c r="F34" s="697"/>
      <c r="G34" s="1597">
        <f t="shared" si="2"/>
        <v>0</v>
      </c>
      <c r="H34" s="697"/>
      <c r="I34" s="697"/>
      <c r="J34" s="1597">
        <f t="shared" si="3"/>
        <v>0</v>
      </c>
      <c r="K34" s="697"/>
      <c r="L34" s="697"/>
      <c r="M34" s="2592"/>
      <c r="N34" s="698"/>
      <c r="O34" s="698"/>
      <c r="P34" s="1421"/>
      <c r="Q34" s="290" t="s">
        <v>18167</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18166</v>
      </c>
      <c r="AK34" s="697" t="s">
        <v>3384</v>
      </c>
      <c r="AL34" s="697" t="s">
        <v>3385</v>
      </c>
      <c r="AM34" s="697" t="s">
        <v>3386</v>
      </c>
      <c r="AN34" s="697" t="s">
        <v>3387</v>
      </c>
      <c r="AO34" s="1597" t="s">
        <v>3388</v>
      </c>
      <c r="AP34" s="697" t="s">
        <v>3390</v>
      </c>
      <c r="AQ34" s="697" t="s">
        <v>3391</v>
      </c>
      <c r="AR34" s="1597" t="s">
        <v>3392</v>
      </c>
      <c r="AS34" s="697" t="s">
        <v>3393</v>
      </c>
      <c r="AT34" s="697" t="s">
        <v>3394</v>
      </c>
      <c r="AU34" s="697" t="s">
        <v>3395</v>
      </c>
      <c r="AV34" s="698" t="s">
        <v>3396</v>
      </c>
      <c r="AW34" s="698" t="s">
        <v>3397</v>
      </c>
    </row>
    <row r="35" spans="1:49" ht="15.75" customHeight="1">
      <c r="A35" s="1147"/>
      <c r="B35" s="460" t="s">
        <v>18168</v>
      </c>
      <c r="C35" s="697"/>
      <c r="D35" s="697"/>
      <c r="E35" s="697"/>
      <c r="F35" s="697"/>
      <c r="G35" s="1597">
        <f t="shared" si="2"/>
        <v>0</v>
      </c>
      <c r="H35" s="697"/>
      <c r="I35" s="697"/>
      <c r="J35" s="1597">
        <f t="shared" si="3"/>
        <v>0</v>
      </c>
      <c r="K35" s="697"/>
      <c r="L35" s="697"/>
      <c r="M35" s="2592"/>
      <c r="N35" s="698"/>
      <c r="O35" s="698"/>
      <c r="P35" s="1421"/>
      <c r="Q35" s="290" t="s">
        <v>18169</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18168</v>
      </c>
      <c r="AK35" s="697" t="s">
        <v>3398</v>
      </c>
      <c r="AL35" s="697" t="s">
        <v>3399</v>
      </c>
      <c r="AM35" s="697" t="s">
        <v>3400</v>
      </c>
      <c r="AN35" s="697" t="s">
        <v>3401</v>
      </c>
      <c r="AO35" s="1597" t="s">
        <v>3402</v>
      </c>
      <c r="AP35" s="697" t="s">
        <v>3404</v>
      </c>
      <c r="AQ35" s="697" t="s">
        <v>3405</v>
      </c>
      <c r="AR35" s="1597" t="s">
        <v>3406</v>
      </c>
      <c r="AS35" s="697" t="s">
        <v>3407</v>
      </c>
      <c r="AT35" s="697" t="s">
        <v>3408</v>
      </c>
      <c r="AU35" s="697" t="s">
        <v>3409</v>
      </c>
      <c r="AV35" s="698" t="s">
        <v>3410</v>
      </c>
      <c r="AW35" s="698" t="s">
        <v>3411</v>
      </c>
    </row>
    <row r="36" spans="1:49" ht="15.75" customHeight="1">
      <c r="A36" s="1147"/>
      <c r="B36" s="460" t="s">
        <v>18170</v>
      </c>
      <c r="C36" s="697"/>
      <c r="D36" s="697"/>
      <c r="E36" s="697"/>
      <c r="F36" s="697"/>
      <c r="G36" s="1597">
        <f t="shared" si="2"/>
        <v>0</v>
      </c>
      <c r="H36" s="697"/>
      <c r="I36" s="697"/>
      <c r="J36" s="1597">
        <f t="shared" si="3"/>
        <v>0</v>
      </c>
      <c r="K36" s="697"/>
      <c r="L36" s="697"/>
      <c r="M36" s="2592"/>
      <c r="N36" s="698"/>
      <c r="O36" s="698"/>
      <c r="P36" s="1421"/>
      <c r="Q36" s="290" t="s">
        <v>18171</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18170</v>
      </c>
      <c r="AK36" s="697" t="s">
        <v>3412</v>
      </c>
      <c r="AL36" s="697" t="s">
        <v>3413</v>
      </c>
      <c r="AM36" s="697" t="s">
        <v>3414</v>
      </c>
      <c r="AN36" s="697" t="s">
        <v>3415</v>
      </c>
      <c r="AO36" s="1597" t="s">
        <v>3416</v>
      </c>
      <c r="AP36" s="697" t="s">
        <v>3418</v>
      </c>
      <c r="AQ36" s="697" t="s">
        <v>3419</v>
      </c>
      <c r="AR36" s="1597" t="s">
        <v>3420</v>
      </c>
      <c r="AS36" s="697" t="s">
        <v>3421</v>
      </c>
      <c r="AT36" s="697" t="s">
        <v>3422</v>
      </c>
      <c r="AU36" s="697" t="s">
        <v>3423</v>
      </c>
      <c r="AV36" s="698" t="s">
        <v>3424</v>
      </c>
      <c r="AW36" s="698" t="s">
        <v>3425</v>
      </c>
    </row>
    <row r="37" spans="1:49" ht="15.75" customHeight="1">
      <c r="A37" s="1147"/>
      <c r="B37" s="460" t="s">
        <v>18172</v>
      </c>
      <c r="C37" s="697"/>
      <c r="D37" s="697"/>
      <c r="E37" s="697"/>
      <c r="F37" s="697"/>
      <c r="G37" s="1597">
        <f t="shared" si="2"/>
        <v>0</v>
      </c>
      <c r="H37" s="697"/>
      <c r="I37" s="697"/>
      <c r="J37" s="1597">
        <f t="shared" si="3"/>
        <v>0</v>
      </c>
      <c r="K37" s="697"/>
      <c r="L37" s="697"/>
      <c r="M37" s="2592"/>
      <c r="N37" s="698"/>
      <c r="O37" s="698"/>
      <c r="P37" s="1421"/>
      <c r="Q37" s="290" t="s">
        <v>18173</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18172</v>
      </c>
      <c r="AK37" s="697" t="s">
        <v>3426</v>
      </c>
      <c r="AL37" s="697" t="s">
        <v>3427</v>
      </c>
      <c r="AM37" s="697" t="s">
        <v>3428</v>
      </c>
      <c r="AN37" s="697" t="s">
        <v>3429</v>
      </c>
      <c r="AO37" s="1597" t="s">
        <v>3430</v>
      </c>
      <c r="AP37" s="697" t="s">
        <v>3432</v>
      </c>
      <c r="AQ37" s="697" t="s">
        <v>3433</v>
      </c>
      <c r="AR37" s="1597" t="s">
        <v>3434</v>
      </c>
      <c r="AS37" s="697" t="s">
        <v>3435</v>
      </c>
      <c r="AT37" s="697" t="s">
        <v>3436</v>
      </c>
      <c r="AU37" s="697" t="s">
        <v>3437</v>
      </c>
      <c r="AV37" s="698" t="s">
        <v>3438</v>
      </c>
      <c r="AW37" s="698" t="s">
        <v>3439</v>
      </c>
    </row>
    <row r="38" spans="1:49" ht="15.75" customHeight="1">
      <c r="A38" s="1147"/>
      <c r="B38" s="460" t="s">
        <v>18174</v>
      </c>
      <c r="C38" s="697"/>
      <c r="D38" s="697"/>
      <c r="E38" s="697"/>
      <c r="F38" s="697"/>
      <c r="G38" s="1597">
        <f t="shared" si="2"/>
        <v>0</v>
      </c>
      <c r="H38" s="697"/>
      <c r="I38" s="697"/>
      <c r="J38" s="1597">
        <f t="shared" si="3"/>
        <v>0</v>
      </c>
      <c r="K38" s="697"/>
      <c r="L38" s="697"/>
      <c r="M38" s="2592"/>
      <c r="N38" s="698"/>
      <c r="O38" s="698"/>
      <c r="P38" s="1421"/>
      <c r="Q38" s="290" t="s">
        <v>18175</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18174</v>
      </c>
      <c r="AK38" s="697" t="s">
        <v>3440</v>
      </c>
      <c r="AL38" s="697" t="s">
        <v>3441</v>
      </c>
      <c r="AM38" s="697" t="s">
        <v>3442</v>
      </c>
      <c r="AN38" s="697" t="s">
        <v>3443</v>
      </c>
      <c r="AO38" s="1597" t="s">
        <v>3444</v>
      </c>
      <c r="AP38" s="697" t="s">
        <v>3446</v>
      </c>
      <c r="AQ38" s="697" t="s">
        <v>3447</v>
      </c>
      <c r="AR38" s="1597" t="s">
        <v>3448</v>
      </c>
      <c r="AS38" s="697" t="s">
        <v>3449</v>
      </c>
      <c r="AT38" s="697" t="s">
        <v>3450</v>
      </c>
      <c r="AU38" s="697" t="s">
        <v>3451</v>
      </c>
      <c r="AV38" s="698" t="s">
        <v>3452</v>
      </c>
      <c r="AW38" s="698" t="s">
        <v>3453</v>
      </c>
    </row>
    <row r="39" spans="1:49" ht="15.75" customHeight="1">
      <c r="A39" s="1147"/>
      <c r="B39" s="460" t="s">
        <v>18176</v>
      </c>
      <c r="C39" s="697"/>
      <c r="D39" s="697"/>
      <c r="E39" s="697"/>
      <c r="F39" s="697"/>
      <c r="G39" s="1597">
        <f t="shared" si="2"/>
        <v>0</v>
      </c>
      <c r="H39" s="697"/>
      <c r="I39" s="697"/>
      <c r="J39" s="1597">
        <f t="shared" si="3"/>
        <v>0</v>
      </c>
      <c r="K39" s="697"/>
      <c r="L39" s="697"/>
      <c r="M39" s="2592"/>
      <c r="N39" s="698"/>
      <c r="O39" s="698"/>
      <c r="P39" s="1421"/>
      <c r="Q39" s="290" t="s">
        <v>18177</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18176</v>
      </c>
      <c r="AK39" s="697" t="s">
        <v>3454</v>
      </c>
      <c r="AL39" s="697" t="s">
        <v>3455</v>
      </c>
      <c r="AM39" s="697" t="s">
        <v>3456</v>
      </c>
      <c r="AN39" s="697" t="s">
        <v>3457</v>
      </c>
      <c r="AO39" s="1597" t="s">
        <v>3458</v>
      </c>
      <c r="AP39" s="697" t="s">
        <v>3460</v>
      </c>
      <c r="AQ39" s="697" t="s">
        <v>3461</v>
      </c>
      <c r="AR39" s="1597" t="s">
        <v>3462</v>
      </c>
      <c r="AS39" s="697" t="s">
        <v>3463</v>
      </c>
      <c r="AT39" s="697" t="s">
        <v>3464</v>
      </c>
      <c r="AU39" s="697" t="s">
        <v>3465</v>
      </c>
      <c r="AV39" s="698" t="s">
        <v>3466</v>
      </c>
      <c r="AW39" s="698" t="s">
        <v>3467</v>
      </c>
    </row>
    <row r="40" spans="1:49" ht="15.75" customHeight="1" thickBot="1">
      <c r="A40" s="1147"/>
      <c r="B40" s="463" t="s">
        <v>7445</v>
      </c>
      <c r="C40" s="1589">
        <f t="shared" ref="C40:N40" si="14">IFERROR(SUM(C25:C39),0)</f>
        <v>11.778</v>
      </c>
      <c r="D40" s="1589">
        <f>IFERROR(SUM(D25:D39),0)</f>
        <v>0</v>
      </c>
      <c r="E40" s="1589">
        <f t="shared" si="14"/>
        <v>1.5490000000000002</v>
      </c>
      <c r="F40" s="1589">
        <f t="shared" si="14"/>
        <v>1.5490000000000002</v>
      </c>
      <c r="G40" s="1589">
        <f t="shared" si="14"/>
        <v>0</v>
      </c>
      <c r="H40" s="1589">
        <f t="shared" si="14"/>
        <v>11.778</v>
      </c>
      <c r="I40" s="1589">
        <f t="shared" si="14"/>
        <v>1.5490000000000002</v>
      </c>
      <c r="J40" s="1589">
        <f t="shared" si="14"/>
        <v>-10.228999999999999</v>
      </c>
      <c r="K40" s="1589">
        <f t="shared" si="14"/>
        <v>10.228999999999999</v>
      </c>
      <c r="L40" s="1589">
        <f t="shared" si="14"/>
        <v>0</v>
      </c>
      <c r="M40" s="1589">
        <f>IFERROR(SUM(M25:M39),0)</f>
        <v>0</v>
      </c>
      <c r="N40" s="1599">
        <f t="shared" si="14"/>
        <v>0</v>
      </c>
      <c r="O40" s="1599">
        <f>IFERROR(SUM(O25:O39),0)</f>
        <v>0</v>
      </c>
      <c r="P40" s="1421"/>
      <c r="Q40" s="356" t="s">
        <v>18178</v>
      </c>
      <c r="R40" s="1147"/>
      <c r="S40" s="302"/>
      <c r="T40" s="1147"/>
      <c r="U40" s="238"/>
      <c r="W40" s="238"/>
      <c r="AH40" s="238"/>
      <c r="AJ40" s="463" t="s">
        <v>7445</v>
      </c>
      <c r="AK40" s="1589" t="s">
        <v>3468</v>
      </c>
      <c r="AL40" s="1589" t="s">
        <v>3469</v>
      </c>
      <c r="AM40" s="1589" t="s">
        <v>3470</v>
      </c>
      <c r="AN40" s="1589" t="s">
        <v>3471</v>
      </c>
      <c r="AO40" s="1589" t="s">
        <v>3472</v>
      </c>
      <c r="AP40" s="1589" t="s">
        <v>3474</v>
      </c>
      <c r="AQ40" s="1589" t="s">
        <v>3475</v>
      </c>
      <c r="AR40" s="1589" t="s">
        <v>3476</v>
      </c>
      <c r="AS40" s="1589" t="s">
        <v>3477</v>
      </c>
      <c r="AT40" s="1589" t="s">
        <v>3478</v>
      </c>
      <c r="AU40" s="1589" t="s">
        <v>3479</v>
      </c>
      <c r="AV40" s="1599" t="s">
        <v>3480</v>
      </c>
      <c r="AW40" s="1599" t="s">
        <v>3481</v>
      </c>
    </row>
    <row r="41" spans="1:49" ht="16.5"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75">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75">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75">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theme="0" tint="-0.499984740745262"/>
    <pageSetUpPr fitToPage="1"/>
  </sheetPr>
  <dimension ref="B1:AE54"/>
  <sheetViews>
    <sheetView showGridLines="0" zoomScaleNormal="100" zoomScaleSheetLayoutView="100" workbookViewId="0"/>
  </sheetViews>
  <sheetFormatPr defaultColWidth="9" defaultRowHeight="14.25"/>
  <cols>
    <col min="1" max="1" width="6" style="1433" customWidth="1"/>
    <col min="2" max="2" width="83.125" style="1433" bestFit="1" customWidth="1"/>
    <col min="3" max="3" width="5.5" style="1433" bestFit="1" customWidth="1"/>
    <col min="4" max="4" width="3.75" style="1433" bestFit="1" customWidth="1"/>
    <col min="5" max="5" width="11.25" style="1433" bestFit="1" customWidth="1"/>
    <col min="6" max="6" width="10.75" style="1433" bestFit="1" customWidth="1"/>
    <col min="7" max="7" width="10" style="1433" bestFit="1" customWidth="1"/>
    <col min="8" max="8" width="1.75" style="1433" customWidth="1"/>
    <col min="9" max="9" width="9.5" style="1433" bestFit="1" customWidth="1"/>
    <col min="10" max="10" width="1.75" style="1433" customWidth="1"/>
    <col min="11" max="11" width="10.125" style="1433" customWidth="1"/>
    <col min="12" max="12" width="3.5" style="1433"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433" customWidth="1"/>
    <col min="21" max="21" width="98.875" style="1433" customWidth="1"/>
    <col min="22" max="22" width="18.75" style="1433" bestFit="1" customWidth="1"/>
    <col min="23" max="23" width="17" style="1433" bestFit="1" customWidth="1"/>
    <col min="24" max="24" width="19.875" style="1433" bestFit="1" customWidth="1"/>
    <col min="25" max="16384" width="9" style="1433"/>
  </cols>
  <sheetData>
    <row r="1" spans="2:24" ht="35.25" customHeight="1">
      <c r="B1" s="1229" t="s">
        <v>18179</v>
      </c>
      <c r="C1" s="1432"/>
      <c r="D1" s="1432"/>
      <c r="E1" s="1432"/>
      <c r="F1" s="1432"/>
      <c r="G1" s="1432"/>
      <c r="H1" s="1432"/>
      <c r="I1" s="1432"/>
      <c r="M1" s="238"/>
      <c r="O1" s="238"/>
      <c r="S1" s="238"/>
      <c r="U1" s="1229" t="s">
        <v>7220</v>
      </c>
    </row>
    <row r="2" spans="2:24" ht="35.25" customHeight="1">
      <c r="B2" s="1229" t="str">
        <f>SelectCompany!B4</f>
        <v>Northumbrian Water</v>
      </c>
      <c r="C2" s="1432"/>
      <c r="D2" s="1432"/>
      <c r="E2" s="1432"/>
      <c r="F2" s="1432"/>
      <c r="G2" s="1432"/>
      <c r="H2" s="1432"/>
      <c r="I2" s="1432"/>
      <c r="M2" s="238"/>
      <c r="O2" s="238"/>
      <c r="S2" s="238"/>
      <c r="U2" s="1432"/>
    </row>
    <row r="3" spans="2:24" ht="48.75" customHeight="1">
      <c r="B3" s="2807" t="s">
        <v>18180</v>
      </c>
      <c r="C3" s="2807"/>
      <c r="D3" s="2807"/>
      <c r="E3" s="2807"/>
      <c r="F3" s="2807"/>
      <c r="G3" s="2807"/>
      <c r="M3" s="238"/>
      <c r="N3" s="1240" t="s">
        <v>7222</v>
      </c>
      <c r="O3" s="238"/>
      <c r="S3" s="238"/>
      <c r="U3" s="2807" t="s">
        <v>18180</v>
      </c>
      <c r="V3" s="2807"/>
      <c r="W3" s="2807"/>
      <c r="X3" s="2807"/>
    </row>
    <row r="4" spans="2:24" ht="18.75" customHeight="1">
      <c r="H4" s="1434"/>
      <c r="I4" s="105"/>
      <c r="J4" s="105"/>
      <c r="K4" s="105"/>
      <c r="M4" s="238"/>
      <c r="O4" s="238"/>
      <c r="P4" s="2895" t="s">
        <v>7223</v>
      </c>
      <c r="Q4" s="2895"/>
      <c r="R4" s="2895"/>
      <c r="S4" s="238"/>
    </row>
    <row r="5" spans="2:24" ht="34.5" customHeight="1" thickBot="1">
      <c r="B5" s="2921" t="s">
        <v>18181</v>
      </c>
      <c r="C5" s="2921"/>
      <c r="D5" s="2921"/>
      <c r="E5" s="2921"/>
      <c r="F5" s="2921"/>
      <c r="G5" s="2921"/>
      <c r="H5" s="1434"/>
      <c r="I5" s="105"/>
      <c r="J5" s="105"/>
      <c r="K5" s="105"/>
      <c r="M5" s="238"/>
      <c r="O5" s="238"/>
      <c r="P5" s="219" t="s">
        <v>7231</v>
      </c>
      <c r="S5" s="238"/>
      <c r="U5" s="2921" t="s">
        <v>18181</v>
      </c>
      <c r="V5" s="2921"/>
      <c r="W5" s="2921"/>
      <c r="X5" s="2921"/>
    </row>
    <row r="6" spans="2:24" ht="31.5" thickTop="1" thickBot="1">
      <c r="B6" s="1435"/>
      <c r="C6" s="1435"/>
      <c r="D6" s="1435"/>
      <c r="E6" s="1435"/>
      <c r="F6" s="1435"/>
      <c r="G6" s="1435"/>
      <c r="H6" s="1434"/>
      <c r="I6" s="145" t="s">
        <v>7229</v>
      </c>
      <c r="J6" s="105"/>
      <c r="K6" s="145" t="s">
        <v>18182</v>
      </c>
      <c r="M6" s="238"/>
      <c r="O6" s="238"/>
      <c r="S6" s="238"/>
      <c r="U6" s="1435"/>
      <c r="V6" s="1435"/>
      <c r="W6" s="1435"/>
      <c r="X6" s="1435"/>
    </row>
    <row r="7" spans="2:24" ht="15.75" customHeight="1" thickTop="1" thickBot="1">
      <c r="B7" s="212" t="s">
        <v>18183</v>
      </c>
      <c r="J7" s="105"/>
      <c r="K7" s="105"/>
      <c r="M7" s="238"/>
      <c r="O7" s="238"/>
      <c r="S7" s="238"/>
      <c r="U7" s="212" t="s">
        <v>18183</v>
      </c>
    </row>
    <row r="8" spans="2:24" ht="15.75" customHeight="1" thickTop="1" thickBot="1">
      <c r="B8" s="215" t="s">
        <v>7742</v>
      </c>
      <c r="C8" s="216" t="s">
        <v>18184</v>
      </c>
      <c r="D8" s="216" t="s">
        <v>18185</v>
      </c>
      <c r="E8" s="217" t="s">
        <v>15581</v>
      </c>
      <c r="F8" s="103"/>
      <c r="G8" s="108"/>
      <c r="H8" s="108"/>
      <c r="I8" s="108"/>
      <c r="J8" s="108"/>
      <c r="K8" s="108"/>
      <c r="M8" s="238"/>
      <c r="O8" s="238"/>
      <c r="S8" s="238"/>
      <c r="U8" s="215" t="s">
        <v>7742</v>
      </c>
      <c r="V8" s="217" t="s">
        <v>15581</v>
      </c>
      <c r="W8" s="103"/>
    </row>
    <row r="9" spans="2:24" ht="15.75" customHeight="1" thickTop="1">
      <c r="B9" s="115" t="s">
        <v>16156</v>
      </c>
      <c r="C9" s="116" t="s">
        <v>3217</v>
      </c>
      <c r="D9" s="116">
        <v>1</v>
      </c>
      <c r="E9" s="2118"/>
      <c r="F9" s="104"/>
      <c r="G9" s="108"/>
      <c r="H9" s="108"/>
      <c r="I9" s="43" t="s">
        <v>18186</v>
      </c>
      <c r="J9" s="105"/>
      <c r="K9" s="43" t="s">
        <v>16157</v>
      </c>
      <c r="M9" s="238"/>
      <c r="N9" s="1232" t="str">
        <f>IF( SUM( P9:R9 ) = 0, 0, $P$5 )</f>
        <v>Please complete all cells in row</v>
      </c>
      <c r="O9" s="238"/>
      <c r="P9" s="241">
        <f xml:space="preserve"> IF( ISNUMBER(E9 ), 0, 1 )</f>
        <v>1</v>
      </c>
      <c r="S9" s="238"/>
      <c r="U9" s="115" t="s">
        <v>16156</v>
      </c>
      <c r="V9" s="117" t="s">
        <v>18187</v>
      </c>
      <c r="W9" s="104"/>
    </row>
    <row r="10" spans="2:24" ht="15.75" customHeight="1" thickBot="1">
      <c r="B10" s="100" t="s">
        <v>18188</v>
      </c>
      <c r="C10" s="101" t="s">
        <v>1523</v>
      </c>
      <c r="D10" s="101">
        <v>0</v>
      </c>
      <c r="E10" s="2119"/>
      <c r="F10" s="106"/>
      <c r="G10" s="108"/>
      <c r="H10" s="108"/>
      <c r="I10" s="54" t="s">
        <v>18189</v>
      </c>
      <c r="J10" s="105"/>
      <c r="K10" s="54" t="s">
        <v>16213</v>
      </c>
      <c r="M10" s="238"/>
      <c r="N10" s="1232" t="str">
        <f>IF( SUM( P10:R10 ) = 0, 0, $P$5 )</f>
        <v>Please complete all cells in row</v>
      </c>
      <c r="O10" s="238"/>
      <c r="P10" s="241">
        <f xml:space="preserve"> IF( ISNUMBER(E10 ), 0, 1 )</f>
        <v>1</v>
      </c>
      <c r="S10" s="238"/>
      <c r="U10" s="100" t="s">
        <v>18188</v>
      </c>
      <c r="V10" s="99" t="s">
        <v>18190</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18191</v>
      </c>
      <c r="C12" s="108"/>
      <c r="D12" s="108"/>
      <c r="E12" s="108"/>
      <c r="F12" s="108"/>
      <c r="G12" s="108"/>
      <c r="H12" s="108"/>
      <c r="I12" s="108"/>
      <c r="J12" s="108"/>
      <c r="K12" s="108"/>
      <c r="M12" s="238"/>
      <c r="O12" s="238"/>
      <c r="S12" s="238"/>
      <c r="U12" s="212" t="s">
        <v>18191</v>
      </c>
    </row>
    <row r="13" spans="2:24" ht="31.5" thickTop="1" thickBot="1">
      <c r="B13" s="118"/>
      <c r="C13" s="119" t="s">
        <v>7225</v>
      </c>
      <c r="D13" s="120" t="s">
        <v>18185</v>
      </c>
      <c r="E13" s="119" t="s">
        <v>14699</v>
      </c>
      <c r="F13" s="120" t="s">
        <v>14700</v>
      </c>
      <c r="G13" s="121" t="s">
        <v>16230</v>
      </c>
      <c r="H13" s="105"/>
      <c r="I13" s="108"/>
      <c r="J13" s="108"/>
      <c r="K13" s="108"/>
      <c r="M13" s="238"/>
      <c r="O13" s="238"/>
      <c r="S13" s="238"/>
      <c r="U13" s="118"/>
      <c r="V13" s="119" t="s">
        <v>14699</v>
      </c>
      <c r="W13" s="120" t="s">
        <v>14700</v>
      </c>
      <c r="X13" s="121" t="s">
        <v>16230</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16231</v>
      </c>
      <c r="C15" s="123"/>
      <c r="D15" s="123"/>
      <c r="E15" s="109"/>
      <c r="F15" s="109"/>
      <c r="G15" s="109"/>
      <c r="H15" s="105"/>
      <c r="I15" s="108"/>
      <c r="J15" s="105"/>
      <c r="K15" s="105"/>
      <c r="M15" s="238"/>
      <c r="O15" s="238"/>
      <c r="S15" s="238"/>
      <c r="U15" s="122" t="s">
        <v>16231</v>
      </c>
      <c r="V15" s="109"/>
      <c r="W15" s="109"/>
      <c r="X15" s="109"/>
    </row>
    <row r="16" spans="2:24" ht="15.75" customHeight="1" thickTop="1">
      <c r="B16" s="124" t="s">
        <v>16237</v>
      </c>
      <c r="C16" s="125" t="s">
        <v>681</v>
      </c>
      <c r="D16" s="125">
        <v>3</v>
      </c>
      <c r="E16" s="126"/>
      <c r="F16" s="126"/>
      <c r="G16" s="2104"/>
      <c r="H16" s="105"/>
      <c r="I16" s="128" t="s">
        <v>18192</v>
      </c>
      <c r="J16" s="105"/>
      <c r="K16" s="128" t="s">
        <v>16238</v>
      </c>
      <c r="M16" s="238"/>
      <c r="N16" s="1232" t="str">
        <f t="shared" ref="N16:N19" si="0">IF( SUM( P16:R16 ) = 0, 0, $P$5 )</f>
        <v>Please complete all cells in row</v>
      </c>
      <c r="O16" s="238"/>
      <c r="R16" s="241">
        <f t="shared" ref="R16:R19" si="1" xml:space="preserve"> IF( ISNUMBER(G16 ), 0, 1 )</f>
        <v>1</v>
      </c>
      <c r="S16" s="238"/>
      <c r="U16" s="124" t="s">
        <v>18193</v>
      </c>
      <c r="V16" s="126"/>
      <c r="W16" s="126"/>
      <c r="X16" s="127" t="s">
        <v>18194</v>
      </c>
    </row>
    <row r="17" spans="2:24" ht="15.75" customHeight="1">
      <c r="B17" s="129" t="s">
        <v>16242</v>
      </c>
      <c r="C17" s="130" t="s">
        <v>681</v>
      </c>
      <c r="D17" s="130">
        <v>3</v>
      </c>
      <c r="E17" s="131"/>
      <c r="F17" s="131"/>
      <c r="G17" s="2107"/>
      <c r="H17" s="105"/>
      <c r="I17" s="133" t="s">
        <v>18195</v>
      </c>
      <c r="J17" s="105"/>
      <c r="K17" s="133" t="s">
        <v>16243</v>
      </c>
      <c r="M17" s="238"/>
      <c r="N17" s="1232" t="str">
        <f t="shared" si="0"/>
        <v>Please complete all cells in row</v>
      </c>
      <c r="O17" s="238"/>
      <c r="R17" s="241">
        <f t="shared" si="1"/>
        <v>1</v>
      </c>
      <c r="S17" s="238"/>
      <c r="U17" s="129" t="s">
        <v>18196</v>
      </c>
      <c r="V17" s="131"/>
      <c r="W17" s="131"/>
      <c r="X17" s="132" t="s">
        <v>18197</v>
      </c>
    </row>
    <row r="18" spans="2:24" ht="15.75" customHeight="1">
      <c r="B18" s="129" t="s">
        <v>16247</v>
      </c>
      <c r="C18" s="130" t="s">
        <v>681</v>
      </c>
      <c r="D18" s="130">
        <v>3</v>
      </c>
      <c r="E18" s="131"/>
      <c r="F18" s="131"/>
      <c r="G18" s="2107"/>
      <c r="H18" s="105"/>
      <c r="I18" s="133" t="s">
        <v>18198</v>
      </c>
      <c r="J18" s="105"/>
      <c r="K18" s="133" t="s">
        <v>16248</v>
      </c>
      <c r="M18" s="238"/>
      <c r="N18" s="1232" t="str">
        <f t="shared" si="0"/>
        <v>Please complete all cells in row</v>
      </c>
      <c r="O18" s="238"/>
      <c r="R18" s="241">
        <f t="shared" si="1"/>
        <v>1</v>
      </c>
      <c r="S18" s="238"/>
      <c r="U18" s="129" t="s">
        <v>16247</v>
      </c>
      <c r="V18" s="131"/>
      <c r="W18" s="131"/>
      <c r="X18" s="132" t="s">
        <v>18199</v>
      </c>
    </row>
    <row r="19" spans="2:24" ht="15.75" customHeight="1" thickBot="1">
      <c r="B19" s="134" t="s">
        <v>16252</v>
      </c>
      <c r="C19" s="135" t="s">
        <v>681</v>
      </c>
      <c r="D19" s="135">
        <v>3</v>
      </c>
      <c r="E19" s="136"/>
      <c r="F19" s="136"/>
      <c r="G19" s="2120"/>
      <c r="H19" s="105"/>
      <c r="I19" s="138" t="s">
        <v>18200</v>
      </c>
      <c r="J19" s="105"/>
      <c r="K19" s="138" t="s">
        <v>16253</v>
      </c>
      <c r="M19" s="238"/>
      <c r="N19" s="1232" t="str">
        <f t="shared" si="0"/>
        <v>Please complete all cells in row</v>
      </c>
      <c r="O19" s="238"/>
      <c r="R19" s="241">
        <f t="shared" si="1"/>
        <v>1</v>
      </c>
      <c r="S19" s="238"/>
      <c r="U19" s="134" t="s">
        <v>16252</v>
      </c>
      <c r="V19" s="136"/>
      <c r="W19" s="136"/>
      <c r="X19" s="137" t="s">
        <v>18201</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16257</v>
      </c>
      <c r="C21" s="140" t="s">
        <v>7225</v>
      </c>
      <c r="D21" s="141" t="s">
        <v>18185</v>
      </c>
      <c r="E21" s="109"/>
      <c r="F21" s="109"/>
      <c r="G21" s="1780"/>
      <c r="H21" s="108"/>
      <c r="I21" s="108"/>
      <c r="J21" s="108"/>
      <c r="K21" s="108"/>
      <c r="M21" s="238"/>
      <c r="O21" s="238"/>
      <c r="S21" s="238"/>
      <c r="U21" s="139" t="s">
        <v>16257</v>
      </c>
      <c r="V21" s="109"/>
      <c r="W21" s="109"/>
      <c r="X21" s="109"/>
    </row>
    <row r="22" spans="2:24" ht="15.75" customHeight="1" thickTop="1">
      <c r="B22" s="124" t="s">
        <v>16263</v>
      </c>
      <c r="C22" s="125" t="s">
        <v>3222</v>
      </c>
      <c r="D22" s="125">
        <v>3</v>
      </c>
      <c r="E22" s="126"/>
      <c r="F22" s="126"/>
      <c r="G22" s="2104"/>
      <c r="H22" s="108"/>
      <c r="I22" s="128" t="s">
        <v>18202</v>
      </c>
      <c r="J22" s="113"/>
      <c r="K22" s="128" t="s">
        <v>16264</v>
      </c>
      <c r="M22" s="238"/>
      <c r="N22" s="1232" t="str">
        <f t="shared" ref="N22:N35" si="2">IF( SUM( P22:R22 ) = 0, 0, $P$5 )</f>
        <v>Please complete all cells in row</v>
      </c>
      <c r="O22" s="238"/>
      <c r="R22" s="241">
        <f t="shared" ref="R22:R35" si="3" xml:space="preserve"> IF( ISNUMBER(G22 ), 0, 1 )</f>
        <v>1</v>
      </c>
      <c r="S22" s="238"/>
      <c r="U22" s="124" t="s">
        <v>16263</v>
      </c>
      <c r="V22" s="126"/>
      <c r="W22" s="126"/>
      <c r="X22" s="127" t="s">
        <v>18203</v>
      </c>
    </row>
    <row r="23" spans="2:24" ht="15.75" customHeight="1">
      <c r="B23" s="129" t="s">
        <v>16268</v>
      </c>
      <c r="C23" s="130" t="s">
        <v>3222</v>
      </c>
      <c r="D23" s="130">
        <v>3</v>
      </c>
      <c r="E23" s="131"/>
      <c r="F23" s="131"/>
      <c r="G23" s="2107"/>
      <c r="H23" s="108"/>
      <c r="I23" s="133" t="s">
        <v>18204</v>
      </c>
      <c r="J23" s="113"/>
      <c r="K23" s="133" t="s">
        <v>16269</v>
      </c>
      <c r="M23" s="238"/>
      <c r="N23" s="1232" t="str">
        <f t="shared" si="2"/>
        <v>Please complete all cells in row</v>
      </c>
      <c r="O23" s="238"/>
      <c r="R23" s="241">
        <f t="shared" si="3"/>
        <v>1</v>
      </c>
      <c r="S23" s="238"/>
      <c r="U23" s="129" t="s">
        <v>16268</v>
      </c>
      <c r="V23" s="131"/>
      <c r="W23" s="131"/>
      <c r="X23" s="132" t="s">
        <v>18205</v>
      </c>
    </row>
    <row r="24" spans="2:24" ht="15.75" customHeight="1">
      <c r="B24" s="129" t="s">
        <v>16273</v>
      </c>
      <c r="C24" s="130" t="s">
        <v>3222</v>
      </c>
      <c r="D24" s="130">
        <v>3</v>
      </c>
      <c r="E24" s="131"/>
      <c r="F24" s="131"/>
      <c r="G24" s="2107"/>
      <c r="H24" s="108"/>
      <c r="I24" s="133" t="s">
        <v>18206</v>
      </c>
      <c r="J24" s="113"/>
      <c r="K24" s="133" t="s">
        <v>16274</v>
      </c>
      <c r="M24" s="238"/>
      <c r="N24" s="1232" t="str">
        <f t="shared" si="2"/>
        <v>Please complete all cells in row</v>
      </c>
      <c r="O24" s="238"/>
      <c r="R24" s="241">
        <f t="shared" si="3"/>
        <v>1</v>
      </c>
      <c r="S24" s="238"/>
      <c r="U24" s="129" t="s">
        <v>16273</v>
      </c>
      <c r="V24" s="131"/>
      <c r="W24" s="131"/>
      <c r="X24" s="132" t="s">
        <v>18207</v>
      </c>
    </row>
    <row r="25" spans="2:24" ht="15.75" customHeight="1">
      <c r="B25" s="129" t="s">
        <v>16278</v>
      </c>
      <c r="C25" s="130" t="s">
        <v>3222</v>
      </c>
      <c r="D25" s="130">
        <v>3</v>
      </c>
      <c r="E25" s="131"/>
      <c r="F25" s="131"/>
      <c r="G25" s="2107"/>
      <c r="H25" s="108"/>
      <c r="I25" s="133" t="s">
        <v>18208</v>
      </c>
      <c r="J25" s="113"/>
      <c r="K25" s="133" t="s">
        <v>16279</v>
      </c>
      <c r="M25" s="238"/>
      <c r="N25" s="1232" t="str">
        <f t="shared" si="2"/>
        <v>Please complete all cells in row</v>
      </c>
      <c r="O25" s="238"/>
      <c r="R25" s="241">
        <f t="shared" si="3"/>
        <v>1</v>
      </c>
      <c r="S25" s="238"/>
      <c r="U25" s="129" t="s">
        <v>16278</v>
      </c>
      <c r="V25" s="131"/>
      <c r="W25" s="131"/>
      <c r="X25" s="132" t="s">
        <v>18209</v>
      </c>
    </row>
    <row r="26" spans="2:24" ht="15.75" customHeight="1">
      <c r="B26" s="2432" t="s">
        <v>16283</v>
      </c>
      <c r="C26" s="286" t="s">
        <v>3222</v>
      </c>
      <c r="D26" s="286">
        <v>3</v>
      </c>
      <c r="E26" s="131"/>
      <c r="F26" s="892"/>
      <c r="G26" s="1266"/>
      <c r="H26" s="108"/>
      <c r="I26" s="133" t="s">
        <v>18210</v>
      </c>
      <c r="J26" s="113"/>
      <c r="K26" s="1041" t="s">
        <v>16284</v>
      </c>
      <c r="M26" s="238"/>
      <c r="N26" s="1232">
        <f>IF( SUM( P26:R26 ) = 0, 0, $P$5 )</f>
        <v>0</v>
      </c>
      <c r="O26" s="238"/>
      <c r="Q26" s="241">
        <f xml:space="preserve"> IF( ISNUMBER(F26 ), 0, 1 )</f>
        <v>0</v>
      </c>
      <c r="R26" s="241">
        <f xml:space="preserve"> IF( ISNUMBER(G26 ), 0, 1 )</f>
        <v>0</v>
      </c>
      <c r="S26" s="238"/>
      <c r="U26" s="129" t="s">
        <v>16283</v>
      </c>
      <c r="V26" s="131"/>
      <c r="W26" s="892" t="s">
        <v>3597</v>
      </c>
      <c r="X26" s="132" t="s">
        <v>3599</v>
      </c>
    </row>
    <row r="27" spans="2:24" ht="15.75" customHeight="1">
      <c r="B27" s="2432" t="s">
        <v>16286</v>
      </c>
      <c r="C27" s="286" t="s">
        <v>3222</v>
      </c>
      <c r="D27" s="286">
        <v>3</v>
      </c>
      <c r="E27" s="131"/>
      <c r="F27" s="1285"/>
      <c r="G27" s="1266"/>
      <c r="H27" s="108"/>
      <c r="I27" s="133" t="s">
        <v>18211</v>
      </c>
      <c r="J27" s="113"/>
      <c r="K27" s="1041" t="s">
        <v>16287</v>
      </c>
      <c r="M27" s="238"/>
      <c r="N27" s="1232">
        <f>IF( SUM( P27:R27 ) = 0, 0, $P$5 )</f>
        <v>0</v>
      </c>
      <c r="O27" s="238"/>
      <c r="R27" s="241">
        <f xml:space="preserve"> IF( ISNUMBER(G27 ), 0, 1 )</f>
        <v>0</v>
      </c>
      <c r="S27" s="238"/>
      <c r="U27" s="129" t="s">
        <v>16286</v>
      </c>
      <c r="V27" s="131"/>
      <c r="W27" s="1285"/>
      <c r="X27" s="132" t="s">
        <v>3601</v>
      </c>
    </row>
    <row r="28" spans="2:24" ht="15.75" customHeight="1">
      <c r="B28" s="2432" t="s">
        <v>16289</v>
      </c>
      <c r="C28" s="286" t="s">
        <v>3222</v>
      </c>
      <c r="D28" s="286">
        <v>3</v>
      </c>
      <c r="E28" s="131"/>
      <c r="F28" s="892"/>
      <c r="G28" s="2107"/>
      <c r="H28" s="108"/>
      <c r="I28" s="133" t="s">
        <v>18212</v>
      </c>
      <c r="J28" s="113"/>
      <c r="K28" s="1041" t="s">
        <v>16290</v>
      </c>
      <c r="M28" s="238"/>
      <c r="N28" s="1232">
        <f>IF( SUM( P28:R28 ) = 0, 0, $P$5 )</f>
        <v>0</v>
      </c>
      <c r="O28" s="238"/>
      <c r="Q28" s="241">
        <f xml:space="preserve"> IF( ISNUMBER(F28 ), 0, 1 )</f>
        <v>0</v>
      </c>
      <c r="R28" s="241">
        <f xml:space="preserve"> IF( ISNUMBER(G28 ), 0, 1 )</f>
        <v>0</v>
      </c>
      <c r="S28" s="238"/>
      <c r="U28" s="129" t="s">
        <v>16289</v>
      </c>
      <c r="V28" s="131"/>
      <c r="W28" s="892" t="s">
        <v>3603</v>
      </c>
      <c r="X28" s="132" t="s">
        <v>3605</v>
      </c>
    </row>
    <row r="29" spans="2:24" ht="15.75" customHeight="1">
      <c r="B29" s="2432" t="s">
        <v>16291</v>
      </c>
      <c r="C29" s="286" t="s">
        <v>3222</v>
      </c>
      <c r="D29" s="286">
        <v>3</v>
      </c>
      <c r="E29" s="131"/>
      <c r="F29" s="131"/>
      <c r="G29" s="2107"/>
      <c r="H29" s="108"/>
      <c r="I29" s="133" t="s">
        <v>18213</v>
      </c>
      <c r="J29" s="113"/>
      <c r="K29" s="1041" t="s">
        <v>16292</v>
      </c>
      <c r="M29" s="238"/>
      <c r="N29" s="1232">
        <f>IF( SUM( P29:R29 ) = 0, 0, $P$5 )</f>
        <v>0</v>
      </c>
      <c r="O29" s="238"/>
      <c r="R29" s="241">
        <f xml:space="preserve"> IF( ISNUMBER(G29 ), 0, 1 )</f>
        <v>0</v>
      </c>
      <c r="S29" s="238"/>
      <c r="U29" s="129" t="s">
        <v>16291</v>
      </c>
      <c r="V29" s="131"/>
      <c r="W29" s="131"/>
      <c r="X29" s="132" t="s">
        <v>3607</v>
      </c>
    </row>
    <row r="30" spans="2:24" ht="15.75" customHeight="1">
      <c r="B30" s="129" t="s">
        <v>18214</v>
      </c>
      <c r="C30" s="130" t="s">
        <v>3132</v>
      </c>
      <c r="D30" s="130">
        <v>2</v>
      </c>
      <c r="E30" s="131"/>
      <c r="F30" s="131"/>
      <c r="G30" s="2121"/>
      <c r="H30" s="108"/>
      <c r="I30" s="133" t="s">
        <v>18215</v>
      </c>
      <c r="J30" s="113"/>
      <c r="K30" s="1041" t="s">
        <v>16294</v>
      </c>
      <c r="M30" s="238"/>
      <c r="N30" s="1232" t="str">
        <f t="shared" si="2"/>
        <v>Please complete all cells in row</v>
      </c>
      <c r="O30" s="238"/>
      <c r="R30" s="241">
        <f t="shared" si="3"/>
        <v>1</v>
      </c>
      <c r="S30" s="238"/>
      <c r="U30" s="129" t="s">
        <v>18214</v>
      </c>
      <c r="V30" s="131"/>
      <c r="W30" s="131"/>
      <c r="X30" s="132" t="s">
        <v>18216</v>
      </c>
    </row>
    <row r="31" spans="2:24" ht="15.75" customHeight="1">
      <c r="B31" s="129" t="s">
        <v>18217</v>
      </c>
      <c r="C31" s="130" t="s">
        <v>3132</v>
      </c>
      <c r="D31" s="130">
        <v>2</v>
      </c>
      <c r="E31" s="131"/>
      <c r="F31" s="131"/>
      <c r="G31" s="2121"/>
      <c r="H31" s="108"/>
      <c r="I31" s="133" t="s">
        <v>18218</v>
      </c>
      <c r="J31" s="113"/>
      <c r="K31" s="1041" t="s">
        <v>16299</v>
      </c>
      <c r="M31" s="238"/>
      <c r="N31" s="1232" t="str">
        <f t="shared" si="2"/>
        <v>Please complete all cells in row</v>
      </c>
      <c r="O31" s="238"/>
      <c r="R31" s="241">
        <f t="shared" si="3"/>
        <v>1</v>
      </c>
      <c r="S31" s="238"/>
      <c r="U31" s="129" t="s">
        <v>18217</v>
      </c>
      <c r="V31" s="131"/>
      <c r="W31" s="131"/>
      <c r="X31" s="132" t="s">
        <v>18219</v>
      </c>
    </row>
    <row r="32" spans="2:24" ht="30">
      <c r="B32" s="2432" t="s">
        <v>16303</v>
      </c>
      <c r="C32" s="130" t="s">
        <v>3132</v>
      </c>
      <c r="D32" s="130">
        <v>2</v>
      </c>
      <c r="E32" s="131"/>
      <c r="F32" s="892"/>
      <c r="G32" s="1234"/>
      <c r="H32" s="108"/>
      <c r="I32" s="133" t="s">
        <v>18220</v>
      </c>
      <c r="J32" s="113"/>
      <c r="K32" s="1041" t="s">
        <v>16304</v>
      </c>
      <c r="M32" s="238"/>
      <c r="N32" s="1232">
        <f>IF( SUM( P32:R32 ) = 0, 0, $P$5 )</f>
        <v>0</v>
      </c>
      <c r="O32" s="238"/>
      <c r="Q32" s="241">
        <f xml:space="preserve"> IF( ISNUMBER(F32 ), 0, 1 )</f>
        <v>0</v>
      </c>
      <c r="R32" s="241">
        <f xml:space="preserve"> IF( ISNUMBER(G32 ), 0, 1 )</f>
        <v>0</v>
      </c>
      <c r="S32" s="238"/>
      <c r="U32" s="129" t="s">
        <v>16303</v>
      </c>
      <c r="V32" s="131"/>
      <c r="W32" s="892" t="s">
        <v>3609</v>
      </c>
      <c r="X32" s="132" t="s">
        <v>3611</v>
      </c>
    </row>
    <row r="33" spans="2:31" ht="30">
      <c r="B33" s="2432" t="s">
        <v>16306</v>
      </c>
      <c r="C33" s="130" t="s">
        <v>3132</v>
      </c>
      <c r="D33" s="130">
        <v>2</v>
      </c>
      <c r="E33" s="131"/>
      <c r="F33" s="1285"/>
      <c r="G33" s="1234"/>
      <c r="H33" s="108"/>
      <c r="I33" s="133" t="s">
        <v>18221</v>
      </c>
      <c r="J33" s="113"/>
      <c r="K33" s="1041" t="s">
        <v>16307</v>
      </c>
      <c r="M33" s="238"/>
      <c r="N33" s="1232">
        <f>IF( SUM( P33:R33 ) = 0, 0, $P$5 )</f>
        <v>0</v>
      </c>
      <c r="O33" s="238"/>
      <c r="R33" s="241">
        <f xml:space="preserve"> IF( ISNUMBER(G33 ), 0, 1 )</f>
        <v>0</v>
      </c>
      <c r="S33" s="238"/>
      <c r="U33" s="129" t="s">
        <v>16306</v>
      </c>
      <c r="V33" s="131"/>
      <c r="W33" s="1285"/>
      <c r="X33" s="132" t="s">
        <v>3613</v>
      </c>
    </row>
    <row r="34" spans="2:31" ht="30">
      <c r="B34" s="2432" t="s">
        <v>16309</v>
      </c>
      <c r="C34" s="130" t="s">
        <v>3132</v>
      </c>
      <c r="D34" s="130">
        <v>2</v>
      </c>
      <c r="E34" s="131"/>
      <c r="F34" s="892"/>
      <c r="G34" s="1234"/>
      <c r="H34" s="108"/>
      <c r="I34" s="133" t="s">
        <v>18222</v>
      </c>
      <c r="J34" s="113"/>
      <c r="K34" s="1041" t="s">
        <v>16310</v>
      </c>
      <c r="M34" s="238"/>
      <c r="N34" s="1232" t="str">
        <f t="shared" si="2"/>
        <v>Please complete all cells in row</v>
      </c>
      <c r="O34" s="238"/>
      <c r="Q34" s="241">
        <f xml:space="preserve"> IF( ISNUMBER(F34 ), 0, 1 )</f>
        <v>0</v>
      </c>
      <c r="R34" s="241">
        <f t="shared" si="3"/>
        <v>1</v>
      </c>
      <c r="S34" s="238"/>
      <c r="U34" s="129" t="s">
        <v>16309</v>
      </c>
      <c r="V34" s="131"/>
      <c r="W34" s="892" t="s">
        <v>3615</v>
      </c>
      <c r="X34" s="132" t="s">
        <v>3617</v>
      </c>
    </row>
    <row r="35" spans="2:31" ht="30.75" thickBot="1">
      <c r="B35" s="134" t="s">
        <v>16311</v>
      </c>
      <c r="C35" s="135" t="s">
        <v>3132</v>
      </c>
      <c r="D35" s="135">
        <v>2</v>
      </c>
      <c r="E35" s="136"/>
      <c r="F35" s="136"/>
      <c r="G35" s="2120"/>
      <c r="H35" s="108"/>
      <c r="I35" s="138" t="s">
        <v>18223</v>
      </c>
      <c r="J35" s="113"/>
      <c r="K35" s="138" t="s">
        <v>16312</v>
      </c>
      <c r="M35" s="238"/>
      <c r="N35" s="1232" t="str">
        <f t="shared" si="2"/>
        <v>Please complete all cells in row</v>
      </c>
      <c r="O35" s="238"/>
      <c r="R35" s="241">
        <f t="shared" si="3"/>
        <v>1</v>
      </c>
      <c r="S35" s="238"/>
      <c r="U35" s="134" t="s">
        <v>16311</v>
      </c>
      <c r="V35" s="136"/>
      <c r="W35" s="136"/>
      <c r="X35" s="137" t="s">
        <v>3619</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16318</v>
      </c>
      <c r="C37" s="140" t="s">
        <v>7225</v>
      </c>
      <c r="D37" s="141" t="s">
        <v>18185</v>
      </c>
      <c r="E37" s="112"/>
      <c r="F37" s="112"/>
      <c r="G37" s="112"/>
      <c r="H37" s="108"/>
      <c r="I37" s="113"/>
      <c r="J37" s="113"/>
      <c r="K37" s="113"/>
      <c r="M37" s="238"/>
      <c r="O37" s="238"/>
      <c r="S37" s="238"/>
      <c r="U37" s="139" t="s">
        <v>16318</v>
      </c>
      <c r="V37" s="112"/>
      <c r="W37" s="112"/>
      <c r="X37" s="112"/>
    </row>
    <row r="38" spans="2:31" ht="15.75" customHeight="1" thickTop="1" thickBot="1">
      <c r="B38" s="142" t="s">
        <v>16328</v>
      </c>
      <c r="C38" s="143" t="s">
        <v>3132</v>
      </c>
      <c r="D38" s="143">
        <v>2</v>
      </c>
      <c r="E38" s="2122"/>
      <c r="F38" s="104"/>
      <c r="G38" s="108"/>
      <c r="H38" s="108"/>
      <c r="I38" s="2585" t="s">
        <v>18224</v>
      </c>
      <c r="J38" s="105"/>
      <c r="K38" s="2585" t="s">
        <v>16329</v>
      </c>
      <c r="M38" s="238"/>
      <c r="N38" s="1232" t="str">
        <f t="shared" ref="N38" si="4">IF( SUM( P38:R38 ) = 0, 0, $P$5 )</f>
        <v>Please complete all cells in row</v>
      </c>
      <c r="O38" s="238"/>
      <c r="P38" s="241">
        <f t="shared" ref="P38" si="5" xml:space="preserve"> IF( ISNUMBER(E38 ), 0, 1 )</f>
        <v>1</v>
      </c>
      <c r="S38" s="238"/>
      <c r="U38" s="142" t="s">
        <v>16328</v>
      </c>
      <c r="V38" s="144" t="s">
        <v>18225</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22" t="s">
        <v>18226</v>
      </c>
      <c r="C40" s="2922"/>
      <c r="D40" s="2922"/>
      <c r="E40" s="2922"/>
      <c r="F40" s="2922"/>
      <c r="G40" s="112"/>
      <c r="H40" s="108"/>
      <c r="I40" s="108"/>
      <c r="J40" s="108"/>
      <c r="K40" s="108"/>
      <c r="M40" s="238"/>
      <c r="O40" s="238"/>
      <c r="S40" s="238"/>
      <c r="U40" s="2922" t="s">
        <v>18226</v>
      </c>
      <c r="V40" s="2922"/>
      <c r="W40" s="2922"/>
      <c r="X40" s="112"/>
    </row>
    <row r="41" spans="2:31" ht="16.5" thickBot="1">
      <c r="B41" s="212" t="s">
        <v>18227</v>
      </c>
      <c r="C41" s="108"/>
      <c r="D41" s="108"/>
      <c r="E41" s="108"/>
      <c r="F41" s="108"/>
      <c r="G41" s="108"/>
      <c r="H41" s="108"/>
      <c r="I41" s="108"/>
      <c r="J41" s="108"/>
      <c r="K41" s="108"/>
      <c r="M41" s="238"/>
      <c r="O41" s="238"/>
      <c r="S41" s="238"/>
      <c r="U41" s="212" t="s">
        <v>18227</v>
      </c>
      <c r="V41" s="108"/>
      <c r="W41" s="108"/>
    </row>
    <row r="42" spans="2:31" ht="15.75" customHeight="1" thickTop="1" thickBot="1">
      <c r="B42" s="139"/>
      <c r="C42" s="140" t="s">
        <v>7225</v>
      </c>
      <c r="D42" s="141" t="s">
        <v>18185</v>
      </c>
      <c r="E42" s="108"/>
      <c r="F42" s="108"/>
      <c r="G42" s="108"/>
      <c r="H42" s="108"/>
      <c r="I42" s="108"/>
      <c r="J42" s="108"/>
      <c r="K42" s="108"/>
      <c r="M42" s="238"/>
      <c r="O42" s="238"/>
      <c r="S42" s="238"/>
      <c r="U42" s="122"/>
    </row>
    <row r="43" spans="2:31" ht="15.75" customHeight="1" thickTop="1">
      <c r="B43" s="124" t="s">
        <v>3622</v>
      </c>
      <c r="C43" s="125" t="s">
        <v>3623</v>
      </c>
      <c r="D43" s="125">
        <v>3</v>
      </c>
      <c r="E43" s="2607"/>
      <c r="F43" s="108"/>
      <c r="G43" s="114"/>
      <c r="H43" s="114"/>
      <c r="I43" s="128" t="s">
        <v>18228</v>
      </c>
      <c r="J43" s="114"/>
      <c r="K43" s="128" t="s">
        <v>17127</v>
      </c>
      <c r="L43" s="114"/>
      <c r="M43" s="238"/>
      <c r="N43" s="2324">
        <f>IF( SUM( P43:R43 ) = 0, 0, $P$5 )</f>
        <v>0</v>
      </c>
      <c r="O43" s="238"/>
      <c r="P43" s="241">
        <f xml:space="preserve"> IF( ISNUMBER(E43 ), 0, 1 )</f>
        <v>0</v>
      </c>
      <c r="S43" s="238"/>
      <c r="T43" s="114"/>
      <c r="U43" s="124" t="s">
        <v>3622</v>
      </c>
      <c r="V43" s="127" t="s">
        <v>3621</v>
      </c>
      <c r="X43" s="114"/>
      <c r="Y43" s="114"/>
      <c r="Z43" s="114"/>
      <c r="AA43" s="114"/>
      <c r="AB43" s="114"/>
      <c r="AC43" s="114"/>
      <c r="AD43" s="114"/>
      <c r="AE43" s="197"/>
    </row>
    <row r="44" spans="2:31" ht="40.9" customHeight="1">
      <c r="B44" s="129" t="s">
        <v>3625</v>
      </c>
      <c r="C44" s="286" t="s">
        <v>3623</v>
      </c>
      <c r="D44" s="286">
        <v>3</v>
      </c>
      <c r="E44" s="1234"/>
      <c r="F44" s="108"/>
      <c r="G44" s="108"/>
      <c r="H44" s="108"/>
      <c r="I44" s="133" t="s">
        <v>18229</v>
      </c>
      <c r="J44" s="108"/>
      <c r="K44" s="133" t="s">
        <v>17130</v>
      </c>
      <c r="M44" s="238"/>
      <c r="N44" s="2324">
        <f>IF( SUM( P44:R44 ) = 0, 0, $P$5 )</f>
        <v>0</v>
      </c>
      <c r="O44" s="238"/>
      <c r="P44" s="241">
        <f xml:space="preserve"> IF( ISNUMBER(E44 ), 0, 1 )</f>
        <v>0</v>
      </c>
      <c r="S44" s="238"/>
      <c r="U44" s="129" t="s">
        <v>3625</v>
      </c>
      <c r="V44" s="132" t="s">
        <v>3624</v>
      </c>
    </row>
    <row r="45" spans="2:31" ht="30">
      <c r="B45" s="129" t="s">
        <v>3627</v>
      </c>
      <c r="C45" s="286" t="s">
        <v>3623</v>
      </c>
      <c r="D45" s="286">
        <v>3</v>
      </c>
      <c r="E45" s="1234"/>
      <c r="F45" s="108"/>
      <c r="G45" s="114"/>
      <c r="H45" s="114"/>
      <c r="I45" s="133" t="s">
        <v>18230</v>
      </c>
      <c r="J45" s="114"/>
      <c r="K45" s="133" t="s">
        <v>17133</v>
      </c>
      <c r="L45" s="114"/>
      <c r="M45" s="238"/>
      <c r="N45" s="1232" t="str">
        <f t="shared" ref="N45:N46" si="6">IF( SUM( P45:R45 ) = 0, 0, $P$5 )</f>
        <v>Please complete all cells in row</v>
      </c>
      <c r="O45" s="238"/>
      <c r="P45" s="241">
        <f t="shared" ref="P45:P46" si="7" xml:space="preserve"> IF( ISNUMBER(E45 ), 0, 1 )</f>
        <v>1</v>
      </c>
      <c r="S45" s="238"/>
      <c r="T45" s="114"/>
      <c r="U45" s="129" t="s">
        <v>3627</v>
      </c>
      <c r="V45" s="132" t="s">
        <v>3626</v>
      </c>
      <c r="X45" s="114"/>
      <c r="Y45" s="114"/>
      <c r="Z45" s="114"/>
      <c r="AA45" s="114"/>
      <c r="AB45" s="114"/>
      <c r="AC45" s="114"/>
      <c r="AD45" s="114"/>
      <c r="AE45" s="197"/>
    </row>
    <row r="46" spans="2:31" ht="15.75" thickBot="1">
      <c r="B46" s="134" t="s">
        <v>18231</v>
      </c>
      <c r="C46" s="135" t="s">
        <v>3623</v>
      </c>
      <c r="D46" s="135">
        <v>3</v>
      </c>
      <c r="E46" s="2120"/>
      <c r="F46" s="108"/>
      <c r="G46" s="108"/>
      <c r="H46" s="108"/>
      <c r="I46" s="138" t="s">
        <v>18232</v>
      </c>
      <c r="J46" s="108"/>
      <c r="K46" s="138" t="s">
        <v>17135</v>
      </c>
      <c r="M46" s="238"/>
      <c r="N46" s="1232" t="str">
        <f t="shared" si="6"/>
        <v>Please complete all cells in row</v>
      </c>
      <c r="O46" s="238"/>
      <c r="P46" s="241">
        <f t="shared" si="7"/>
        <v>1</v>
      </c>
      <c r="S46" s="238"/>
      <c r="U46" s="134" t="s">
        <v>18231</v>
      </c>
      <c r="V46" s="137" t="s">
        <v>3628</v>
      </c>
    </row>
    <row r="47" spans="2:31" ht="15.75"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71"/>
    </row>
    <row r="50" spans="2:14" ht="15">
      <c r="B50" s="108"/>
      <c r="C50" s="108"/>
      <c r="D50" s="108"/>
      <c r="E50" s="108"/>
      <c r="F50" s="108"/>
      <c r="G50" s="108"/>
      <c r="H50" s="108"/>
      <c r="I50" s="108"/>
      <c r="J50" s="108"/>
      <c r="K50" s="108"/>
      <c r="N50" s="1371"/>
    </row>
    <row r="51" spans="2:14" ht="15">
      <c r="B51" s="108"/>
      <c r="C51" s="108"/>
      <c r="D51" s="108"/>
      <c r="E51" s="108"/>
      <c r="F51" s="108"/>
      <c r="G51" s="108"/>
      <c r="H51" s="108"/>
      <c r="I51" s="108"/>
      <c r="J51" s="108"/>
      <c r="K51" s="108"/>
      <c r="N51" s="1371"/>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NES_APR2022_F5</v>
      </c>
    </row>
    <row r="2" spans="1:6">
      <c r="A2" s="219" t="s">
        <v>3</v>
      </c>
      <c r="B2" s="249" t="s">
        <v>3636</v>
      </c>
      <c r="C2" s="249" t="s">
        <v>3637</v>
      </c>
      <c r="D2" s="249" t="s">
        <v>668</v>
      </c>
      <c r="E2" s="249" t="s">
        <v>3638</v>
      </c>
      <c r="F2" s="251" t="s">
        <v>3639</v>
      </c>
    </row>
    <row r="3" spans="1:6" ht="15">
      <c r="B3" s="239"/>
      <c r="C3" s="250"/>
      <c r="D3" s="249"/>
      <c r="E3" s="249"/>
    </row>
    <row r="4" spans="1:6">
      <c r="B4" s="219" t="str">
        <f>'5A'!R8</f>
        <v>B0009WRAVIR</v>
      </c>
      <c r="C4" s="219" t="s">
        <v>6714</v>
      </c>
      <c r="E4" s="249" t="s">
        <v>3641</v>
      </c>
      <c r="F4" s="252">
        <f>IF(ISBLANK('5A'!E8),"##BLANK",'5A'!E8)</f>
        <v>430.87</v>
      </c>
    </row>
    <row r="5" spans="1:6">
      <c r="B5" s="219" t="str">
        <f>'5A'!R9</f>
        <v>B0009WRAVPSR</v>
      </c>
      <c r="C5" s="219" t="s">
        <v>6715</v>
      </c>
      <c r="E5" s="249" t="s">
        <v>3641</v>
      </c>
      <c r="F5" s="252">
        <f>IF(ISBLANK('5A'!E9),"##BLANK",'5A'!E9)</f>
        <v>298.37</v>
      </c>
    </row>
    <row r="6" spans="1:6">
      <c r="B6" s="219" t="str">
        <f>'5A'!R10</f>
        <v>B0009WRAVRA</v>
      </c>
      <c r="C6" s="219" t="s">
        <v>6716</v>
      </c>
      <c r="E6" s="249" t="s">
        <v>3641</v>
      </c>
      <c r="F6" s="252">
        <f>IF(ISBLANK('5A'!E10),"##BLANK",'5A'!E10)</f>
        <v>332.74</v>
      </c>
    </row>
    <row r="7" spans="1:6">
      <c r="B7" s="1781" t="str">
        <f>'5A'!R11</f>
        <v>B0009WRAVGW</v>
      </c>
      <c r="C7" s="219" t="s">
        <v>6717</v>
      </c>
      <c r="E7" s="249" t="s">
        <v>3641</v>
      </c>
      <c r="F7" s="252">
        <f>IF(ISBLANK('5A'!E11),"##BLANK",'5A'!E11)</f>
        <v>95.06</v>
      </c>
    </row>
    <row r="8" spans="1:6">
      <c r="B8" s="1781" t="str">
        <f>'5A'!R12</f>
        <v>B0009WRAVAR</v>
      </c>
      <c r="C8" s="219" t="s">
        <v>6718</v>
      </c>
      <c r="E8" s="249" t="s">
        <v>3641</v>
      </c>
      <c r="F8" s="252">
        <f>IF(ISBLANK('5A'!E12),"##BLANK",'5A'!E12)</f>
        <v>0</v>
      </c>
    </row>
    <row r="9" spans="1:6">
      <c r="B9" s="1781" t="str">
        <f>'5A'!R13</f>
        <v>B0009WRAVASR</v>
      </c>
      <c r="C9" s="219" t="s">
        <v>6719</v>
      </c>
      <c r="E9" s="249" t="s">
        <v>3641</v>
      </c>
      <c r="F9" s="252">
        <f>IF(ISBLANK('5A'!E13),"##BLANK",'5A'!E13)</f>
        <v>0</v>
      </c>
    </row>
    <row r="10" spans="1:6">
      <c r="B10" s="1781" t="str">
        <f>'5A'!R14</f>
        <v>B0009WRAVSA</v>
      </c>
      <c r="C10" s="219" t="s">
        <v>6720</v>
      </c>
      <c r="E10" s="249" t="s">
        <v>3641</v>
      </c>
      <c r="F10" s="252">
        <f>IF(ISBLANK('5A'!E14),"##BLANK",'5A'!E14)</f>
        <v>0</v>
      </c>
    </row>
    <row r="11" spans="1:6">
      <c r="B11" s="1781" t="str">
        <f>'5A'!R15</f>
        <v>B0009WRAVWRS</v>
      </c>
      <c r="C11" s="219" t="s">
        <v>6721</v>
      </c>
      <c r="E11" s="249" t="s">
        <v>3641</v>
      </c>
      <c r="F11" s="252">
        <f>IF(ISBLANK('5A'!E15),"##BLANK",'5A'!E15)</f>
        <v>0</v>
      </c>
    </row>
    <row r="12" spans="1:6">
      <c r="B12" s="219" t="str">
        <f>'5A'!R16</f>
        <v>BN4830</v>
      </c>
      <c r="C12" s="219" t="s">
        <v>6722</v>
      </c>
      <c r="E12" s="249" t="s">
        <v>3641</v>
      </c>
      <c r="F12" s="252">
        <f>IF(ISBLANK('5A'!E16),"##BLANK",'5A'!E16)</f>
        <v>13</v>
      </c>
    </row>
    <row r="13" spans="1:6">
      <c r="B13" s="219" t="str">
        <f>'5A'!R17</f>
        <v>BN4849</v>
      </c>
      <c r="C13" s="219" t="s">
        <v>6723</v>
      </c>
      <c r="E13" s="249" t="s">
        <v>3641</v>
      </c>
      <c r="F13" s="252">
        <f>IF(ISBLANK('5A'!E17),"##BLANK",'5A'!E17)</f>
        <v>3</v>
      </c>
    </row>
    <row r="14" spans="1:6">
      <c r="B14" s="219" t="str">
        <f>'5A'!R18</f>
        <v>BN4835</v>
      </c>
      <c r="C14" s="219" t="s">
        <v>6724</v>
      </c>
      <c r="E14" s="249" t="s">
        <v>3641</v>
      </c>
      <c r="F14" s="252">
        <f>IF(ISBLANK('5A'!E18),"##BLANK",'5A'!E18)</f>
        <v>9</v>
      </c>
    </row>
    <row r="15" spans="1:6">
      <c r="B15" s="219" t="str">
        <f>'5A'!R19</f>
        <v>BN4851</v>
      </c>
      <c r="C15" s="219" t="s">
        <v>6725</v>
      </c>
      <c r="E15" s="249" t="s">
        <v>3641</v>
      </c>
      <c r="F15" s="252">
        <f>IF(ISBLANK('5A'!E19),"##BLANK",'5A'!E19)</f>
        <v>51</v>
      </c>
    </row>
    <row r="16" spans="1:6">
      <c r="B16" s="219" t="str">
        <f>'5A'!R20</f>
        <v>BN4852</v>
      </c>
      <c r="C16" s="219" t="s">
        <v>6726</v>
      </c>
      <c r="E16" s="249" t="s">
        <v>3641</v>
      </c>
      <c r="F16" s="252">
        <f>IF(ISBLANK('5A'!E20),"##BLANK",'5A'!E20)</f>
        <v>0</v>
      </c>
    </row>
    <row r="17" spans="2:6">
      <c r="B17" s="219" t="str">
        <f>'5A'!R21</f>
        <v>BN4853</v>
      </c>
      <c r="C17" s="219" t="s">
        <v>6727</v>
      </c>
      <c r="E17" s="249" t="s">
        <v>3641</v>
      </c>
      <c r="F17" s="252">
        <f>IF(ISBLANK('5A'!E21),"##BLANK",'5A'!E21)</f>
        <v>0</v>
      </c>
    </row>
    <row r="18" spans="2:6">
      <c r="B18" s="219" t="str">
        <f>'5A'!R22</f>
        <v>BN4856</v>
      </c>
      <c r="C18" s="219" t="s">
        <v>6728</v>
      </c>
      <c r="E18" s="249" t="s">
        <v>3641</v>
      </c>
      <c r="F18" s="252">
        <f>IF(ISBLANK('5A'!E22),"##BLANK",'5A'!E22)</f>
        <v>0</v>
      </c>
    </row>
    <row r="19" spans="2:6">
      <c r="B19" s="219" t="str">
        <f>'5A'!R23</f>
        <v>BN4857</v>
      </c>
      <c r="C19" s="219" t="s">
        <v>6729</v>
      </c>
      <c r="E19" s="249" t="s">
        <v>3641</v>
      </c>
      <c r="F19" s="252">
        <f>IF(ISBLANK('5A'!E23),"##BLANK",'5A'!E23)</f>
        <v>0</v>
      </c>
    </row>
    <row r="20" spans="2:6">
      <c r="B20" s="219" t="str">
        <f>'5A'!R24</f>
        <v>BN4843</v>
      </c>
      <c r="C20" s="219" t="s">
        <v>6730</v>
      </c>
      <c r="E20" s="249" t="s">
        <v>3641</v>
      </c>
      <c r="F20" s="252">
        <f>IF(ISBLANK('5A'!E24),"##BLANK",'5A'!E24)</f>
        <v>76</v>
      </c>
    </row>
    <row r="21" spans="2:6">
      <c r="B21" s="219" t="str">
        <f>'5A'!R25</f>
        <v>BN10190</v>
      </c>
      <c r="C21" s="219" t="s">
        <v>6731</v>
      </c>
      <c r="E21" s="249" t="s">
        <v>3641</v>
      </c>
      <c r="F21" s="252">
        <f>IF(ISBLANK('5A'!E25),"##BLANK",'5A'!E25)</f>
        <v>30</v>
      </c>
    </row>
    <row r="22" spans="2:6">
      <c r="B22" s="219" t="str">
        <f>'5A'!R26</f>
        <v>BN10191</v>
      </c>
      <c r="C22" s="219" t="s">
        <v>6732</v>
      </c>
      <c r="E22" s="249" t="s">
        <v>3641</v>
      </c>
      <c r="F22" s="252">
        <f>IF(ISBLANK('5A'!E26),"##BLANK",'5A'!E26)</f>
        <v>447668</v>
      </c>
    </row>
    <row r="23" spans="2:6">
      <c r="B23" s="219" t="str">
        <f>'5A'!R27</f>
        <v>W5003</v>
      </c>
      <c r="C23" s="219" t="s">
        <v>6733</v>
      </c>
      <c r="E23" s="249" t="s">
        <v>3641</v>
      </c>
      <c r="F23" s="252">
        <f>IF(ISBLANK('5A'!E27),"##BLANK",'5A'!E27)</f>
        <v>81</v>
      </c>
    </row>
    <row r="24" spans="2:6">
      <c r="B24" s="219" t="str">
        <f>'5A'!R28</f>
        <v>W5003CAP</v>
      </c>
      <c r="C24" s="219" t="s">
        <v>6734</v>
      </c>
      <c r="E24" s="249" t="s">
        <v>3641</v>
      </c>
      <c r="F24" s="252">
        <f>IF(ISBLANK('5A'!E28),"##BLANK",'5A'!E28)</f>
        <v>46758</v>
      </c>
    </row>
    <row r="25" spans="2:6">
      <c r="B25" s="219" t="str">
        <f>'5A'!R29</f>
        <v>BN10290</v>
      </c>
      <c r="C25" s="219" t="s">
        <v>6735</v>
      </c>
      <c r="E25" s="249" t="s">
        <v>3641</v>
      </c>
      <c r="F25" s="252">
        <f>IF(ISBLANK('5A'!E29),"##BLANK",'5A'!E29)</f>
        <v>132.58000000000001</v>
      </c>
    </row>
    <row r="26" spans="2:6">
      <c r="B26" s="219" t="str">
        <f>'5A'!R30</f>
        <v>BN4861</v>
      </c>
      <c r="C26" s="219" t="s">
        <v>6736</v>
      </c>
      <c r="E26" s="249" t="s">
        <v>3641</v>
      </c>
      <c r="F26" s="252">
        <f>IF(ISBLANK('5A'!E30),"##BLANK",'5A'!E30)</f>
        <v>36.33</v>
      </c>
    </row>
    <row r="27" spans="2:6">
      <c r="B27" s="219" t="str">
        <f>'5A'!R31</f>
        <v>B0009WRAVEC</v>
      </c>
      <c r="C27" s="219" t="s">
        <v>6737</v>
      </c>
      <c r="E27" s="249" t="s">
        <v>3641</v>
      </c>
      <c r="F27" s="252">
        <f>IF(ISBLANK('5A'!E31),"##BLANK",'5A'!E31)</f>
        <v>66598.876000000004</v>
      </c>
    </row>
    <row r="28" spans="2:6">
      <c r="B28" s="219" t="str">
        <f>'5A'!R32</f>
        <v>B0009WRAVTNI</v>
      </c>
      <c r="C28" s="219" t="s">
        <v>6738</v>
      </c>
      <c r="E28" s="249" t="s">
        <v>3641</v>
      </c>
      <c r="F28" s="252">
        <f>IF(ISBLANK('5A'!E32),"##BLANK",'5A'!E32)</f>
        <v>0</v>
      </c>
    </row>
    <row r="29" spans="2:6">
      <c r="B29" s="1781" t="str">
        <f>'5A'!R33</f>
        <v>B0009WRAVWI3</v>
      </c>
      <c r="C29" s="219" t="s">
        <v>6739</v>
      </c>
      <c r="E29" s="249" t="s">
        <v>3641</v>
      </c>
      <c r="F29" s="252">
        <f>IF(ISBLANK('5A'!E33),"##BLANK",'5A'!E33)</f>
        <v>0</v>
      </c>
    </row>
    <row r="30" spans="2:6">
      <c r="B30" s="219" t="str">
        <f>'5A'!R34</f>
        <v>B0009WRAVTNE</v>
      </c>
      <c r="C30" s="219" t="s">
        <v>6740</v>
      </c>
      <c r="E30" s="249" t="s">
        <v>3641</v>
      </c>
      <c r="F30" s="252">
        <f>IF(ISBLANK('5A'!E34),"##BLANK",'5A'!E34)</f>
        <v>0</v>
      </c>
    </row>
    <row r="31" spans="2:6">
      <c r="B31" s="219" t="str">
        <f>'5A'!R35</f>
        <v>B0009WRAVWE3</v>
      </c>
      <c r="C31" s="219" t="s">
        <v>6741</v>
      </c>
      <c r="E31" s="249" t="s">
        <v>3641</v>
      </c>
      <c r="F31" s="252">
        <f>IF(ISBLANK('5A'!E35),"##BLANK",'5A'!E35)</f>
        <v>0</v>
      </c>
    </row>
    <row r="32" spans="2:6">
      <c r="B32" s="1781" t="str">
        <f>'5A'!R36</f>
        <v>BN4859</v>
      </c>
      <c r="C32" s="219" t="s">
        <v>6742</v>
      </c>
      <c r="E32" s="249" t="s">
        <v>3641</v>
      </c>
      <c r="F32" s="252">
        <f>IF(ISBLANK('5A'!E36),"##BLANK",'5A'!E36)</f>
        <v>1622.91</v>
      </c>
    </row>
    <row r="33" spans="2:6">
      <c r="B33" s="1781" t="str">
        <f>'5A'!R37</f>
        <v>B4860_TOT</v>
      </c>
      <c r="C33" s="219" t="s">
        <v>1522</v>
      </c>
      <c r="E33" s="249" t="s">
        <v>3641</v>
      </c>
      <c r="F33" s="252">
        <f>IF(ISBLANK('5A'!E37),"##BLANK",'5A'!E37)</f>
        <v>45</v>
      </c>
    </row>
    <row r="34" spans="2:6">
      <c r="B34" s="219" t="str">
        <f>'5B'!AE8</f>
        <v>BM102IR</v>
      </c>
      <c r="C34" s="219" t="s">
        <v>6743</v>
      </c>
      <c r="E34" s="249" t="s">
        <v>3641</v>
      </c>
      <c r="F34" s="255">
        <f>IF(ISBLANK('5B'!E8),"##BLANK",'5B'!E8)</f>
        <v>0.09</v>
      </c>
    </row>
    <row r="35" spans="2:6">
      <c r="B35" s="219" t="str">
        <f>'5B'!AF8</f>
        <v>BM102PS</v>
      </c>
      <c r="C35" s="219" t="s">
        <v>6744</v>
      </c>
      <c r="E35" s="249" t="s">
        <v>3641</v>
      </c>
      <c r="F35" s="255">
        <f>IF(ISBLANK('5B'!F8),"##BLANK",'5B'!F8)</f>
        <v>2.4020000000000001</v>
      </c>
    </row>
    <row r="36" spans="2:6">
      <c r="B36" s="219" t="str">
        <f>'5B'!AG8</f>
        <v>BM102RS</v>
      </c>
      <c r="C36" s="219" t="s">
        <v>6745</v>
      </c>
      <c r="E36" s="249" t="s">
        <v>3641</v>
      </c>
      <c r="F36" s="255">
        <f>IF(ISBLANK('5B'!G8),"##BLANK",'5B'!G8)</f>
        <v>15.371</v>
      </c>
    </row>
    <row r="37" spans="2:6">
      <c r="B37" s="219" t="str">
        <f>'5B'!AH8</f>
        <v>BM102BO</v>
      </c>
      <c r="C37" s="219" t="s">
        <v>6746</v>
      </c>
      <c r="E37" s="249" t="s">
        <v>3641</v>
      </c>
      <c r="F37" s="255">
        <f>IF(ISBLANK('5B'!H8),"##BLANK",'5B'!H8)</f>
        <v>2.786</v>
      </c>
    </row>
    <row r="38" spans="2:6">
      <c r="B38" s="219" t="str">
        <f>'5B'!AI8</f>
        <v>BM102AR</v>
      </c>
      <c r="C38" s="219" t="s">
        <v>6747</v>
      </c>
      <c r="E38" s="249" t="s">
        <v>3641</v>
      </c>
      <c r="F38" s="255">
        <f>IF(ISBLANK('5B'!I8),"##BLANK",'5B'!I8)</f>
        <v>0</v>
      </c>
    </row>
    <row r="39" spans="2:6">
      <c r="B39" s="219" t="str">
        <f>'5B'!AJ8</f>
        <v>BM102ASR</v>
      </c>
      <c r="C39" s="219" t="s">
        <v>6748</v>
      </c>
      <c r="E39" s="249" t="s">
        <v>3641</v>
      </c>
      <c r="F39" s="255">
        <f>IF(ISBLANK('5B'!J8),"##BLANK",'5B'!J8)</f>
        <v>0</v>
      </c>
    </row>
    <row r="40" spans="2:6">
      <c r="B40" s="219" t="str">
        <f>'5B'!AK8</f>
        <v>BM102WROT</v>
      </c>
      <c r="C40" s="219" t="s">
        <v>6749</v>
      </c>
      <c r="E40" s="249" t="s">
        <v>3641</v>
      </c>
      <c r="F40" s="255">
        <f>IF(ISBLANK('5B'!K8),"##BLANK",'5B'!K8)</f>
        <v>0</v>
      </c>
    </row>
    <row r="41" spans="2:6">
      <c r="B41" s="219" t="str">
        <f>'5B'!AL8</f>
        <v>BM102WRTOT</v>
      </c>
      <c r="C41" s="219" t="s">
        <v>4159</v>
      </c>
      <c r="E41" s="249" t="s">
        <v>3641</v>
      </c>
      <c r="F41" s="255">
        <f>IF(ISBLANK('5B'!L8),"##BLANK",'5B'!L8)</f>
        <v>20.649000000000001</v>
      </c>
    </row>
    <row r="42" spans="2:6">
      <c r="B42" s="219" t="str">
        <f>'5B'!AE9</f>
        <v>BM836IR</v>
      </c>
      <c r="C42" s="219" t="s">
        <v>6750</v>
      </c>
      <c r="E42" s="249" t="s">
        <v>3641</v>
      </c>
      <c r="F42" s="255">
        <f>IF(ISBLANK('5B'!E9),"##BLANK",'5B'!E9)</f>
        <v>-0.26500000000000001</v>
      </c>
    </row>
    <row r="43" spans="2:6">
      <c r="B43" s="219" t="str">
        <f>'5B'!AF9</f>
        <v>BM836PS</v>
      </c>
      <c r="C43" s="219" t="s">
        <v>6751</v>
      </c>
      <c r="E43" s="249" t="s">
        <v>3641</v>
      </c>
      <c r="F43" s="255">
        <f>IF(ISBLANK('5B'!F9),"##BLANK",'5B'!F9)</f>
        <v>0</v>
      </c>
    </row>
    <row r="44" spans="2:6">
      <c r="B44" s="219" t="str">
        <f>'5B'!AG9</f>
        <v>BM836RS</v>
      </c>
      <c r="C44" s="219" t="s">
        <v>6752</v>
      </c>
      <c r="E44" s="249" t="s">
        <v>3641</v>
      </c>
      <c r="F44" s="255">
        <f>IF(ISBLANK('5B'!G9),"##BLANK",'5B'!G9)</f>
        <v>0</v>
      </c>
    </row>
    <row r="45" spans="2:6">
      <c r="B45" s="219" t="str">
        <f>'5B'!AH9</f>
        <v>BM836BO</v>
      </c>
      <c r="C45" s="219" t="s">
        <v>6753</v>
      </c>
      <c r="E45" s="249" t="s">
        <v>3641</v>
      </c>
      <c r="F45" s="255">
        <f>IF(ISBLANK('5B'!H9),"##BLANK",'5B'!H9)</f>
        <v>0</v>
      </c>
    </row>
    <row r="46" spans="2:6">
      <c r="B46" s="219" t="str">
        <f>'5B'!AI9</f>
        <v>BM836AR</v>
      </c>
      <c r="C46" s="219" t="s">
        <v>6754</v>
      </c>
      <c r="E46" s="249" t="s">
        <v>3641</v>
      </c>
      <c r="F46" s="255">
        <f>IF(ISBLANK('5B'!I9),"##BLANK",'5B'!I9)</f>
        <v>0</v>
      </c>
    </row>
    <row r="47" spans="2:6">
      <c r="B47" s="219" t="str">
        <f>'5B'!AJ9</f>
        <v>BM836ASR</v>
      </c>
      <c r="C47" s="219" t="s">
        <v>6755</v>
      </c>
      <c r="E47" s="249" t="s">
        <v>3641</v>
      </c>
      <c r="F47" s="255">
        <f>IF(ISBLANK('5B'!J9),"##BLANK",'5B'!J9)</f>
        <v>0</v>
      </c>
    </row>
    <row r="48" spans="2:6">
      <c r="B48" s="219" t="str">
        <f>'5B'!AK9</f>
        <v>BM836WROT</v>
      </c>
      <c r="C48" s="219" t="s">
        <v>6756</v>
      </c>
      <c r="E48" s="249" t="s">
        <v>3641</v>
      </c>
      <c r="F48" s="255">
        <f>IF(ISBLANK('5B'!K9),"##BLANK",'5B'!K9)</f>
        <v>0</v>
      </c>
    </row>
    <row r="49" spans="2:6">
      <c r="B49" s="219" t="str">
        <f>'5B'!AL9</f>
        <v>BM836WRTOT</v>
      </c>
      <c r="C49" s="219" t="s">
        <v>6757</v>
      </c>
      <c r="E49" s="249" t="s">
        <v>3641</v>
      </c>
      <c r="F49" s="255">
        <f>IF(ISBLANK('5B'!L9),"##BLANK",'5B'!L9)</f>
        <v>-0.26500000000000001</v>
      </c>
    </row>
    <row r="50" spans="2:6">
      <c r="B50" s="219" t="str">
        <f>'5B'!AE10</f>
        <v>WS1003IR</v>
      </c>
      <c r="C50" s="219" t="s">
        <v>6758</v>
      </c>
      <c r="E50" s="249" t="s">
        <v>3641</v>
      </c>
      <c r="F50" s="255">
        <f>IF(ISBLANK('5B'!E10),"##BLANK",'5B'!E10)</f>
        <v>2.2360000000000002</v>
      </c>
    </row>
    <row r="51" spans="2:6">
      <c r="B51" s="219" t="str">
        <f>'5B'!AF10</f>
        <v>WS1003PS</v>
      </c>
      <c r="C51" s="219" t="s">
        <v>6759</v>
      </c>
      <c r="E51" s="249" t="s">
        <v>3641</v>
      </c>
      <c r="F51" s="255">
        <f>IF(ISBLANK('5B'!F10),"##BLANK",'5B'!F10)</f>
        <v>4.9870000000000001</v>
      </c>
    </row>
    <row r="52" spans="2:6">
      <c r="B52" s="219" t="str">
        <f>'5B'!AG10</f>
        <v>WS1003RS</v>
      </c>
      <c r="C52" s="219" t="s">
        <v>6760</v>
      </c>
      <c r="E52" s="249" t="s">
        <v>3641</v>
      </c>
      <c r="F52" s="255">
        <f>IF(ISBLANK('5B'!G10),"##BLANK",'5B'!G10)</f>
        <v>31.131</v>
      </c>
    </row>
    <row r="53" spans="2:6">
      <c r="B53" s="219" t="str">
        <f>'5B'!AH10</f>
        <v>WS1003BO</v>
      </c>
      <c r="C53" s="219" t="s">
        <v>6761</v>
      </c>
      <c r="E53" s="249" t="s">
        <v>3641</v>
      </c>
      <c r="F53" s="255">
        <f>IF(ISBLANK('5B'!H10),"##BLANK",'5B'!H10)</f>
        <v>1.2110000000000001</v>
      </c>
    </row>
    <row r="54" spans="2:6">
      <c r="B54" s="219" t="str">
        <f>'5B'!AI10</f>
        <v>WS1003AR</v>
      </c>
      <c r="C54" s="219" t="s">
        <v>6762</v>
      </c>
      <c r="E54" s="249" t="s">
        <v>3641</v>
      </c>
      <c r="F54" s="255">
        <f>IF(ISBLANK('5B'!I10),"##BLANK",'5B'!I10)</f>
        <v>0</v>
      </c>
    </row>
    <row r="55" spans="2:6">
      <c r="B55" s="219" t="str">
        <f>'5B'!AJ10</f>
        <v>WS1003ASR</v>
      </c>
      <c r="C55" s="219" t="s">
        <v>6763</v>
      </c>
      <c r="E55" s="249" t="s">
        <v>3641</v>
      </c>
      <c r="F55" s="255">
        <f>IF(ISBLANK('5B'!J10),"##BLANK",'5B'!J10)</f>
        <v>0</v>
      </c>
    </row>
    <row r="56" spans="2:6">
      <c r="B56" s="219" t="str">
        <f>'5B'!AK10</f>
        <v>WS1003WROT</v>
      </c>
      <c r="C56" s="219" t="s">
        <v>6764</v>
      </c>
      <c r="E56" s="249" t="s">
        <v>3641</v>
      </c>
      <c r="F56" s="255">
        <f>IF(ISBLANK('5B'!K10),"##BLANK",'5B'!K10)</f>
        <v>0</v>
      </c>
    </row>
    <row r="57" spans="2:6">
      <c r="B57" s="219" t="str">
        <f>'5B'!AL10</f>
        <v>WS1003WRTOT</v>
      </c>
      <c r="C57" s="219" t="s">
        <v>6765</v>
      </c>
      <c r="E57" s="249" t="s">
        <v>3641</v>
      </c>
      <c r="F57" s="255">
        <f>IF(ISBLANK('5B'!L10),"##BLANK",'5B'!L10)</f>
        <v>39.564999999999998</v>
      </c>
    </row>
    <row r="58" spans="2:6">
      <c r="B58" s="219" t="str">
        <f>'5B'!AE11</f>
        <v>BM240IR</v>
      </c>
      <c r="C58" s="219" t="s">
        <v>6766</v>
      </c>
      <c r="E58" s="249" t="s">
        <v>3641</v>
      </c>
      <c r="F58" s="255">
        <f>IF(ISBLANK('5B'!E11),"##BLANK",'5B'!E11)</f>
        <v>0</v>
      </c>
    </row>
    <row r="59" spans="2:6">
      <c r="B59" s="219" t="str">
        <f>'5B'!AF11</f>
        <v>BM240PS</v>
      </c>
      <c r="C59" s="219" t="s">
        <v>6767</v>
      </c>
      <c r="E59" s="249" t="s">
        <v>3641</v>
      </c>
      <c r="F59" s="255">
        <f>IF(ISBLANK('5B'!F11),"##BLANK",'5B'!F11)</f>
        <v>0</v>
      </c>
    </row>
    <row r="60" spans="2:6">
      <c r="B60" s="219" t="str">
        <f>'5B'!AG11</f>
        <v>BM240RS</v>
      </c>
      <c r="C60" s="219" t="s">
        <v>6768</v>
      </c>
      <c r="E60" s="249" t="s">
        <v>3641</v>
      </c>
      <c r="F60" s="255">
        <f>IF(ISBLANK('5B'!G11),"##BLANK",'5B'!G11)</f>
        <v>1.22</v>
      </c>
    </row>
    <row r="61" spans="2:6">
      <c r="B61" s="219" t="str">
        <f>'5B'!AH11</f>
        <v>BM240BO</v>
      </c>
      <c r="C61" s="219" t="s">
        <v>6769</v>
      </c>
      <c r="E61" s="249" t="s">
        <v>3641</v>
      </c>
      <c r="F61" s="255">
        <f>IF(ISBLANK('5B'!H11),"##BLANK",'5B'!H11)</f>
        <v>0</v>
      </c>
    </row>
    <row r="62" spans="2:6">
      <c r="B62" s="219" t="str">
        <f>'5B'!AI11</f>
        <v>BM240AR</v>
      </c>
      <c r="C62" s="219" t="s">
        <v>6770</v>
      </c>
      <c r="E62" s="249" t="s">
        <v>3641</v>
      </c>
      <c r="F62" s="255">
        <f>IF(ISBLANK('5B'!I11),"##BLANK",'5B'!I11)</f>
        <v>0</v>
      </c>
    </row>
    <row r="63" spans="2:6">
      <c r="B63" s="219" t="str">
        <f>'5B'!AJ11</f>
        <v>BM240ASR</v>
      </c>
      <c r="C63" s="219" t="s">
        <v>6771</v>
      </c>
      <c r="E63" s="249" t="s">
        <v>3641</v>
      </c>
      <c r="F63" s="255">
        <f>IF(ISBLANK('5B'!J11),"##BLANK",'5B'!J11)</f>
        <v>0</v>
      </c>
    </row>
    <row r="64" spans="2:6">
      <c r="B64" s="219" t="str">
        <f>'5B'!AK11</f>
        <v>BM240WROT</v>
      </c>
      <c r="C64" s="219" t="s">
        <v>6772</v>
      </c>
      <c r="E64" s="249" t="s">
        <v>3641</v>
      </c>
      <c r="F64" s="255">
        <f>IF(ISBLANK('5B'!K11),"##BLANK",'5B'!K11)</f>
        <v>0</v>
      </c>
    </row>
    <row r="65" spans="2:6">
      <c r="B65" s="219" t="str">
        <f>'5B'!AL11</f>
        <v>BM240WRTOT</v>
      </c>
      <c r="C65" s="219" t="s">
        <v>6773</v>
      </c>
      <c r="E65" s="249" t="s">
        <v>3641</v>
      </c>
      <c r="F65" s="255">
        <f>IF(ISBLANK('5B'!L11),"##BLANK",'5B'!L11)</f>
        <v>1.22</v>
      </c>
    </row>
    <row r="66" spans="2:6">
      <c r="B66" s="219" t="str">
        <f>'5B'!AE14</f>
        <v>WS1005IR</v>
      </c>
      <c r="C66" s="219" t="s">
        <v>6774</v>
      </c>
      <c r="E66" s="249" t="s">
        <v>3641</v>
      </c>
      <c r="F66" s="255">
        <f>IF(ISBLANK('5B'!E14),"##BLANK",'5B'!E14)</f>
        <v>0.57399999999999995</v>
      </c>
    </row>
    <row r="67" spans="2:6">
      <c r="B67" s="219" t="str">
        <f>'5B'!AF14</f>
        <v>WS1005PS</v>
      </c>
      <c r="C67" s="219" t="s">
        <v>6775</v>
      </c>
      <c r="E67" s="249" t="s">
        <v>3641</v>
      </c>
      <c r="F67" s="255">
        <f>IF(ISBLANK('5B'!F14),"##BLANK",'5B'!F14)</f>
        <v>0</v>
      </c>
    </row>
    <row r="68" spans="2:6">
      <c r="B68" s="219" t="str">
        <f>'5B'!AG14</f>
        <v>WS1005RS</v>
      </c>
      <c r="C68" s="219" t="s">
        <v>6776</v>
      </c>
      <c r="E68" s="249" t="s">
        <v>3641</v>
      </c>
      <c r="F68" s="255">
        <f>IF(ISBLANK('5B'!G14),"##BLANK",'5B'!G14)</f>
        <v>0</v>
      </c>
    </row>
    <row r="69" spans="2:6">
      <c r="B69" s="219" t="str">
        <f>'5B'!AH14</f>
        <v>WS1005BO</v>
      </c>
      <c r="C69" s="219" t="s">
        <v>6777</v>
      </c>
      <c r="E69" s="249" t="s">
        <v>3641</v>
      </c>
      <c r="F69" s="255">
        <f>IF(ISBLANK('5B'!H14),"##BLANK",'5B'!H14)</f>
        <v>2.3E-2</v>
      </c>
    </row>
    <row r="70" spans="2:6">
      <c r="B70" s="219" t="str">
        <f>'5B'!AI14</f>
        <v>WS1005AR</v>
      </c>
      <c r="C70" s="219" t="s">
        <v>6778</v>
      </c>
      <c r="E70" s="249" t="s">
        <v>3641</v>
      </c>
      <c r="F70" s="255">
        <f>IF(ISBLANK('5B'!I14),"##BLANK",'5B'!I14)</f>
        <v>0</v>
      </c>
    </row>
    <row r="71" spans="2:6">
      <c r="B71" s="219" t="str">
        <f>'5B'!AJ14</f>
        <v>WS1005ASR</v>
      </c>
      <c r="C71" s="219" t="s">
        <v>6779</v>
      </c>
      <c r="E71" s="249" t="s">
        <v>3641</v>
      </c>
      <c r="F71" s="255">
        <f>IF(ISBLANK('5B'!J14),"##BLANK",'5B'!J14)</f>
        <v>0</v>
      </c>
    </row>
    <row r="72" spans="2:6">
      <c r="B72" s="219" t="str">
        <f>'5B'!AK14</f>
        <v>WS1005WROT</v>
      </c>
      <c r="C72" s="219" t="s">
        <v>6780</v>
      </c>
      <c r="E72" s="249" t="s">
        <v>3641</v>
      </c>
      <c r="F72" s="255">
        <f>IF(ISBLANK('5B'!K14),"##BLANK",'5B'!K14)</f>
        <v>0</v>
      </c>
    </row>
    <row r="73" spans="2:6">
      <c r="B73" s="219" t="str">
        <f>'5B'!AL14</f>
        <v>WS1005WRTOT</v>
      </c>
      <c r="C73" s="219" t="s">
        <v>6781</v>
      </c>
      <c r="E73" s="249" t="s">
        <v>3641</v>
      </c>
      <c r="F73" s="255">
        <f>IF(ISBLANK('5B'!L14),"##BLANK",'5B'!L14)</f>
        <v>0.59699999999999998</v>
      </c>
    </row>
    <row r="74" spans="2:6">
      <c r="B74" s="219" t="str">
        <f>'5B'!AE15</f>
        <v>WS1006IR</v>
      </c>
      <c r="C74" s="219" t="s">
        <v>6782</v>
      </c>
      <c r="E74" s="249" t="s">
        <v>3641</v>
      </c>
      <c r="F74" s="255">
        <f>IF(ISBLANK('5B'!E15),"##BLANK",'5B'!E15)</f>
        <v>7.6999999999999999E-2</v>
      </c>
    </row>
    <row r="75" spans="2:6">
      <c r="B75" s="219" t="str">
        <f>'5B'!AF15</f>
        <v>WS1006PS</v>
      </c>
      <c r="C75" s="219" t="s">
        <v>6783</v>
      </c>
      <c r="E75" s="249" t="s">
        <v>3641</v>
      </c>
      <c r="F75" s="255">
        <f>IF(ISBLANK('5B'!F15),"##BLANK",'5B'!F15)</f>
        <v>5.0999999999999997E-2</v>
      </c>
    </row>
    <row r="76" spans="2:6">
      <c r="B76" s="219" t="str">
        <f>'5B'!AG15</f>
        <v>WS1006RS</v>
      </c>
      <c r="C76" s="219" t="s">
        <v>6784</v>
      </c>
      <c r="E76" s="249" t="s">
        <v>3641</v>
      </c>
      <c r="F76" s="255">
        <f>IF(ISBLANK('5B'!G15),"##BLANK",'5B'!G15)</f>
        <v>5.8000000000000003E-2</v>
      </c>
    </row>
    <row r="77" spans="2:6">
      <c r="B77" s="219" t="str">
        <f>'5B'!AH15</f>
        <v>WS1006BO</v>
      </c>
      <c r="C77" s="219" t="s">
        <v>6785</v>
      </c>
      <c r="E77" s="249" t="s">
        <v>3641</v>
      </c>
      <c r="F77" s="255">
        <f>IF(ISBLANK('5B'!H15),"##BLANK",'5B'!H15)</f>
        <v>1.7000000000000001E-2</v>
      </c>
    </row>
    <row r="78" spans="2:6">
      <c r="B78" s="219" t="str">
        <f>'5B'!AI15</f>
        <v>WS1006AR</v>
      </c>
      <c r="C78" s="219" t="s">
        <v>6786</v>
      </c>
      <c r="E78" s="249" t="s">
        <v>3641</v>
      </c>
      <c r="F78" s="255">
        <f>IF(ISBLANK('5B'!I15),"##BLANK",'5B'!I15)</f>
        <v>0</v>
      </c>
    </row>
    <row r="79" spans="2:6">
      <c r="B79" s="219" t="str">
        <f>'5B'!AJ15</f>
        <v>WS1006ASR</v>
      </c>
      <c r="C79" s="219" t="s">
        <v>6787</v>
      </c>
      <c r="E79" s="249" t="s">
        <v>3641</v>
      </c>
      <c r="F79" s="255">
        <f>IF(ISBLANK('5B'!J15),"##BLANK",'5B'!J15)</f>
        <v>0</v>
      </c>
    </row>
    <row r="80" spans="2:6">
      <c r="B80" s="219" t="str">
        <f>'5B'!AK15</f>
        <v>WS1006WROT</v>
      </c>
      <c r="C80" s="219" t="s">
        <v>6788</v>
      </c>
      <c r="E80" s="249" t="s">
        <v>3641</v>
      </c>
      <c r="F80" s="255">
        <f>IF(ISBLANK('5B'!K15),"##BLANK",'5B'!K15)</f>
        <v>0</v>
      </c>
    </row>
    <row r="81" spans="2:6">
      <c r="B81" s="219" t="str">
        <f>'5B'!AL15</f>
        <v>WS1006WRTOT</v>
      </c>
      <c r="C81" s="219" t="s">
        <v>6789</v>
      </c>
      <c r="E81" s="249" t="s">
        <v>3641</v>
      </c>
      <c r="F81" s="255">
        <f>IF(ISBLANK('5B'!L15),"##BLANK",'5B'!L15)</f>
        <v>0.20300000000000001</v>
      </c>
    </row>
    <row r="82" spans="2:6">
      <c r="B82" s="219" t="str">
        <f>'5B'!AE16</f>
        <v>BM110IR</v>
      </c>
      <c r="C82" s="219" t="s">
        <v>6790</v>
      </c>
      <c r="E82" s="249" t="s">
        <v>3641</v>
      </c>
      <c r="F82" s="255">
        <f>IF(ISBLANK('5B'!E16),"##BLANK",'5B'!E16)</f>
        <v>2.8130000000000002</v>
      </c>
    </row>
    <row r="83" spans="2:6">
      <c r="B83" s="219" t="str">
        <f>'5B'!AF16</f>
        <v>BM110PS</v>
      </c>
      <c r="C83" s="219" t="s">
        <v>6791</v>
      </c>
      <c r="E83" s="249" t="s">
        <v>3641</v>
      </c>
      <c r="F83" s="255">
        <f>IF(ISBLANK('5B'!F16),"##BLANK",'5B'!F16)</f>
        <v>1.8839999999999999</v>
      </c>
    </row>
    <row r="84" spans="2:6">
      <c r="B84" s="219" t="str">
        <f>'5B'!AG16</f>
        <v>BM110RS</v>
      </c>
      <c r="C84" s="219" t="s">
        <v>6792</v>
      </c>
      <c r="E84" s="249" t="s">
        <v>3641</v>
      </c>
      <c r="F84" s="255">
        <f>IF(ISBLANK('5B'!G16),"##BLANK",'5B'!G16)</f>
        <v>2.1429999999999998</v>
      </c>
    </row>
    <row r="85" spans="2:6">
      <c r="B85" s="219" t="str">
        <f>'5B'!AH16</f>
        <v>BM110BO</v>
      </c>
      <c r="C85" s="219" t="s">
        <v>6793</v>
      </c>
      <c r="E85" s="249" t="s">
        <v>3641</v>
      </c>
      <c r="F85" s="255">
        <f>IF(ISBLANK('5B'!H16),"##BLANK",'5B'!H16)</f>
        <v>0.61699999999999999</v>
      </c>
    </row>
    <row r="86" spans="2:6">
      <c r="B86" s="219" t="str">
        <f>'5B'!AI16</f>
        <v>BM110AR</v>
      </c>
      <c r="C86" s="219" t="s">
        <v>6794</v>
      </c>
      <c r="E86" s="249" t="s">
        <v>3641</v>
      </c>
      <c r="F86" s="255">
        <f>IF(ISBLANK('5B'!I16),"##BLANK",'5B'!I16)</f>
        <v>0</v>
      </c>
    </row>
    <row r="87" spans="2:6">
      <c r="B87" s="219" t="str">
        <f>'5B'!AJ16</f>
        <v>BM110ASR</v>
      </c>
      <c r="C87" s="219" t="s">
        <v>6795</v>
      </c>
      <c r="E87" s="249" t="s">
        <v>3641</v>
      </c>
      <c r="F87" s="255">
        <f>IF(ISBLANK('5B'!J16),"##BLANK",'5B'!J16)</f>
        <v>0</v>
      </c>
    </row>
    <row r="88" spans="2:6">
      <c r="B88" s="219" t="str">
        <f>'5B'!AK16</f>
        <v>BM110WROT</v>
      </c>
      <c r="C88" s="219" t="s">
        <v>6796</v>
      </c>
      <c r="E88" s="249" t="s">
        <v>3641</v>
      </c>
      <c r="F88" s="255">
        <f>IF(ISBLANK('5B'!K16),"##BLANK",'5B'!K16)</f>
        <v>0</v>
      </c>
    </row>
    <row r="89" spans="2:6">
      <c r="B89" s="219" t="str">
        <f>'5B'!AL16</f>
        <v>BM110WRTOT</v>
      </c>
      <c r="C89" s="219" t="s">
        <v>6797</v>
      </c>
      <c r="E89" s="249" t="s">
        <v>3641</v>
      </c>
      <c r="F89" s="255">
        <f>IF(ISBLANK('5B'!L16),"##BLANK",'5B'!L16)</f>
        <v>7.4569999999999999</v>
      </c>
    </row>
    <row r="90" spans="2:6">
      <c r="B90" s="219" t="str">
        <f>'5B'!AE17</f>
        <v>BM817IR</v>
      </c>
      <c r="C90" s="219" t="s">
        <v>6798</v>
      </c>
      <c r="E90" s="249" t="s">
        <v>3641</v>
      </c>
      <c r="F90" s="255">
        <f>IF(ISBLANK('5B'!E17),"##BLANK",'5B'!E17)</f>
        <v>1.478</v>
      </c>
    </row>
    <row r="91" spans="2:6">
      <c r="B91" s="219" t="str">
        <f>'5B'!AF17</f>
        <v>BM817PS</v>
      </c>
      <c r="C91" s="219" t="s">
        <v>6799</v>
      </c>
      <c r="E91" s="249" t="s">
        <v>3641</v>
      </c>
      <c r="F91" s="255">
        <f>IF(ISBLANK('5B'!F17),"##BLANK",'5B'!F17)</f>
        <v>1.0980000000000001</v>
      </c>
    </row>
    <row r="92" spans="2:6">
      <c r="B92" s="219" t="str">
        <f>'5B'!AG17</f>
        <v>BM817RS</v>
      </c>
      <c r="C92" s="219" t="s">
        <v>6800</v>
      </c>
      <c r="E92" s="249" t="s">
        <v>3641</v>
      </c>
      <c r="F92" s="255">
        <f>IF(ISBLANK('5B'!G17),"##BLANK",'5B'!G17)</f>
        <v>0.253</v>
      </c>
    </row>
    <row r="93" spans="2:6">
      <c r="B93" s="219" t="str">
        <f>'5B'!AH17</f>
        <v>BM817BO</v>
      </c>
      <c r="C93" s="219" t="s">
        <v>6801</v>
      </c>
      <c r="E93" s="249" t="s">
        <v>3641</v>
      </c>
      <c r="F93" s="255">
        <f>IF(ISBLANK('5B'!H17),"##BLANK",'5B'!H17)</f>
        <v>1.393</v>
      </c>
    </row>
    <row r="94" spans="2:6">
      <c r="B94" s="219" t="str">
        <f>'5B'!AI17</f>
        <v>BM817AR</v>
      </c>
      <c r="C94" s="219" t="s">
        <v>6802</v>
      </c>
      <c r="E94" s="249" t="s">
        <v>3641</v>
      </c>
      <c r="F94" s="255">
        <f>IF(ISBLANK('5B'!I17),"##BLANK",'5B'!I17)</f>
        <v>0</v>
      </c>
    </row>
    <row r="95" spans="2:6">
      <c r="B95" s="219" t="str">
        <f>'5B'!AJ17</f>
        <v>BM817ASR</v>
      </c>
      <c r="C95" s="219" t="s">
        <v>6803</v>
      </c>
      <c r="E95" s="249" t="s">
        <v>3641</v>
      </c>
      <c r="F95" s="255">
        <f>IF(ISBLANK('5B'!J17),"##BLANK",'5B'!J17)</f>
        <v>0</v>
      </c>
    </row>
    <row r="96" spans="2:6">
      <c r="B96" s="219" t="str">
        <f>'5B'!AK17</f>
        <v>BM817WROT</v>
      </c>
      <c r="C96" s="219" t="s">
        <v>6804</v>
      </c>
      <c r="E96" s="249" t="s">
        <v>3641</v>
      </c>
      <c r="F96" s="255">
        <f>IF(ISBLANK('5B'!K17),"##BLANK",'5B'!K17)</f>
        <v>0</v>
      </c>
    </row>
    <row r="97" spans="2:6">
      <c r="B97" s="219" t="str">
        <f>'5B'!AL17</f>
        <v>BM817WRTOT</v>
      </c>
      <c r="C97" s="219" t="s">
        <v>4307</v>
      </c>
      <c r="E97" s="249" t="s">
        <v>3641</v>
      </c>
      <c r="F97" s="255">
        <f>IF(ISBLANK('5B'!L17),"##BLANK",'5B'!L17)</f>
        <v>4.2220000000000004</v>
      </c>
    </row>
    <row r="98" spans="2:6">
      <c r="B98" s="219" t="str">
        <f>'5B'!AE18</f>
        <v>BM316IR</v>
      </c>
      <c r="C98" s="219" t="s">
        <v>6805</v>
      </c>
      <c r="E98" s="249" t="s">
        <v>3641</v>
      </c>
      <c r="F98" s="255">
        <f>IF(ISBLANK('5B'!E18),"##BLANK",'5B'!E18)</f>
        <v>7.0030000000000001</v>
      </c>
    </row>
    <row r="99" spans="2:6">
      <c r="B99" s="219" t="str">
        <f>'5B'!AF18</f>
        <v>BM316PS</v>
      </c>
      <c r="C99" s="219" t="s">
        <v>6806</v>
      </c>
      <c r="E99" s="249" t="s">
        <v>3641</v>
      </c>
      <c r="F99" s="255">
        <f>IF(ISBLANK('5B'!F18),"##BLANK",'5B'!F18)</f>
        <v>10.422000000000001</v>
      </c>
    </row>
    <row r="100" spans="2:6">
      <c r="B100" s="219" t="str">
        <f>'5B'!AG18</f>
        <v>BM316RS</v>
      </c>
      <c r="C100" s="219" t="s">
        <v>6807</v>
      </c>
      <c r="E100" s="249" t="s">
        <v>3641</v>
      </c>
      <c r="F100" s="255">
        <f>IF(ISBLANK('5B'!G18),"##BLANK",'5B'!G18)</f>
        <v>50.176000000000002</v>
      </c>
    </row>
    <row r="101" spans="2:6">
      <c r="B101" s="219" t="str">
        <f>'5B'!AH18</f>
        <v>BM316BO</v>
      </c>
      <c r="C101" s="219" t="s">
        <v>6808</v>
      </c>
      <c r="E101" s="249" t="s">
        <v>3641</v>
      </c>
      <c r="F101" s="255">
        <f>IF(ISBLANK('5B'!H18),"##BLANK",'5B'!H18)</f>
        <v>6.0469999999999997</v>
      </c>
    </row>
    <row r="102" spans="2:6">
      <c r="B102" s="219" t="str">
        <f>'5B'!AI18</f>
        <v>BM316AR</v>
      </c>
      <c r="C102" s="219" t="s">
        <v>6809</v>
      </c>
      <c r="E102" s="249" t="s">
        <v>3641</v>
      </c>
      <c r="F102" s="255">
        <f>IF(ISBLANK('5B'!I18),"##BLANK",'5B'!I18)</f>
        <v>0</v>
      </c>
    </row>
    <row r="103" spans="2:6">
      <c r="B103" s="219" t="str">
        <f>'5B'!AJ18</f>
        <v>BM316ASR</v>
      </c>
      <c r="C103" s="219" t="s">
        <v>6810</v>
      </c>
      <c r="E103" s="249" t="s">
        <v>3641</v>
      </c>
      <c r="F103" s="255">
        <f>IF(ISBLANK('5B'!J18),"##BLANK",'5B'!J18)</f>
        <v>0</v>
      </c>
    </row>
    <row r="104" spans="2:6">
      <c r="B104" s="219" t="str">
        <f>'5B'!AK18</f>
        <v>BM316WROT</v>
      </c>
      <c r="C104" s="219" t="s">
        <v>6811</v>
      </c>
      <c r="E104" s="249" t="s">
        <v>3641</v>
      </c>
      <c r="F104" s="255">
        <f>IF(ISBLANK('5B'!K18),"##BLANK",'5B'!K18)</f>
        <v>0</v>
      </c>
    </row>
    <row r="105" spans="2:6">
      <c r="B105" s="219" t="str">
        <f>'5B'!AL18</f>
        <v>BM316WRTOT</v>
      </c>
      <c r="C105" s="219" t="s">
        <v>6812</v>
      </c>
      <c r="E105" s="249" t="s">
        <v>3641</v>
      </c>
      <c r="F105" s="255">
        <f>IF(ISBLANK('5B'!L18),"##BLANK",'5B'!L18)</f>
        <v>73.647999999999996</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theme="0" tint="-0.499984740745262"/>
    <pageSetUpPr fitToPage="1"/>
  </sheetPr>
  <dimension ref="B1:AY59"/>
  <sheetViews>
    <sheetView showGridLines="0" topLeftCell="K16" zoomScaleNormal="100" zoomScaleSheetLayoutView="70" workbookViewId="0"/>
  </sheetViews>
  <sheetFormatPr defaultColWidth="24" defaultRowHeight="14.25" zeroHeight="1"/>
  <cols>
    <col min="1" max="1" width="4.25" style="1438" customWidth="1"/>
    <col min="2" max="2" width="83.25" style="1438" customWidth="1"/>
    <col min="3" max="3" width="15.25" style="1438" customWidth="1"/>
    <col min="4" max="4" width="4.75" style="1438" bestFit="1" customWidth="1"/>
    <col min="5" max="5" width="25.25" style="1438" customWidth="1"/>
    <col min="6" max="6" width="15.5" style="1438" customWidth="1"/>
    <col min="7" max="7" width="28.75" style="1438" customWidth="1"/>
    <col min="8" max="8" width="24.125" style="1438" customWidth="1"/>
    <col min="9" max="9" width="15.125" style="1438" customWidth="1"/>
    <col min="10" max="15" width="9.5" style="1438" customWidth="1"/>
    <col min="16" max="16" width="2.25" style="1438" customWidth="1"/>
    <col min="17" max="17" width="10.625" style="1438" customWidth="1"/>
    <col min="18" max="18" width="1.5" style="1438" customWidth="1"/>
    <col min="19" max="19" width="11.75" style="1438" customWidth="1"/>
    <col min="20" max="20" width="1.25" style="1438" customWidth="1"/>
    <col min="21" max="21" width="1.625" style="219" customWidth="1"/>
    <col min="22" max="22" width="20.625" style="219" customWidth="1"/>
    <col min="23" max="23" width="1.625" style="219" customWidth="1"/>
    <col min="24" max="35" width="8" style="219" hidden="1" customWidth="1"/>
    <col min="36" max="36" width="3.125" style="1438" customWidth="1"/>
    <col min="37" max="37" width="90.5" style="1438" bestFit="1" customWidth="1"/>
    <col min="38" max="44" width="26" style="1438" customWidth="1"/>
    <col min="45" max="51" width="9.25" style="1438" customWidth="1"/>
    <col min="52" max="16384" width="24" style="1438"/>
  </cols>
  <sheetData>
    <row r="1" spans="2:50" s="104" customFormat="1" ht="23.25">
      <c r="B1" s="1229" t="s">
        <v>18233</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7220</v>
      </c>
    </row>
    <row r="2" spans="2:50" s="104" customFormat="1" ht="23.25">
      <c r="B2" s="1229" t="str">
        <f>SelectCompany!B4</f>
        <v>Northumbrian Water</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07" t="s">
        <v>18234</v>
      </c>
      <c r="C3" s="2807"/>
      <c r="D3" s="2807"/>
      <c r="E3" s="2807"/>
      <c r="F3" s="2807"/>
      <c r="G3" s="2807"/>
      <c r="H3" s="2807"/>
      <c r="I3" s="2807"/>
      <c r="J3" s="2807"/>
      <c r="K3" s="2807"/>
      <c r="L3" s="2807"/>
      <c r="M3" s="2807"/>
      <c r="N3" s="2807"/>
      <c r="O3" s="2807"/>
      <c r="U3" s="238"/>
      <c r="V3" s="1240" t="s">
        <v>7222</v>
      </c>
      <c r="W3" s="238"/>
      <c r="AI3" s="238"/>
      <c r="AK3" s="2807" t="s">
        <v>18234</v>
      </c>
      <c r="AL3" s="2807"/>
      <c r="AM3" s="2807"/>
      <c r="AN3" s="2807"/>
      <c r="AO3" s="2807"/>
      <c r="AP3" s="2807"/>
      <c r="AQ3" s="2807"/>
      <c r="AR3" s="2807"/>
      <c r="AS3" s="2807"/>
      <c r="AT3" s="2807"/>
      <c r="AU3" s="2807"/>
      <c r="AV3" s="2807"/>
      <c r="AW3" s="2807"/>
      <c r="AX3" s="2807"/>
    </row>
    <row r="4" spans="2:50" ht="28.5" customHeight="1">
      <c r="U4" s="238"/>
      <c r="W4" s="238"/>
      <c r="X4" s="2895" t="s">
        <v>7223</v>
      </c>
      <c r="Y4" s="2895"/>
      <c r="Z4" s="2895"/>
      <c r="AA4" s="2895"/>
      <c r="AB4" s="2895"/>
      <c r="AC4" s="2895"/>
      <c r="AD4" s="2895"/>
      <c r="AE4" s="2895"/>
      <c r="AF4" s="2895"/>
      <c r="AG4" s="2895"/>
      <c r="AH4" s="2895"/>
      <c r="AI4" s="238"/>
    </row>
    <row r="5" spans="2:50" ht="26.25" customHeight="1">
      <c r="B5" s="2807" t="s">
        <v>18235</v>
      </c>
      <c r="C5" s="2807"/>
      <c r="D5" s="2807"/>
      <c r="E5" s="2807"/>
      <c r="F5" s="2807"/>
      <c r="G5" s="2807"/>
      <c r="H5" s="2807"/>
      <c r="I5" s="2807"/>
      <c r="J5" s="2807"/>
      <c r="K5" s="2807"/>
      <c r="L5" s="2807"/>
      <c r="M5" s="2807"/>
      <c r="N5" s="2807"/>
      <c r="O5" s="2807"/>
      <c r="U5" s="238"/>
      <c r="W5" s="238"/>
      <c r="X5" s="219" t="s">
        <v>7231</v>
      </c>
      <c r="Y5" s="1438"/>
      <c r="Z5" s="1438"/>
      <c r="AA5" s="1438"/>
      <c r="AB5" s="1438"/>
      <c r="AC5" s="1438"/>
      <c r="AD5" s="1438"/>
      <c r="AE5" s="1438"/>
      <c r="AF5" s="1438"/>
      <c r="AG5" s="1438"/>
      <c r="AH5" s="1438"/>
      <c r="AI5" s="238"/>
      <c r="AK5" s="2807" t="s">
        <v>18235</v>
      </c>
      <c r="AL5" s="2807"/>
      <c r="AM5" s="2807"/>
      <c r="AN5" s="2807"/>
      <c r="AO5" s="2807"/>
      <c r="AP5" s="2807"/>
      <c r="AQ5" s="2807"/>
      <c r="AR5" s="2807"/>
      <c r="AS5" s="2807"/>
      <c r="AT5" s="2807"/>
      <c r="AU5" s="2807"/>
      <c r="AV5" s="2807"/>
      <c r="AW5" s="2807"/>
      <c r="AX5" s="2807"/>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 customHeight="1" thickTop="1" thickBot="1">
      <c r="B7" s="147" t="s">
        <v>7224</v>
      </c>
      <c r="C7" s="148" t="s">
        <v>18236</v>
      </c>
      <c r="D7" s="148" t="s">
        <v>668</v>
      </c>
      <c r="E7" s="148" t="s">
        <v>18237</v>
      </c>
      <c r="F7" s="148" t="s">
        <v>18238</v>
      </c>
      <c r="G7" s="148" t="s">
        <v>18239</v>
      </c>
      <c r="H7" s="149" t="s">
        <v>18240</v>
      </c>
      <c r="I7" s="150"/>
      <c r="J7" s="150"/>
      <c r="K7" s="150"/>
      <c r="L7" s="150"/>
      <c r="M7" s="74"/>
      <c r="N7" s="151"/>
      <c r="O7" s="151"/>
      <c r="P7" s="151"/>
      <c r="Q7" s="145" t="s">
        <v>7229</v>
      </c>
      <c r="R7" s="105"/>
      <c r="S7" s="145" t="s">
        <v>18182</v>
      </c>
      <c r="U7" s="238"/>
      <c r="W7" s="238"/>
      <c r="AI7" s="238"/>
      <c r="AK7" s="147" t="s">
        <v>7224</v>
      </c>
      <c r="AL7" s="148" t="s">
        <v>18236</v>
      </c>
      <c r="AM7" s="148" t="s">
        <v>668</v>
      </c>
      <c r="AN7" s="148" t="s">
        <v>18237</v>
      </c>
      <c r="AO7" s="148" t="s">
        <v>18238</v>
      </c>
      <c r="AP7" s="148" t="s">
        <v>18239</v>
      </c>
      <c r="AQ7" s="149" t="s">
        <v>18240</v>
      </c>
      <c r="AR7" s="150"/>
      <c r="AS7" s="1440"/>
      <c r="AT7" s="1440"/>
      <c r="AU7" s="1440"/>
      <c r="AV7" s="1297"/>
    </row>
    <row r="8" spans="2:50" ht="17.25"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18241</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18241</v>
      </c>
      <c r="AL9" s="146"/>
      <c r="AM9" s="146"/>
      <c r="AN9" s="146"/>
      <c r="AO9" s="146"/>
      <c r="AP9" s="146"/>
      <c r="AQ9" s="146"/>
      <c r="AR9" s="150"/>
      <c r="AV9" s="1443"/>
      <c r="AX9" s="1438"/>
    </row>
    <row r="10" spans="2:50" s="1440" customFormat="1" ht="45.6" customHeight="1" thickTop="1" thickBot="1">
      <c r="B10" s="154" t="s">
        <v>18242</v>
      </c>
      <c r="C10" s="2209"/>
      <c r="D10" s="155" t="s">
        <v>18243</v>
      </c>
      <c r="E10" s="155" t="s">
        <v>18244</v>
      </c>
      <c r="F10" s="156" t="s">
        <v>18245</v>
      </c>
      <c r="G10" s="2123"/>
      <c r="H10" s="2206">
        <f>IFERROR(G10/F10*1000,0)</f>
        <v>0</v>
      </c>
      <c r="I10" s="150"/>
      <c r="J10" s="153"/>
      <c r="K10" s="153"/>
      <c r="L10" s="153"/>
      <c r="M10" s="153"/>
      <c r="N10" s="150"/>
      <c r="O10" s="150"/>
      <c r="P10" s="150"/>
      <c r="Q10" s="1941" t="s">
        <v>18246</v>
      </c>
      <c r="R10" s="1942"/>
      <c r="S10" s="1941" t="s">
        <v>18247</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18242</v>
      </c>
      <c r="AL10" s="157" t="s">
        <v>18248</v>
      </c>
      <c r="AM10" s="155" t="s">
        <v>18243</v>
      </c>
      <c r="AN10" s="155" t="s">
        <v>18244</v>
      </c>
      <c r="AO10" s="156"/>
      <c r="AP10" s="157" t="s">
        <v>18249</v>
      </c>
      <c r="AQ10" s="158" t="s">
        <v>18250</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6.5" thickTop="1" thickBot="1">
      <c r="B12" s="147" t="s">
        <v>7224</v>
      </c>
      <c r="C12" s="148" t="s">
        <v>18236</v>
      </c>
      <c r="D12" s="148" t="s">
        <v>668</v>
      </c>
      <c r="E12" s="148" t="s">
        <v>18251</v>
      </c>
      <c r="F12" s="148" t="s">
        <v>18252</v>
      </c>
      <c r="G12" s="148" t="s">
        <v>18253</v>
      </c>
      <c r="H12" s="148" t="s">
        <v>18254</v>
      </c>
      <c r="I12" s="149" t="s">
        <v>18255</v>
      </c>
      <c r="J12" s="161"/>
      <c r="K12" s="161"/>
      <c r="L12" s="161"/>
      <c r="M12" s="161"/>
      <c r="N12" s="161"/>
      <c r="O12" s="161"/>
      <c r="P12" s="151"/>
      <c r="Q12" s="1942"/>
      <c r="R12" s="1942"/>
      <c r="S12" s="1942"/>
      <c r="U12" s="238"/>
      <c r="W12" s="238"/>
      <c r="AI12" s="238"/>
      <c r="AK12" s="147" t="s">
        <v>7224</v>
      </c>
      <c r="AL12" s="148" t="s">
        <v>18236</v>
      </c>
      <c r="AM12" s="148" t="s">
        <v>668</v>
      </c>
      <c r="AN12" s="148" t="s">
        <v>18251</v>
      </c>
      <c r="AO12" s="148" t="s">
        <v>18252</v>
      </c>
      <c r="AP12" s="148" t="s">
        <v>18253</v>
      </c>
      <c r="AQ12" s="148" t="s">
        <v>18254</v>
      </c>
      <c r="AR12" s="149" t="s">
        <v>18255</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18256</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18256</v>
      </c>
      <c r="AL14" s="146"/>
      <c r="AM14" s="146"/>
      <c r="AN14" s="162"/>
      <c r="AO14" s="162"/>
      <c r="AP14" s="162"/>
      <c r="AQ14" s="150"/>
      <c r="AR14" s="150"/>
      <c r="AS14" s="1446"/>
      <c r="AT14" s="1446"/>
    </row>
    <row r="15" spans="2:50" s="1440" customFormat="1" ht="36.75" customHeight="1" thickTop="1">
      <c r="B15" s="164" t="s">
        <v>18257</v>
      </c>
      <c r="C15" s="2210"/>
      <c r="D15" s="166" t="s">
        <v>3132</v>
      </c>
      <c r="E15" s="2124"/>
      <c r="F15" s="2124"/>
      <c r="G15" s="2145"/>
      <c r="H15" s="2145"/>
      <c r="I15" s="2146"/>
      <c r="J15" s="163"/>
      <c r="K15" s="163"/>
      <c r="L15" s="163"/>
      <c r="M15" s="163"/>
      <c r="N15" s="163"/>
      <c r="O15" s="163"/>
      <c r="P15" s="150"/>
      <c r="Q15" s="919" t="s">
        <v>18258</v>
      </c>
      <c r="R15" s="1942"/>
      <c r="S15" s="919" t="s">
        <v>18259</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18257</v>
      </c>
      <c r="AL15" s="167" t="s">
        <v>18260</v>
      </c>
      <c r="AM15" s="166" t="s">
        <v>3132</v>
      </c>
      <c r="AN15" s="167" t="s">
        <v>18261</v>
      </c>
      <c r="AO15" s="167"/>
      <c r="AP15" s="2151"/>
      <c r="AQ15" s="2151"/>
      <c r="AR15" s="2152"/>
      <c r="AS15" s="1447"/>
      <c r="AT15" s="1447"/>
      <c r="AU15" s="1447"/>
      <c r="AV15" s="1447"/>
      <c r="AW15" s="1447"/>
      <c r="AX15" s="1447"/>
    </row>
    <row r="16" spans="2:50" s="1440" customFormat="1" ht="36.75" customHeight="1">
      <c r="B16" s="183" t="s">
        <v>18262</v>
      </c>
      <c r="C16" s="2211"/>
      <c r="D16" s="185" t="s">
        <v>3132</v>
      </c>
      <c r="E16" s="2126"/>
      <c r="F16" s="2126"/>
      <c r="G16" s="2147"/>
      <c r="H16" s="2147"/>
      <c r="I16" s="2148"/>
      <c r="J16" s="163"/>
      <c r="K16" s="163"/>
      <c r="L16" s="163"/>
      <c r="M16" s="163"/>
      <c r="N16" s="163"/>
      <c r="O16" s="163"/>
      <c r="P16" s="150"/>
      <c r="Q16" s="926" t="s">
        <v>18258</v>
      </c>
      <c r="R16" s="1942"/>
      <c r="S16" s="926" t="s">
        <v>18259</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18262</v>
      </c>
      <c r="AL16" s="187" t="s">
        <v>18263</v>
      </c>
      <c r="AM16" s="185" t="s">
        <v>3132</v>
      </c>
      <c r="AN16" s="187" t="s">
        <v>18264</v>
      </c>
      <c r="AO16" s="187"/>
      <c r="AP16" s="2153"/>
      <c r="AQ16" s="2153"/>
      <c r="AR16" s="2154"/>
      <c r="AS16" s="1447"/>
      <c r="AT16" s="1447"/>
      <c r="AU16" s="1447"/>
      <c r="AV16" s="1447"/>
      <c r="AW16" s="1447"/>
      <c r="AX16" s="1447"/>
    </row>
    <row r="17" spans="2:51" ht="36.75" customHeight="1" thickBot="1">
      <c r="B17" s="169" t="s">
        <v>18265</v>
      </c>
      <c r="C17" s="2212"/>
      <c r="D17" s="171" t="s">
        <v>18243</v>
      </c>
      <c r="E17" s="2128"/>
      <c r="F17" s="2128"/>
      <c r="G17" s="2149"/>
      <c r="H17" s="2149"/>
      <c r="I17" s="2150"/>
      <c r="J17" s="163"/>
      <c r="K17" s="163"/>
      <c r="L17" s="163"/>
      <c r="M17" s="163"/>
      <c r="N17" s="163"/>
      <c r="O17" s="174"/>
      <c r="P17" s="150"/>
      <c r="Q17" s="941" t="s">
        <v>18266</v>
      </c>
      <c r="R17" s="1942"/>
      <c r="S17" s="941" t="s">
        <v>18267</v>
      </c>
      <c r="U17" s="238"/>
      <c r="V17" s="1232" t="str">
        <f t="shared" si="0"/>
        <v>Please complete all cells in row</v>
      </c>
      <c r="W17" s="238"/>
      <c r="X17" s="241">
        <f t="shared" si="3"/>
        <v>1</v>
      </c>
      <c r="Y17" s="241">
        <f t="shared" si="4"/>
        <v>1</v>
      </c>
      <c r="AI17" s="238"/>
      <c r="AK17" s="169" t="s">
        <v>18265</v>
      </c>
      <c r="AL17" s="172" t="s">
        <v>18268</v>
      </c>
      <c r="AM17" s="171" t="s">
        <v>18243</v>
      </c>
      <c r="AN17" s="172" t="s">
        <v>18269</v>
      </c>
      <c r="AO17" s="172"/>
      <c r="AP17" s="2155"/>
      <c r="AQ17" s="2155"/>
      <c r="AR17" s="2156"/>
      <c r="AS17" s="1447"/>
      <c r="AT17" s="1447"/>
      <c r="AU17" s="1447"/>
      <c r="AV17" s="1447"/>
      <c r="AW17" s="1447"/>
      <c r="AX17" s="1450"/>
      <c r="AY17" s="1440"/>
    </row>
    <row r="18" spans="2:51" s="1440" customFormat="1" ht="15.75"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theme="0" tint="-0.499984740745262"/>
    <pageSetUpPr fitToPage="1"/>
  </sheetPr>
  <dimension ref="B1:AT36"/>
  <sheetViews>
    <sheetView showGridLines="0" zoomScaleNormal="100" zoomScaleSheetLayoutView="85" workbookViewId="0"/>
  </sheetViews>
  <sheetFormatPr defaultColWidth="9" defaultRowHeight="14.25"/>
  <cols>
    <col min="1" max="1" width="9" style="1297"/>
    <col min="2" max="2" width="38.25" style="1438" customWidth="1"/>
    <col min="3" max="3" width="17.125" style="1438" bestFit="1" customWidth="1"/>
    <col min="4" max="4" width="30.125" style="1438" bestFit="1" customWidth="1"/>
    <col min="5" max="5" width="42.75" style="1438" bestFit="1" customWidth="1"/>
    <col min="6" max="6" width="20" style="1438" customWidth="1"/>
    <col min="7" max="7" width="35.125" style="1438" customWidth="1"/>
    <col min="8" max="8" width="29.75" style="1438" bestFit="1" customWidth="1"/>
    <col min="9" max="9" width="17.125" style="1438" bestFit="1" customWidth="1"/>
    <col min="10" max="10" width="29.75" style="1438" bestFit="1" customWidth="1"/>
    <col min="11" max="13" width="13.25" style="1438" customWidth="1"/>
    <col min="14" max="14" width="1.625" style="1438" customWidth="1"/>
    <col min="15" max="15" width="12.5" style="1438" customWidth="1"/>
    <col min="16" max="16" width="1.75" style="1297" customWidth="1"/>
    <col min="17" max="17" width="14.625" style="1297" customWidth="1"/>
    <col min="18" max="18" width="2.75" style="1297" customWidth="1"/>
    <col min="19" max="19" width="1.625" style="219" customWidth="1"/>
    <col min="20" max="20" width="20.625" style="219" bestFit="1" customWidth="1"/>
    <col min="21" max="21" width="1.625" style="219" customWidth="1"/>
    <col min="22" max="22" width="28" style="1297" hidden="1" customWidth="1"/>
    <col min="23" max="24" width="9" style="1297" hidden="1" customWidth="1"/>
    <col min="25" max="26" width="2.125" style="1297" hidden="1" customWidth="1"/>
    <col min="27" max="27" width="9" style="1297" hidden="1" customWidth="1"/>
    <col min="28" max="28" width="2.125" style="1297" hidden="1" customWidth="1"/>
    <col min="29" max="29" width="9" style="1297" hidden="1" customWidth="1"/>
    <col min="30" max="32" width="2.125" style="1297" hidden="1" customWidth="1"/>
    <col min="33" max="33" width="4.75" style="1297" hidden="1" customWidth="1"/>
    <col min="34" max="34" width="9" style="1297"/>
    <col min="35" max="35" width="30.25" style="1297" bestFit="1" customWidth="1"/>
    <col min="36" max="36" width="14.25" style="1297" bestFit="1" customWidth="1"/>
    <col min="37" max="37" width="30.125" style="1297" bestFit="1" customWidth="1"/>
    <col min="38" max="38" width="42.75" style="1297" bestFit="1" customWidth="1"/>
    <col min="39" max="39" width="8.75" style="1297" bestFit="1" customWidth="1"/>
    <col min="40" max="40" width="17.125" style="1297" bestFit="1" customWidth="1"/>
    <col min="41" max="41" width="21.25" style="1297" customWidth="1"/>
    <col min="42" max="42" width="17.125" style="1297" bestFit="1" customWidth="1"/>
    <col min="43" max="43" width="29.75" style="1297" bestFit="1" customWidth="1"/>
    <col min="44" max="44" width="4.5" style="1297" bestFit="1" customWidth="1"/>
    <col min="45" max="45" width="8" style="1297" bestFit="1" customWidth="1"/>
    <col min="46" max="46" width="5.125" style="1297" bestFit="1" customWidth="1"/>
    <col min="47" max="51" width="9" style="1297"/>
    <col min="52" max="52" width="9" style="1297" customWidth="1"/>
    <col min="53" max="16384" width="9" style="1297"/>
  </cols>
  <sheetData>
    <row r="1" spans="2:46" s="104" customFormat="1" ht="23.25">
      <c r="B1" s="2879" t="s">
        <v>18270</v>
      </c>
      <c r="C1" s="2879"/>
      <c r="D1" s="2879"/>
      <c r="E1" s="2879"/>
      <c r="F1" s="1437"/>
      <c r="G1" s="1437"/>
      <c r="H1" s="1437"/>
      <c r="I1" s="1437"/>
      <c r="J1" s="1437"/>
      <c r="K1" s="1437"/>
      <c r="L1" s="1438"/>
      <c r="M1" s="1438"/>
      <c r="N1" s="1438"/>
      <c r="O1" s="1438"/>
      <c r="S1" s="238"/>
      <c r="T1" s="219"/>
      <c r="U1" s="238"/>
      <c r="AG1" s="1451"/>
      <c r="AI1" s="1229" t="s">
        <v>7220</v>
      </c>
    </row>
    <row r="2" spans="2:46" s="104" customFormat="1" ht="23.25">
      <c r="B2" s="1229" t="str">
        <f>SelectCompany!B4</f>
        <v>Northumbrian Water</v>
      </c>
      <c r="C2" s="1437"/>
      <c r="D2" s="1437"/>
      <c r="E2" s="1437"/>
      <c r="F2" s="1437"/>
      <c r="G2" s="1437"/>
      <c r="H2" s="1437"/>
      <c r="I2" s="1437"/>
      <c r="J2" s="1437"/>
      <c r="K2" s="1437"/>
      <c r="L2" s="1438"/>
      <c r="M2" s="1438"/>
      <c r="N2" s="1438"/>
      <c r="O2" s="1438"/>
      <c r="S2" s="238"/>
      <c r="T2" s="219"/>
      <c r="U2" s="238"/>
      <c r="AG2" s="1451"/>
      <c r="AI2" s="1436"/>
    </row>
    <row r="3" spans="2:46" s="1438" customFormat="1" ht="19.350000000000001" customHeight="1">
      <c r="B3" s="2807" t="s">
        <v>18271</v>
      </c>
      <c r="C3" s="2807"/>
      <c r="D3" s="2807"/>
      <c r="E3" s="2807"/>
      <c r="F3" s="2807"/>
      <c r="G3" s="2807"/>
      <c r="H3" s="2807"/>
      <c r="I3" s="2807"/>
      <c r="J3" s="2807"/>
      <c r="K3" s="2807"/>
      <c r="L3" s="2807"/>
      <c r="M3" s="2807"/>
      <c r="P3" s="104"/>
      <c r="Q3" s="104"/>
      <c r="R3" s="1297"/>
      <c r="S3" s="238"/>
      <c r="T3" s="1240" t="s">
        <v>7222</v>
      </c>
      <c r="U3" s="238"/>
      <c r="V3" s="1297"/>
      <c r="W3" s="1297"/>
      <c r="X3" s="1297"/>
      <c r="Y3" s="1297"/>
      <c r="Z3" s="1297"/>
      <c r="AA3" s="1297"/>
      <c r="AB3" s="1297"/>
      <c r="AC3" s="1297"/>
      <c r="AD3" s="1297"/>
      <c r="AE3" s="1297"/>
      <c r="AF3" s="1297"/>
      <c r="AG3" s="1452"/>
      <c r="AH3" s="1297"/>
      <c r="AI3" s="2807" t="s">
        <v>18272</v>
      </c>
      <c r="AJ3" s="2807"/>
      <c r="AK3" s="2807"/>
      <c r="AL3" s="2807"/>
      <c r="AM3" s="2807"/>
      <c r="AN3" s="2807"/>
      <c r="AO3" s="2807"/>
      <c r="AP3" s="2807"/>
      <c r="AQ3" s="2807"/>
      <c r="AR3" s="2807"/>
      <c r="AS3" s="2807"/>
      <c r="AT3" s="2807"/>
    </row>
    <row r="4" spans="2:46" s="1438" customFormat="1" ht="23.25">
      <c r="K4" s="1453"/>
      <c r="L4" s="1453"/>
      <c r="M4" s="1453"/>
      <c r="P4" s="104"/>
      <c r="Q4" s="104"/>
      <c r="R4" s="1297"/>
      <c r="S4" s="238"/>
      <c r="T4" s="219"/>
      <c r="U4" s="238"/>
      <c r="V4" s="2895" t="s">
        <v>7223</v>
      </c>
      <c r="W4" s="2895"/>
      <c r="X4" s="2895"/>
      <c r="Y4" s="2895"/>
      <c r="Z4" s="2895"/>
      <c r="AA4" s="2895"/>
      <c r="AB4" s="2895"/>
      <c r="AC4" s="2895"/>
      <c r="AD4" s="2895"/>
      <c r="AE4" s="2895"/>
      <c r="AF4" s="2895"/>
      <c r="AG4" s="1452"/>
      <c r="AH4" s="1297"/>
      <c r="AI4" s="1297"/>
      <c r="AJ4" s="1297"/>
      <c r="AK4" s="1297"/>
      <c r="AL4" s="1297"/>
    </row>
    <row r="5" spans="2:46" s="1438" customFormat="1" ht="19.350000000000001" customHeight="1">
      <c r="B5" s="2807" t="s">
        <v>18273</v>
      </c>
      <c r="C5" s="2807"/>
      <c r="D5" s="2807"/>
      <c r="E5" s="2807"/>
      <c r="F5" s="2807"/>
      <c r="G5" s="2807"/>
      <c r="H5" s="2807"/>
      <c r="I5" s="2807"/>
      <c r="J5" s="2807"/>
      <c r="K5" s="2807"/>
      <c r="L5" s="2807"/>
      <c r="M5" s="2807"/>
      <c r="P5" s="104"/>
      <c r="Q5" s="104"/>
      <c r="R5" s="1297"/>
      <c r="S5" s="238"/>
      <c r="T5" s="219"/>
      <c r="U5" s="238"/>
      <c r="V5" s="219" t="s">
        <v>7231</v>
      </c>
      <c r="W5" s="1297"/>
      <c r="X5" s="1297"/>
      <c r="Y5" s="1297"/>
      <c r="Z5" s="1297"/>
      <c r="AA5" s="1297"/>
      <c r="AB5" s="1297"/>
      <c r="AC5" s="1297"/>
      <c r="AD5" s="1297"/>
      <c r="AE5" s="1297"/>
      <c r="AF5" s="1297"/>
      <c r="AG5" s="1452"/>
      <c r="AH5" s="1297"/>
      <c r="AI5" s="2807" t="s">
        <v>18273</v>
      </c>
      <c r="AJ5" s="2807"/>
      <c r="AK5" s="2807"/>
      <c r="AL5" s="2807"/>
      <c r="AM5" s="2807"/>
      <c r="AN5" s="2807"/>
      <c r="AO5" s="2807"/>
      <c r="AP5" s="2807"/>
      <c r="AQ5" s="2807"/>
      <c r="AR5" s="2807"/>
      <c r="AS5" s="2807"/>
      <c r="AT5" s="2807"/>
    </row>
    <row r="6" spans="2:46" ht="16.5"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06.5" thickTop="1" thickBot="1">
      <c r="B7" s="179" t="s">
        <v>7224</v>
      </c>
      <c r="C7" s="148" t="s">
        <v>18236</v>
      </c>
      <c r="D7" s="148" t="s">
        <v>668</v>
      </c>
      <c r="E7" s="148" t="s">
        <v>18237</v>
      </c>
      <c r="F7" s="148" t="s">
        <v>18274</v>
      </c>
      <c r="G7" s="148" t="s">
        <v>18239</v>
      </c>
      <c r="H7" s="149" t="s">
        <v>18240</v>
      </c>
      <c r="I7" s="150"/>
      <c r="J7" s="151"/>
      <c r="K7" s="105"/>
      <c r="L7" s="151"/>
      <c r="M7" s="151"/>
      <c r="N7" s="151"/>
      <c r="O7" s="145" t="s">
        <v>7229</v>
      </c>
      <c r="P7" s="74"/>
      <c r="Q7" s="145" t="s">
        <v>18182</v>
      </c>
      <c r="S7" s="238"/>
      <c r="U7" s="238"/>
      <c r="AG7" s="1452"/>
      <c r="AI7" s="179" t="s">
        <v>7224</v>
      </c>
      <c r="AJ7" s="148" t="s">
        <v>18236</v>
      </c>
      <c r="AK7" s="148" t="s">
        <v>668</v>
      </c>
      <c r="AL7" s="148" t="s">
        <v>18237</v>
      </c>
      <c r="AM7" s="148" t="s">
        <v>18274</v>
      </c>
      <c r="AN7" s="148" t="s">
        <v>18239</v>
      </c>
      <c r="AO7" s="149" t="s">
        <v>18240</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1.5" thickTop="1" thickBot="1">
      <c r="B9" s="122" t="s">
        <v>18275</v>
      </c>
      <c r="C9" s="150"/>
      <c r="D9" s="150"/>
      <c r="E9" s="150"/>
      <c r="F9" s="150"/>
      <c r="G9" s="150"/>
      <c r="H9" s="150"/>
      <c r="I9" s="150"/>
      <c r="J9" s="151"/>
      <c r="K9" s="151"/>
      <c r="L9" s="151"/>
      <c r="M9" s="151"/>
      <c r="N9" s="151"/>
      <c r="O9" s="180"/>
      <c r="P9" s="74"/>
      <c r="Q9" s="180"/>
      <c r="S9" s="238"/>
      <c r="U9" s="238"/>
      <c r="AG9" s="1452"/>
      <c r="AI9" s="122" t="s">
        <v>18275</v>
      </c>
      <c r="AJ9" s="150"/>
      <c r="AK9" s="150"/>
      <c r="AL9" s="150"/>
      <c r="AM9" s="150"/>
      <c r="AN9" s="150"/>
      <c r="AO9" s="150"/>
      <c r="AP9" s="150"/>
      <c r="AQ9" s="151"/>
      <c r="AR9" s="151"/>
      <c r="AS9" s="151"/>
      <c r="AT9" s="151"/>
    </row>
    <row r="10" spans="2:46" ht="65.849999999999994" customHeight="1" thickTop="1">
      <c r="B10" s="164" t="s">
        <v>18276</v>
      </c>
      <c r="C10" s="2124"/>
      <c r="D10" s="166" t="s">
        <v>18277</v>
      </c>
      <c r="E10" s="166" t="s">
        <v>18278</v>
      </c>
      <c r="F10" s="181" t="s">
        <v>18279</v>
      </c>
      <c r="G10" s="2124"/>
      <c r="H10" s="182">
        <f>IFERROR(G10/(F10*1000)*10000,0)</f>
        <v>0</v>
      </c>
      <c r="I10" s="150"/>
      <c r="J10" s="151"/>
      <c r="K10" s="150"/>
      <c r="L10" s="151"/>
      <c r="M10" s="150"/>
      <c r="N10" s="151"/>
      <c r="O10" s="43" t="s">
        <v>18280</v>
      </c>
      <c r="P10" s="74"/>
      <c r="Q10" s="43" t="s">
        <v>18281</v>
      </c>
      <c r="S10" s="238"/>
      <c r="T10" s="1232" t="str">
        <f xml:space="preserve"> IF( SUM( V10:AF10 ) = 0, 0,$V$5 )</f>
        <v>Please complete all cells in row</v>
      </c>
      <c r="U10" s="238"/>
      <c r="Z10" s="1455">
        <f xml:space="preserve"> IF( ISNUMBER(G10 ), 0, 1 )</f>
        <v>1</v>
      </c>
      <c r="AG10" s="1452"/>
      <c r="AI10" s="164" t="s">
        <v>18276</v>
      </c>
      <c r="AJ10" s="167" t="s">
        <v>18282</v>
      </c>
      <c r="AK10" s="166" t="s">
        <v>18277</v>
      </c>
      <c r="AL10" s="166" t="s">
        <v>18278</v>
      </c>
      <c r="AM10" s="181"/>
      <c r="AN10" s="167" t="s">
        <v>18283</v>
      </c>
      <c r="AO10" s="182" t="s">
        <v>18284</v>
      </c>
      <c r="AP10" s="150"/>
      <c r="AQ10" s="151"/>
      <c r="AR10" s="150"/>
      <c r="AS10" s="151"/>
      <c r="AT10" s="150"/>
    </row>
    <row r="11" spans="2:46" ht="65.849999999999994" customHeight="1">
      <c r="B11" s="183" t="s">
        <v>18285</v>
      </c>
      <c r="C11" s="2126"/>
      <c r="D11" s="185" t="s">
        <v>18277</v>
      </c>
      <c r="E11" s="185" t="s">
        <v>18278</v>
      </c>
      <c r="F11" s="186" t="s">
        <v>18286</v>
      </c>
      <c r="G11" s="2126"/>
      <c r="H11" s="188">
        <f>IFERROR(G11/(F11*1000)*10000,0)</f>
        <v>0</v>
      </c>
      <c r="I11" s="150"/>
      <c r="J11" s="151"/>
      <c r="K11" s="150"/>
      <c r="L11" s="151"/>
      <c r="M11" s="150"/>
      <c r="N11" s="151"/>
      <c r="O11" s="52" t="s">
        <v>18287</v>
      </c>
      <c r="P11" s="74"/>
      <c r="Q11" s="52" t="s">
        <v>18288</v>
      </c>
      <c r="S11" s="238"/>
      <c r="T11" s="1232" t="str">
        <f t="shared" ref="T11:T13" si="0" xml:space="preserve"> IF( SUM( V11:AF11 ) = 0, 0,$V$5 )</f>
        <v>Please complete all cells in row</v>
      </c>
      <c r="U11" s="238"/>
      <c r="Z11" s="1455">
        <f t="shared" ref="Z11:Z13" si="1" xml:space="preserve"> IF( ISNUMBER(G11 ), 0, 1 )</f>
        <v>1</v>
      </c>
      <c r="AG11" s="1452"/>
      <c r="AI11" s="183" t="s">
        <v>18285</v>
      </c>
      <c r="AJ11" s="187" t="s">
        <v>18289</v>
      </c>
      <c r="AK11" s="185" t="s">
        <v>18277</v>
      </c>
      <c r="AL11" s="185" t="s">
        <v>18278</v>
      </c>
      <c r="AM11" s="186"/>
      <c r="AN11" s="187" t="s">
        <v>18290</v>
      </c>
      <c r="AO11" s="188" t="s">
        <v>18291</v>
      </c>
      <c r="AP11" s="150"/>
      <c r="AQ11" s="151"/>
      <c r="AR11" s="150"/>
      <c r="AS11" s="151"/>
      <c r="AT11" s="150"/>
    </row>
    <row r="12" spans="2:46" ht="65.849999999999994" customHeight="1">
      <c r="B12" s="183" t="s">
        <v>18292</v>
      </c>
      <c r="C12" s="2126"/>
      <c r="D12" s="185" t="s">
        <v>18277</v>
      </c>
      <c r="E12" s="185" t="s">
        <v>18278</v>
      </c>
      <c r="F12" s="186" t="s">
        <v>18293</v>
      </c>
      <c r="G12" s="2126"/>
      <c r="H12" s="188">
        <f>IFERROR(G12/(F12*1000)*10000,0)</f>
        <v>0</v>
      </c>
      <c r="I12" s="150"/>
      <c r="J12" s="151"/>
      <c r="K12" s="150"/>
      <c r="L12" s="151"/>
      <c r="M12" s="150"/>
      <c r="N12" s="151"/>
      <c r="O12" s="52" t="s">
        <v>18294</v>
      </c>
      <c r="P12" s="74"/>
      <c r="Q12" s="52" t="s">
        <v>18295</v>
      </c>
      <c r="S12" s="238"/>
      <c r="T12" s="1232" t="str">
        <f t="shared" si="0"/>
        <v>Please complete all cells in row</v>
      </c>
      <c r="U12" s="238"/>
      <c r="Z12" s="1455">
        <f t="shared" si="1"/>
        <v>1</v>
      </c>
      <c r="AG12" s="1452"/>
      <c r="AI12" s="183" t="s">
        <v>18292</v>
      </c>
      <c r="AJ12" s="187" t="s">
        <v>18296</v>
      </c>
      <c r="AK12" s="185" t="s">
        <v>18277</v>
      </c>
      <c r="AL12" s="185" t="s">
        <v>18278</v>
      </c>
      <c r="AM12" s="186"/>
      <c r="AN12" s="187" t="s">
        <v>18297</v>
      </c>
      <c r="AO12" s="188" t="s">
        <v>18298</v>
      </c>
      <c r="AP12" s="150"/>
      <c r="AQ12" s="151"/>
      <c r="AR12" s="150"/>
      <c r="AS12" s="151"/>
      <c r="AT12" s="150"/>
    </row>
    <row r="13" spans="2:46" ht="65.849999999999994" customHeight="1" thickBot="1">
      <c r="B13" s="169" t="s">
        <v>18299</v>
      </c>
      <c r="C13" s="2128"/>
      <c r="D13" s="171" t="s">
        <v>18300</v>
      </c>
      <c r="E13" s="171" t="s">
        <v>18301</v>
      </c>
      <c r="F13" s="189" t="s">
        <v>18302</v>
      </c>
      <c r="G13" s="2128"/>
      <c r="H13" s="190">
        <f>IFERROR(G13/F13*10000,0)</f>
        <v>0</v>
      </c>
      <c r="I13" s="150"/>
      <c r="J13" s="151"/>
      <c r="K13" s="150"/>
      <c r="L13" s="151"/>
      <c r="M13" s="150"/>
      <c r="N13" s="151"/>
      <c r="O13" s="54" t="s">
        <v>18303</v>
      </c>
      <c r="P13" s="74"/>
      <c r="Q13" s="54" t="s">
        <v>18304</v>
      </c>
      <c r="S13" s="238"/>
      <c r="T13" s="1232" t="str">
        <f t="shared" si="0"/>
        <v>Please complete all cells in row</v>
      </c>
      <c r="U13" s="238"/>
      <c r="Z13" s="1455">
        <f t="shared" si="1"/>
        <v>1</v>
      </c>
      <c r="AG13" s="1452"/>
      <c r="AI13" s="169" t="s">
        <v>18299</v>
      </c>
      <c r="AJ13" s="172" t="s">
        <v>18305</v>
      </c>
      <c r="AK13" s="171" t="s">
        <v>18300</v>
      </c>
      <c r="AL13" s="171" t="s">
        <v>18301</v>
      </c>
      <c r="AM13" s="189"/>
      <c r="AN13" s="172" t="s">
        <v>18306</v>
      </c>
      <c r="AO13" s="190" t="s">
        <v>18307</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18236</v>
      </c>
      <c r="D15" s="120" t="s">
        <v>668</v>
      </c>
      <c r="E15" s="120" t="s">
        <v>18308</v>
      </c>
      <c r="F15" s="149" t="s">
        <v>18239</v>
      </c>
      <c r="G15" s="161"/>
      <c r="H15" s="151"/>
      <c r="I15" s="151"/>
      <c r="J15" s="151"/>
      <c r="K15" s="151"/>
      <c r="L15" s="151"/>
      <c r="M15" s="151"/>
      <c r="N15" s="151"/>
      <c r="O15" s="151"/>
      <c r="P15" s="74"/>
      <c r="Q15" s="151"/>
      <c r="S15" s="238"/>
      <c r="T15" s="1297"/>
      <c r="U15" s="238"/>
      <c r="AG15" s="1452"/>
      <c r="AI15" s="191"/>
      <c r="AJ15" s="120" t="s">
        <v>18236</v>
      </c>
      <c r="AK15" s="120" t="s">
        <v>668</v>
      </c>
      <c r="AL15" s="120" t="s">
        <v>18308</v>
      </c>
      <c r="AM15" s="149" t="s">
        <v>18239</v>
      </c>
      <c r="AN15" s="161"/>
      <c r="AO15" s="151"/>
      <c r="AP15" s="151"/>
      <c r="AQ15" s="151"/>
      <c r="AR15" s="151"/>
      <c r="AS15" s="151"/>
      <c r="AT15" s="151"/>
    </row>
    <row r="16" spans="2:46" ht="31.5" thickTop="1" thickBot="1">
      <c r="B16" s="192" t="s">
        <v>18309</v>
      </c>
      <c r="C16" s="156" t="s">
        <v>18310</v>
      </c>
      <c r="D16" s="156" t="s">
        <v>18311</v>
      </c>
      <c r="E16" s="156" t="s">
        <v>18312</v>
      </c>
      <c r="F16" s="2137"/>
      <c r="G16" s="83"/>
      <c r="H16" s="178"/>
      <c r="I16" s="151"/>
      <c r="J16" s="151"/>
      <c r="K16" s="151"/>
      <c r="L16" s="151"/>
      <c r="M16" s="151"/>
      <c r="N16" s="151"/>
      <c r="O16" s="194" t="s">
        <v>18313</v>
      </c>
      <c r="P16" s="74"/>
      <c r="Q16" s="194" t="s">
        <v>18314</v>
      </c>
      <c r="S16" s="238"/>
      <c r="T16" s="1232" t="str">
        <f xml:space="preserve"> IF( SUM( V16:AF16 ) = 0, 0,$V$5 )</f>
        <v>Please complete all cells in row</v>
      </c>
      <c r="U16" s="238"/>
      <c r="Y16" s="1455">
        <f t="shared" ref="Y16" si="2" xml:space="preserve"> IF( ISNUMBER(F16 ), 0, 1 )</f>
        <v>1</v>
      </c>
      <c r="AG16" s="1452"/>
      <c r="AI16" s="192" t="s">
        <v>18309</v>
      </c>
      <c r="AJ16" s="156"/>
      <c r="AK16" s="156"/>
      <c r="AL16" s="156"/>
      <c r="AM16" s="193" t="s">
        <v>18315</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5" thickTop="1" thickBot="1">
      <c r="B18" s="195"/>
      <c r="C18" s="196"/>
      <c r="D18" s="196"/>
      <c r="E18" s="196"/>
      <c r="F18" s="197"/>
      <c r="G18" s="2923" t="s">
        <v>18316</v>
      </c>
      <c r="H18" s="2924"/>
      <c r="I18" s="2924"/>
      <c r="J18" s="2924"/>
      <c r="K18" s="2924"/>
      <c r="L18" s="2924"/>
      <c r="M18" s="2925"/>
      <c r="N18" s="74"/>
      <c r="O18" s="74"/>
      <c r="P18" s="74"/>
      <c r="Q18" s="197"/>
      <c r="S18" s="238"/>
      <c r="T18" s="1297"/>
      <c r="U18" s="238"/>
      <c r="AG18" s="1452"/>
      <c r="AI18" s="195"/>
      <c r="AJ18" s="196"/>
      <c r="AK18" s="196"/>
      <c r="AL18" s="196"/>
      <c r="AM18" s="197"/>
      <c r="AN18" s="2923" t="s">
        <v>18316</v>
      </c>
      <c r="AO18" s="2924"/>
      <c r="AP18" s="2924"/>
      <c r="AQ18" s="2924"/>
      <c r="AR18" s="2924"/>
      <c r="AS18" s="2924"/>
      <c r="AT18" s="2925"/>
    </row>
    <row r="19" spans="2:46" ht="15.75" thickTop="1">
      <c r="B19" s="2844"/>
      <c r="C19" s="2846" t="s">
        <v>18317</v>
      </c>
      <c r="D19" s="2846" t="s">
        <v>18318</v>
      </c>
      <c r="E19" s="2929" t="s">
        <v>18319</v>
      </c>
      <c r="F19" s="197"/>
      <c r="G19" s="2926" t="s">
        <v>18320</v>
      </c>
      <c r="H19" s="2928" t="s">
        <v>18321</v>
      </c>
      <c r="I19" s="2928" t="s">
        <v>18322</v>
      </c>
      <c r="J19" s="2928" t="s">
        <v>18323</v>
      </c>
      <c r="K19" s="2928" t="s">
        <v>18324</v>
      </c>
      <c r="L19" s="2928"/>
      <c r="M19" s="2930"/>
      <c r="N19" s="74"/>
      <c r="O19" s="74"/>
      <c r="P19" s="74"/>
      <c r="Q19" s="197"/>
      <c r="S19" s="238"/>
      <c r="T19" s="1297"/>
      <c r="U19" s="238"/>
      <c r="AG19" s="1452"/>
      <c r="AI19" s="2844"/>
      <c r="AJ19" s="2846" t="s">
        <v>18317</v>
      </c>
      <c r="AK19" s="2846" t="s">
        <v>18318</v>
      </c>
      <c r="AL19" s="2929" t="s">
        <v>18319</v>
      </c>
      <c r="AM19" s="197"/>
      <c r="AN19" s="2926" t="s">
        <v>18320</v>
      </c>
      <c r="AO19" s="2928" t="s">
        <v>18321</v>
      </c>
      <c r="AP19" s="2928" t="s">
        <v>18322</v>
      </c>
      <c r="AQ19" s="2928" t="s">
        <v>18323</v>
      </c>
      <c r="AR19" s="2928" t="s">
        <v>18324</v>
      </c>
      <c r="AS19" s="2928"/>
      <c r="AT19" s="2930"/>
    </row>
    <row r="20" spans="2:46" ht="30">
      <c r="B20" s="2926"/>
      <c r="C20" s="2928"/>
      <c r="D20" s="2928"/>
      <c r="E20" s="2930"/>
      <c r="F20" s="197"/>
      <c r="G20" s="2926"/>
      <c r="H20" s="2928"/>
      <c r="I20" s="2928"/>
      <c r="J20" s="2928"/>
      <c r="K20" s="213" t="s">
        <v>18325</v>
      </c>
      <c r="L20" s="213" t="s">
        <v>18326</v>
      </c>
      <c r="M20" s="214" t="s">
        <v>18327</v>
      </c>
      <c r="N20" s="74"/>
      <c r="O20" s="74"/>
      <c r="P20" s="74"/>
      <c r="Q20" s="197"/>
      <c r="S20" s="238"/>
      <c r="T20" s="1297"/>
      <c r="U20" s="238"/>
      <c r="AG20" s="1452"/>
      <c r="AI20" s="2926"/>
      <c r="AJ20" s="2928"/>
      <c r="AK20" s="2928"/>
      <c r="AL20" s="2930"/>
      <c r="AM20" s="197"/>
      <c r="AN20" s="2926"/>
      <c r="AO20" s="2928"/>
      <c r="AP20" s="2928"/>
      <c r="AQ20" s="2928"/>
      <c r="AR20" s="213" t="s">
        <v>18325</v>
      </c>
      <c r="AS20" s="213" t="s">
        <v>18326</v>
      </c>
      <c r="AT20" s="214" t="s">
        <v>18327</v>
      </c>
    </row>
    <row r="21" spans="2:46" ht="56.1" customHeight="1" thickBot="1">
      <c r="B21" s="2927"/>
      <c r="C21" s="2848"/>
      <c r="D21" s="2848"/>
      <c r="E21" s="2931"/>
      <c r="F21" s="197"/>
      <c r="G21" s="2927"/>
      <c r="H21" s="2848"/>
      <c r="I21" s="2848"/>
      <c r="J21" s="2848"/>
      <c r="K21" s="2848" t="s">
        <v>18328</v>
      </c>
      <c r="L21" s="2848"/>
      <c r="M21" s="2931"/>
      <c r="N21" s="74"/>
      <c r="O21" s="74"/>
      <c r="P21" s="74"/>
      <c r="Q21" s="197"/>
      <c r="S21" s="238"/>
      <c r="T21" s="1297"/>
      <c r="U21" s="238"/>
      <c r="AG21" s="1452"/>
      <c r="AI21" s="2927"/>
      <c r="AJ21" s="2848"/>
      <c r="AK21" s="2848"/>
      <c r="AL21" s="2931"/>
      <c r="AM21" s="197"/>
      <c r="AN21" s="2927"/>
      <c r="AO21" s="2848"/>
      <c r="AP21" s="2848"/>
      <c r="AQ21" s="2848"/>
      <c r="AR21" s="2848" t="s">
        <v>18328</v>
      </c>
      <c r="AS21" s="2848"/>
      <c r="AT21" s="2931"/>
    </row>
    <row r="22" spans="2:46" ht="17.25"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18309</v>
      </c>
      <c r="C23" s="146"/>
      <c r="D23" s="146"/>
      <c r="E23" s="146"/>
      <c r="F23" s="197"/>
      <c r="G23" s="151"/>
      <c r="H23" s="151"/>
      <c r="I23" s="74"/>
      <c r="J23" s="74"/>
      <c r="K23" s="74"/>
      <c r="L23" s="74"/>
      <c r="M23" s="74"/>
      <c r="N23" s="74"/>
      <c r="O23" s="74"/>
      <c r="P23" s="74"/>
      <c r="Q23" s="197"/>
      <c r="S23" s="238"/>
      <c r="T23" s="1297"/>
      <c r="U23" s="238"/>
      <c r="AG23" s="1452"/>
      <c r="AI23" s="33" t="s">
        <v>18309</v>
      </c>
      <c r="AJ23" s="146"/>
      <c r="AK23" s="146"/>
      <c r="AL23" s="146"/>
      <c r="AM23" s="197"/>
      <c r="AN23" s="151"/>
      <c r="AO23" s="151"/>
      <c r="AP23" s="74"/>
      <c r="AQ23" s="74"/>
      <c r="AR23" s="74"/>
      <c r="AS23" s="74"/>
      <c r="AT23" s="74"/>
    </row>
    <row r="24" spans="2:46" ht="76.5" thickTop="1" thickBot="1">
      <c r="B24" s="198" t="s">
        <v>18309</v>
      </c>
      <c r="C24" s="156" t="s">
        <v>18329</v>
      </c>
      <c r="D24" s="156" t="s">
        <v>18330</v>
      </c>
      <c r="E24" s="199" t="s">
        <v>18331</v>
      </c>
      <c r="F24" s="200"/>
      <c r="G24" s="2138"/>
      <c r="H24" s="202">
        <f>IFERROR(G24/D24,0)</f>
        <v>0</v>
      </c>
      <c r="I24" s="1020"/>
      <c r="J24" s="202">
        <f>IFERROR(I24/D24,0)</f>
        <v>0</v>
      </c>
      <c r="K24" s="2139"/>
      <c r="L24" s="2139"/>
      <c r="M24" s="2140"/>
      <c r="N24" s="74"/>
      <c r="O24" s="59" t="s">
        <v>18332</v>
      </c>
      <c r="P24" s="74"/>
      <c r="Q24" s="59" t="s">
        <v>18333</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18309</v>
      </c>
      <c r="AJ24" s="156"/>
      <c r="AK24" s="156"/>
      <c r="AL24" s="199"/>
      <c r="AM24" s="200"/>
      <c r="AN24" s="201" t="s">
        <v>18334</v>
      </c>
      <c r="AO24" s="202" t="s">
        <v>18335</v>
      </c>
      <c r="AP24" s="203" t="s">
        <v>18336</v>
      </c>
      <c r="AQ24" s="202" t="s">
        <v>18337</v>
      </c>
      <c r="AR24" s="204" t="s">
        <v>18338</v>
      </c>
      <c r="AS24" s="204" t="s">
        <v>18339</v>
      </c>
      <c r="AT24" s="205" t="s">
        <v>18340</v>
      </c>
    </row>
    <row r="25" spans="2:46" ht="15"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theme="0" tint="-0.499984740745262"/>
    <pageSetUpPr fitToPage="1"/>
  </sheetPr>
  <dimension ref="B1:Z18"/>
  <sheetViews>
    <sheetView showGridLines="0" topLeftCell="G1" zoomScaleNormal="100" zoomScaleSheetLayoutView="85" workbookViewId="0"/>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879" t="s">
        <v>18341</v>
      </c>
      <c r="C1" s="2879"/>
      <c r="D1" s="2879"/>
      <c r="E1" s="2879"/>
      <c r="F1" s="2879"/>
      <c r="G1" s="2879"/>
      <c r="M1" s="238"/>
      <c r="O1" s="238"/>
      <c r="T1" s="238"/>
      <c r="U1" s="1229" t="s">
        <v>7220</v>
      </c>
    </row>
    <row r="2" spans="2:26" ht="23.25">
      <c r="B2" s="1229" t="str">
        <f>SelectCompany!B4</f>
        <v>Northumbrian Water</v>
      </c>
      <c r="M2" s="238"/>
      <c r="O2" s="238"/>
      <c r="T2" s="238"/>
      <c r="U2" s="1457"/>
    </row>
    <row r="3" spans="2:26" ht="19.350000000000001" customHeight="1">
      <c r="B3" s="2807" t="s">
        <v>18234</v>
      </c>
      <c r="C3" s="2807"/>
      <c r="D3" s="2807"/>
      <c r="E3" s="2807"/>
      <c r="F3" s="2807"/>
      <c r="G3" s="2807"/>
      <c r="M3" s="238"/>
      <c r="N3" s="1240" t="s">
        <v>7222</v>
      </c>
      <c r="O3" s="238"/>
      <c r="T3" s="238"/>
      <c r="U3" s="2807" t="s">
        <v>18342</v>
      </c>
      <c r="V3" s="2807"/>
      <c r="W3" s="2807"/>
      <c r="X3" s="2807"/>
      <c r="Y3" s="2807"/>
      <c r="Z3" s="2807"/>
    </row>
    <row r="4" spans="2:26" ht="23.25">
      <c r="B4" s="1457"/>
      <c r="M4" s="238"/>
      <c r="O4" s="238"/>
      <c r="P4" s="2895" t="s">
        <v>7223</v>
      </c>
      <c r="Q4" s="2895"/>
      <c r="R4" s="2895"/>
      <c r="S4" s="2895"/>
      <c r="T4" s="238"/>
      <c r="U4" s="1457"/>
    </row>
    <row r="5" spans="2:26" ht="19.350000000000001" customHeight="1">
      <c r="B5" s="2807" t="s">
        <v>18343</v>
      </c>
      <c r="C5" s="2807"/>
      <c r="D5" s="2807"/>
      <c r="E5" s="2807"/>
      <c r="F5" s="2807"/>
      <c r="G5" s="2807"/>
      <c r="M5" s="238"/>
      <c r="O5" s="238"/>
      <c r="P5" s="219" t="s">
        <v>7231</v>
      </c>
      <c r="T5" s="238"/>
      <c r="U5" s="2807" t="s">
        <v>18343</v>
      </c>
      <c r="V5" s="2807"/>
      <c r="W5" s="2807"/>
      <c r="X5" s="2807"/>
      <c r="Y5" s="2807"/>
      <c r="Z5" s="2807"/>
    </row>
    <row r="6" spans="2:26" ht="19.5" thickBot="1">
      <c r="B6" s="1458"/>
      <c r="C6" s="1458"/>
      <c r="D6" s="1458"/>
      <c r="E6" s="1458"/>
      <c r="F6" s="1458"/>
      <c r="G6" s="1458"/>
      <c r="H6" s="1458"/>
      <c r="I6" s="1458"/>
      <c r="J6" s="1458"/>
      <c r="K6" s="1438"/>
      <c r="L6" s="1438"/>
      <c r="M6" s="238"/>
      <c r="O6" s="238"/>
      <c r="T6" s="238"/>
      <c r="U6" s="1458"/>
      <c r="V6" s="1458"/>
      <c r="W6" s="1458"/>
      <c r="X6" s="1458"/>
      <c r="Y6" s="1458"/>
      <c r="Z6" s="1458"/>
    </row>
    <row r="7" spans="2:26" ht="15.75" thickTop="1">
      <c r="B7" s="2932"/>
      <c r="C7" s="2934" t="s">
        <v>18236</v>
      </c>
      <c r="D7" s="2934" t="s">
        <v>668</v>
      </c>
      <c r="E7" s="2934" t="s">
        <v>18308</v>
      </c>
      <c r="F7" s="2934" t="s">
        <v>18344</v>
      </c>
      <c r="G7" s="2936"/>
      <c r="H7" s="206"/>
      <c r="I7" s="2937" t="s">
        <v>7229</v>
      </c>
      <c r="J7" s="114"/>
      <c r="K7" s="2937" t="s">
        <v>18345</v>
      </c>
      <c r="M7" s="238"/>
      <c r="O7" s="238"/>
      <c r="T7" s="238"/>
      <c r="U7" s="2932"/>
      <c r="V7" s="2934" t="s">
        <v>18236</v>
      </c>
      <c r="W7" s="2934" t="s">
        <v>668</v>
      </c>
      <c r="X7" s="2934" t="s">
        <v>18308</v>
      </c>
      <c r="Y7" s="2934" t="s">
        <v>18344</v>
      </c>
      <c r="Z7" s="2936"/>
    </row>
    <row r="8" spans="2:26" ht="45.75" thickBot="1">
      <c r="B8" s="2933"/>
      <c r="C8" s="2935"/>
      <c r="D8" s="2935"/>
      <c r="E8" s="2935"/>
      <c r="F8" s="207" t="s">
        <v>18346</v>
      </c>
      <c r="G8" s="208" t="s">
        <v>18347</v>
      </c>
      <c r="H8" s="206"/>
      <c r="I8" s="2938"/>
      <c r="J8" s="114"/>
      <c r="K8" s="2938"/>
      <c r="M8" s="238"/>
      <c r="N8" s="1232"/>
      <c r="O8" s="238"/>
      <c r="T8" s="238"/>
      <c r="U8" s="2933"/>
      <c r="V8" s="2935"/>
      <c r="W8" s="2935"/>
      <c r="X8" s="2935"/>
      <c r="Y8" s="207" t="s">
        <v>18346</v>
      </c>
      <c r="Z8" s="208" t="s">
        <v>18347</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5.75" thickTop="1">
      <c r="B10" s="164" t="s">
        <v>18348</v>
      </c>
      <c r="C10" s="2124"/>
      <c r="D10" s="2124"/>
      <c r="E10" s="2124"/>
      <c r="F10" s="2124"/>
      <c r="G10" s="2125"/>
      <c r="H10" s="206"/>
      <c r="I10" s="43" t="s">
        <v>18349</v>
      </c>
      <c r="J10" s="206"/>
      <c r="K10" s="43" t="s">
        <v>18350</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18348</v>
      </c>
      <c r="V10" s="165" t="s">
        <v>18351</v>
      </c>
      <c r="W10" s="167" t="s">
        <v>18352</v>
      </c>
      <c r="X10" s="167" t="s">
        <v>18352</v>
      </c>
      <c r="Y10" s="167" t="s">
        <v>18352</v>
      </c>
      <c r="Z10" s="168" t="s">
        <v>18352</v>
      </c>
    </row>
    <row r="11" spans="2:26" ht="15.75" customHeight="1">
      <c r="B11" s="183" t="s">
        <v>18348</v>
      </c>
      <c r="C11" s="2126"/>
      <c r="D11" s="2126"/>
      <c r="E11" s="2126"/>
      <c r="F11" s="2126"/>
      <c r="G11" s="2127"/>
      <c r="H11" s="206"/>
      <c r="I11" s="52" t="s">
        <v>18353</v>
      </c>
      <c r="J11" s="206"/>
      <c r="K11" s="52" t="s">
        <v>18350</v>
      </c>
      <c r="M11" s="238"/>
      <c r="N11" s="1232" t="str">
        <f t="shared" ref="N11:N17" si="2" xml:space="preserve"> IF( SUM( P11:S11 ) = 0, 0,$P$5 )</f>
        <v>Please complete all cells in row</v>
      </c>
      <c r="O11" s="238"/>
      <c r="P11" s="1455"/>
      <c r="Q11" s="1455"/>
      <c r="R11" s="1455">
        <f t="shared" si="0"/>
        <v>1</v>
      </c>
      <c r="S11" s="1455">
        <f t="shared" si="1"/>
        <v>1</v>
      </c>
      <c r="T11" s="238"/>
      <c r="U11" s="183" t="s">
        <v>18348</v>
      </c>
      <c r="V11" s="184" t="s">
        <v>18351</v>
      </c>
      <c r="W11" s="187" t="s">
        <v>18352</v>
      </c>
      <c r="X11" s="187" t="s">
        <v>18352</v>
      </c>
      <c r="Y11" s="187" t="s">
        <v>18352</v>
      </c>
      <c r="Z11" s="209" t="s">
        <v>18352</v>
      </c>
    </row>
    <row r="12" spans="2:26" ht="15.75" customHeight="1">
      <c r="B12" s="183" t="s">
        <v>18348</v>
      </c>
      <c r="C12" s="2126"/>
      <c r="D12" s="2126"/>
      <c r="E12" s="2126"/>
      <c r="F12" s="2126"/>
      <c r="G12" s="2127"/>
      <c r="H12" s="206"/>
      <c r="I12" s="52" t="s">
        <v>18354</v>
      </c>
      <c r="J12" s="206"/>
      <c r="K12" s="52" t="s">
        <v>18350</v>
      </c>
      <c r="M12" s="238"/>
      <c r="N12" s="1232" t="str">
        <f t="shared" si="2"/>
        <v>Please complete all cells in row</v>
      </c>
      <c r="O12" s="238"/>
      <c r="P12" s="1455"/>
      <c r="Q12" s="1455"/>
      <c r="R12" s="1455">
        <f t="shared" si="0"/>
        <v>1</v>
      </c>
      <c r="S12" s="1455">
        <f t="shared" si="1"/>
        <v>1</v>
      </c>
      <c r="T12" s="238"/>
      <c r="U12" s="183" t="s">
        <v>18348</v>
      </c>
      <c r="V12" s="184" t="s">
        <v>18351</v>
      </c>
      <c r="W12" s="187" t="s">
        <v>18352</v>
      </c>
      <c r="X12" s="187" t="s">
        <v>18352</v>
      </c>
      <c r="Y12" s="187" t="s">
        <v>18352</v>
      </c>
      <c r="Z12" s="209" t="s">
        <v>18352</v>
      </c>
    </row>
    <row r="13" spans="2:26" ht="15.75" customHeight="1">
      <c r="B13" s="183" t="s">
        <v>18348</v>
      </c>
      <c r="C13" s="2126"/>
      <c r="D13" s="2126"/>
      <c r="E13" s="2126"/>
      <c r="F13" s="2126"/>
      <c r="G13" s="2127"/>
      <c r="H13" s="206"/>
      <c r="I13" s="52" t="s">
        <v>18355</v>
      </c>
      <c r="J13" s="206"/>
      <c r="K13" s="52" t="s">
        <v>18350</v>
      </c>
      <c r="M13" s="238"/>
      <c r="N13" s="1232" t="str">
        <f t="shared" si="2"/>
        <v>Please complete all cells in row</v>
      </c>
      <c r="O13" s="238"/>
      <c r="P13" s="1455"/>
      <c r="Q13" s="1455"/>
      <c r="R13" s="1455">
        <f t="shared" si="0"/>
        <v>1</v>
      </c>
      <c r="S13" s="1455">
        <f t="shared" si="1"/>
        <v>1</v>
      </c>
      <c r="T13" s="238"/>
      <c r="U13" s="183" t="s">
        <v>18348</v>
      </c>
      <c r="V13" s="184" t="s">
        <v>18351</v>
      </c>
      <c r="W13" s="187" t="s">
        <v>18352</v>
      </c>
      <c r="X13" s="187" t="s">
        <v>18352</v>
      </c>
      <c r="Y13" s="187" t="s">
        <v>18352</v>
      </c>
      <c r="Z13" s="209" t="s">
        <v>18352</v>
      </c>
    </row>
    <row r="14" spans="2:26" ht="15.75" customHeight="1">
      <c r="B14" s="183" t="s">
        <v>18348</v>
      </c>
      <c r="C14" s="2126"/>
      <c r="D14" s="2126"/>
      <c r="E14" s="2126"/>
      <c r="F14" s="2126"/>
      <c r="G14" s="2127"/>
      <c r="H14" s="206"/>
      <c r="I14" s="52" t="s">
        <v>18356</v>
      </c>
      <c r="J14" s="206"/>
      <c r="K14" s="52" t="s">
        <v>18350</v>
      </c>
      <c r="M14" s="238"/>
      <c r="N14" s="1232" t="str">
        <f t="shared" si="2"/>
        <v>Please complete all cells in row</v>
      </c>
      <c r="O14" s="238"/>
      <c r="P14" s="1455"/>
      <c r="Q14" s="1455"/>
      <c r="R14" s="1455">
        <f t="shared" si="0"/>
        <v>1</v>
      </c>
      <c r="S14" s="1455">
        <f t="shared" si="1"/>
        <v>1</v>
      </c>
      <c r="T14" s="238"/>
      <c r="U14" s="183" t="s">
        <v>18348</v>
      </c>
      <c r="V14" s="184" t="s">
        <v>18351</v>
      </c>
      <c r="W14" s="187" t="s">
        <v>18352</v>
      </c>
      <c r="X14" s="187" t="s">
        <v>18352</v>
      </c>
      <c r="Y14" s="187" t="s">
        <v>18352</v>
      </c>
      <c r="Z14" s="209" t="s">
        <v>18352</v>
      </c>
    </row>
    <row r="15" spans="2:26" ht="15.75" customHeight="1">
      <c r="B15" s="183" t="s">
        <v>18348</v>
      </c>
      <c r="C15" s="2126"/>
      <c r="D15" s="2126"/>
      <c r="E15" s="2126"/>
      <c r="F15" s="2126"/>
      <c r="G15" s="2127"/>
      <c r="H15" s="206"/>
      <c r="I15" s="52" t="s">
        <v>18357</v>
      </c>
      <c r="J15" s="206"/>
      <c r="K15" s="52" t="s">
        <v>18350</v>
      </c>
      <c r="M15" s="238"/>
      <c r="N15" s="1232" t="str">
        <f t="shared" si="2"/>
        <v>Please complete all cells in row</v>
      </c>
      <c r="O15" s="238"/>
      <c r="P15" s="1455"/>
      <c r="Q15" s="1455"/>
      <c r="R15" s="1455">
        <f t="shared" si="0"/>
        <v>1</v>
      </c>
      <c r="S15" s="1455">
        <f t="shared" si="1"/>
        <v>1</v>
      </c>
      <c r="T15" s="238"/>
      <c r="U15" s="183" t="s">
        <v>18348</v>
      </c>
      <c r="V15" s="184" t="s">
        <v>18351</v>
      </c>
      <c r="W15" s="187" t="s">
        <v>18352</v>
      </c>
      <c r="X15" s="187" t="s">
        <v>18352</v>
      </c>
      <c r="Y15" s="187" t="s">
        <v>18352</v>
      </c>
      <c r="Z15" s="209" t="s">
        <v>18352</v>
      </c>
    </row>
    <row r="16" spans="2:26" ht="15.75" customHeight="1">
      <c r="B16" s="183" t="s">
        <v>18348</v>
      </c>
      <c r="C16" s="2126"/>
      <c r="D16" s="2126"/>
      <c r="E16" s="2126"/>
      <c r="F16" s="2126"/>
      <c r="G16" s="2127"/>
      <c r="H16" s="206"/>
      <c r="I16" s="52" t="s">
        <v>18358</v>
      </c>
      <c r="J16" s="206"/>
      <c r="K16" s="52" t="s">
        <v>18350</v>
      </c>
      <c r="M16" s="238"/>
      <c r="N16" s="1232" t="str">
        <f t="shared" si="2"/>
        <v>Please complete all cells in row</v>
      </c>
      <c r="O16" s="238"/>
      <c r="P16" s="1455"/>
      <c r="Q16" s="1455"/>
      <c r="R16" s="1455">
        <f t="shared" si="0"/>
        <v>1</v>
      </c>
      <c r="S16" s="1455">
        <f t="shared" si="1"/>
        <v>1</v>
      </c>
      <c r="T16" s="238"/>
      <c r="U16" s="183" t="s">
        <v>18348</v>
      </c>
      <c r="V16" s="184" t="s">
        <v>18351</v>
      </c>
      <c r="W16" s="187" t="s">
        <v>18352</v>
      </c>
      <c r="X16" s="187" t="s">
        <v>18352</v>
      </c>
      <c r="Y16" s="187" t="s">
        <v>18352</v>
      </c>
      <c r="Z16" s="209" t="s">
        <v>18352</v>
      </c>
    </row>
    <row r="17" spans="2:26" ht="15.75" customHeight="1" thickBot="1">
      <c r="B17" s="169" t="s">
        <v>18348</v>
      </c>
      <c r="C17" s="2128"/>
      <c r="D17" s="2128"/>
      <c r="E17" s="2128"/>
      <c r="F17" s="2128"/>
      <c r="G17" s="2129"/>
      <c r="H17" s="206"/>
      <c r="I17" s="54" t="s">
        <v>18359</v>
      </c>
      <c r="J17" s="206"/>
      <c r="K17" s="54" t="s">
        <v>18350</v>
      </c>
      <c r="M17" s="238"/>
      <c r="N17" s="1232" t="str">
        <f t="shared" si="2"/>
        <v>Please complete all cells in row</v>
      </c>
      <c r="O17" s="238"/>
      <c r="P17" s="1455"/>
      <c r="Q17" s="1455"/>
      <c r="R17" s="1455">
        <f t="shared" si="0"/>
        <v>1</v>
      </c>
      <c r="S17" s="1455">
        <f t="shared" si="1"/>
        <v>1</v>
      </c>
      <c r="T17" s="238"/>
      <c r="U17" s="169" t="s">
        <v>18348</v>
      </c>
      <c r="V17" s="170" t="s">
        <v>18351</v>
      </c>
      <c r="W17" s="172" t="s">
        <v>18352</v>
      </c>
      <c r="X17" s="172" t="s">
        <v>18352</v>
      </c>
      <c r="Y17" s="172" t="s">
        <v>18352</v>
      </c>
      <c r="Z17" s="173" t="s">
        <v>18352</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theme="0" tint="-0.499984740745262"/>
    <pageSetUpPr fitToPage="1"/>
  </sheetPr>
  <dimension ref="B1:AB186"/>
  <sheetViews>
    <sheetView showGridLines="0" topLeftCell="E94" zoomScaleNormal="100" zoomScaleSheetLayoutView="70" workbookViewId="0"/>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879" t="s">
        <v>18360</v>
      </c>
      <c r="C1" s="2879"/>
      <c r="D1" s="2879"/>
      <c r="E1" s="2879"/>
      <c r="F1" s="2879"/>
      <c r="G1" s="2879"/>
      <c r="H1" s="2879"/>
      <c r="I1" s="2879"/>
      <c r="J1" s="2879"/>
      <c r="K1" s="2879"/>
      <c r="L1" s="1463"/>
      <c r="M1" s="1463"/>
      <c r="N1" s="1463"/>
      <c r="O1" s="1463"/>
      <c r="P1" s="1463"/>
      <c r="Q1" s="1463"/>
      <c r="R1" s="1463"/>
      <c r="S1" s="1463"/>
      <c r="T1" s="1463"/>
      <c r="U1" s="1463"/>
      <c r="V1" s="1463"/>
      <c r="W1" s="1463"/>
      <c r="Z1" s="238"/>
      <c r="AB1" s="238"/>
    </row>
    <row r="2" spans="2:28" ht="32.25" customHeight="1">
      <c r="B2" s="1229" t="str">
        <f>SelectCompany!B4</f>
        <v>Northumbrian Water</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07" t="s">
        <v>18361</v>
      </c>
      <c r="C4" s="2807"/>
      <c r="D4" s="2807"/>
      <c r="E4" s="2807"/>
      <c r="F4" s="2807"/>
      <c r="G4" s="2807"/>
      <c r="H4" s="2807"/>
      <c r="I4" s="2807"/>
      <c r="J4" s="2807"/>
      <c r="K4" s="2807"/>
      <c r="L4" s="2807"/>
      <c r="M4" s="2807"/>
      <c r="N4" s="2807"/>
      <c r="O4" s="2807"/>
      <c r="P4" s="2807"/>
      <c r="Q4" s="2807"/>
      <c r="R4" s="2807"/>
      <c r="S4" s="2807"/>
      <c r="T4" s="2807"/>
      <c r="U4" s="2807"/>
      <c r="V4" s="2807"/>
      <c r="W4" s="1463"/>
      <c r="Z4" s="238"/>
      <c r="AA4" s="1240" t="s">
        <v>7222</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139</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18362</v>
      </c>
      <c r="C8" s="1468" t="s">
        <v>18363</v>
      </c>
      <c r="G8" s="1458"/>
      <c r="H8" s="1458"/>
      <c r="I8" s="1458"/>
      <c r="J8" s="1458"/>
      <c r="K8" s="1458"/>
      <c r="L8" s="1465"/>
      <c r="M8" s="1465"/>
      <c r="N8" s="1465"/>
      <c r="O8" s="1465"/>
      <c r="P8" s="1465"/>
      <c r="Q8" s="1465"/>
      <c r="R8" s="1465"/>
      <c r="S8" s="1465"/>
      <c r="T8" s="1465"/>
      <c r="U8" s="1465"/>
      <c r="V8" s="1465"/>
      <c r="W8" s="1466"/>
      <c r="X8" s="1438"/>
      <c r="Y8" s="1438"/>
      <c r="Z8" s="238"/>
      <c r="AB8" s="238"/>
    </row>
    <row r="9" spans="2:28" ht="26.25" thickBot="1">
      <c r="B9" s="1469" t="s">
        <v>18364</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39" t="s">
        <v>3639</v>
      </c>
      <c r="J11" s="2940"/>
      <c r="K11" s="1458"/>
      <c r="L11" s="2941" t="s">
        <v>7181</v>
      </c>
      <c r="M11" s="2942"/>
      <c r="N11" s="1465"/>
      <c r="O11" s="2941" t="s">
        <v>16350</v>
      </c>
      <c r="P11" s="2942"/>
      <c r="Q11" s="1465"/>
      <c r="R11" s="2941" t="s">
        <v>16351</v>
      </c>
      <c r="S11" s="2942"/>
      <c r="T11" s="1465"/>
      <c r="U11" s="2941" t="s">
        <v>18365</v>
      </c>
      <c r="V11" s="2942"/>
      <c r="W11" s="1463"/>
      <c r="Z11" s="238"/>
      <c r="AA11" s="1232">
        <f xml:space="preserve"> IF( SUM( AC11:AE11 ) = 0, 0,#REF! )</f>
        <v>0</v>
      </c>
      <c r="AB11" s="238"/>
    </row>
    <row r="12" spans="2:28" ht="52.5" customHeight="1" thickTop="1" thickBot="1">
      <c r="C12" s="1472" t="s">
        <v>2</v>
      </c>
      <c r="D12" s="1473" t="s">
        <v>18366</v>
      </c>
      <c r="E12" s="1473" t="s">
        <v>668</v>
      </c>
      <c r="F12" s="1473" t="s">
        <v>18308</v>
      </c>
      <c r="G12" s="1474" t="s">
        <v>18367</v>
      </c>
      <c r="H12" s="1458"/>
      <c r="I12" s="1475" t="s">
        <v>18368</v>
      </c>
      <c r="J12" s="1476" t="s">
        <v>18369</v>
      </c>
      <c r="K12" s="1458"/>
      <c r="L12" s="1477" t="s">
        <v>18368</v>
      </c>
      <c r="M12" s="1478" t="s">
        <v>18369</v>
      </c>
      <c r="N12" s="1465"/>
      <c r="O12" s="1477" t="s">
        <v>18368</v>
      </c>
      <c r="P12" s="1478" t="s">
        <v>18369</v>
      </c>
      <c r="Q12" s="1465"/>
      <c r="R12" s="1477" t="s">
        <v>18368</v>
      </c>
      <c r="S12" s="1478" t="s">
        <v>18369</v>
      </c>
      <c r="T12" s="1465"/>
      <c r="U12" s="1477" t="s">
        <v>18368</v>
      </c>
      <c r="V12" s="1478" t="s">
        <v>18369</v>
      </c>
      <c r="W12" s="1463"/>
      <c r="X12" s="1479" t="s">
        <v>7229</v>
      </c>
      <c r="Z12" s="238"/>
      <c r="AA12" s="1232">
        <f>IF( SUM( AC12:AC12 ) = 0, 0, $S$6 )</f>
        <v>0</v>
      </c>
      <c r="AB12" s="238"/>
    </row>
    <row r="13" spans="2:28" ht="26.25" thickTop="1">
      <c r="B13" s="1480" t="s">
        <v>18370</v>
      </c>
      <c r="C13" s="1481" t="s">
        <v>18371</v>
      </c>
      <c r="D13" s="1482">
        <f>150+5.874</f>
        <v>155.874</v>
      </c>
      <c r="E13" s="1481" t="s">
        <v>18372</v>
      </c>
      <c r="F13" s="1481">
        <v>0</v>
      </c>
      <c r="G13" s="1483">
        <v>48</v>
      </c>
      <c r="H13" s="1458"/>
      <c r="I13" s="2213">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18373</v>
      </c>
      <c r="Z13" s="238"/>
      <c r="AA13" s="1232">
        <f>IF( SUM( AC13:AC13 ) = 0, 0, $S$6 )</f>
        <v>0</v>
      </c>
      <c r="AB13" s="238"/>
    </row>
    <row r="14" spans="2:28" ht="25.5">
      <c r="B14" s="1488" t="s">
        <v>18374</v>
      </c>
      <c r="C14" s="1489" t="s">
        <v>18375</v>
      </c>
      <c r="D14" s="1490">
        <f>3188*220/1000000</f>
        <v>0.70135999999999998</v>
      </c>
      <c r="E14" s="1489" t="s">
        <v>18372</v>
      </c>
      <c r="F14" s="1489">
        <v>0</v>
      </c>
      <c r="G14" s="1491">
        <v>220</v>
      </c>
      <c r="H14" s="1458"/>
      <c r="I14" s="2214">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18376</v>
      </c>
      <c r="Z14" s="238"/>
      <c r="AA14" s="1232">
        <f>IF( SUM( AC14:AC14 ) = 0, 0, $S$6 )</f>
        <v>0</v>
      </c>
      <c r="AB14" s="238"/>
    </row>
    <row r="15" spans="2:28" ht="25.5">
      <c r="B15" s="1488" t="s">
        <v>18377</v>
      </c>
      <c r="C15" s="1489" t="s">
        <v>18378</v>
      </c>
      <c r="D15" s="1490">
        <f>2978*120/1000000</f>
        <v>0.35736000000000001</v>
      </c>
      <c r="E15" s="1489" t="s">
        <v>18372</v>
      </c>
      <c r="F15" s="1489">
        <v>0</v>
      </c>
      <c r="G15" s="1491">
        <v>120</v>
      </c>
      <c r="H15" s="1458"/>
      <c r="I15" s="2214">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18379</v>
      </c>
      <c r="Z15" s="238"/>
      <c r="AA15" s="1232">
        <f xml:space="preserve"> IF( SUM( AC15:AE15 ) = 0, 0,#REF! )</f>
        <v>0</v>
      </c>
      <c r="AB15" s="238"/>
    </row>
    <row r="16" spans="2:28" ht="25.5">
      <c r="B16" s="1488" t="s">
        <v>18380</v>
      </c>
      <c r="C16" s="1489" t="s">
        <v>18381</v>
      </c>
      <c r="D16" s="1490">
        <f>8590*92/1000000</f>
        <v>0.79027999999999998</v>
      </c>
      <c r="E16" s="1489" t="s">
        <v>18372</v>
      </c>
      <c r="F16" s="1489">
        <v>0</v>
      </c>
      <c r="G16" s="1491">
        <v>92</v>
      </c>
      <c r="H16" s="1458"/>
      <c r="I16" s="2214">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18382</v>
      </c>
      <c r="Z16" s="238"/>
      <c r="AA16" s="1232">
        <f xml:space="preserve"> IF( SUM( AC16:AE16 ) = 0, 0,#REF! )</f>
        <v>0</v>
      </c>
      <c r="AB16" s="238"/>
    </row>
    <row r="17" spans="2:28" ht="25.5">
      <c r="B17" s="1488" t="s">
        <v>18383</v>
      </c>
      <c r="C17" s="1489" t="s">
        <v>18384</v>
      </c>
      <c r="D17" s="1490">
        <f>91590*30/1000000</f>
        <v>2.7477</v>
      </c>
      <c r="E17" s="1489" t="s">
        <v>18372</v>
      </c>
      <c r="F17" s="1489">
        <v>0</v>
      </c>
      <c r="G17" s="1491">
        <v>30</v>
      </c>
      <c r="H17" s="1458"/>
      <c r="I17" s="2214">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18385</v>
      </c>
      <c r="Z17" s="238"/>
      <c r="AA17" s="1232"/>
      <c r="AB17" s="238"/>
    </row>
    <row r="18" spans="2:28" ht="25.5">
      <c r="B18" s="1488" t="s">
        <v>18386</v>
      </c>
      <c r="C18" s="1489" t="s">
        <v>18387</v>
      </c>
      <c r="D18" s="1490">
        <f>0.05*100</f>
        <v>5</v>
      </c>
      <c r="E18" s="1489" t="s">
        <v>18372</v>
      </c>
      <c r="F18" s="1489">
        <v>0</v>
      </c>
      <c r="G18" s="1491">
        <v>100</v>
      </c>
      <c r="H18" s="1458"/>
      <c r="I18" s="2214">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18388</v>
      </c>
      <c r="Z18" s="238"/>
      <c r="AA18" s="1232"/>
      <c r="AB18" s="238"/>
    </row>
    <row r="19" spans="2:28" ht="25.5">
      <c r="B19" s="1488" t="s">
        <v>18389</v>
      </c>
      <c r="C19" s="1489" t="s">
        <v>18390</v>
      </c>
      <c r="D19" s="1490">
        <f>0.02*25</f>
        <v>0.5</v>
      </c>
      <c r="E19" s="1489" t="s">
        <v>18372</v>
      </c>
      <c r="F19" s="1489">
        <v>0</v>
      </c>
      <c r="G19" s="1491">
        <v>25</v>
      </c>
      <c r="H19" s="1458"/>
      <c r="I19" s="2214">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18391</v>
      </c>
      <c r="Z19" s="238"/>
      <c r="AA19" s="1232"/>
      <c r="AB19" s="238"/>
    </row>
    <row r="20" spans="2:28" ht="18.75">
      <c r="B20" s="1488" t="s">
        <v>18392</v>
      </c>
      <c r="C20" s="1489" t="s">
        <v>18393</v>
      </c>
      <c r="D20" s="1490">
        <f>1.25*2</f>
        <v>2.5</v>
      </c>
      <c r="E20" s="1489" t="s">
        <v>18372</v>
      </c>
      <c r="F20" s="1489">
        <v>0</v>
      </c>
      <c r="G20" s="1491">
        <v>2</v>
      </c>
      <c r="H20" s="1458"/>
      <c r="I20" s="2214">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18394</v>
      </c>
      <c r="Z20" s="238"/>
      <c r="AA20" s="1232"/>
      <c r="AB20" s="238"/>
    </row>
    <row r="21" spans="2:28" ht="19.5" thickBot="1">
      <c r="B21" s="1469" t="s">
        <v>18395</v>
      </c>
      <c r="C21" s="1496" t="s">
        <v>18396</v>
      </c>
      <c r="D21" s="1497">
        <v>0.4</v>
      </c>
      <c r="E21" s="1496" t="s">
        <v>18372</v>
      </c>
      <c r="F21" s="1496">
        <v>0</v>
      </c>
      <c r="G21" s="1470">
        <v>1</v>
      </c>
      <c r="H21" s="1458"/>
      <c r="I21" s="2215">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18397</v>
      </c>
      <c r="Z21" s="238"/>
      <c r="AA21" s="1371"/>
      <c r="AB21" s="238"/>
    </row>
    <row r="22" spans="2:28" ht="19.5"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5" thickTop="1">
      <c r="B24" s="1502" t="s">
        <v>18398</v>
      </c>
      <c r="C24" s="1503" t="s">
        <v>18363</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6.25" thickBot="1">
      <c r="B25" s="1504" t="s">
        <v>18399</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20.25" thickTop="1" thickBot="1">
      <c r="B26" s="1471"/>
      <c r="D26" s="1471"/>
      <c r="E26" s="1471"/>
      <c r="F26" s="1471"/>
      <c r="G26" s="1458"/>
      <c r="H26" s="1458"/>
      <c r="I26" s="2943" t="s">
        <v>3639</v>
      </c>
      <c r="J26" s="2944"/>
      <c r="K26" s="1458"/>
      <c r="L26" s="2945" t="s">
        <v>7181</v>
      </c>
      <c r="M26" s="2946"/>
      <c r="N26" s="1465"/>
      <c r="O26" s="2945" t="s">
        <v>16350</v>
      </c>
      <c r="P26" s="2946"/>
      <c r="Q26" s="1465"/>
      <c r="R26" s="2945" t="s">
        <v>16351</v>
      </c>
      <c r="S26" s="2946"/>
      <c r="T26" s="1465"/>
      <c r="U26" s="2945" t="s">
        <v>18365</v>
      </c>
      <c r="V26" s="2946"/>
      <c r="W26" s="1463"/>
      <c r="Y26" s="1458"/>
      <c r="Z26" s="238"/>
      <c r="AA26" s="1232">
        <f t="shared" si="4"/>
        <v>0</v>
      </c>
      <c r="AB26" s="238"/>
    </row>
    <row r="27" spans="2:28" ht="39.75" thickTop="1" thickBot="1">
      <c r="C27" s="1454" t="s">
        <v>2</v>
      </c>
      <c r="D27" s="1441" t="s">
        <v>18366</v>
      </c>
      <c r="E27" s="1441" t="s">
        <v>668</v>
      </c>
      <c r="F27" s="1441" t="s">
        <v>18308</v>
      </c>
      <c r="G27" s="1442" t="s">
        <v>18367</v>
      </c>
      <c r="H27" s="1458"/>
      <c r="I27" s="1505" t="s">
        <v>18368</v>
      </c>
      <c r="J27" s="1459" t="s">
        <v>18369</v>
      </c>
      <c r="K27" s="1458"/>
      <c r="L27" s="1506" t="s">
        <v>18368</v>
      </c>
      <c r="M27" s="1507" t="s">
        <v>18369</v>
      </c>
      <c r="N27" s="1465"/>
      <c r="O27" s="1506" t="s">
        <v>18368</v>
      </c>
      <c r="P27" s="1507" t="s">
        <v>18369</v>
      </c>
      <c r="Q27" s="1465"/>
      <c r="R27" s="1506" t="s">
        <v>18368</v>
      </c>
      <c r="S27" s="1507" t="s">
        <v>18369</v>
      </c>
      <c r="T27" s="1465"/>
      <c r="U27" s="1506" t="s">
        <v>18368</v>
      </c>
      <c r="V27" s="1507" t="s">
        <v>18369</v>
      </c>
      <c r="W27" s="1463"/>
      <c r="X27" s="1508" t="s">
        <v>7229</v>
      </c>
      <c r="Z27" s="238"/>
      <c r="AA27" s="1232">
        <f t="shared" si="4"/>
        <v>0</v>
      </c>
      <c r="AB27" s="238"/>
    </row>
    <row r="28" spans="2:28" ht="39.75" thickTop="1" thickBot="1">
      <c r="B28" s="1509" t="s">
        <v>18370</v>
      </c>
      <c r="C28" s="1444" t="s">
        <v>18400</v>
      </c>
      <c r="D28" s="1444">
        <v>75.674999999999997</v>
      </c>
      <c r="E28" s="1444" t="s">
        <v>18401</v>
      </c>
      <c r="F28" s="1444">
        <v>0</v>
      </c>
      <c r="G28" s="1510">
        <v>58000</v>
      </c>
      <c r="H28" s="1458"/>
      <c r="I28" s="2216">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18402</v>
      </c>
      <c r="Z28" s="238"/>
      <c r="AA28" s="1232">
        <f t="shared" si="4"/>
        <v>0</v>
      </c>
      <c r="AB28" s="238"/>
    </row>
    <row r="29" spans="2:28" ht="15"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5" thickBot="1">
      <c r="L32" s="1463"/>
      <c r="M32" s="1463"/>
      <c r="N32" s="1463"/>
      <c r="O32" s="1463"/>
      <c r="P32" s="1463"/>
      <c r="Q32" s="1463"/>
      <c r="R32" s="1463"/>
      <c r="S32" s="1463"/>
      <c r="T32" s="1463"/>
      <c r="U32" s="1463"/>
      <c r="V32" s="1463"/>
      <c r="W32" s="1463"/>
      <c r="Z32" s="238"/>
      <c r="AA32" s="1232">
        <f t="shared" si="4"/>
        <v>0</v>
      </c>
      <c r="AB32" s="238"/>
    </row>
    <row r="33" spans="2:28" ht="19.5" thickTop="1">
      <c r="B33" s="1502" t="s">
        <v>18403</v>
      </c>
      <c r="C33" s="1503" t="s">
        <v>18363</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5" thickBot="1">
      <c r="B34" s="1504" t="s">
        <v>18404</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20.25" thickTop="1" thickBot="1">
      <c r="B35" s="1471"/>
      <c r="D35" s="1471"/>
      <c r="E35" s="1471"/>
      <c r="F35" s="1471"/>
      <c r="G35" s="1458"/>
      <c r="H35" s="1458"/>
      <c r="I35" s="2943" t="s">
        <v>3639</v>
      </c>
      <c r="J35" s="2944"/>
      <c r="K35" s="1458"/>
      <c r="L35" s="2945" t="s">
        <v>7181</v>
      </c>
      <c r="M35" s="2946"/>
      <c r="N35" s="1465"/>
      <c r="O35" s="2945" t="s">
        <v>16350</v>
      </c>
      <c r="P35" s="2946"/>
      <c r="Q35" s="1465"/>
      <c r="R35" s="2945" t="s">
        <v>16351</v>
      </c>
      <c r="S35" s="2946"/>
      <c r="T35" s="1465"/>
      <c r="U35" s="2945" t="s">
        <v>18365</v>
      </c>
      <c r="V35" s="2946"/>
      <c r="W35" s="1463"/>
      <c r="Z35" s="238"/>
      <c r="AA35" s="1232">
        <f t="shared" si="4"/>
        <v>0</v>
      </c>
      <c r="AB35" s="238"/>
    </row>
    <row r="36" spans="2:28" ht="39.75" thickTop="1" thickBot="1">
      <c r="C36" s="1454" t="s">
        <v>2</v>
      </c>
      <c r="D36" s="1441" t="s">
        <v>18366</v>
      </c>
      <c r="E36" s="1441" t="s">
        <v>668</v>
      </c>
      <c r="F36" s="1441" t="s">
        <v>18308</v>
      </c>
      <c r="G36" s="1442" t="s">
        <v>18367</v>
      </c>
      <c r="H36" s="1458"/>
      <c r="I36" s="1505" t="s">
        <v>18368</v>
      </c>
      <c r="J36" s="1459" t="s">
        <v>18369</v>
      </c>
      <c r="K36" s="1458"/>
      <c r="L36" s="1506" t="s">
        <v>18368</v>
      </c>
      <c r="M36" s="1507" t="s">
        <v>18369</v>
      </c>
      <c r="N36" s="1465"/>
      <c r="O36" s="1506" t="s">
        <v>18368</v>
      </c>
      <c r="P36" s="1507" t="s">
        <v>18369</v>
      </c>
      <c r="Q36" s="1465"/>
      <c r="R36" s="1506" t="s">
        <v>18368</v>
      </c>
      <c r="S36" s="1507" t="s">
        <v>18369</v>
      </c>
      <c r="T36" s="1465"/>
      <c r="U36" s="1506" t="s">
        <v>18368</v>
      </c>
      <c r="V36" s="1507" t="s">
        <v>18369</v>
      </c>
      <c r="W36" s="1463"/>
      <c r="X36" s="1508" t="s">
        <v>7229</v>
      </c>
      <c r="Z36" s="238"/>
      <c r="AA36" s="1232">
        <f t="shared" si="4"/>
        <v>0</v>
      </c>
      <c r="AB36" s="238"/>
    </row>
    <row r="37" spans="2:28" ht="26.25" thickTop="1">
      <c r="B37" s="1515" t="s">
        <v>18370</v>
      </c>
      <c r="C37" s="1448" t="s">
        <v>18405</v>
      </c>
      <c r="D37" s="1448">
        <v>17.184000000000001</v>
      </c>
      <c r="E37" s="1448" t="s">
        <v>18372</v>
      </c>
      <c r="F37" s="1448">
        <v>0</v>
      </c>
      <c r="G37" s="1460">
        <v>6</v>
      </c>
      <c r="H37" s="1458"/>
      <c r="I37" s="2217">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18406</v>
      </c>
      <c r="Z37" s="238"/>
      <c r="AA37" s="1232">
        <f xml:space="preserve"> IF( SUM( AC37:AC37 ) = 0, 0,#REF! )</f>
        <v>0</v>
      </c>
      <c r="AB37" s="238"/>
    </row>
    <row r="38" spans="2:28" ht="18.75" customHeight="1">
      <c r="B38" s="1522" t="s">
        <v>18374</v>
      </c>
      <c r="C38" s="1456" t="s">
        <v>18407</v>
      </c>
      <c r="D38" s="1456">
        <v>6.9930000000000003</v>
      </c>
      <c r="E38" s="1456" t="s">
        <v>18372</v>
      </c>
      <c r="F38" s="1456">
        <v>0</v>
      </c>
      <c r="G38" s="1461">
        <v>2</v>
      </c>
      <c r="H38" s="1458"/>
      <c r="I38" s="2218">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18408</v>
      </c>
      <c r="Z38" s="238"/>
      <c r="AA38" s="1232">
        <f xml:space="preserve"> IF( SUM( AC38:AC38 ) = 0, 0,#REF! )</f>
        <v>0</v>
      </c>
      <c r="AB38" s="238"/>
    </row>
    <row r="39" spans="2:28" ht="25.5">
      <c r="B39" s="1522" t="s">
        <v>18377</v>
      </c>
      <c r="C39" s="1456" t="s">
        <v>18409</v>
      </c>
      <c r="D39" s="1456">
        <v>4.4710000000000001</v>
      </c>
      <c r="E39" s="1456" t="s">
        <v>18372</v>
      </c>
      <c r="F39" s="1456">
        <v>0</v>
      </c>
      <c r="G39" s="1461">
        <v>5</v>
      </c>
      <c r="H39" s="1458"/>
      <c r="I39" s="2218">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18410</v>
      </c>
      <c r="Z39" s="238"/>
      <c r="AA39" s="1232">
        <f xml:space="preserve"> IF( SUM( AC39:AC39 ) = 0, 0,#REF! )</f>
        <v>0</v>
      </c>
      <c r="AB39" s="238"/>
    </row>
    <row r="40" spans="2:28" ht="18.75" customHeight="1">
      <c r="B40" s="1522" t="s">
        <v>18380</v>
      </c>
      <c r="C40" s="1456" t="s">
        <v>18411</v>
      </c>
      <c r="D40" s="1456">
        <v>0.86899999999999999</v>
      </c>
      <c r="E40" s="1456" t="s">
        <v>18372</v>
      </c>
      <c r="F40" s="1456">
        <v>0</v>
      </c>
      <c r="G40" s="1461">
        <v>2</v>
      </c>
      <c r="H40" s="1458"/>
      <c r="I40" s="2218">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18412</v>
      </c>
      <c r="Z40" s="238"/>
      <c r="AA40" s="1232">
        <f xml:space="preserve"> IF( SUM( AC40:AC40 ) = 0, 0,$S$6 )</f>
        <v>0</v>
      </c>
      <c r="AB40" s="238"/>
    </row>
    <row r="41" spans="2:28" ht="25.5">
      <c r="B41" s="1522" t="s">
        <v>18383</v>
      </c>
      <c r="C41" s="1456" t="s">
        <v>18413</v>
      </c>
      <c r="D41" s="1527">
        <v>1.81</v>
      </c>
      <c r="E41" s="1456" t="s">
        <v>18372</v>
      </c>
      <c r="F41" s="1456">
        <v>0</v>
      </c>
      <c r="G41" s="1461">
        <v>5</v>
      </c>
      <c r="H41" s="1458"/>
      <c r="I41" s="2218">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18414</v>
      </c>
      <c r="Z41" s="238"/>
      <c r="AA41" s="1232">
        <f xml:space="preserve"> IF( SUM( AC41:AC41 ) = 0, 0,#REF! )</f>
        <v>0</v>
      </c>
      <c r="AB41" s="238"/>
    </row>
    <row r="42" spans="2:28" ht="25.5" customHeight="1">
      <c r="B42" s="1522" t="s">
        <v>18386</v>
      </c>
      <c r="C42" s="1456" t="s">
        <v>18415</v>
      </c>
      <c r="D42" s="1456">
        <v>1.1379999999999999</v>
      </c>
      <c r="E42" s="1456" t="s">
        <v>18372</v>
      </c>
      <c r="F42" s="1456">
        <v>0</v>
      </c>
      <c r="G42" s="1461">
        <v>1</v>
      </c>
      <c r="H42" s="1458"/>
      <c r="I42" s="2218">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18416</v>
      </c>
      <c r="Z42" s="238"/>
      <c r="AA42" s="1232">
        <f xml:space="preserve"> IF( SUM( AC42:AC42 ) = 0, 0,#REF! )</f>
        <v>0</v>
      </c>
      <c r="AB42" s="238"/>
    </row>
    <row r="43" spans="2:28" ht="25.5">
      <c r="B43" s="1522" t="s">
        <v>18389</v>
      </c>
      <c r="C43" s="1456" t="s">
        <v>18417</v>
      </c>
      <c r="D43" s="1456">
        <v>31.812999999999999</v>
      </c>
      <c r="E43" s="1456" t="s">
        <v>18372</v>
      </c>
      <c r="F43" s="1456">
        <v>0</v>
      </c>
      <c r="G43" s="1461">
        <v>1</v>
      </c>
      <c r="H43" s="1458"/>
      <c r="I43" s="2218">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18418</v>
      </c>
      <c r="Z43" s="238"/>
      <c r="AA43" s="1232">
        <f xml:space="preserve"> IF( SUM( AC43:AC43 ) = 0, 0,#REF! )</f>
        <v>0</v>
      </c>
      <c r="AB43" s="238"/>
    </row>
    <row r="44" spans="2:28" ht="25.5">
      <c r="B44" s="1522" t="s">
        <v>18392</v>
      </c>
      <c r="C44" s="1456" t="s">
        <v>18419</v>
      </c>
      <c r="D44" s="1527">
        <v>5.26</v>
      </c>
      <c r="E44" s="1456" t="s">
        <v>18372</v>
      </c>
      <c r="F44" s="1456">
        <v>0</v>
      </c>
      <c r="G44" s="1461">
        <v>1</v>
      </c>
      <c r="H44" s="1458"/>
      <c r="I44" s="2218">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18420</v>
      </c>
      <c r="Z44" s="238"/>
      <c r="AA44" s="1232">
        <f xml:space="preserve"> IF( SUM( AC44:AC44 ) = 0, 0,#REF! )</f>
        <v>0</v>
      </c>
      <c r="AB44" s="238"/>
    </row>
    <row r="45" spans="2:28" ht="38.25">
      <c r="B45" s="1522" t="s">
        <v>18395</v>
      </c>
      <c r="C45" s="1456" t="s">
        <v>18421</v>
      </c>
      <c r="D45" s="1456">
        <v>4.3520000000000003</v>
      </c>
      <c r="E45" s="1456" t="s">
        <v>18372</v>
      </c>
      <c r="F45" s="1456">
        <v>0</v>
      </c>
      <c r="G45" s="1461">
        <v>1</v>
      </c>
      <c r="H45" s="1458"/>
      <c r="I45" s="2218">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18422</v>
      </c>
      <c r="Z45" s="238"/>
      <c r="AA45" s="1232">
        <f xml:space="preserve"> IF( SUM( AC45:AC45 ) = 0, 0,#REF! )</f>
        <v>0</v>
      </c>
      <c r="AB45" s="238"/>
    </row>
    <row r="46" spans="2:28" ht="38.25">
      <c r="B46" s="1522" t="s">
        <v>18423</v>
      </c>
      <c r="C46" s="1528" t="s">
        <v>18424</v>
      </c>
      <c r="D46" s="1527">
        <v>1.29</v>
      </c>
      <c r="E46" s="1456" t="s">
        <v>18372</v>
      </c>
      <c r="F46" s="1456">
        <v>0</v>
      </c>
      <c r="G46" s="1461">
        <v>1</v>
      </c>
      <c r="H46" s="1458"/>
      <c r="I46" s="2218">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18425</v>
      </c>
      <c r="Z46" s="238"/>
      <c r="AA46" s="1232">
        <f xml:space="preserve"> IF( SUM( AC46:AC46 ) = 0, 0,#REF! )</f>
        <v>0</v>
      </c>
      <c r="AB46" s="238"/>
    </row>
    <row r="47" spans="2:28" ht="38.25">
      <c r="B47" s="1522" t="s">
        <v>18426</v>
      </c>
      <c r="C47" s="1528" t="s">
        <v>18427</v>
      </c>
      <c r="D47" s="1456">
        <v>1.306</v>
      </c>
      <c r="E47" s="1456" t="s">
        <v>18372</v>
      </c>
      <c r="F47" s="1456">
        <v>0</v>
      </c>
      <c r="G47" s="1461">
        <v>1</v>
      </c>
      <c r="H47" s="1458"/>
      <c r="I47" s="2218">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18428</v>
      </c>
      <c r="Z47" s="238"/>
      <c r="AA47" s="1232">
        <f xml:space="preserve"> IF( SUM( AC47:AC47 ) = 0, 0,#REF! )</f>
        <v>0</v>
      </c>
      <c r="AB47" s="238"/>
    </row>
    <row r="48" spans="2:28" ht="51.75" thickBot="1">
      <c r="B48" s="1504" t="s">
        <v>18429</v>
      </c>
      <c r="C48" s="1449" t="s">
        <v>18430</v>
      </c>
      <c r="D48" s="1529">
        <v>2</v>
      </c>
      <c r="E48" s="1449" t="s">
        <v>18372</v>
      </c>
      <c r="F48" s="1449">
        <v>0</v>
      </c>
      <c r="G48" s="1462">
        <v>1</v>
      </c>
      <c r="H48" s="1458"/>
      <c r="I48" s="2219">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18431</v>
      </c>
      <c r="Z48" s="238"/>
      <c r="AA48" s="1232">
        <f xml:space="preserve"> IF( SUM( AC48:AC48 ) = 0, 0,#REF! )</f>
        <v>0</v>
      </c>
      <c r="AB48" s="238"/>
    </row>
    <row r="49" spans="2:28" ht="20.25"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5" thickTop="1">
      <c r="B50" s="1502" t="s">
        <v>18432</v>
      </c>
      <c r="C50" s="1503" t="s">
        <v>18363</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5" thickBot="1">
      <c r="B51" s="1504" t="s">
        <v>18433</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20.25"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43" t="s">
        <v>3639</v>
      </c>
      <c r="J53" s="2944"/>
      <c r="K53" s="1458"/>
      <c r="L53" s="2945" t="s">
        <v>7181</v>
      </c>
      <c r="M53" s="2946"/>
      <c r="N53" s="1465"/>
      <c r="O53" s="2945" t="s">
        <v>16350</v>
      </c>
      <c r="P53" s="2946"/>
      <c r="Q53" s="1465"/>
      <c r="R53" s="2945" t="s">
        <v>16351</v>
      </c>
      <c r="S53" s="2946"/>
      <c r="T53" s="1465"/>
      <c r="U53" s="2945" t="s">
        <v>18365</v>
      </c>
      <c r="V53" s="2946"/>
      <c r="W53" s="1463"/>
      <c r="Z53" s="238"/>
      <c r="AA53" s="1232">
        <f xml:space="preserve"> IF( SUM( AC53:AC53 ) = 0, 0,#REF! )</f>
        <v>0</v>
      </c>
      <c r="AB53" s="238"/>
    </row>
    <row r="54" spans="2:28" ht="39.75" thickTop="1" thickBot="1">
      <c r="C54" s="1454" t="s">
        <v>2</v>
      </c>
      <c r="D54" s="1441" t="s">
        <v>18366</v>
      </c>
      <c r="E54" s="1441" t="s">
        <v>668</v>
      </c>
      <c r="F54" s="1441" t="s">
        <v>18308</v>
      </c>
      <c r="G54" s="1442" t="s">
        <v>18367</v>
      </c>
      <c r="H54" s="1458"/>
      <c r="I54" s="1505" t="s">
        <v>18368</v>
      </c>
      <c r="J54" s="1459" t="s">
        <v>18369</v>
      </c>
      <c r="K54" s="1458"/>
      <c r="L54" s="1506" t="s">
        <v>18368</v>
      </c>
      <c r="M54" s="1507" t="s">
        <v>18369</v>
      </c>
      <c r="N54" s="1465"/>
      <c r="O54" s="1506" t="s">
        <v>18368</v>
      </c>
      <c r="P54" s="1507" t="s">
        <v>18369</v>
      </c>
      <c r="Q54" s="1465"/>
      <c r="R54" s="1506" t="s">
        <v>18368</v>
      </c>
      <c r="S54" s="1507" t="s">
        <v>18369</v>
      </c>
      <c r="T54" s="1465"/>
      <c r="U54" s="1506" t="s">
        <v>18368</v>
      </c>
      <c r="V54" s="1507" t="s">
        <v>18369</v>
      </c>
      <c r="W54" s="1463"/>
      <c r="X54" s="1508" t="s">
        <v>7229</v>
      </c>
      <c r="Z54" s="238"/>
      <c r="AA54" s="1232">
        <f xml:space="preserve"> IF( SUM( AC54:AC54 ) = 0, 0,#REF! )</f>
        <v>0</v>
      </c>
      <c r="AB54" s="238"/>
    </row>
    <row r="55" spans="2:28" ht="26.25" thickTop="1">
      <c r="B55" s="1515" t="s">
        <v>18370</v>
      </c>
      <c r="C55" s="1448" t="s">
        <v>18433</v>
      </c>
      <c r="D55" s="1448">
        <f>1598*3000/1000000</f>
        <v>4.7939999999999996</v>
      </c>
      <c r="E55" s="1448" t="s">
        <v>18372</v>
      </c>
      <c r="F55" s="1448">
        <v>0</v>
      </c>
      <c r="G55" s="1460">
        <v>3000</v>
      </c>
      <c r="H55" s="1458"/>
      <c r="I55" s="2217">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18434</v>
      </c>
      <c r="Z55" s="238"/>
      <c r="AA55" s="1232">
        <f xml:space="preserve"> IF( SUM( AC55:AC55 ) = 0, 0,#REF! )</f>
        <v>0</v>
      </c>
      <c r="AB55" s="238"/>
    </row>
    <row r="56" spans="2:28" ht="18.75">
      <c r="B56" s="1522" t="s">
        <v>18374</v>
      </c>
      <c r="C56" s="1456" t="s">
        <v>18435</v>
      </c>
      <c r="D56" s="1527">
        <f>135.046*0.64</f>
        <v>86.42944</v>
      </c>
      <c r="E56" s="1456" t="s">
        <v>3137</v>
      </c>
      <c r="F56" s="1456">
        <v>1</v>
      </c>
      <c r="G56" s="1534">
        <v>1</v>
      </c>
      <c r="H56" s="1458"/>
      <c r="I56" s="2220">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18436</v>
      </c>
      <c r="Z56" s="238"/>
      <c r="AA56" s="1232">
        <f xml:space="preserve"> IF( SUM( AC56:AC56 ) = 0, 0,#REF! )</f>
        <v>0</v>
      </c>
      <c r="AB56" s="238"/>
    </row>
    <row r="57" spans="2:28" ht="19.5" thickBot="1">
      <c r="B57" s="1504" t="s">
        <v>18377</v>
      </c>
      <c r="C57" s="1449" t="s">
        <v>18437</v>
      </c>
      <c r="D57" s="1529">
        <f>135.046*0.36</f>
        <v>48.616559999999993</v>
      </c>
      <c r="E57" s="1449" t="s">
        <v>3137</v>
      </c>
      <c r="F57" s="1449">
        <v>1</v>
      </c>
      <c r="G57" s="1535">
        <v>1</v>
      </c>
      <c r="H57" s="1458"/>
      <c r="I57" s="2221">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18438</v>
      </c>
      <c r="Z57" s="238"/>
      <c r="AA57" s="1232">
        <f xml:space="preserve"> IF( SUM( AC57:AC57 ) = 0, 0,#REF! )</f>
        <v>0</v>
      </c>
      <c r="AB57" s="238"/>
    </row>
    <row r="58" spans="2:28" ht="19.5"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5"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5" thickTop="1">
      <c r="B60" s="1502" t="s">
        <v>18439</v>
      </c>
      <c r="C60" s="1503" t="s">
        <v>18363</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5" thickBot="1">
      <c r="B61" s="1504" t="s">
        <v>18440</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43" t="s">
        <v>3639</v>
      </c>
      <c r="J62" s="2944"/>
      <c r="K62" s="1458"/>
      <c r="L62" s="2945" t="s">
        <v>7181</v>
      </c>
      <c r="M62" s="2946"/>
      <c r="N62" s="1465"/>
      <c r="O62" s="2945" t="s">
        <v>16350</v>
      </c>
      <c r="P62" s="2946"/>
      <c r="Q62" s="1465"/>
      <c r="R62" s="2945" t="s">
        <v>16351</v>
      </c>
      <c r="S62" s="2946"/>
      <c r="T62" s="1465"/>
      <c r="U62" s="2945" t="s">
        <v>18365</v>
      </c>
      <c r="V62" s="2946"/>
      <c r="W62" s="1463"/>
      <c r="Z62" s="238"/>
      <c r="AA62" s="1232">
        <f xml:space="preserve"> IF( SUM( AC62:AC62 ) = 0, 0,#REF! )</f>
        <v>0</v>
      </c>
      <c r="AB62" s="238"/>
    </row>
    <row r="63" spans="2:28" ht="39.75" thickTop="1" thickBot="1">
      <c r="C63" s="1454" t="s">
        <v>2</v>
      </c>
      <c r="D63" s="1441" t="s">
        <v>18366</v>
      </c>
      <c r="E63" s="1441" t="s">
        <v>668</v>
      </c>
      <c r="F63" s="1441" t="s">
        <v>18308</v>
      </c>
      <c r="G63" s="1442" t="s">
        <v>18367</v>
      </c>
      <c r="H63" s="1458"/>
      <c r="I63" s="1505" t="s">
        <v>18368</v>
      </c>
      <c r="J63" s="1459" t="s">
        <v>18369</v>
      </c>
      <c r="K63" s="1458"/>
      <c r="L63" s="1506" t="s">
        <v>18368</v>
      </c>
      <c r="M63" s="1507" t="s">
        <v>18369</v>
      </c>
      <c r="N63" s="1465"/>
      <c r="O63" s="1506" t="s">
        <v>18368</v>
      </c>
      <c r="P63" s="1507" t="s">
        <v>18369</v>
      </c>
      <c r="Q63" s="1465"/>
      <c r="R63" s="1506" t="s">
        <v>18368</v>
      </c>
      <c r="S63" s="1507" t="s">
        <v>18369</v>
      </c>
      <c r="T63" s="1465"/>
      <c r="U63" s="1506" t="s">
        <v>18368</v>
      </c>
      <c r="V63" s="1507" t="s">
        <v>18369</v>
      </c>
      <c r="W63" s="1463"/>
      <c r="X63" s="1508" t="s">
        <v>7229</v>
      </c>
      <c r="Z63" s="238"/>
      <c r="AA63" s="1232">
        <f xml:space="preserve"> IF( SUM( AC63:AC63 ) = 0, 0,#REF! )</f>
        <v>0</v>
      </c>
      <c r="AB63" s="238"/>
    </row>
    <row r="64" spans="2:28" ht="26.25" thickTop="1">
      <c r="B64" s="1515" t="s">
        <v>18370</v>
      </c>
      <c r="C64" s="1448" t="s">
        <v>18441</v>
      </c>
      <c r="D64" s="1538">
        <v>15.47023313</v>
      </c>
      <c r="E64" s="1448" t="s">
        <v>3222</v>
      </c>
      <c r="F64" s="1448">
        <v>3</v>
      </c>
      <c r="G64" s="1460">
        <v>66.319000000000003</v>
      </c>
      <c r="H64" s="1458"/>
      <c r="I64" s="2222">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18442</v>
      </c>
      <c r="Z64" s="238"/>
      <c r="AA64" s="1232">
        <f xml:space="preserve"> IF( SUM( AC64:AC64 ) = 0, 0,#REF! )</f>
        <v>0</v>
      </c>
      <c r="AB64" s="238"/>
    </row>
    <row r="65" spans="2:28" ht="54.75" customHeight="1" thickBot="1">
      <c r="B65" s="1504" t="s">
        <v>18374</v>
      </c>
      <c r="C65" s="1449" t="s">
        <v>18443</v>
      </c>
      <c r="D65" s="1529">
        <v>4.6497009</v>
      </c>
      <c r="E65" s="1449" t="s">
        <v>3222</v>
      </c>
      <c r="F65" s="1449">
        <v>3</v>
      </c>
      <c r="G65" s="1537">
        <v>91.01</v>
      </c>
      <c r="H65" s="1458"/>
      <c r="I65" s="2223">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18444</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5"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5" thickTop="1">
      <c r="B68" s="1502" t="s">
        <v>18445</v>
      </c>
      <c r="C68" s="1503" t="s">
        <v>18363</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5" thickBot="1">
      <c r="B69" s="1504" t="s">
        <v>18446</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20.25"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43" t="s">
        <v>3639</v>
      </c>
      <c r="J71" s="2944"/>
      <c r="K71" s="1458"/>
      <c r="L71" s="2945" t="s">
        <v>7181</v>
      </c>
      <c r="M71" s="2946"/>
      <c r="N71" s="1465"/>
      <c r="O71" s="2945" t="s">
        <v>16350</v>
      </c>
      <c r="P71" s="2946"/>
      <c r="Q71" s="1465"/>
      <c r="R71" s="2945" t="s">
        <v>16351</v>
      </c>
      <c r="S71" s="2946"/>
      <c r="T71" s="1465"/>
      <c r="U71" s="2945" t="s">
        <v>18365</v>
      </c>
      <c r="V71" s="2946"/>
      <c r="W71" s="1463"/>
      <c r="Z71" s="238"/>
      <c r="AA71" s="1232">
        <f xml:space="preserve"> IF( SUM( AC71:AC71 ) = 0, 0,#REF! )</f>
        <v>0</v>
      </c>
      <c r="AB71" s="238"/>
    </row>
    <row r="72" spans="2:28" ht="39.75" thickTop="1" thickBot="1">
      <c r="C72" s="1454" t="s">
        <v>2</v>
      </c>
      <c r="D72" s="1441" t="s">
        <v>18366</v>
      </c>
      <c r="E72" s="1441" t="s">
        <v>668</v>
      </c>
      <c r="F72" s="1441" t="s">
        <v>18308</v>
      </c>
      <c r="G72" s="1442" t="s">
        <v>18367</v>
      </c>
      <c r="H72" s="1458"/>
      <c r="I72" s="1505" t="s">
        <v>18368</v>
      </c>
      <c r="J72" s="1459" t="s">
        <v>18369</v>
      </c>
      <c r="K72" s="1458"/>
      <c r="L72" s="1506" t="s">
        <v>18368</v>
      </c>
      <c r="M72" s="1507" t="s">
        <v>18369</v>
      </c>
      <c r="N72" s="1465"/>
      <c r="O72" s="1506" t="s">
        <v>18368</v>
      </c>
      <c r="P72" s="1507" t="s">
        <v>18369</v>
      </c>
      <c r="Q72" s="1465"/>
      <c r="R72" s="1506" t="s">
        <v>18368</v>
      </c>
      <c r="S72" s="1507" t="s">
        <v>18369</v>
      </c>
      <c r="T72" s="1465"/>
      <c r="U72" s="1506" t="s">
        <v>18368</v>
      </c>
      <c r="V72" s="1507" t="s">
        <v>18369</v>
      </c>
      <c r="W72" s="1463"/>
      <c r="X72" s="1508" t="s">
        <v>7229</v>
      </c>
      <c r="Z72" s="238"/>
      <c r="AA72" s="1232">
        <f xml:space="preserve"> IF( SUM( AC72:AC72 ) = 0, 0,#REF! )</f>
        <v>0</v>
      </c>
      <c r="AB72" s="238"/>
    </row>
    <row r="73" spans="2:28" ht="90.75" thickTop="1" thickBot="1">
      <c r="B73" s="1509" t="s">
        <v>18370</v>
      </c>
      <c r="C73" s="1444" t="s">
        <v>18447</v>
      </c>
      <c r="D73" s="1540">
        <f>2870.23*G73/1000000</f>
        <v>74.625979999999998</v>
      </c>
      <c r="E73" s="1444" t="s">
        <v>18372</v>
      </c>
      <c r="F73" s="1444">
        <v>0</v>
      </c>
      <c r="G73" s="1510">
        <v>26000</v>
      </c>
      <c r="H73" s="1458"/>
      <c r="I73" s="2216">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18448</v>
      </c>
      <c r="Z73" s="238"/>
      <c r="AA73" s="1232">
        <f xml:space="preserve"> IF( SUM( AC73:AC73 ) = 0, 0,#REF! )</f>
        <v>0</v>
      </c>
      <c r="AB73" s="238"/>
    </row>
    <row r="74" spans="2:28" ht="15.7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5" thickTop="1">
      <c r="B75" s="1502" t="s">
        <v>18449</v>
      </c>
      <c r="C75" s="1503" t="s">
        <v>18363</v>
      </c>
      <c r="L75" s="1463"/>
      <c r="M75" s="1463"/>
      <c r="N75" s="1463"/>
      <c r="O75" s="1463"/>
      <c r="P75" s="1463"/>
      <c r="Q75" s="1463"/>
      <c r="R75" s="1463"/>
      <c r="S75" s="1463"/>
      <c r="T75" s="1463"/>
      <c r="U75" s="1463"/>
      <c r="V75" s="1463"/>
      <c r="W75" s="1463"/>
      <c r="Z75" s="238"/>
      <c r="AA75" s="1232">
        <f xml:space="preserve"> IF( SUM( AC75:AC75 ) = 0, 0,#REF! )</f>
        <v>0</v>
      </c>
      <c r="AB75" s="238"/>
    </row>
    <row r="76" spans="2:28" ht="26.25" thickBot="1">
      <c r="B76" s="1504" t="s">
        <v>18450</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5"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6.25" thickBot="1">
      <c r="B81" s="1464" t="s">
        <v>18451</v>
      </c>
      <c r="L81" s="1463"/>
      <c r="M81" s="1463"/>
      <c r="N81" s="1463"/>
      <c r="O81" s="1463"/>
      <c r="P81" s="1463"/>
      <c r="Q81" s="1463"/>
      <c r="R81" s="1463"/>
      <c r="S81" s="1463"/>
      <c r="T81" s="1463"/>
      <c r="U81" s="1463"/>
      <c r="V81" s="1463"/>
      <c r="W81" s="1463"/>
      <c r="Z81" s="238"/>
      <c r="AA81" s="1232">
        <f xml:space="preserve"> IF( SUM( AC81:AC81 ) = 0, 0,#REF! )</f>
        <v>0</v>
      </c>
      <c r="AB81" s="238"/>
    </row>
    <row r="82" spans="2:28" ht="15" thickTop="1">
      <c r="B82" s="1502" t="s">
        <v>18362</v>
      </c>
      <c r="C82" s="1503" t="s">
        <v>18363</v>
      </c>
      <c r="L82" s="1463"/>
      <c r="M82" s="1463"/>
      <c r="N82" s="1463"/>
      <c r="O82" s="1463"/>
      <c r="P82" s="1463"/>
      <c r="Q82" s="1463"/>
      <c r="R82" s="1463"/>
      <c r="S82" s="1463"/>
      <c r="T82" s="1463"/>
      <c r="U82" s="1463"/>
      <c r="V82" s="1463"/>
      <c r="W82" s="1463"/>
      <c r="Z82" s="238"/>
      <c r="AA82" s="1232">
        <f xml:space="preserve"> IF( SUM( AC82:AC82 ) = 0, 0,#REF! )</f>
        <v>0</v>
      </c>
      <c r="AB82" s="238"/>
    </row>
    <row r="83" spans="2:28" ht="26.25" thickBot="1">
      <c r="B83" s="1504" t="s">
        <v>18450</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20.25" thickTop="1" thickBot="1">
      <c r="B84" s="1471"/>
      <c r="D84" s="1471"/>
      <c r="E84" s="1471"/>
      <c r="F84" s="1471"/>
      <c r="G84" s="1458"/>
      <c r="H84" s="1458"/>
      <c r="I84" s="2943" t="s">
        <v>3639</v>
      </c>
      <c r="J84" s="2944"/>
      <c r="K84" s="1458"/>
      <c r="L84" s="2945" t="s">
        <v>7181</v>
      </c>
      <c r="M84" s="2946"/>
      <c r="N84" s="1465"/>
      <c r="O84" s="2945" t="s">
        <v>16350</v>
      </c>
      <c r="P84" s="2946"/>
      <c r="Q84" s="1465"/>
      <c r="R84" s="2945" t="s">
        <v>16351</v>
      </c>
      <c r="S84" s="2946"/>
      <c r="T84" s="1465"/>
      <c r="U84" s="2945" t="s">
        <v>18365</v>
      </c>
      <c r="V84" s="2946"/>
      <c r="W84" s="1463"/>
      <c r="Z84" s="238"/>
      <c r="AA84" s="1232">
        <f xml:space="preserve"> IF( SUM( AC84:AC84 ) = 0, 0,#REF! )</f>
        <v>0</v>
      </c>
      <c r="AB84" s="238"/>
    </row>
    <row r="85" spans="2:28" ht="39.75" thickTop="1" thickBot="1">
      <c r="C85" s="1454" t="s">
        <v>2</v>
      </c>
      <c r="D85" s="1441" t="s">
        <v>18366</v>
      </c>
      <c r="E85" s="1441" t="s">
        <v>668</v>
      </c>
      <c r="F85" s="1441" t="s">
        <v>18308</v>
      </c>
      <c r="G85" s="1442" t="s">
        <v>18367</v>
      </c>
      <c r="H85" s="1458"/>
      <c r="I85" s="1505" t="s">
        <v>18368</v>
      </c>
      <c r="J85" s="1459" t="s">
        <v>18369</v>
      </c>
      <c r="K85" s="1458"/>
      <c r="L85" s="1506" t="s">
        <v>18368</v>
      </c>
      <c r="M85" s="1507" t="s">
        <v>18369</v>
      </c>
      <c r="N85" s="1465"/>
      <c r="O85" s="1506" t="s">
        <v>18368</v>
      </c>
      <c r="P85" s="1507" t="s">
        <v>18369</v>
      </c>
      <c r="Q85" s="1465"/>
      <c r="R85" s="1506" t="s">
        <v>18368</v>
      </c>
      <c r="S85" s="1507" t="s">
        <v>18369</v>
      </c>
      <c r="T85" s="1465"/>
      <c r="U85" s="1506" t="s">
        <v>18368</v>
      </c>
      <c r="V85" s="1507" t="s">
        <v>18369</v>
      </c>
      <c r="W85" s="1463"/>
      <c r="X85" s="1508" t="s">
        <v>7229</v>
      </c>
      <c r="Z85" s="238"/>
      <c r="AA85" s="1232">
        <f xml:space="preserve"> IF( SUM( AC85:AC85 ) = 0, 0,#REF! )</f>
        <v>0</v>
      </c>
      <c r="AB85" s="238"/>
    </row>
    <row r="86" spans="2:28" ht="27" thickTop="1" thickBot="1">
      <c r="B86" s="1509" t="s">
        <v>18370</v>
      </c>
      <c r="C86" s="1444" t="s">
        <v>18450</v>
      </c>
      <c r="D86" s="1444">
        <v>9.6839999999999993</v>
      </c>
      <c r="E86" s="1444" t="s">
        <v>3137</v>
      </c>
      <c r="F86" s="1444">
        <v>0</v>
      </c>
      <c r="G86" s="1542">
        <v>1</v>
      </c>
      <c r="H86" s="1458"/>
      <c r="I86" s="2224">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18452</v>
      </c>
      <c r="Z86" s="238"/>
      <c r="AA86" s="1232">
        <f xml:space="preserve"> IF( SUM( AC86:AC86 ) = 0, 0,#REF! )</f>
        <v>0</v>
      </c>
      <c r="AB86" s="238"/>
    </row>
    <row r="87" spans="2:28" ht="15"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6.25"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5" thickTop="1">
      <c r="B90" s="1502" t="s">
        <v>18362</v>
      </c>
      <c r="C90" s="1503" t="s">
        <v>18363</v>
      </c>
      <c r="L90" s="1463"/>
      <c r="M90" s="1463"/>
      <c r="N90" s="1463"/>
      <c r="O90" s="1463"/>
      <c r="P90" s="1463"/>
      <c r="Q90" s="1463"/>
      <c r="R90" s="1463"/>
      <c r="S90" s="1463"/>
      <c r="T90" s="1463"/>
      <c r="U90" s="1463"/>
      <c r="V90" s="1463"/>
      <c r="W90" s="1463"/>
      <c r="Z90" s="238"/>
      <c r="AA90" s="1232">
        <f xml:space="preserve"> IF( SUM( AC90:AC90 ) = 0, 0,#REF! )</f>
        <v>0</v>
      </c>
      <c r="AB90" s="238"/>
    </row>
    <row r="91" spans="2:28" ht="19.5" thickBot="1">
      <c r="B91" s="1504" t="s">
        <v>18453</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20.25" thickTop="1" thickBot="1">
      <c r="B92" s="1471"/>
      <c r="D92" s="1471"/>
      <c r="E92" s="1471"/>
      <c r="F92" s="1471"/>
      <c r="G92" s="1458"/>
      <c r="H92" s="1458"/>
      <c r="I92" s="2943" t="s">
        <v>3639</v>
      </c>
      <c r="J92" s="2944"/>
      <c r="K92" s="1458"/>
      <c r="L92" s="2945" t="s">
        <v>7181</v>
      </c>
      <c r="M92" s="2946"/>
      <c r="N92" s="1465"/>
      <c r="O92" s="2945" t="s">
        <v>16350</v>
      </c>
      <c r="P92" s="2946"/>
      <c r="Q92" s="1465"/>
      <c r="R92" s="2945" t="s">
        <v>16351</v>
      </c>
      <c r="S92" s="2946"/>
      <c r="T92" s="1465"/>
      <c r="U92" s="2945" t="s">
        <v>18365</v>
      </c>
      <c r="V92" s="2946"/>
      <c r="W92" s="1463"/>
      <c r="Z92" s="238"/>
      <c r="AA92" s="1232">
        <f xml:space="preserve"> IF( SUM( AC92:AC92 ) = 0, 0,#REF! )</f>
        <v>0</v>
      </c>
      <c r="AB92" s="238"/>
    </row>
    <row r="93" spans="2:28" ht="39.75" thickTop="1" thickBot="1">
      <c r="C93" s="1454" t="s">
        <v>2</v>
      </c>
      <c r="D93" s="1441" t="s">
        <v>18366</v>
      </c>
      <c r="E93" s="1441" t="s">
        <v>668</v>
      </c>
      <c r="F93" s="1441" t="s">
        <v>18308</v>
      </c>
      <c r="G93" s="1442" t="s">
        <v>18367</v>
      </c>
      <c r="H93" s="1458"/>
      <c r="I93" s="1505" t="s">
        <v>18368</v>
      </c>
      <c r="J93" s="1459" t="s">
        <v>18369</v>
      </c>
      <c r="K93" s="1458"/>
      <c r="L93" s="1506" t="s">
        <v>18368</v>
      </c>
      <c r="M93" s="1507" t="s">
        <v>18369</v>
      </c>
      <c r="N93" s="1465"/>
      <c r="O93" s="1506" t="s">
        <v>18368</v>
      </c>
      <c r="P93" s="1507" t="s">
        <v>18369</v>
      </c>
      <c r="Q93" s="1465"/>
      <c r="R93" s="1506" t="s">
        <v>18368</v>
      </c>
      <c r="S93" s="1507" t="s">
        <v>18369</v>
      </c>
      <c r="T93" s="1465"/>
      <c r="U93" s="1506" t="s">
        <v>18368</v>
      </c>
      <c r="V93" s="1507" t="s">
        <v>18369</v>
      </c>
      <c r="W93" s="1463"/>
      <c r="X93" s="1508" t="s">
        <v>7229</v>
      </c>
      <c r="Z93" s="238"/>
      <c r="AA93" s="1232">
        <f xml:space="preserve"> IF( SUM( AC93:AC93 ) = 0, 0,#REF! )</f>
        <v>0</v>
      </c>
      <c r="AB93" s="238"/>
    </row>
    <row r="94" spans="2:28" ht="39" thickTop="1">
      <c r="B94" s="1515" t="s">
        <v>18370</v>
      </c>
      <c r="C94" s="1544" t="s">
        <v>18454</v>
      </c>
      <c r="D94" s="1538">
        <f>6300*1000/1000000</f>
        <v>6.3</v>
      </c>
      <c r="E94" s="1448" t="s">
        <v>18455</v>
      </c>
      <c r="F94" s="1448">
        <v>0</v>
      </c>
      <c r="G94" s="1545">
        <v>1000</v>
      </c>
      <c r="H94" s="1458"/>
      <c r="I94" s="2217">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18456</v>
      </c>
      <c r="Z94" s="238"/>
      <c r="AA94" s="1232">
        <f xml:space="preserve"> IF( SUM( AC94:AC94 ) = 0, 0,#REF! )</f>
        <v>0</v>
      </c>
      <c r="AB94" s="238"/>
    </row>
    <row r="95" spans="2:28" ht="39" thickBot="1">
      <c r="B95" s="1504" t="s">
        <v>18374</v>
      </c>
      <c r="C95" s="1449" t="s">
        <v>18457</v>
      </c>
      <c r="D95" s="1529">
        <f>300*9000/1000000</f>
        <v>2.7</v>
      </c>
      <c r="E95" s="1449" t="s">
        <v>18455</v>
      </c>
      <c r="F95" s="1449">
        <v>0</v>
      </c>
      <c r="G95" s="1546">
        <v>9000</v>
      </c>
      <c r="H95" s="1458"/>
      <c r="I95" s="2219">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18458</v>
      </c>
      <c r="Z95" s="238"/>
      <c r="AA95" s="1232">
        <f xml:space="preserve"> IF( SUM( AC95:AC95 ) = 0, 0,#REF! )</f>
        <v>0</v>
      </c>
      <c r="AB95" s="238"/>
    </row>
    <row r="96" spans="2:28" ht="15.7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5" thickTop="1">
      <c r="B97" s="1502" t="s">
        <v>18398</v>
      </c>
      <c r="C97" s="1503" t="s">
        <v>18363</v>
      </c>
      <c r="L97" s="1463"/>
      <c r="M97" s="1463"/>
      <c r="N97" s="1463"/>
      <c r="O97" s="1463"/>
      <c r="P97" s="1463"/>
      <c r="Q97" s="1463"/>
      <c r="R97" s="1463"/>
      <c r="S97" s="1463"/>
      <c r="T97" s="1463"/>
      <c r="U97" s="1463"/>
      <c r="V97" s="1463"/>
      <c r="W97" s="1463"/>
      <c r="Z97" s="238"/>
      <c r="AA97" s="1232">
        <f xml:space="preserve"> IF( SUM( AC97:AC97 ) = 0, 0,#REF! )</f>
        <v>0</v>
      </c>
      <c r="AB97" s="238"/>
    </row>
    <row r="98" spans="2:28" ht="26.25" thickBot="1">
      <c r="B98" s="1504" t="s">
        <v>18459</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20.25" thickTop="1" thickBot="1">
      <c r="B99" s="1471"/>
      <c r="D99" s="1471"/>
      <c r="E99" s="1471"/>
      <c r="F99" s="1471"/>
      <c r="G99" s="1458"/>
      <c r="H99" s="1458"/>
      <c r="I99" s="2943" t="s">
        <v>3639</v>
      </c>
      <c r="J99" s="2944"/>
      <c r="K99" s="1458"/>
      <c r="L99" s="2945" t="s">
        <v>7181</v>
      </c>
      <c r="M99" s="2946"/>
      <c r="N99" s="1465"/>
      <c r="O99" s="2945" t="s">
        <v>16350</v>
      </c>
      <c r="P99" s="2946"/>
      <c r="Q99" s="1465"/>
      <c r="R99" s="2945" t="s">
        <v>16351</v>
      </c>
      <c r="S99" s="2946"/>
      <c r="T99" s="1465"/>
      <c r="U99" s="2945" t="s">
        <v>18365</v>
      </c>
      <c r="V99" s="2946"/>
      <c r="W99" s="1463"/>
      <c r="Z99" s="238"/>
      <c r="AA99" s="1232">
        <f xml:space="preserve"> IF( SUM( AC99:AC99 ) = 0, 0,#REF! )</f>
        <v>0</v>
      </c>
      <c r="AB99" s="238"/>
    </row>
    <row r="100" spans="2:28" ht="39.75" thickTop="1" thickBot="1">
      <c r="C100" s="1454" t="s">
        <v>2</v>
      </c>
      <c r="D100" s="1441" t="s">
        <v>18366</v>
      </c>
      <c r="E100" s="1441" t="s">
        <v>668</v>
      </c>
      <c r="F100" s="1441" t="s">
        <v>18308</v>
      </c>
      <c r="G100" s="1442" t="s">
        <v>18367</v>
      </c>
      <c r="H100" s="1458"/>
      <c r="I100" s="1505" t="s">
        <v>18368</v>
      </c>
      <c r="J100" s="1459" t="s">
        <v>18369</v>
      </c>
      <c r="K100" s="1458"/>
      <c r="L100" s="1506" t="s">
        <v>18368</v>
      </c>
      <c r="M100" s="1507" t="s">
        <v>18369</v>
      </c>
      <c r="N100" s="1465"/>
      <c r="O100" s="1506" t="s">
        <v>18368</v>
      </c>
      <c r="P100" s="1507" t="s">
        <v>18369</v>
      </c>
      <c r="Q100" s="1465"/>
      <c r="R100" s="1506" t="s">
        <v>18368</v>
      </c>
      <c r="S100" s="1507" t="s">
        <v>18369</v>
      </c>
      <c r="T100" s="1465"/>
      <c r="U100" s="1506" t="s">
        <v>18368</v>
      </c>
      <c r="V100" s="1507" t="s">
        <v>18369</v>
      </c>
      <c r="W100" s="1463"/>
      <c r="X100" s="1508" t="s">
        <v>7229</v>
      </c>
      <c r="Z100" s="238"/>
      <c r="AA100" s="1232">
        <f xml:space="preserve"> IF( SUM( AC100:AC100 ) = 0, 0,#REF! )</f>
        <v>0</v>
      </c>
      <c r="AB100" s="238"/>
    </row>
    <row r="101" spans="2:28" ht="103.5" thickTop="1" thickBot="1">
      <c r="B101" s="1509" t="s">
        <v>18370</v>
      </c>
      <c r="C101" s="1444" t="s">
        <v>18460</v>
      </c>
      <c r="D101" s="1444">
        <v>24.876999999999999</v>
      </c>
      <c r="E101" s="1444" t="s">
        <v>3137</v>
      </c>
      <c r="F101" s="1444">
        <v>0</v>
      </c>
      <c r="G101" s="1542">
        <v>1</v>
      </c>
      <c r="H101" s="1458"/>
      <c r="I101" s="2224">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18461</v>
      </c>
      <c r="Z101" s="238"/>
      <c r="AA101" s="1232">
        <f xml:space="preserve"> IF( SUM( AC101:AC101 ) = 0, 0,#REF! )</f>
        <v>0</v>
      </c>
      <c r="AB101" s="238"/>
    </row>
    <row r="102" spans="2:28" ht="15.7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5" thickTop="1">
      <c r="B103" s="1502" t="s">
        <v>18403</v>
      </c>
      <c r="C103" s="1503" t="s">
        <v>18363</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5" thickBot="1">
      <c r="B104" s="1504" t="s">
        <v>18462</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20.25" thickTop="1" thickBot="1">
      <c r="B105" s="1471"/>
      <c r="D105" s="1471"/>
      <c r="E105" s="1471"/>
      <c r="F105" s="1471"/>
      <c r="G105" s="1458"/>
      <c r="H105" s="1458"/>
      <c r="I105" s="2943" t="s">
        <v>3639</v>
      </c>
      <c r="J105" s="2944"/>
      <c r="K105" s="1458"/>
      <c r="L105" s="2945" t="s">
        <v>7181</v>
      </c>
      <c r="M105" s="2946"/>
      <c r="N105" s="1465"/>
      <c r="O105" s="2945" t="s">
        <v>16350</v>
      </c>
      <c r="P105" s="2946"/>
      <c r="Q105" s="1465"/>
      <c r="R105" s="2945" t="s">
        <v>16351</v>
      </c>
      <c r="S105" s="2946"/>
      <c r="T105" s="1465"/>
      <c r="U105" s="2945" t="s">
        <v>18365</v>
      </c>
      <c r="V105" s="2946"/>
      <c r="W105" s="1463"/>
      <c r="Z105" s="238"/>
      <c r="AA105" s="1232">
        <f xml:space="preserve"> IF( SUM( AC105:AC105 ) = 0, 0,#REF! )</f>
        <v>0</v>
      </c>
      <c r="AB105" s="238"/>
    </row>
    <row r="106" spans="2:28" ht="39.75" thickTop="1" thickBot="1">
      <c r="C106" s="1454" t="s">
        <v>2</v>
      </c>
      <c r="D106" s="1441" t="s">
        <v>18366</v>
      </c>
      <c r="E106" s="1441" t="s">
        <v>668</v>
      </c>
      <c r="F106" s="1441" t="s">
        <v>18308</v>
      </c>
      <c r="G106" s="1442" t="s">
        <v>18367</v>
      </c>
      <c r="H106" s="1458"/>
      <c r="I106" s="1505" t="s">
        <v>18368</v>
      </c>
      <c r="J106" s="1459" t="s">
        <v>18369</v>
      </c>
      <c r="K106" s="1458"/>
      <c r="L106" s="1506" t="s">
        <v>18368</v>
      </c>
      <c r="M106" s="1507" t="s">
        <v>18369</v>
      </c>
      <c r="N106" s="1465"/>
      <c r="O106" s="1506" t="s">
        <v>18368</v>
      </c>
      <c r="P106" s="1507" t="s">
        <v>18369</v>
      </c>
      <c r="Q106" s="1465"/>
      <c r="R106" s="1506" t="s">
        <v>18368</v>
      </c>
      <c r="S106" s="1507" t="s">
        <v>18369</v>
      </c>
      <c r="T106" s="1465"/>
      <c r="U106" s="1506" t="s">
        <v>18368</v>
      </c>
      <c r="V106" s="1507" t="s">
        <v>18369</v>
      </c>
      <c r="W106" s="1463"/>
      <c r="X106" s="1508" t="s">
        <v>7229</v>
      </c>
      <c r="Z106" s="238"/>
      <c r="AA106" s="1232">
        <f xml:space="preserve"> IF( SUM( AC106:AC106 ) = 0, 0,#REF! )</f>
        <v>0</v>
      </c>
      <c r="AB106" s="238"/>
    </row>
    <row r="107" spans="2:28" ht="26.25" thickTop="1">
      <c r="B107" s="1515" t="s">
        <v>18370</v>
      </c>
      <c r="C107" s="1448" t="s">
        <v>18463</v>
      </c>
      <c r="D107" s="1538">
        <f>23.5*44800/1000000</f>
        <v>1.0528</v>
      </c>
      <c r="E107" s="1448" t="s">
        <v>3222</v>
      </c>
      <c r="F107" s="1448">
        <v>3</v>
      </c>
      <c r="G107" s="1547">
        <v>44.8</v>
      </c>
      <c r="H107" s="1458"/>
      <c r="I107" s="2222">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18464</v>
      </c>
      <c r="Z107" s="238"/>
      <c r="AA107" s="1232">
        <f xml:space="preserve"> IF( SUM( AC107:AC107 ) = 0, 0,#REF! )</f>
        <v>0</v>
      </c>
      <c r="AB107" s="238"/>
    </row>
    <row r="108" spans="2:28" ht="38.25">
      <c r="B108" s="1522" t="s">
        <v>18374</v>
      </c>
      <c r="C108" s="1456" t="s">
        <v>18465</v>
      </c>
      <c r="D108" s="1527">
        <f>66.36*76072/1000000</f>
        <v>5.0481379200000003</v>
      </c>
      <c r="E108" s="1456" t="s">
        <v>3222</v>
      </c>
      <c r="F108" s="1456">
        <v>3</v>
      </c>
      <c r="G108" s="1548">
        <v>76.072000000000003</v>
      </c>
      <c r="H108" s="1458"/>
      <c r="I108" s="2225">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18466</v>
      </c>
      <c r="Z108" s="238"/>
      <c r="AA108" s="1232">
        <f xml:space="preserve"> IF( SUM( AC108:AC108 ) = 0, 0,#REF! )</f>
        <v>0</v>
      </c>
      <c r="AB108" s="238"/>
    </row>
    <row r="109" spans="2:28" ht="63.75">
      <c r="B109" s="1522" t="s">
        <v>18377</v>
      </c>
      <c r="C109" s="1456" t="s">
        <v>18467</v>
      </c>
      <c r="D109" s="1527">
        <v>7.2729999999999997</v>
      </c>
      <c r="E109" s="1456" t="s">
        <v>3222</v>
      </c>
      <c r="F109" s="1456">
        <v>3</v>
      </c>
      <c r="G109" s="1549">
        <v>5.0999999999999996</v>
      </c>
      <c r="H109" s="1458"/>
      <c r="I109" s="2225">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18468</v>
      </c>
      <c r="Z109" s="238"/>
      <c r="AA109" s="1232">
        <f xml:space="preserve"> IF( SUM( AC109:AC109 ) = 0, 0,#REF! )</f>
        <v>0</v>
      </c>
      <c r="AB109" s="238"/>
    </row>
    <row r="110" spans="2:28" ht="63.75">
      <c r="B110" s="1522" t="s">
        <v>18380</v>
      </c>
      <c r="C110" s="1456" t="s">
        <v>18469</v>
      </c>
      <c r="D110" s="1527">
        <v>2.6120000000000001</v>
      </c>
      <c r="E110" s="1456" t="s">
        <v>3222</v>
      </c>
      <c r="F110" s="1456">
        <v>3</v>
      </c>
      <c r="G110" s="1461">
        <v>1.913</v>
      </c>
      <c r="H110" s="1458"/>
      <c r="I110" s="2225">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18470</v>
      </c>
      <c r="Z110" s="238"/>
      <c r="AA110" s="1232">
        <f xml:space="preserve"> IF( SUM( AC110:AC110 ) = 0, 0,#REF! )</f>
        <v>0</v>
      </c>
      <c r="AB110" s="238"/>
    </row>
    <row r="111" spans="2:28" ht="38.25">
      <c r="B111" s="1522" t="s">
        <v>18383</v>
      </c>
      <c r="C111" s="1456" t="s">
        <v>18471</v>
      </c>
      <c r="D111" s="1527">
        <v>0.57099999999999995</v>
      </c>
      <c r="E111" s="1456" t="s">
        <v>3222</v>
      </c>
      <c r="F111" s="1456">
        <v>3</v>
      </c>
      <c r="G111" s="1461">
        <v>0.752</v>
      </c>
      <c r="H111" s="1458"/>
      <c r="I111" s="2225">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18472</v>
      </c>
      <c r="Z111" s="238"/>
      <c r="AA111" s="1232">
        <f xml:space="preserve"> IF( SUM( AC111:AC111 ) = 0, 0,#REF! )</f>
        <v>0</v>
      </c>
      <c r="AB111" s="238"/>
    </row>
    <row r="112" spans="2:28" ht="39" thickBot="1">
      <c r="B112" s="1504" t="s">
        <v>18386</v>
      </c>
      <c r="C112" s="1449" t="s">
        <v>18473</v>
      </c>
      <c r="D112" s="1529">
        <v>0.84399999999999997</v>
      </c>
      <c r="E112" s="1449" t="s">
        <v>3222</v>
      </c>
      <c r="F112" s="1449">
        <v>3</v>
      </c>
      <c r="G112" s="1462">
        <v>1.3240000000000001</v>
      </c>
      <c r="H112" s="1458"/>
      <c r="I112" s="2223">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18474</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5"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5" thickTop="1">
      <c r="B115" s="1502" t="s">
        <v>18432</v>
      </c>
      <c r="C115" s="1503" t="s">
        <v>18363</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5" thickBot="1">
      <c r="B116" s="1504" t="s">
        <v>18475</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20.25" thickTop="1" thickBot="1">
      <c r="B117" s="1471"/>
      <c r="D117" s="1471"/>
      <c r="E117" s="1471"/>
      <c r="F117" s="1471"/>
      <c r="G117" s="1458"/>
      <c r="H117" s="1458"/>
      <c r="I117" s="2943" t="s">
        <v>3639</v>
      </c>
      <c r="J117" s="2944"/>
      <c r="K117" s="1458"/>
      <c r="L117" s="2945" t="s">
        <v>7181</v>
      </c>
      <c r="M117" s="2946"/>
      <c r="N117" s="1465"/>
      <c r="O117" s="2945" t="s">
        <v>16350</v>
      </c>
      <c r="P117" s="2946"/>
      <c r="Q117" s="1465"/>
      <c r="R117" s="2945" t="s">
        <v>16351</v>
      </c>
      <c r="S117" s="2946"/>
      <c r="T117" s="1465"/>
      <c r="U117" s="2945" t="s">
        <v>18365</v>
      </c>
      <c r="V117" s="2946"/>
      <c r="W117" s="1463"/>
      <c r="Z117" s="238"/>
      <c r="AA117" s="1232">
        <f xml:space="preserve"> IF( SUM( AC117:AC117 ) = 0, 0,#REF! )</f>
        <v>0</v>
      </c>
      <c r="AB117" s="238"/>
    </row>
    <row r="118" spans="2:28" ht="39.75" thickTop="1" thickBot="1">
      <c r="C118" s="1454" t="s">
        <v>2</v>
      </c>
      <c r="D118" s="1441" t="s">
        <v>18366</v>
      </c>
      <c r="E118" s="1441" t="s">
        <v>668</v>
      </c>
      <c r="F118" s="1441" t="s">
        <v>18308</v>
      </c>
      <c r="G118" s="1442" t="s">
        <v>18367</v>
      </c>
      <c r="H118" s="1458"/>
      <c r="I118" s="1505" t="s">
        <v>18368</v>
      </c>
      <c r="J118" s="1459" t="s">
        <v>18369</v>
      </c>
      <c r="K118" s="1458"/>
      <c r="L118" s="1506" t="s">
        <v>18368</v>
      </c>
      <c r="M118" s="1507" t="s">
        <v>18369</v>
      </c>
      <c r="N118" s="1465"/>
      <c r="O118" s="1506" t="s">
        <v>18368</v>
      </c>
      <c r="P118" s="1507" t="s">
        <v>18369</v>
      </c>
      <c r="Q118" s="1465"/>
      <c r="R118" s="1506" t="s">
        <v>18368</v>
      </c>
      <c r="S118" s="1507" t="s">
        <v>18369</v>
      </c>
      <c r="T118" s="1465"/>
      <c r="U118" s="1506" t="s">
        <v>18368</v>
      </c>
      <c r="V118" s="1507" t="s">
        <v>18369</v>
      </c>
      <c r="W118" s="1463"/>
      <c r="X118" s="1508" t="s">
        <v>7229</v>
      </c>
      <c r="Z118" s="238"/>
      <c r="AA118" s="1232">
        <f xml:space="preserve"> IF( SUM( AC118:AC118 ) = 0, 0,#REF! )</f>
        <v>0</v>
      </c>
      <c r="AB118" s="238"/>
    </row>
    <row r="119" spans="2:28" ht="26.25" thickTop="1">
      <c r="B119" s="1515" t="s">
        <v>18370</v>
      </c>
      <c r="C119" s="1448" t="s">
        <v>18476</v>
      </c>
      <c r="D119" s="1538">
        <f>2317*248/1000000</f>
        <v>0.57461600000000002</v>
      </c>
      <c r="E119" s="1448" t="s">
        <v>18372</v>
      </c>
      <c r="F119" s="1448">
        <v>0</v>
      </c>
      <c r="G119" s="1461">
        <v>248</v>
      </c>
      <c r="H119" s="1458"/>
      <c r="I119" s="2217">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18477</v>
      </c>
      <c r="Z119" s="238"/>
      <c r="AA119" s="1232">
        <f xml:space="preserve"> IF( SUM( AC119:AC119 ) = 0, 0,#REF! )</f>
        <v>0</v>
      </c>
      <c r="AB119" s="238"/>
    </row>
    <row r="120" spans="2:28" ht="25.5">
      <c r="B120" s="1522" t="s">
        <v>18374</v>
      </c>
      <c r="C120" s="1456" t="s">
        <v>18478</v>
      </c>
      <c r="D120" s="1527">
        <f>2926*163/1000000</f>
        <v>0.47693799999999997</v>
      </c>
      <c r="E120" s="1456" t="s">
        <v>18372</v>
      </c>
      <c r="F120" s="1456">
        <v>0</v>
      </c>
      <c r="G120" s="1461">
        <v>163</v>
      </c>
      <c r="H120" s="1458"/>
      <c r="I120" s="2218">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18479</v>
      </c>
      <c r="Z120" s="238"/>
      <c r="AA120" s="1232">
        <f xml:space="preserve"> IF( SUM( AC120:AC120 ) = 0, 0,#REF! )</f>
        <v>0</v>
      </c>
      <c r="AB120" s="238"/>
    </row>
    <row r="121" spans="2:28" ht="25.5">
      <c r="B121" s="1522" t="s">
        <v>18377</v>
      </c>
      <c r="C121" s="1456" t="s">
        <v>18480</v>
      </c>
      <c r="D121" s="1527">
        <f>100*4950/1000000</f>
        <v>0.495</v>
      </c>
      <c r="E121" s="1456" t="s">
        <v>18372</v>
      </c>
      <c r="F121" s="1456">
        <v>0</v>
      </c>
      <c r="G121" s="1461">
        <v>100</v>
      </c>
      <c r="H121" s="1458"/>
      <c r="I121" s="2218">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18481</v>
      </c>
      <c r="Z121" s="238"/>
      <c r="AA121" s="1232">
        <f xml:space="preserve"> IF( SUM( AC121:AC121 ) = 0, 0,#REF! )</f>
        <v>0</v>
      </c>
      <c r="AB121" s="238"/>
    </row>
    <row r="122" spans="2:28" ht="25.5">
      <c r="B122" s="1522" t="s">
        <v>18380</v>
      </c>
      <c r="C122" s="1456" t="s">
        <v>18482</v>
      </c>
      <c r="D122" s="1527">
        <f>3250*100/1000000</f>
        <v>0.32500000000000001</v>
      </c>
      <c r="E122" s="1456" t="s">
        <v>18372</v>
      </c>
      <c r="F122" s="1456">
        <v>0</v>
      </c>
      <c r="G122" s="1461">
        <v>100</v>
      </c>
      <c r="H122" s="1458"/>
      <c r="I122" s="2218">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18483</v>
      </c>
      <c r="Z122" s="238"/>
      <c r="AA122" s="1232">
        <f xml:space="preserve"> IF( SUM( AC122:AC122 ) = 0, 0,#REF! )</f>
        <v>0</v>
      </c>
      <c r="AB122" s="238"/>
    </row>
    <row r="123" spans="2:28" ht="140.25">
      <c r="B123" s="1522" t="s">
        <v>18383</v>
      </c>
      <c r="C123" s="1456" t="s">
        <v>18484</v>
      </c>
      <c r="D123" s="1527">
        <v>0.35</v>
      </c>
      <c r="E123" s="1456" t="s">
        <v>3137</v>
      </c>
      <c r="F123" s="1456">
        <v>0</v>
      </c>
      <c r="G123" s="1550">
        <v>1</v>
      </c>
      <c r="H123" s="1458"/>
      <c r="I123" s="2218">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18485</v>
      </c>
      <c r="Z123" s="238"/>
      <c r="AA123" s="1232">
        <f xml:space="preserve"> IF( SUM( AC123:AC123 ) = 0, 0,#REF! )</f>
        <v>0</v>
      </c>
      <c r="AB123" s="238"/>
    </row>
    <row r="124" spans="2:28" ht="38.25">
      <c r="B124" s="1522" t="s">
        <v>18386</v>
      </c>
      <c r="C124" s="1456" t="s">
        <v>18486</v>
      </c>
      <c r="D124" s="1527">
        <v>0.25</v>
      </c>
      <c r="E124" s="1456" t="s">
        <v>18372</v>
      </c>
      <c r="F124" s="1456">
        <v>0</v>
      </c>
      <c r="G124" s="1461">
        <v>25</v>
      </c>
      <c r="H124" s="1458"/>
      <c r="I124" s="2218">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18487</v>
      </c>
      <c r="Z124" s="238"/>
      <c r="AA124" s="1232">
        <f xml:space="preserve"> IF( SUM( AC124:AC124 ) = 0, 0,#REF! )</f>
        <v>0</v>
      </c>
      <c r="AB124" s="238"/>
    </row>
    <row r="125" spans="2:28" ht="114.75" customHeight="1">
      <c r="B125" s="1522" t="s">
        <v>18389</v>
      </c>
      <c r="C125" s="1456" t="s">
        <v>18488</v>
      </c>
      <c r="D125" s="1527">
        <v>0.5</v>
      </c>
      <c r="E125" s="1456" t="s">
        <v>18372</v>
      </c>
      <c r="F125" s="1456">
        <v>0</v>
      </c>
      <c r="G125" s="1551">
        <v>1</v>
      </c>
      <c r="H125" s="1458"/>
      <c r="I125" s="2218">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18489</v>
      </c>
      <c r="Z125" s="238"/>
      <c r="AA125" s="1232">
        <f xml:space="preserve"> IF( SUM( AC125:AC125 ) = 0, 0,#REF! )</f>
        <v>0</v>
      </c>
      <c r="AB125" s="238"/>
    </row>
    <row r="126" spans="2:28" ht="89.25" customHeight="1">
      <c r="B126" s="1522" t="s">
        <v>18392</v>
      </c>
      <c r="C126" s="1552" t="s">
        <v>18490</v>
      </c>
      <c r="D126" s="1553">
        <v>0.75</v>
      </c>
      <c r="E126" s="1552" t="s">
        <v>3137</v>
      </c>
      <c r="F126" s="1552">
        <v>0</v>
      </c>
      <c r="G126" s="1551">
        <v>1</v>
      </c>
      <c r="H126" s="1458"/>
      <c r="I126" s="2226">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18491</v>
      </c>
      <c r="Z126" s="238"/>
      <c r="AA126" s="1232">
        <f xml:space="preserve"> IF( SUM( AC126:AC126 ) = 0, 0,#REF! )</f>
        <v>0</v>
      </c>
      <c r="AB126" s="238"/>
    </row>
    <row r="127" spans="2:28" ht="76.5">
      <c r="B127" s="1522" t="s">
        <v>18395</v>
      </c>
      <c r="C127" s="1552" t="s">
        <v>18492</v>
      </c>
      <c r="D127" s="1553">
        <v>2</v>
      </c>
      <c r="E127" s="1552" t="s">
        <v>3137</v>
      </c>
      <c r="F127" s="1552">
        <v>0</v>
      </c>
      <c r="G127" s="1551">
        <v>1</v>
      </c>
      <c r="H127" s="1458"/>
      <c r="I127" s="2226">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18493</v>
      </c>
      <c r="Z127" s="238"/>
      <c r="AA127" s="1232">
        <f xml:space="preserve"> IF( SUM( AC127:AC127 ) = 0, 0,#REF! )</f>
        <v>0</v>
      </c>
      <c r="AB127" s="238"/>
    </row>
    <row r="128" spans="2:28" ht="26.25" thickBot="1">
      <c r="B128" s="1504" t="s">
        <v>18423</v>
      </c>
      <c r="C128" s="1449" t="s">
        <v>18494</v>
      </c>
      <c r="D128" s="1529">
        <v>1.92</v>
      </c>
      <c r="E128" s="1449" t="s">
        <v>18455</v>
      </c>
      <c r="F128" s="1449">
        <v>1</v>
      </c>
      <c r="G128" s="1462">
        <v>11.5</v>
      </c>
      <c r="H128" s="1458"/>
      <c r="I128" s="2227">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18495</v>
      </c>
      <c r="Z128" s="238"/>
      <c r="AA128" s="1232">
        <f xml:space="preserve"> IF( SUM( AC128:AC128 ) = 0, 0,#REF! )</f>
        <v>0</v>
      </c>
      <c r="AB128" s="238"/>
    </row>
    <row r="129" spans="2:28" ht="15.7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5" thickTop="1">
      <c r="B130" s="1502" t="s">
        <v>18439</v>
      </c>
      <c r="C130" s="1503" t="s">
        <v>18363</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5" thickBot="1">
      <c r="B131" s="1504" t="s">
        <v>18496</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20.25" thickTop="1" thickBot="1">
      <c r="B132" s="1471"/>
      <c r="D132" s="1471"/>
      <c r="E132" s="1471"/>
      <c r="F132" s="1471"/>
      <c r="G132" s="1458"/>
      <c r="H132" s="1458"/>
      <c r="I132" s="2943" t="s">
        <v>3639</v>
      </c>
      <c r="J132" s="2944"/>
      <c r="K132" s="1458"/>
      <c r="L132" s="2945" t="s">
        <v>7181</v>
      </c>
      <c r="M132" s="2946"/>
      <c r="N132" s="1465"/>
      <c r="O132" s="2945" t="s">
        <v>16350</v>
      </c>
      <c r="P132" s="2946"/>
      <c r="Q132" s="1465"/>
      <c r="R132" s="2945" t="s">
        <v>16351</v>
      </c>
      <c r="S132" s="2946"/>
      <c r="T132" s="1465"/>
      <c r="U132" s="2945" t="s">
        <v>18365</v>
      </c>
      <c r="V132" s="2946"/>
      <c r="W132" s="1463"/>
      <c r="Z132" s="238"/>
      <c r="AA132" s="1232">
        <f xml:space="preserve"> IF( SUM( AC132:AC132 ) = 0, 0,#REF! )</f>
        <v>0</v>
      </c>
      <c r="AB132" s="238"/>
    </row>
    <row r="133" spans="2:28" ht="39.75" thickTop="1" thickBot="1">
      <c r="C133" s="1454" t="s">
        <v>2</v>
      </c>
      <c r="D133" s="1441" t="s">
        <v>18366</v>
      </c>
      <c r="E133" s="1441" t="s">
        <v>668</v>
      </c>
      <c r="F133" s="1441" t="s">
        <v>18308</v>
      </c>
      <c r="G133" s="1442" t="s">
        <v>18367</v>
      </c>
      <c r="H133" s="1458"/>
      <c r="I133" s="1505" t="s">
        <v>18368</v>
      </c>
      <c r="J133" s="1459" t="s">
        <v>18369</v>
      </c>
      <c r="K133" s="1458"/>
      <c r="L133" s="1506" t="s">
        <v>18368</v>
      </c>
      <c r="M133" s="1507" t="s">
        <v>18369</v>
      </c>
      <c r="N133" s="1465"/>
      <c r="O133" s="1506" t="s">
        <v>18368</v>
      </c>
      <c r="P133" s="1507" t="s">
        <v>18369</v>
      </c>
      <c r="Q133" s="1465"/>
      <c r="R133" s="1506" t="s">
        <v>18368</v>
      </c>
      <c r="S133" s="1507" t="s">
        <v>18369</v>
      </c>
      <c r="T133" s="1465"/>
      <c r="U133" s="1506" t="s">
        <v>18368</v>
      </c>
      <c r="V133" s="1507" t="s">
        <v>18369</v>
      </c>
      <c r="W133" s="1463"/>
      <c r="X133" s="1508" t="s">
        <v>7229</v>
      </c>
      <c r="Z133" s="238"/>
      <c r="AA133" s="1232">
        <f xml:space="preserve"> IF( SUM( AC133:AC133 ) = 0, 0,#REF! )</f>
        <v>0</v>
      </c>
      <c r="AB133" s="238"/>
    </row>
    <row r="134" spans="2:28" ht="19.5" thickTop="1">
      <c r="B134" s="1515" t="s">
        <v>18370</v>
      </c>
      <c r="C134" s="1448" t="s">
        <v>18497</v>
      </c>
      <c r="D134" s="1538">
        <v>12.818</v>
      </c>
      <c r="E134" s="1448" t="s">
        <v>3137</v>
      </c>
      <c r="F134" s="1448">
        <v>0</v>
      </c>
      <c r="G134" s="1550">
        <v>1</v>
      </c>
      <c r="H134" s="1458"/>
      <c r="I134" s="2228">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18498</v>
      </c>
      <c r="Z134" s="238"/>
      <c r="AA134" s="1232">
        <f xml:space="preserve"> IF( SUM( AC134:AC134 ) = 0, 0,#REF! )</f>
        <v>0</v>
      </c>
      <c r="AB134" s="238"/>
    </row>
    <row r="135" spans="2:28" ht="26.25" thickBot="1">
      <c r="B135" s="1504" t="s">
        <v>18374</v>
      </c>
      <c r="C135" s="1449" t="s">
        <v>18499</v>
      </c>
      <c r="D135" s="1529">
        <v>9.8840000000000003</v>
      </c>
      <c r="E135" s="1449" t="s">
        <v>3137</v>
      </c>
      <c r="F135" s="1449">
        <v>0</v>
      </c>
      <c r="G135" s="1554">
        <v>1</v>
      </c>
      <c r="H135" s="1458"/>
      <c r="I135" s="2229">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18500</v>
      </c>
      <c r="Z135" s="238"/>
      <c r="AA135" s="1232">
        <f xml:space="preserve"> IF( SUM( AC135:AC135 ) = 0, 0,#REF! )</f>
        <v>0</v>
      </c>
      <c r="AB135" s="238"/>
    </row>
    <row r="136" spans="2:28" ht="15"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6.25"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5" thickTop="1">
      <c r="B139" s="1502" t="s">
        <v>18362</v>
      </c>
      <c r="C139" s="1503" t="s">
        <v>18363</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5" thickBot="1">
      <c r="B140" s="1504" t="s">
        <v>18501</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20.25" thickTop="1" thickBot="1">
      <c r="B141" s="1471"/>
      <c r="D141" s="1471"/>
      <c r="E141" s="1471"/>
      <c r="F141" s="1471"/>
      <c r="G141" s="1458"/>
      <c r="H141" s="1458"/>
      <c r="I141" s="2943" t="s">
        <v>3639</v>
      </c>
      <c r="J141" s="2944"/>
      <c r="K141" s="1458"/>
      <c r="L141" s="2945" t="s">
        <v>7181</v>
      </c>
      <c r="M141" s="2946"/>
      <c r="N141" s="1465"/>
      <c r="O141" s="2945" t="s">
        <v>16350</v>
      </c>
      <c r="P141" s="2946"/>
      <c r="Q141" s="1465"/>
      <c r="R141" s="2945" t="s">
        <v>16351</v>
      </c>
      <c r="S141" s="2946"/>
      <c r="T141" s="1465"/>
      <c r="U141" s="2945" t="s">
        <v>18365</v>
      </c>
      <c r="V141" s="2946"/>
      <c r="W141" s="1463"/>
      <c r="Z141" s="238"/>
      <c r="AA141" s="1232">
        <f xml:space="preserve"> IF( SUM( AC141:AC141 ) = 0, 0,#REF! )</f>
        <v>0</v>
      </c>
      <c r="AB141" s="238"/>
    </row>
    <row r="142" spans="2:28" ht="39.75" thickTop="1" thickBot="1">
      <c r="C142" s="1454" t="s">
        <v>2</v>
      </c>
      <c r="D142" s="1441" t="s">
        <v>18366</v>
      </c>
      <c r="E142" s="1441" t="s">
        <v>668</v>
      </c>
      <c r="F142" s="1441" t="s">
        <v>18308</v>
      </c>
      <c r="G142" s="1442" t="s">
        <v>18367</v>
      </c>
      <c r="H142" s="1458"/>
      <c r="I142" s="1505" t="s">
        <v>18368</v>
      </c>
      <c r="J142" s="1459" t="s">
        <v>18369</v>
      </c>
      <c r="K142" s="1458"/>
      <c r="L142" s="1506" t="s">
        <v>18368</v>
      </c>
      <c r="M142" s="1507" t="s">
        <v>18369</v>
      </c>
      <c r="N142" s="1465"/>
      <c r="O142" s="1506" t="s">
        <v>18368</v>
      </c>
      <c r="P142" s="1507" t="s">
        <v>18369</v>
      </c>
      <c r="Q142" s="1465"/>
      <c r="R142" s="1506" t="s">
        <v>18368</v>
      </c>
      <c r="S142" s="1507" t="s">
        <v>18369</v>
      </c>
      <c r="T142" s="1465"/>
      <c r="U142" s="1506" t="s">
        <v>18368</v>
      </c>
      <c r="V142" s="1507" t="s">
        <v>18369</v>
      </c>
      <c r="W142" s="1463"/>
      <c r="X142" s="1508" t="s">
        <v>7229</v>
      </c>
      <c r="Z142" s="238"/>
      <c r="AA142" s="1232">
        <f xml:space="preserve"> IF( SUM( AC142:AC142 ) = 0, 0,#REF! )</f>
        <v>0</v>
      </c>
      <c r="AB142" s="238"/>
    </row>
    <row r="143" spans="2:28" ht="64.5" thickTop="1">
      <c r="B143" s="1515" t="s">
        <v>18370</v>
      </c>
      <c r="C143" s="1448" t="s">
        <v>18502</v>
      </c>
      <c r="D143" s="1538">
        <f>296.61*200000/1000000</f>
        <v>59.322000000000003</v>
      </c>
      <c r="E143" s="1448" t="s">
        <v>3222</v>
      </c>
      <c r="F143" s="1448">
        <v>3</v>
      </c>
      <c r="G143" s="1547">
        <v>200</v>
      </c>
      <c r="H143" s="1458"/>
      <c r="I143" s="2222">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18503</v>
      </c>
      <c r="Z143" s="238"/>
      <c r="AA143" s="1232">
        <f xml:space="preserve"> IF( SUM( AC143:AC143 ) = 0, 0,#REF! )</f>
        <v>0</v>
      </c>
      <c r="AB143" s="238"/>
    </row>
    <row r="144" spans="2:28" ht="38.25" customHeight="1">
      <c r="B144" s="1522" t="s">
        <v>18374</v>
      </c>
      <c r="C144" s="1456" t="s">
        <v>18504</v>
      </c>
      <c r="D144" s="1553">
        <f>59.37*3000/1000000</f>
        <v>0.17810999999999999</v>
      </c>
      <c r="E144" s="1555" t="s">
        <v>3222</v>
      </c>
      <c r="F144" s="1552">
        <v>3</v>
      </c>
      <c r="G144" s="1556">
        <v>3</v>
      </c>
      <c r="H144" s="1458"/>
      <c r="I144" s="2225">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18505</v>
      </c>
      <c r="Z144" s="238"/>
      <c r="AA144" s="1232">
        <f xml:space="preserve"> IF( SUM( AC144:AC144 ) = 0, 0,#REF! )</f>
        <v>0</v>
      </c>
      <c r="AB144" s="238"/>
    </row>
    <row r="145" spans="2:28" ht="25.5" customHeight="1">
      <c r="B145" s="1522" t="s">
        <v>18380</v>
      </c>
      <c r="C145" s="1456" t="s">
        <v>18506</v>
      </c>
      <c r="D145" s="1553">
        <f>581.35*1500/1000000</f>
        <v>0.87202500000000005</v>
      </c>
      <c r="E145" s="1555" t="s">
        <v>3222</v>
      </c>
      <c r="F145" s="1552">
        <v>3</v>
      </c>
      <c r="G145" s="1556">
        <v>1.5</v>
      </c>
      <c r="H145" s="1458"/>
      <c r="I145" s="2225">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18507</v>
      </c>
      <c r="Z145" s="238"/>
      <c r="AA145" s="1232">
        <f xml:space="preserve"> IF( SUM( AC145:AC145 ) = 0, 0,#REF! )</f>
        <v>0</v>
      </c>
      <c r="AB145" s="238"/>
    </row>
    <row r="146" spans="2:28" ht="25.5" customHeight="1">
      <c r="B146" s="1522" t="s">
        <v>18386</v>
      </c>
      <c r="C146" s="1456" t="s">
        <v>18508</v>
      </c>
      <c r="D146" s="1553">
        <f>2724.52*200/1000000</f>
        <v>0.54490400000000005</v>
      </c>
      <c r="E146" s="1555" t="s">
        <v>3222</v>
      </c>
      <c r="F146" s="1552">
        <v>3</v>
      </c>
      <c r="G146" s="1548">
        <f>200/1000</f>
        <v>0.2</v>
      </c>
      <c r="H146" s="1458"/>
      <c r="I146" s="2225">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18509</v>
      </c>
      <c r="Z146" s="238"/>
      <c r="AA146" s="1232">
        <f xml:space="preserve"> IF( SUM( AC146:AC146 ) = 0, 0,#REF! )</f>
        <v>0</v>
      </c>
      <c r="AB146" s="238"/>
    </row>
    <row r="147" spans="2:28" ht="77.099999999999994" customHeight="1" thickBot="1">
      <c r="B147" s="1449" t="s">
        <v>18392</v>
      </c>
      <c r="C147" s="1449" t="s">
        <v>18510</v>
      </c>
      <c r="D147" s="1529">
        <v>11</v>
      </c>
      <c r="E147" s="1449" t="s">
        <v>3137</v>
      </c>
      <c r="F147" s="1449">
        <v>0</v>
      </c>
      <c r="G147" s="1554">
        <v>0.96</v>
      </c>
      <c r="H147" s="1458"/>
      <c r="I147" s="2229">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18511</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6.25" thickBot="1">
      <c r="B152" s="1464" t="s">
        <v>18512</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5" thickTop="1">
      <c r="B153" s="1502" t="s">
        <v>18362</v>
      </c>
      <c r="C153" s="1503" t="s">
        <v>18363</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6.25" thickBot="1">
      <c r="B154" s="1504" t="s">
        <v>18513</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20.25" thickTop="1" thickBot="1">
      <c r="B155" s="1471"/>
      <c r="D155" s="1471"/>
      <c r="E155" s="1471"/>
      <c r="F155" s="1471"/>
      <c r="G155" s="1458"/>
      <c r="H155" s="1458"/>
      <c r="I155" s="2943" t="s">
        <v>3639</v>
      </c>
      <c r="J155" s="2944"/>
      <c r="K155" s="1458"/>
      <c r="L155" s="2945" t="s">
        <v>7181</v>
      </c>
      <c r="M155" s="2946"/>
      <c r="N155" s="1465"/>
      <c r="O155" s="2945" t="s">
        <v>16350</v>
      </c>
      <c r="P155" s="2946"/>
      <c r="Q155" s="1465"/>
      <c r="R155" s="2945" t="s">
        <v>16351</v>
      </c>
      <c r="S155" s="2946"/>
      <c r="T155" s="1465"/>
      <c r="U155" s="2945" t="s">
        <v>18365</v>
      </c>
      <c r="V155" s="2946"/>
      <c r="W155" s="1463"/>
      <c r="Z155" s="238"/>
      <c r="AA155" s="1232">
        <f xml:space="preserve"> IF( SUM( AC155:AC155 ) = 0, 0,#REF! )</f>
        <v>0</v>
      </c>
      <c r="AB155" s="238"/>
    </row>
    <row r="156" spans="2:28" ht="39.75" thickTop="1" thickBot="1">
      <c r="C156" s="1454" t="s">
        <v>2</v>
      </c>
      <c r="D156" s="1441" t="s">
        <v>18366</v>
      </c>
      <c r="E156" s="1441" t="s">
        <v>668</v>
      </c>
      <c r="F156" s="1441" t="s">
        <v>18308</v>
      </c>
      <c r="G156" s="1442" t="s">
        <v>18367</v>
      </c>
      <c r="H156" s="1458"/>
      <c r="I156" s="1505" t="s">
        <v>18368</v>
      </c>
      <c r="J156" s="1459" t="s">
        <v>18369</v>
      </c>
      <c r="K156" s="1458"/>
      <c r="L156" s="1506" t="s">
        <v>18368</v>
      </c>
      <c r="M156" s="1507" t="s">
        <v>18369</v>
      </c>
      <c r="N156" s="1465"/>
      <c r="O156" s="1506" t="s">
        <v>18368</v>
      </c>
      <c r="P156" s="1507" t="s">
        <v>18369</v>
      </c>
      <c r="Q156" s="1465"/>
      <c r="R156" s="1506" t="s">
        <v>18368</v>
      </c>
      <c r="S156" s="1507" t="s">
        <v>18369</v>
      </c>
      <c r="T156" s="1465"/>
      <c r="U156" s="1506" t="s">
        <v>18368</v>
      </c>
      <c r="V156" s="1507" t="s">
        <v>18369</v>
      </c>
      <c r="W156" s="1463"/>
      <c r="X156" s="1508" t="s">
        <v>7229</v>
      </c>
      <c r="Z156" s="238"/>
      <c r="AA156" s="1232">
        <f xml:space="preserve"> IF( SUM( AC156:AC156 ) = 0, 0,#REF! )</f>
        <v>0</v>
      </c>
      <c r="AB156" s="238"/>
    </row>
    <row r="157" spans="2:28" ht="51.75" thickTop="1">
      <c r="B157" s="1515" t="s">
        <v>18370</v>
      </c>
      <c r="C157" s="1448" t="s">
        <v>18514</v>
      </c>
      <c r="D157" s="1538">
        <v>1.091</v>
      </c>
      <c r="E157" s="1448" t="s">
        <v>18515</v>
      </c>
      <c r="F157" s="1448">
        <v>0</v>
      </c>
      <c r="G157" s="1545">
        <f>D157*1000000/1000</f>
        <v>1091</v>
      </c>
      <c r="H157" s="1458"/>
      <c r="I157" s="2217">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18516</v>
      </c>
      <c r="Z157" s="238"/>
      <c r="AA157" s="1232">
        <f xml:space="preserve"> IF( SUM( AC157:AC157 ) = 0, 0,#REF! )</f>
        <v>0</v>
      </c>
      <c r="AB157" s="238"/>
    </row>
    <row r="158" spans="2:28" ht="51">
      <c r="B158" s="1522" t="s">
        <v>18374</v>
      </c>
      <c r="C158" s="1456" t="s">
        <v>18517</v>
      </c>
      <c r="D158" s="1553">
        <v>1.819</v>
      </c>
      <c r="E158" s="1555" t="s">
        <v>3137</v>
      </c>
      <c r="F158" s="1552">
        <v>0</v>
      </c>
      <c r="G158" s="1558">
        <v>1</v>
      </c>
      <c r="H158" s="1458"/>
      <c r="I158" s="2226">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18518</v>
      </c>
      <c r="Z158" s="238"/>
      <c r="AA158" s="1232">
        <f xml:space="preserve"> IF( SUM( AC158:AC158 ) = 0, 0,#REF! )</f>
        <v>0</v>
      </c>
      <c r="AB158" s="238"/>
    </row>
    <row r="159" spans="2:28" ht="18.75" customHeight="1">
      <c r="B159" s="1522" t="s">
        <v>18377</v>
      </c>
      <c r="C159" s="1456" t="s">
        <v>18519</v>
      </c>
      <c r="D159" s="1553">
        <v>0.72299999999999998</v>
      </c>
      <c r="E159" s="1555" t="s">
        <v>18372</v>
      </c>
      <c r="F159" s="1552">
        <v>0</v>
      </c>
      <c r="G159" s="1559">
        <f>D159*1000000/2411</f>
        <v>299.87557030277895</v>
      </c>
      <c r="H159" s="1458"/>
      <c r="I159" s="2218">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18520</v>
      </c>
      <c r="Z159" s="238"/>
      <c r="AA159" s="1232">
        <f xml:space="preserve"> IF( SUM( AC159:AC159 ) = 0, 0,#REF! )</f>
        <v>0</v>
      </c>
      <c r="AB159" s="238"/>
    </row>
    <row r="160" spans="2:28" ht="18.75">
      <c r="B160" s="1522" t="s">
        <v>18380</v>
      </c>
      <c r="C160" s="1456" t="s">
        <v>18521</v>
      </c>
      <c r="D160" s="1553">
        <v>2.2530000000000001</v>
      </c>
      <c r="E160" s="1555" t="s">
        <v>18455</v>
      </c>
      <c r="F160" s="1552">
        <v>1</v>
      </c>
      <c r="G160" s="1560">
        <f>2.253*1000000/901</f>
        <v>2500.554938956715</v>
      </c>
      <c r="H160" s="1458"/>
      <c r="I160" s="2230">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18522</v>
      </c>
      <c r="Z160" s="238"/>
      <c r="AA160" s="1232">
        <f xml:space="preserve"> IF( SUM( AC160:AC160 ) = 0, 0,#REF! )</f>
        <v>0</v>
      </c>
      <c r="AB160" s="238"/>
    </row>
    <row r="161" spans="2:28" ht="26.25" thickBot="1">
      <c r="B161" s="1449" t="s">
        <v>18383</v>
      </c>
      <c r="C161" s="1449" t="s">
        <v>18523</v>
      </c>
      <c r="D161" s="1529">
        <v>9.0570000000000004</v>
      </c>
      <c r="E161" s="1449" t="s">
        <v>3137</v>
      </c>
      <c r="F161" s="1449">
        <v>0</v>
      </c>
      <c r="G161" s="1554">
        <v>1</v>
      </c>
      <c r="H161" s="1458"/>
      <c r="I161" s="2229">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18524</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5"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5" thickTop="1">
      <c r="B170" s="1502" t="s">
        <v>18398</v>
      </c>
      <c r="C170" s="1503" t="s">
        <v>18363</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6.25" thickBot="1">
      <c r="B171" s="1504" t="s">
        <v>18525</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20.25" thickTop="1" thickBot="1">
      <c r="B172" s="1471"/>
      <c r="D172" s="1471"/>
      <c r="E172" s="1471"/>
      <c r="F172" s="1471"/>
      <c r="G172" s="1458"/>
      <c r="H172" s="1458"/>
      <c r="I172" s="2943" t="s">
        <v>3639</v>
      </c>
      <c r="J172" s="2944"/>
      <c r="K172" s="1458"/>
      <c r="L172" s="2945" t="s">
        <v>7181</v>
      </c>
      <c r="M172" s="2946"/>
      <c r="N172" s="1465"/>
      <c r="O172" s="2945" t="s">
        <v>16350</v>
      </c>
      <c r="P172" s="2946"/>
      <c r="Q172" s="1465"/>
      <c r="R172" s="2945" t="s">
        <v>16351</v>
      </c>
      <c r="S172" s="2946"/>
      <c r="T172" s="1465"/>
      <c r="U172" s="2945" t="s">
        <v>18365</v>
      </c>
      <c r="V172" s="2946"/>
      <c r="W172" s="1463"/>
      <c r="Z172" s="238"/>
      <c r="AA172" s="1232">
        <f xml:space="preserve"> IF( SUM( AC172:AC172 ) = 0, 0,#REF! )</f>
        <v>0</v>
      </c>
      <c r="AB172" s="238"/>
    </row>
    <row r="173" spans="2:28" ht="39.75" thickTop="1" thickBot="1">
      <c r="C173" s="1454" t="s">
        <v>2</v>
      </c>
      <c r="D173" s="1441" t="s">
        <v>18366</v>
      </c>
      <c r="E173" s="1441" t="s">
        <v>668</v>
      </c>
      <c r="F173" s="1441" t="s">
        <v>18308</v>
      </c>
      <c r="G173" s="1442" t="s">
        <v>18367</v>
      </c>
      <c r="H173" s="1458"/>
      <c r="I173" s="1505" t="s">
        <v>18368</v>
      </c>
      <c r="J173" s="1459" t="s">
        <v>18369</v>
      </c>
      <c r="K173" s="1458"/>
      <c r="L173" s="1506" t="s">
        <v>18368</v>
      </c>
      <c r="M173" s="1507" t="s">
        <v>18369</v>
      </c>
      <c r="N173" s="1465"/>
      <c r="O173" s="1506" t="s">
        <v>18368</v>
      </c>
      <c r="P173" s="1507" t="s">
        <v>18369</v>
      </c>
      <c r="Q173" s="1465"/>
      <c r="R173" s="1506" t="s">
        <v>18368</v>
      </c>
      <c r="S173" s="1507" t="s">
        <v>18369</v>
      </c>
      <c r="T173" s="1465"/>
      <c r="U173" s="1506" t="s">
        <v>18368</v>
      </c>
      <c r="V173" s="1507" t="s">
        <v>18369</v>
      </c>
      <c r="W173" s="1463"/>
      <c r="X173" s="1508" t="s">
        <v>7229</v>
      </c>
      <c r="Z173" s="238"/>
      <c r="AA173" s="1232">
        <f xml:space="preserve"> IF( SUM( AC173:AC173 ) = 0, 0,#REF! )</f>
        <v>0</v>
      </c>
      <c r="AB173" s="238"/>
    </row>
    <row r="174" spans="2:28" ht="26.25" thickTop="1">
      <c r="B174" s="1515" t="s">
        <v>18370</v>
      </c>
      <c r="C174" s="1448" t="s">
        <v>18526</v>
      </c>
      <c r="D174" s="1538">
        <v>32.090000000000003</v>
      </c>
      <c r="E174" s="1448" t="s">
        <v>3137</v>
      </c>
      <c r="F174" s="1448">
        <v>0</v>
      </c>
      <c r="G174" s="1561">
        <v>1</v>
      </c>
      <c r="H174" s="1458"/>
      <c r="I174" s="2228">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18527</v>
      </c>
      <c r="Z174" s="238"/>
      <c r="AA174" s="1232">
        <f xml:space="preserve"> IF( SUM( AC174:AC174 ) = 0, 0,#REF! )</f>
        <v>0</v>
      </c>
      <c r="AB174" s="238"/>
    </row>
    <row r="175" spans="2:28" ht="39" thickBot="1">
      <c r="B175" s="1449" t="s">
        <v>18374</v>
      </c>
      <c r="C175" s="1449" t="s">
        <v>18528</v>
      </c>
      <c r="D175" s="1529">
        <v>11.97</v>
      </c>
      <c r="E175" s="1449" t="s">
        <v>3137</v>
      </c>
      <c r="F175" s="1449">
        <v>0</v>
      </c>
      <c r="G175" s="1554">
        <v>1</v>
      </c>
      <c r="H175" s="1458"/>
      <c r="I175" s="2229">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18529</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5"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5" thickTop="1">
      <c r="B179" s="1502" t="s">
        <v>18403</v>
      </c>
      <c r="C179" s="1503" t="s">
        <v>18363</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5" thickBot="1">
      <c r="B180" s="1504" t="s">
        <v>18530</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20.25" thickTop="1" thickBot="1">
      <c r="B181" s="1471"/>
      <c r="D181" s="1471"/>
      <c r="E181" s="1471"/>
      <c r="F181" s="1471"/>
      <c r="G181" s="1458"/>
      <c r="H181" s="1458"/>
      <c r="I181" s="2943" t="s">
        <v>3639</v>
      </c>
      <c r="J181" s="2944"/>
      <c r="K181" s="1458"/>
      <c r="L181" s="2945" t="s">
        <v>7181</v>
      </c>
      <c r="M181" s="2946"/>
      <c r="N181" s="1465"/>
      <c r="O181" s="2945" t="s">
        <v>16350</v>
      </c>
      <c r="P181" s="2946"/>
      <c r="Q181" s="1465"/>
      <c r="R181" s="2945" t="s">
        <v>16351</v>
      </c>
      <c r="S181" s="2946"/>
      <c r="T181" s="1465"/>
      <c r="U181" s="2945" t="s">
        <v>18365</v>
      </c>
      <c r="V181" s="2946"/>
      <c r="W181" s="1463"/>
      <c r="Z181" s="238"/>
      <c r="AA181" s="1232">
        <f xml:space="preserve"> IF( SUM( AC181:AC181 ) = 0, 0,#REF! )</f>
        <v>0</v>
      </c>
      <c r="AB181" s="238"/>
    </row>
    <row r="182" spans="2:28" ht="39.75" thickTop="1" thickBot="1">
      <c r="C182" s="1454" t="s">
        <v>2</v>
      </c>
      <c r="D182" s="1441" t="s">
        <v>18366</v>
      </c>
      <c r="E182" s="1441" t="s">
        <v>668</v>
      </c>
      <c r="F182" s="1441" t="s">
        <v>18308</v>
      </c>
      <c r="G182" s="1442" t="s">
        <v>18367</v>
      </c>
      <c r="H182" s="1458"/>
      <c r="I182" s="1505" t="s">
        <v>18368</v>
      </c>
      <c r="J182" s="1459" t="s">
        <v>18369</v>
      </c>
      <c r="K182" s="1458"/>
      <c r="L182" s="1506" t="s">
        <v>18368</v>
      </c>
      <c r="M182" s="1507" t="s">
        <v>18369</v>
      </c>
      <c r="N182" s="1465"/>
      <c r="O182" s="1506" t="s">
        <v>18368</v>
      </c>
      <c r="P182" s="1507" t="s">
        <v>18369</v>
      </c>
      <c r="Q182" s="1465"/>
      <c r="R182" s="1506" t="s">
        <v>18368</v>
      </c>
      <c r="S182" s="1507" t="s">
        <v>18369</v>
      </c>
      <c r="T182" s="1465"/>
      <c r="U182" s="1506" t="s">
        <v>18368</v>
      </c>
      <c r="V182" s="1507" t="s">
        <v>18369</v>
      </c>
      <c r="W182" s="1463"/>
      <c r="X182" s="1508" t="s">
        <v>7229</v>
      </c>
      <c r="Z182" s="238"/>
      <c r="AA182" s="1232">
        <f xml:space="preserve"> IF( SUM( AC182:AC182 ) = 0, 0,#REF! )</f>
        <v>0</v>
      </c>
      <c r="AB182" s="238"/>
    </row>
    <row r="183" spans="2:28" ht="19.5" thickTop="1">
      <c r="B183" s="1515" t="s">
        <v>18370</v>
      </c>
      <c r="C183" s="1448" t="s">
        <v>18531</v>
      </c>
      <c r="D183" s="1538">
        <v>3.8879999999999999</v>
      </c>
      <c r="E183" s="1448" t="s">
        <v>3137</v>
      </c>
      <c r="F183" s="1448">
        <v>0</v>
      </c>
      <c r="G183" s="1561">
        <v>1</v>
      </c>
      <c r="H183" s="1458"/>
      <c r="I183" s="2228">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18532</v>
      </c>
      <c r="Z183" s="238"/>
      <c r="AA183" s="1232">
        <f xml:space="preserve"> IF( SUM( AC183:AC183 ) = 0, 0,#REF! )</f>
        <v>0</v>
      </c>
      <c r="AB183" s="238"/>
    </row>
    <row r="184" spans="2:28" ht="38.25">
      <c r="B184" s="1522" t="s">
        <v>18374</v>
      </c>
      <c r="C184" s="1456" t="s">
        <v>18533</v>
      </c>
      <c r="D184" s="1553">
        <f>0.493117*2</f>
        <v>0.98623400000000006</v>
      </c>
      <c r="E184" s="1555" t="s">
        <v>18372</v>
      </c>
      <c r="F184" s="1552">
        <v>0</v>
      </c>
      <c r="G184" s="1562">
        <v>2</v>
      </c>
      <c r="H184" s="1458"/>
      <c r="I184" s="2218">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18534</v>
      </c>
      <c r="Z184" s="238"/>
      <c r="AA184" s="1232">
        <f xml:space="preserve"> IF( SUM( AC184:AC184 ) = 0, 0,#REF! )</f>
        <v>0</v>
      </c>
      <c r="AB184" s="238"/>
    </row>
    <row r="185" spans="2:28" ht="26.25" thickBot="1">
      <c r="B185" s="1504" t="s">
        <v>18377</v>
      </c>
      <c r="C185" s="1449" t="s">
        <v>18535</v>
      </c>
      <c r="D185" s="1529">
        <v>0.52509899999999998</v>
      </c>
      <c r="E185" s="1449" t="s">
        <v>18372</v>
      </c>
      <c r="F185" s="1449">
        <v>0</v>
      </c>
      <c r="G185" s="1554">
        <v>1</v>
      </c>
      <c r="H185" s="1458"/>
      <c r="I185" s="2229">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18536</v>
      </c>
      <c r="Z185" s="238"/>
      <c r="AA185" s="1232">
        <f xml:space="preserve"> IF( SUM( AC185:AC185 ) = 0, 0,#REF! )</f>
        <v>0</v>
      </c>
      <c r="AB185" s="238"/>
    </row>
    <row r="186" spans="2:28" ht="15" thickTop="1">
      <c r="D186" s="1536"/>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tabColor rgb="FF00B050"/>
    <pageSetUpPr fitToPage="1"/>
  </sheetPr>
  <dimension ref="A1:V101"/>
  <sheetViews>
    <sheetView showGridLines="0" topLeftCell="A27" zoomScale="70" zoomScaleNormal="70" zoomScaleSheetLayoutView="100" workbookViewId="0">
      <selection activeCell="S30" sqref="S30"/>
    </sheetView>
  </sheetViews>
  <sheetFormatPr defaultColWidth="9" defaultRowHeight="15.75"/>
  <cols>
    <col min="1" max="1" width="1.625" style="224" customWidth="1"/>
    <col min="2" max="2" width="84.125" style="224" customWidth="1"/>
    <col min="3" max="4" width="13.25" style="224" bestFit="1" customWidth="1"/>
    <col min="5" max="5" width="13.25" style="1312" bestFit="1" customWidth="1"/>
    <col min="6" max="6" width="1.625" style="224" customWidth="1"/>
    <col min="7" max="7" width="16.125" style="224" bestFit="1" customWidth="1"/>
    <col min="8" max="8" width="5.75" style="260" customWidth="1"/>
    <col min="9" max="9" width="28.75" style="260" bestFit="1" customWidth="1"/>
    <col min="10" max="10" width="1.625" style="260" customWidth="1"/>
    <col min="11" max="11" width="1.625" style="219" customWidth="1"/>
    <col min="12" max="12" width="29.25" style="219" bestFit="1" customWidth="1"/>
    <col min="13" max="13" width="1.625" style="219" customWidth="1"/>
    <col min="14" max="16" width="19.75" style="219" hidden="1" customWidth="1"/>
    <col min="17" max="17" width="1.625" style="219" hidden="1" customWidth="1"/>
    <col min="18" max="18" width="1.6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3.25">
      <c r="B1" s="1229" t="s">
        <v>18537</v>
      </c>
      <c r="C1" s="1229"/>
      <c r="D1" s="1229"/>
      <c r="E1" s="1229"/>
      <c r="F1" s="1229"/>
      <c r="G1" s="1229"/>
      <c r="H1" s="582"/>
      <c r="I1" s="582"/>
      <c r="J1" s="582"/>
      <c r="K1" s="886"/>
      <c r="L1" s="219"/>
      <c r="M1" s="886"/>
      <c r="N1" s="219"/>
      <c r="O1" s="219"/>
      <c r="P1" s="219"/>
      <c r="Q1" s="238"/>
      <c r="S1" s="1229" t="s">
        <v>7220</v>
      </c>
      <c r="U1" s="219"/>
    </row>
    <row r="2" spans="2:22" s="389" customFormat="1" ht="23.25">
      <c r="B2" s="1229" t="s">
        <v>18</v>
      </c>
      <c r="C2" s="529"/>
      <c r="D2" s="529"/>
      <c r="E2" s="529"/>
      <c r="F2" s="529"/>
      <c r="G2" s="1306"/>
      <c r="H2" s="582"/>
      <c r="I2" s="582"/>
      <c r="J2" s="582"/>
      <c r="K2" s="886"/>
      <c r="L2" s="219"/>
      <c r="M2" s="886"/>
      <c r="N2" s="219"/>
      <c r="O2" s="219"/>
      <c r="P2" s="219"/>
      <c r="Q2" s="238"/>
      <c r="S2" s="1229"/>
      <c r="U2" s="219"/>
    </row>
    <row r="3" spans="2:22" s="360" customFormat="1" ht="50.85" customHeight="1">
      <c r="B3" s="2807" t="s">
        <v>18538</v>
      </c>
      <c r="C3" s="2807"/>
      <c r="D3" s="2807"/>
      <c r="E3" s="2807"/>
      <c r="F3" s="2807"/>
      <c r="G3" s="2807"/>
      <c r="H3" s="2807"/>
      <c r="I3" s="2807"/>
      <c r="J3" s="582"/>
      <c r="K3" s="886"/>
      <c r="L3" s="1240" t="s">
        <v>7222</v>
      </c>
      <c r="M3" s="886"/>
      <c r="N3" s="2341"/>
      <c r="O3" s="2341"/>
      <c r="P3" s="2341"/>
      <c r="Q3" s="2341"/>
      <c r="R3" s="389"/>
      <c r="S3" s="2807" t="s">
        <v>18538</v>
      </c>
      <c r="T3" s="2807"/>
      <c r="U3" s="2807"/>
      <c r="V3" s="2807"/>
    </row>
    <row r="4" spans="2:22" ht="24" thickBot="1">
      <c r="B4" s="690"/>
      <c r="C4" s="690"/>
      <c r="D4" s="690"/>
      <c r="E4" s="690"/>
      <c r="F4" s="908"/>
      <c r="G4" s="1307"/>
      <c r="H4" s="261"/>
      <c r="K4" s="886"/>
      <c r="L4" s="242"/>
      <c r="M4" s="886"/>
      <c r="N4" s="240" t="s">
        <v>7223</v>
      </c>
      <c r="O4" s="240"/>
      <c r="P4" s="240"/>
      <c r="Q4" s="238"/>
      <c r="R4" s="389"/>
      <c r="S4" s="690"/>
      <c r="U4" s="219"/>
    </row>
    <row r="5" spans="2:22" ht="90.6" customHeight="1" thickTop="1">
      <c r="B5" s="2711" t="s">
        <v>7224</v>
      </c>
      <c r="C5" s="2673" t="s">
        <v>18539</v>
      </c>
      <c r="D5" s="2673"/>
      <c r="E5" s="2675"/>
      <c r="F5" s="908"/>
      <c r="G5" s="2790" t="s">
        <v>7229</v>
      </c>
      <c r="H5" s="261"/>
      <c r="I5" s="2790" t="s">
        <v>7230</v>
      </c>
      <c r="K5" s="886"/>
      <c r="L5" s="242"/>
      <c r="M5" s="886"/>
      <c r="N5" s="240"/>
      <c r="O5" s="240"/>
      <c r="P5" s="240"/>
      <c r="Q5" s="241"/>
      <c r="R5" s="389"/>
      <c r="S5" s="2711" t="s">
        <v>7224</v>
      </c>
      <c r="T5" s="2673" t="s">
        <v>18539</v>
      </c>
      <c r="U5" s="2673"/>
      <c r="V5" s="2675"/>
    </row>
    <row r="6" spans="2:22" s="197" customFormat="1" ht="23.25" customHeight="1">
      <c r="B6" s="2795"/>
      <c r="C6" s="427" t="s">
        <v>9397</v>
      </c>
      <c r="D6" s="427" t="s">
        <v>9398</v>
      </c>
      <c r="E6" s="428" t="s">
        <v>7445</v>
      </c>
      <c r="F6" s="731"/>
      <c r="G6" s="2791"/>
      <c r="H6" s="261"/>
      <c r="I6" s="2791"/>
      <c r="J6" s="260"/>
      <c r="K6" s="886"/>
      <c r="L6" s="242"/>
      <c r="M6" s="886"/>
      <c r="N6" s="206" t="s">
        <v>7231</v>
      </c>
      <c r="O6" s="206"/>
      <c r="P6" s="206"/>
      <c r="Q6" s="886"/>
      <c r="R6" s="389"/>
      <c r="S6" s="2795"/>
      <c r="T6" s="427" t="s">
        <v>9397</v>
      </c>
      <c r="U6" s="427" t="s">
        <v>9398</v>
      </c>
      <c r="V6" s="428" t="s">
        <v>7445</v>
      </c>
    </row>
    <row r="7" spans="2:22" s="197" customFormat="1" ht="30.75" customHeight="1">
      <c r="B7" s="429" t="s">
        <v>668</v>
      </c>
      <c r="C7" s="427" t="s">
        <v>18540</v>
      </c>
      <c r="D7" s="427" t="s">
        <v>18540</v>
      </c>
      <c r="E7" s="428" t="s">
        <v>18540</v>
      </c>
      <c r="F7" s="731"/>
      <c r="G7" s="2791"/>
      <c r="H7" s="261"/>
      <c r="I7" s="2791"/>
      <c r="K7" s="886"/>
      <c r="L7" s="242"/>
      <c r="M7" s="886"/>
      <c r="N7" s="206"/>
      <c r="O7" s="206"/>
      <c r="P7" s="206"/>
      <c r="Q7" s="886"/>
      <c r="R7" s="389"/>
      <c r="S7" s="429" t="s">
        <v>668</v>
      </c>
      <c r="T7" s="427" t="s">
        <v>18540</v>
      </c>
      <c r="U7" s="427" t="s">
        <v>18540</v>
      </c>
      <c r="V7" s="428" t="s">
        <v>18540</v>
      </c>
    </row>
    <row r="8" spans="2:22" s="197" customFormat="1" ht="30.75" customHeight="1" thickBot="1">
      <c r="B8" s="430" t="s">
        <v>670</v>
      </c>
      <c r="C8" s="271">
        <v>3</v>
      </c>
      <c r="D8" s="271">
        <v>3</v>
      </c>
      <c r="E8" s="672">
        <v>3</v>
      </c>
      <c r="F8" s="731"/>
      <c r="G8" s="2792"/>
      <c r="H8" s="261"/>
      <c r="I8" s="2792"/>
      <c r="K8" s="886"/>
      <c r="L8" s="242"/>
      <c r="M8" s="886"/>
      <c r="N8" s="206"/>
      <c r="O8" s="206"/>
      <c r="P8" s="206"/>
      <c r="Q8" s="886"/>
      <c r="R8" s="389"/>
      <c r="S8" s="430" t="s">
        <v>670</v>
      </c>
      <c r="T8" s="271">
        <v>3</v>
      </c>
      <c r="U8" s="271">
        <v>3</v>
      </c>
      <c r="V8" s="672">
        <v>3</v>
      </c>
    </row>
    <row r="9" spans="2:22" s="197" customFormat="1" ht="17.25" thickTop="1" thickBot="1">
      <c r="B9" s="415"/>
      <c r="C9" s="415"/>
      <c r="D9" s="415"/>
      <c r="E9" s="349"/>
      <c r="F9" s="106"/>
      <c r="G9" s="582"/>
      <c r="H9" s="261"/>
      <c r="K9" s="886"/>
      <c r="L9" s="242"/>
      <c r="M9" s="886"/>
      <c r="N9" s="242"/>
      <c r="O9" s="242"/>
      <c r="P9" s="242"/>
      <c r="Q9" s="886"/>
      <c r="R9" s="389"/>
      <c r="S9" s="415"/>
      <c r="T9" s="415"/>
      <c r="U9" s="415"/>
      <c r="V9" s="349"/>
    </row>
    <row r="10" spans="2:22" s="197" customFormat="1" ht="17.25" thickTop="1" thickBot="1">
      <c r="B10" s="393" t="s">
        <v>18541</v>
      </c>
      <c r="C10" s="242"/>
      <c r="D10" s="242"/>
      <c r="E10" s="482"/>
      <c r="F10" s="106"/>
      <c r="G10" s="582"/>
      <c r="H10" s="261"/>
      <c r="K10" s="886"/>
      <c r="L10" s="242"/>
      <c r="M10" s="886"/>
      <c r="N10" s="242"/>
      <c r="O10" s="242"/>
      <c r="P10" s="242"/>
      <c r="Q10" s="886"/>
      <c r="R10" s="389"/>
      <c r="S10" s="393" t="s">
        <v>18541</v>
      </c>
      <c r="T10" s="242"/>
      <c r="U10" s="242"/>
      <c r="V10" s="482"/>
    </row>
    <row r="11" spans="2:22" s="197" customFormat="1" ht="16.5" thickTop="1">
      <c r="B11" s="451" t="s">
        <v>18542</v>
      </c>
      <c r="C11" s="2130">
        <v>2262.739</v>
      </c>
      <c r="D11" s="2130">
        <v>36048.724000000002</v>
      </c>
      <c r="E11" s="2134">
        <f>IFERROR(SUM(C11:D11),0)</f>
        <v>38311.463000000003</v>
      </c>
      <c r="F11" s="106"/>
      <c r="G11" s="1040" t="s">
        <v>18543</v>
      </c>
      <c r="H11" s="261"/>
      <c r="I11" s="283"/>
      <c r="K11" s="886"/>
      <c r="L11" s="1792">
        <f>IF( SUM( N11:P11 ) = 0, 0, $N$6 )</f>
        <v>0</v>
      </c>
      <c r="M11" s="886"/>
      <c r="N11" s="1793">
        <f xml:space="preserve"> IF( ISNUMBER(C11 ), 0, 1 )</f>
        <v>0</v>
      </c>
      <c r="O11" s="1793">
        <f t="shared" ref="O11:O14" si="0" xml:space="preserve"> IF( ISNUMBER(D11 ), 0, 1 )</f>
        <v>0</v>
      </c>
      <c r="P11" s="242"/>
      <c r="Q11" s="886"/>
      <c r="R11" s="389"/>
      <c r="S11" s="451" t="s">
        <v>18542</v>
      </c>
      <c r="T11" s="2130" t="s">
        <v>18544</v>
      </c>
      <c r="U11" s="2130" t="s">
        <v>18545</v>
      </c>
      <c r="V11" s="2134" t="s">
        <v>18546</v>
      </c>
    </row>
    <row r="12" spans="2:22" s="197" customFormat="1">
      <c r="B12" s="460" t="s">
        <v>18547</v>
      </c>
      <c r="C12" s="2131">
        <v>1634.4169999999999</v>
      </c>
      <c r="D12" s="2131">
        <v>7039.0949000000001</v>
      </c>
      <c r="E12" s="2135">
        <f>IFERROR(SUM(C12:D12),0)</f>
        <v>8673.5118999999995</v>
      </c>
      <c r="F12" s="106"/>
      <c r="G12" s="1041" t="s">
        <v>18548</v>
      </c>
      <c r="H12" s="261"/>
      <c r="I12" s="2342"/>
      <c r="K12" s="886"/>
      <c r="L12" s="1792">
        <f t="shared" ref="L12:L17" si="1">IF( SUM( N12:P12 ) = 0, 0, $N$6 )</f>
        <v>0</v>
      </c>
      <c r="M12" s="886"/>
      <c r="N12" s="1793"/>
      <c r="O12" s="1793"/>
      <c r="P12" s="242"/>
      <c r="Q12" s="886"/>
      <c r="R12" s="389"/>
      <c r="S12" s="460" t="s">
        <v>18547</v>
      </c>
      <c r="T12" s="2502" t="s">
        <v>3482</v>
      </c>
      <c r="U12" s="2131" t="s">
        <v>3485</v>
      </c>
      <c r="V12" s="2135" t="s">
        <v>3487</v>
      </c>
    </row>
    <row r="13" spans="2:22" s="197" customFormat="1">
      <c r="B13" s="460" t="s">
        <v>18549</v>
      </c>
      <c r="C13" s="2131">
        <v>0</v>
      </c>
      <c r="D13" s="2131">
        <v>29187.628000000001</v>
      </c>
      <c r="E13" s="2135">
        <f t="shared" ref="E13:E14" si="2">IFERROR(SUM(C13:D13),0)</f>
        <v>29187.628000000001</v>
      </c>
      <c r="F13" s="106"/>
      <c r="G13" s="1041" t="s">
        <v>18550</v>
      </c>
      <c r="H13" s="261"/>
      <c r="I13" s="558"/>
      <c r="K13" s="886"/>
      <c r="L13" s="1792">
        <f t="shared" si="1"/>
        <v>0</v>
      </c>
      <c r="M13" s="886"/>
      <c r="N13" s="1793">
        <f t="shared" ref="N13:N14" si="3" xml:space="preserve"> IF( ISNUMBER(C13 ), 0, 1 )</f>
        <v>0</v>
      </c>
      <c r="O13" s="1793">
        <f t="shared" si="0"/>
        <v>0</v>
      </c>
      <c r="P13" s="242"/>
      <c r="Q13" s="886"/>
      <c r="R13" s="389"/>
      <c r="S13" s="460" t="s">
        <v>18549</v>
      </c>
      <c r="T13" s="2131" t="s">
        <v>18551</v>
      </c>
      <c r="U13" s="2131" t="s">
        <v>18552</v>
      </c>
      <c r="V13" s="2135" t="s">
        <v>18553</v>
      </c>
    </row>
    <row r="14" spans="2:22" s="197" customFormat="1">
      <c r="B14" s="460" t="s">
        <v>18554</v>
      </c>
      <c r="C14" s="2131">
        <v>3906.1023</v>
      </c>
      <c r="D14" s="2131">
        <v>3555.1990999999998</v>
      </c>
      <c r="E14" s="2135">
        <f t="shared" si="2"/>
        <v>7461.3014000000003</v>
      </c>
      <c r="F14" s="106"/>
      <c r="G14" s="1041" t="s">
        <v>18555</v>
      </c>
      <c r="H14" s="261"/>
      <c r="I14" s="558"/>
      <c r="K14" s="886"/>
      <c r="L14" s="1792">
        <f t="shared" si="1"/>
        <v>0</v>
      </c>
      <c r="M14" s="886"/>
      <c r="N14" s="1793">
        <f t="shared" si="3"/>
        <v>0</v>
      </c>
      <c r="O14" s="1793">
        <f t="shared" si="0"/>
        <v>0</v>
      </c>
      <c r="P14" s="242"/>
      <c r="Q14" s="886"/>
      <c r="R14" s="389"/>
      <c r="S14" s="460" t="s">
        <v>18554</v>
      </c>
      <c r="T14" s="2131" t="s">
        <v>18556</v>
      </c>
      <c r="U14" s="2131" t="s">
        <v>18557</v>
      </c>
      <c r="V14" s="2135" t="s">
        <v>18558</v>
      </c>
    </row>
    <row r="15" spans="2:22" s="197" customFormat="1">
      <c r="B15" s="460" t="s">
        <v>18559</v>
      </c>
      <c r="C15" s="2476">
        <v>57.417167999999997</v>
      </c>
      <c r="D15" s="2476">
        <v>0</v>
      </c>
      <c r="E15" s="2473">
        <f>IFERROR(SUM(C15:D15),0)</f>
        <v>57.417167999999997</v>
      </c>
      <c r="F15" s="106"/>
      <c r="G15" s="1041" t="s">
        <v>18560</v>
      </c>
      <c r="H15" s="261"/>
      <c r="I15" s="2347"/>
      <c r="K15" s="886"/>
      <c r="L15" s="1792">
        <f t="shared" si="1"/>
        <v>0</v>
      </c>
      <c r="M15" s="886"/>
      <c r="N15" s="1793"/>
      <c r="O15" s="1793"/>
      <c r="P15" s="1806"/>
      <c r="Q15" s="1806"/>
      <c r="R15" s="389"/>
      <c r="S15" s="460" t="s">
        <v>18559</v>
      </c>
      <c r="T15" s="2476" t="s">
        <v>3489</v>
      </c>
      <c r="U15" s="2476" t="s">
        <v>3491</v>
      </c>
      <c r="V15" s="2473" t="s">
        <v>3493</v>
      </c>
    </row>
    <row r="16" spans="2:22" s="197" customFormat="1">
      <c r="B16" s="460" t="s">
        <v>18561</v>
      </c>
      <c r="C16" s="2477">
        <f>IFERROR(SUM(C13:C15,C11),0)</f>
        <v>6226.258468</v>
      </c>
      <c r="D16" s="2477">
        <f>IFERROR(SUM(D13:D15,D11),0)</f>
        <v>68791.551100000012</v>
      </c>
      <c r="E16" s="2473">
        <f>IFERROR(SUM(E13:E15,E11),0)</f>
        <v>75017.809567999997</v>
      </c>
      <c r="F16" s="106"/>
      <c r="G16" s="1041" t="s">
        <v>18562</v>
      </c>
      <c r="H16" s="261"/>
      <c r="I16" s="2347"/>
      <c r="K16" s="886"/>
      <c r="L16" s="1792">
        <f t="shared" si="1"/>
        <v>0</v>
      </c>
      <c r="M16" s="886"/>
      <c r="N16" s="1793"/>
      <c r="O16" s="1793"/>
      <c r="P16" s="242"/>
      <c r="Q16" s="886"/>
      <c r="R16" s="389"/>
      <c r="S16" s="460" t="s">
        <v>18561</v>
      </c>
      <c r="T16" s="2477" t="s">
        <v>3495</v>
      </c>
      <c r="U16" s="2477" t="s">
        <v>3497</v>
      </c>
      <c r="V16" s="2473" t="s">
        <v>3499</v>
      </c>
    </row>
    <row r="17" spans="2:22" s="197" customFormat="1" ht="16.5" thickBot="1">
      <c r="B17" s="463" t="s">
        <v>18563</v>
      </c>
      <c r="C17" s="2475">
        <f>IFERROR(SUM(C12:C15),0)</f>
        <v>5597.9364679999999</v>
      </c>
      <c r="D17" s="2475">
        <f>IFERROR(SUM(D12:D15),0)</f>
        <v>39781.921999999999</v>
      </c>
      <c r="E17" s="2474">
        <f>IFERROR(SUM(E12:E15),0)</f>
        <v>45379.858468000006</v>
      </c>
      <c r="F17" s="106"/>
      <c r="G17" s="1043" t="s">
        <v>18564</v>
      </c>
      <c r="H17" s="261"/>
      <c r="I17" s="560"/>
      <c r="K17" s="886"/>
      <c r="L17" s="1792">
        <f t="shared" si="1"/>
        <v>0</v>
      </c>
      <c r="M17" s="886"/>
      <c r="N17" s="242"/>
      <c r="O17" s="242"/>
      <c r="P17" s="242"/>
      <c r="Q17" s="886"/>
      <c r="R17" s="389"/>
      <c r="S17" s="463" t="s">
        <v>18563</v>
      </c>
      <c r="T17" s="2475" t="s">
        <v>18565</v>
      </c>
      <c r="U17" s="2475" t="s">
        <v>18566</v>
      </c>
      <c r="V17" s="2474" t="s">
        <v>18567</v>
      </c>
    </row>
    <row r="18" spans="2:22" s="197" customFormat="1" ht="17.25" thickTop="1" thickBot="1">
      <c r="C18" s="2161"/>
      <c r="D18" s="2161"/>
      <c r="E18" s="2344"/>
      <c r="G18" s="197" t="s">
        <v>9921</v>
      </c>
      <c r="H18" s="261"/>
      <c r="K18" s="886"/>
      <c r="L18" s="242"/>
      <c r="M18" s="886"/>
      <c r="N18" s="242"/>
      <c r="O18" s="242"/>
      <c r="P18" s="242"/>
      <c r="Q18" s="886"/>
      <c r="R18" s="389"/>
      <c r="T18" s="2161"/>
      <c r="U18" s="2161"/>
      <c r="V18" s="2344"/>
    </row>
    <row r="19" spans="2:22" s="197" customFormat="1" ht="20.25" thickTop="1">
      <c r="B19" s="451" t="s">
        <v>18568</v>
      </c>
      <c r="C19" s="2130">
        <v>6087.2362000000003</v>
      </c>
      <c r="D19" s="2130">
        <v>39441.898999999998</v>
      </c>
      <c r="E19" s="2134">
        <f>IFERROR(SUM(C19:D19),0)</f>
        <v>45529.135199999997</v>
      </c>
      <c r="F19" s="106"/>
      <c r="G19" s="1040" t="s">
        <v>18569</v>
      </c>
      <c r="H19" s="261"/>
      <c r="I19" s="557"/>
      <c r="K19" s="886"/>
      <c r="L19" s="1792">
        <f t="shared" ref="L19:L21" si="4">IF( SUM( N19:P19 ) = 0, 0, $N$6 )</f>
        <v>0</v>
      </c>
      <c r="M19" s="886"/>
      <c r="N19" s="1793">
        <f t="shared" ref="N19:O21" si="5" xml:space="preserve"> IF( ISNUMBER(C19 ), 0, 1 )</f>
        <v>0</v>
      </c>
      <c r="O19" s="1793">
        <f t="shared" si="5"/>
        <v>0</v>
      </c>
      <c r="P19" s="242"/>
      <c r="Q19" s="886"/>
      <c r="R19" s="389"/>
      <c r="S19" s="451" t="s">
        <v>18568</v>
      </c>
      <c r="T19" s="2130" t="s">
        <v>18570</v>
      </c>
      <c r="U19" s="2130" t="s">
        <v>18571</v>
      </c>
      <c r="V19" s="2134" t="s">
        <v>18572</v>
      </c>
    </row>
    <row r="20" spans="2:22" s="197" customFormat="1" ht="19.5">
      <c r="B20" s="460" t="s">
        <v>18573</v>
      </c>
      <c r="C20" s="2131">
        <v>32.740918000000001</v>
      </c>
      <c r="D20" s="2131">
        <v>12870.98</v>
      </c>
      <c r="E20" s="2135">
        <f t="shared" ref="E20:E22" si="6">IFERROR(SUM(C20:D20),0)</f>
        <v>12903.720917999999</v>
      </c>
      <c r="F20" s="106"/>
      <c r="G20" s="1041" t="s">
        <v>18574</v>
      </c>
      <c r="H20" s="261"/>
      <c r="I20" s="291"/>
      <c r="K20" s="886"/>
      <c r="L20" s="1792">
        <f t="shared" si="4"/>
        <v>0</v>
      </c>
      <c r="M20" s="886"/>
      <c r="N20" s="1793">
        <f t="shared" si="5"/>
        <v>0</v>
      </c>
      <c r="O20" s="1793">
        <f t="shared" si="5"/>
        <v>0</v>
      </c>
      <c r="P20" s="242"/>
      <c r="Q20" s="886"/>
      <c r="R20" s="389"/>
      <c r="S20" s="460" t="s">
        <v>18573</v>
      </c>
      <c r="T20" s="2131" t="s">
        <v>18575</v>
      </c>
      <c r="U20" s="2131" t="s">
        <v>18576</v>
      </c>
      <c r="V20" s="2135" t="s">
        <v>18577</v>
      </c>
    </row>
    <row r="21" spans="2:22" s="197" customFormat="1" ht="19.5">
      <c r="B21" s="460" t="s">
        <v>18578</v>
      </c>
      <c r="C21" s="2131">
        <v>106.28134</v>
      </c>
      <c r="D21" s="2131">
        <v>16444.411</v>
      </c>
      <c r="E21" s="2473">
        <f t="shared" si="6"/>
        <v>16550.692340000001</v>
      </c>
      <c r="F21" s="106"/>
      <c r="G21" s="1041" t="s">
        <v>18579</v>
      </c>
      <c r="H21" s="261"/>
      <c r="I21" s="291"/>
      <c r="K21" s="886"/>
      <c r="L21" s="1792">
        <f t="shared" si="4"/>
        <v>0</v>
      </c>
      <c r="M21" s="886"/>
      <c r="N21" s="1793">
        <f t="shared" si="5"/>
        <v>0</v>
      </c>
      <c r="O21" s="1793">
        <f t="shared" si="5"/>
        <v>0</v>
      </c>
      <c r="P21" s="242"/>
      <c r="Q21" s="886"/>
      <c r="R21" s="389"/>
      <c r="S21" s="460" t="s">
        <v>18578</v>
      </c>
      <c r="T21" s="2131" t="s">
        <v>18580</v>
      </c>
      <c r="U21" s="2131" t="s">
        <v>18581</v>
      </c>
      <c r="V21" s="2473" t="s">
        <v>18582</v>
      </c>
    </row>
    <row r="22" spans="2:22" s="197" customFormat="1" ht="16.5" thickBot="1">
      <c r="B22" s="463" t="s">
        <v>18583</v>
      </c>
      <c r="C22" s="2132">
        <v>0</v>
      </c>
      <c r="D22" s="2132">
        <v>0</v>
      </c>
      <c r="E22" s="2474">
        <f t="shared" si="6"/>
        <v>0</v>
      </c>
      <c r="F22" s="106"/>
      <c r="G22" s="1043" t="s">
        <v>18584</v>
      </c>
      <c r="H22" s="261"/>
      <c r="I22" s="302"/>
      <c r="K22" s="886"/>
      <c r="L22" s="1792"/>
      <c r="M22" s="886"/>
      <c r="N22" s="1793"/>
      <c r="O22" s="1793"/>
      <c r="P22" s="242"/>
      <c r="Q22" s="886"/>
      <c r="R22" s="389"/>
      <c r="S22" s="463" t="s">
        <v>18583</v>
      </c>
      <c r="T22" s="2132" t="s">
        <v>3501</v>
      </c>
      <c r="U22" s="2132" t="s">
        <v>3503</v>
      </c>
      <c r="V22" s="2474" t="s">
        <v>3505</v>
      </c>
    </row>
    <row r="23" spans="2:22" s="197" customFormat="1" ht="17.25" thickTop="1" thickBot="1">
      <c r="B23" s="1272"/>
      <c r="C23" s="2345"/>
      <c r="D23" s="2345"/>
      <c r="E23" s="2163"/>
      <c r="F23" s="106"/>
      <c r="G23" s="565" t="s">
        <v>9921</v>
      </c>
      <c r="H23" s="261"/>
      <c r="K23" s="886"/>
      <c r="L23" s="242"/>
      <c r="M23" s="886"/>
      <c r="N23" s="242"/>
      <c r="O23" s="242"/>
      <c r="P23" s="242"/>
      <c r="Q23" s="886"/>
      <c r="R23" s="389"/>
      <c r="S23" s="1272"/>
      <c r="T23" s="2345"/>
      <c r="U23" s="2345"/>
      <c r="V23" s="2163"/>
    </row>
    <row r="24" spans="2:22" s="197" customFormat="1" ht="17.25" thickTop="1" thickBot="1">
      <c r="B24" s="1786" t="s">
        <v>18585</v>
      </c>
      <c r="C24" s="2346"/>
      <c r="D24" s="2346"/>
      <c r="E24" s="2164"/>
      <c r="F24" s="106"/>
      <c r="G24" s="582" t="s">
        <v>9921</v>
      </c>
      <c r="H24" s="261"/>
      <c r="K24" s="886"/>
      <c r="L24" s="242"/>
      <c r="M24" s="886"/>
      <c r="N24" s="242"/>
      <c r="O24" s="242"/>
      <c r="P24" s="242"/>
      <c r="Q24" s="886"/>
      <c r="R24" s="389"/>
      <c r="S24" s="1786" t="s">
        <v>18585</v>
      </c>
      <c r="T24" s="2346"/>
      <c r="U24" s="2346"/>
      <c r="V24" s="2164"/>
    </row>
    <row r="25" spans="2:22" s="197" customFormat="1" ht="16.5" thickTop="1">
      <c r="B25" s="451" t="s">
        <v>18586</v>
      </c>
      <c r="C25" s="2130">
        <v>41658.292999999998</v>
      </c>
      <c r="D25" s="2130">
        <v>23193.059000000001</v>
      </c>
      <c r="E25" s="2134">
        <f>IFERROR(SUM(C25:D25),0)</f>
        <v>64851.351999999999</v>
      </c>
      <c r="F25" s="106"/>
      <c r="G25" s="1040" t="s">
        <v>18587</v>
      </c>
      <c r="H25" s="261"/>
      <c r="I25" s="557"/>
      <c r="K25" s="886"/>
      <c r="L25" s="1792">
        <f>IF( SUM( N25:P25 ) = 0, 0, $N$6 )</f>
        <v>0</v>
      </c>
      <c r="M25" s="886"/>
      <c r="N25" s="1793">
        <f t="shared" ref="N25:O29" si="7" xml:space="preserve"> IF( ISNUMBER(C25 ), 0, 1 )</f>
        <v>0</v>
      </c>
      <c r="O25" s="1793">
        <f t="shared" si="7"/>
        <v>0</v>
      </c>
      <c r="P25" s="242"/>
      <c r="Q25" s="886"/>
      <c r="R25" s="389"/>
      <c r="S25" s="451" t="s">
        <v>18586</v>
      </c>
      <c r="T25" s="2130" t="s">
        <v>18588</v>
      </c>
      <c r="U25" s="2130" t="s">
        <v>18589</v>
      </c>
      <c r="V25" s="2134" t="s">
        <v>18590</v>
      </c>
    </row>
    <row r="26" spans="2:22" s="197" customFormat="1">
      <c r="B26" s="460" t="s">
        <v>18591</v>
      </c>
      <c r="C26" s="2131">
        <v>0</v>
      </c>
      <c r="D26" s="2131">
        <v>0</v>
      </c>
      <c r="E26" s="2135">
        <f t="shared" ref="E26:E29" si="8">IFERROR(SUM(C26:D26),0)</f>
        <v>0</v>
      </c>
      <c r="F26" s="106"/>
      <c r="G26" s="1041" t="s">
        <v>18592</v>
      </c>
      <c r="H26" s="261"/>
      <c r="I26" s="558"/>
      <c r="K26" s="886"/>
      <c r="L26" s="1792">
        <f t="shared" ref="L26:L29" si="9">IF( SUM( N26:P26 ) = 0, 0, $N$6 )</f>
        <v>0</v>
      </c>
      <c r="M26" s="886"/>
      <c r="N26" s="1793">
        <f t="shared" si="7"/>
        <v>0</v>
      </c>
      <c r="O26" s="1793">
        <f t="shared" si="7"/>
        <v>0</v>
      </c>
      <c r="P26" s="242"/>
      <c r="Q26" s="886"/>
      <c r="R26" s="389"/>
      <c r="S26" s="460" t="s">
        <v>18591</v>
      </c>
      <c r="T26" s="2131" t="s">
        <v>18593</v>
      </c>
      <c r="U26" s="2131" t="s">
        <v>18594</v>
      </c>
      <c r="V26" s="2135" t="s">
        <v>18595</v>
      </c>
    </row>
    <row r="27" spans="2:22" s="197" customFormat="1">
      <c r="B27" s="460" t="s">
        <v>18596</v>
      </c>
      <c r="C27" s="2131">
        <v>0</v>
      </c>
      <c r="D27" s="2131">
        <v>0</v>
      </c>
      <c r="E27" s="2135">
        <f t="shared" si="8"/>
        <v>0</v>
      </c>
      <c r="F27" s="106"/>
      <c r="G27" s="1041" t="s">
        <v>18597</v>
      </c>
      <c r="H27" s="261"/>
      <c r="I27" s="558"/>
      <c r="K27" s="886"/>
      <c r="L27" s="1792">
        <f t="shared" si="9"/>
        <v>0</v>
      </c>
      <c r="M27" s="886"/>
      <c r="N27" s="1793">
        <f t="shared" si="7"/>
        <v>0</v>
      </c>
      <c r="O27" s="1793">
        <f t="shared" si="7"/>
        <v>0</v>
      </c>
      <c r="P27" s="242"/>
      <c r="Q27" s="886"/>
      <c r="R27" s="389"/>
      <c r="S27" s="460" t="s">
        <v>18596</v>
      </c>
      <c r="T27" s="2131" t="s">
        <v>18598</v>
      </c>
      <c r="U27" s="2131" t="s">
        <v>18599</v>
      </c>
      <c r="V27" s="2135" t="s">
        <v>18600</v>
      </c>
    </row>
    <row r="28" spans="2:22" s="197" customFormat="1">
      <c r="B28" s="460" t="s">
        <v>18601</v>
      </c>
      <c r="C28" s="2131">
        <v>0</v>
      </c>
      <c r="D28" s="2131">
        <v>0</v>
      </c>
      <c r="E28" s="2135">
        <f t="shared" si="8"/>
        <v>0</v>
      </c>
      <c r="F28" s="106"/>
      <c r="G28" s="1041" t="s">
        <v>18602</v>
      </c>
      <c r="H28" s="261"/>
      <c r="I28" s="558"/>
      <c r="K28" s="886"/>
      <c r="L28" s="1792">
        <f t="shared" si="9"/>
        <v>0</v>
      </c>
      <c r="M28" s="886"/>
      <c r="N28" s="1793">
        <f t="shared" si="7"/>
        <v>0</v>
      </c>
      <c r="O28" s="1793">
        <f t="shared" si="7"/>
        <v>0</v>
      </c>
      <c r="P28" s="242"/>
      <c r="Q28" s="886"/>
      <c r="R28" s="389"/>
      <c r="S28" s="460" t="s">
        <v>18601</v>
      </c>
      <c r="T28" s="2131" t="s">
        <v>18603</v>
      </c>
      <c r="U28" s="2131" t="s">
        <v>18604</v>
      </c>
      <c r="V28" s="2135" t="s">
        <v>18605</v>
      </c>
    </row>
    <row r="29" spans="2:22" s="197" customFormat="1">
      <c r="B29" s="460" t="s">
        <v>18606</v>
      </c>
      <c r="C29" s="2131">
        <v>0</v>
      </c>
      <c r="D29" s="2131">
        <v>0</v>
      </c>
      <c r="E29" s="2135">
        <f t="shared" si="8"/>
        <v>0</v>
      </c>
      <c r="F29" s="106"/>
      <c r="G29" s="1041" t="s">
        <v>18607</v>
      </c>
      <c r="H29" s="261"/>
      <c r="I29" s="558"/>
      <c r="K29" s="886"/>
      <c r="L29" s="1792">
        <f t="shared" si="9"/>
        <v>0</v>
      </c>
      <c r="M29" s="886"/>
      <c r="N29" s="1793">
        <f t="shared" si="7"/>
        <v>0</v>
      </c>
      <c r="O29" s="1793">
        <f t="shared" si="7"/>
        <v>0</v>
      </c>
      <c r="P29" s="242"/>
      <c r="Q29" s="886"/>
      <c r="R29" s="389"/>
      <c r="S29" s="460" t="s">
        <v>18606</v>
      </c>
      <c r="T29" s="2131" t="s">
        <v>18608</v>
      </c>
      <c r="U29" s="2131" t="s">
        <v>18609</v>
      </c>
      <c r="V29" s="2135" t="s">
        <v>18610</v>
      </c>
    </row>
    <row r="30" spans="2:22" s="197" customFormat="1">
      <c r="B30" s="460" t="s">
        <v>18611</v>
      </c>
      <c r="C30" s="2477">
        <f>IFERROR(SUM(C25,C27:C29),0)</f>
        <v>41658.292999999998</v>
      </c>
      <c r="D30" s="2477">
        <f>IFERROR(SUM(D25,D27:D29),0)</f>
        <v>23193.059000000001</v>
      </c>
      <c r="E30" s="2473">
        <f>IFERROR(SUM(E27:E29,E25),0)</f>
        <v>64851.351999999999</v>
      </c>
      <c r="F30" s="106"/>
      <c r="G30" s="1041" t="s">
        <v>18612</v>
      </c>
      <c r="H30" s="261"/>
      <c r="I30" s="2347"/>
      <c r="K30" s="886"/>
      <c r="L30" s="1792"/>
      <c r="M30" s="886"/>
      <c r="N30" s="1793"/>
      <c r="O30" s="1793"/>
      <c r="P30" s="242"/>
      <c r="Q30" s="886"/>
      <c r="R30" s="389"/>
      <c r="S30" s="460" t="s">
        <v>18611</v>
      </c>
      <c r="T30" s="2477" t="s">
        <v>3507</v>
      </c>
      <c r="U30" s="2477" t="s">
        <v>3509</v>
      </c>
      <c r="V30" s="2473" t="s">
        <v>3511</v>
      </c>
    </row>
    <row r="31" spans="2:22" s="197" customFormat="1" ht="16.5" thickBot="1">
      <c r="B31" s="463" t="s">
        <v>18613</v>
      </c>
      <c r="C31" s="2475">
        <f>IFERROR(SUM(C26:C29),0)</f>
        <v>0</v>
      </c>
      <c r="D31" s="2475">
        <f>IFERROR(SUM(D26:D29),0)</f>
        <v>0</v>
      </c>
      <c r="E31" s="2474">
        <f>IFERROR(SUM(E26:E29),0)</f>
        <v>0</v>
      </c>
      <c r="F31" s="106"/>
      <c r="G31" s="1043" t="s">
        <v>18614</v>
      </c>
      <c r="H31" s="261"/>
      <c r="I31" s="560"/>
      <c r="K31" s="886"/>
      <c r="L31" s="1792"/>
      <c r="M31" s="886"/>
      <c r="N31" s="242"/>
      <c r="O31" s="242"/>
      <c r="P31" s="242"/>
      <c r="Q31" s="886"/>
      <c r="R31" s="389"/>
      <c r="S31" s="463" t="s">
        <v>18613</v>
      </c>
      <c r="T31" s="2475" t="s">
        <v>18615</v>
      </c>
      <c r="U31" s="2475" t="s">
        <v>18616</v>
      </c>
      <c r="V31" s="2474" t="s">
        <v>18617</v>
      </c>
    </row>
    <row r="32" spans="2:22" s="197" customFormat="1" ht="17.25" thickTop="1" thickBot="1">
      <c r="B32" s="174"/>
      <c r="C32" s="2157"/>
      <c r="D32" s="2157"/>
      <c r="E32" s="2165"/>
      <c r="F32" s="106"/>
      <c r="G32" s="174" t="s">
        <v>9921</v>
      </c>
      <c r="H32" s="261"/>
      <c r="I32" s="1791"/>
      <c r="K32" s="886"/>
      <c r="L32" s="1792"/>
      <c r="M32" s="886"/>
      <c r="N32" s="242"/>
      <c r="O32" s="242"/>
      <c r="P32" s="242"/>
      <c r="Q32" s="886"/>
      <c r="R32" s="389"/>
      <c r="S32" s="174"/>
      <c r="T32" s="2157"/>
      <c r="U32" s="2157"/>
      <c r="V32" s="2165"/>
    </row>
    <row r="33" spans="1:22" s="197" customFormat="1" ht="20.25" thickTop="1">
      <c r="B33" s="451" t="s">
        <v>18618</v>
      </c>
      <c r="C33" s="2130">
        <v>41190.826999999997</v>
      </c>
      <c r="D33" s="2130">
        <v>22932.798999999999</v>
      </c>
      <c r="E33" s="2134">
        <f>IFERROR(SUM(C33:D33),0)</f>
        <v>64123.625999999997</v>
      </c>
      <c r="F33" s="106"/>
      <c r="G33" s="1040" t="s">
        <v>18619</v>
      </c>
      <c r="H33" s="261"/>
      <c r="I33" s="283"/>
      <c r="K33" s="886"/>
      <c r="L33" s="1792">
        <f t="shared" ref="L33:L35" si="10">IF( SUM( N33:P33 ) = 0, 0, $N$6 )</f>
        <v>0</v>
      </c>
      <c r="M33" s="886"/>
      <c r="N33" s="1793">
        <f t="shared" ref="N33:O35" si="11" xml:space="preserve"> IF( ISNUMBER(C33 ), 0, 1 )</f>
        <v>0</v>
      </c>
      <c r="O33" s="1793">
        <f t="shared" si="11"/>
        <v>0</v>
      </c>
      <c r="P33" s="242"/>
      <c r="Q33" s="886"/>
      <c r="R33" s="389"/>
      <c r="S33" s="451" t="s">
        <v>18618</v>
      </c>
      <c r="T33" s="2130" t="s">
        <v>18620</v>
      </c>
      <c r="U33" s="2130" t="s">
        <v>18621</v>
      </c>
      <c r="V33" s="2134" t="s">
        <v>18622</v>
      </c>
    </row>
    <row r="34" spans="1:22" s="197" customFormat="1" ht="19.5">
      <c r="B34" s="460" t="s">
        <v>18623</v>
      </c>
      <c r="C34" s="2131">
        <v>172.33753999999999</v>
      </c>
      <c r="D34" s="2131">
        <v>95.948117999999994</v>
      </c>
      <c r="E34" s="2135">
        <f t="shared" ref="E34:E35" si="12">IFERROR(SUM(C34:D34),0)</f>
        <v>268.28565800000001</v>
      </c>
      <c r="F34" s="106"/>
      <c r="G34" s="1041" t="s">
        <v>18624</v>
      </c>
      <c r="H34" s="261"/>
      <c r="I34" s="291"/>
      <c r="K34" s="886"/>
      <c r="L34" s="1792">
        <f t="shared" si="10"/>
        <v>0</v>
      </c>
      <c r="M34" s="886"/>
      <c r="N34" s="1793">
        <f t="shared" si="11"/>
        <v>0</v>
      </c>
      <c r="O34" s="1793">
        <f t="shared" si="11"/>
        <v>0</v>
      </c>
      <c r="P34" s="242"/>
      <c r="Q34" s="886"/>
      <c r="R34" s="389"/>
      <c r="S34" s="460" t="s">
        <v>18623</v>
      </c>
      <c r="T34" s="2131" t="s">
        <v>18625</v>
      </c>
      <c r="U34" s="2131" t="s">
        <v>18626</v>
      </c>
      <c r="V34" s="2135" t="s">
        <v>18627</v>
      </c>
    </row>
    <row r="35" spans="1:22" s="197" customFormat="1" ht="19.5">
      <c r="B35" s="460" t="s">
        <v>18628</v>
      </c>
      <c r="C35" s="2131">
        <v>295.12804</v>
      </c>
      <c r="D35" s="2131">
        <v>164.31115</v>
      </c>
      <c r="E35" s="2135">
        <f t="shared" si="12"/>
        <v>459.43919</v>
      </c>
      <c r="F35" s="106"/>
      <c r="G35" s="1041" t="s">
        <v>18629</v>
      </c>
      <c r="H35" s="261"/>
      <c r="I35" s="291"/>
      <c r="K35" s="886"/>
      <c r="L35" s="1792">
        <f t="shared" si="10"/>
        <v>0</v>
      </c>
      <c r="M35" s="886"/>
      <c r="N35" s="1793">
        <f t="shared" si="11"/>
        <v>0</v>
      </c>
      <c r="O35" s="1793">
        <f t="shared" si="11"/>
        <v>0</v>
      </c>
      <c r="P35" s="242"/>
      <c r="Q35" s="886"/>
      <c r="R35" s="389"/>
      <c r="S35" s="460" t="s">
        <v>18628</v>
      </c>
      <c r="T35" s="2131" t="s">
        <v>18630</v>
      </c>
      <c r="U35" s="2131" t="s">
        <v>18631</v>
      </c>
      <c r="V35" s="2135" t="s">
        <v>18632</v>
      </c>
    </row>
    <row r="36" spans="1:22" s="197" customFormat="1" ht="16.5" thickBot="1">
      <c r="B36" s="463" t="s">
        <v>18633</v>
      </c>
      <c r="C36" s="2132">
        <v>0</v>
      </c>
      <c r="D36" s="2132">
        <v>0</v>
      </c>
      <c r="E36" s="2474">
        <f>IFERROR(SUM(C36:D36),0)</f>
        <v>0</v>
      </c>
      <c r="F36" s="106"/>
      <c r="G36" s="1043" t="s">
        <v>18634</v>
      </c>
      <c r="H36" s="261"/>
      <c r="I36" s="302"/>
      <c r="K36" s="886"/>
      <c r="L36" s="1792"/>
      <c r="M36" s="886"/>
      <c r="N36" s="1793"/>
      <c r="O36" s="1793"/>
      <c r="P36" s="242"/>
      <c r="Q36" s="886"/>
      <c r="R36" s="389"/>
      <c r="S36" s="463" t="s">
        <v>18633</v>
      </c>
      <c r="T36" s="2132" t="s">
        <v>3513</v>
      </c>
      <c r="U36" s="2132" t="s">
        <v>3515</v>
      </c>
      <c r="V36" s="2474" t="s">
        <v>3517</v>
      </c>
    </row>
    <row r="37" spans="1:22" s="197" customFormat="1" ht="17.25" thickTop="1" thickBot="1">
      <c r="A37" s="219"/>
      <c r="B37" s="242"/>
      <c r="C37" s="2158"/>
      <c r="D37" s="2158"/>
      <c r="E37" s="2348"/>
      <c r="F37" s="242"/>
      <c r="G37" s="242" t="s">
        <v>9921</v>
      </c>
      <c r="H37" s="261"/>
      <c r="I37" s="242"/>
      <c r="J37" s="242"/>
      <c r="K37" s="886"/>
      <c r="L37" s="242"/>
      <c r="M37" s="886"/>
      <c r="N37" s="242"/>
      <c r="O37" s="242"/>
      <c r="P37" s="242"/>
      <c r="Q37" s="886"/>
      <c r="R37" s="389"/>
      <c r="S37" s="242"/>
      <c r="T37" s="2158"/>
      <c r="U37" s="2158"/>
      <c r="V37" s="2348"/>
    </row>
    <row r="38" spans="1:22" s="197" customFormat="1" ht="17.25" thickTop="1" thickBot="1">
      <c r="B38" s="1786" t="s">
        <v>18635</v>
      </c>
      <c r="C38" s="2158"/>
      <c r="D38" s="2158"/>
      <c r="E38" s="2348"/>
      <c r="F38" s="242"/>
      <c r="G38" s="242" t="s">
        <v>9921</v>
      </c>
      <c r="H38" s="261"/>
      <c r="I38" s="242"/>
      <c r="J38" s="242"/>
      <c r="K38" s="886"/>
      <c r="L38" s="242"/>
      <c r="M38" s="886"/>
      <c r="N38" s="242"/>
      <c r="O38" s="242"/>
      <c r="P38" s="242"/>
      <c r="Q38" s="886"/>
      <c r="R38" s="389"/>
      <c r="S38" s="1786" t="s">
        <v>18635</v>
      </c>
      <c r="T38" s="2158"/>
      <c r="U38" s="2158"/>
      <c r="V38" s="2348"/>
    </row>
    <row r="39" spans="1:22" s="197" customFormat="1" ht="16.5" thickTop="1">
      <c r="B39" s="451" t="s">
        <v>18636</v>
      </c>
      <c r="C39" s="2130">
        <v>191.21525</v>
      </c>
      <c r="D39" s="2130">
        <v>191.21525</v>
      </c>
      <c r="E39" s="2134">
        <f>IFERROR(SUM(C39:D39),0)</f>
        <v>382.43049999999999</v>
      </c>
      <c r="F39" s="106"/>
      <c r="G39" s="1040" t="s">
        <v>18637</v>
      </c>
      <c r="H39" s="261"/>
      <c r="I39" s="557"/>
      <c r="K39" s="886"/>
      <c r="L39" s="1792">
        <f t="shared" ref="L39:L40" si="13">IF( SUM( N39:P39 ) = 0, 0, $N$6 )</f>
        <v>0</v>
      </c>
      <c r="M39" s="886"/>
      <c r="N39" s="1793">
        <f t="shared" ref="N39:O40" si="14" xml:space="preserve"> IF( ISNUMBER(C39 ), 0, 1 )</f>
        <v>0</v>
      </c>
      <c r="O39" s="1793">
        <f t="shared" si="14"/>
        <v>0</v>
      </c>
      <c r="P39" s="242"/>
      <c r="Q39" s="886"/>
      <c r="R39" s="389"/>
      <c r="S39" s="451" t="s">
        <v>18636</v>
      </c>
      <c r="T39" s="2130" t="s">
        <v>18638</v>
      </c>
      <c r="U39" s="2130" t="s">
        <v>18639</v>
      </c>
      <c r="V39" s="2134" t="s">
        <v>18640</v>
      </c>
    </row>
    <row r="40" spans="1:22" s="197" customFormat="1">
      <c r="B40" s="460" t="s">
        <v>18641</v>
      </c>
      <c r="C40" s="2131">
        <v>909.54364999999996</v>
      </c>
      <c r="D40" s="2131">
        <v>909.54364999999996</v>
      </c>
      <c r="E40" s="2135">
        <f t="shared" ref="E40:E46" si="15">IFERROR(SUM(C40:D40),0)</f>
        <v>1819.0872999999999</v>
      </c>
      <c r="F40" s="106"/>
      <c r="G40" s="1041" t="s">
        <v>18642</v>
      </c>
      <c r="H40" s="261"/>
      <c r="I40" s="558"/>
      <c r="K40" s="886"/>
      <c r="L40" s="1792">
        <f t="shared" si="13"/>
        <v>0</v>
      </c>
      <c r="M40" s="886"/>
      <c r="N40" s="1793">
        <f t="shared" si="14"/>
        <v>0</v>
      </c>
      <c r="O40" s="1793">
        <f t="shared" si="14"/>
        <v>0</v>
      </c>
      <c r="P40" s="242"/>
      <c r="Q40" s="886"/>
      <c r="R40" s="389"/>
      <c r="S40" s="460" t="s">
        <v>18641</v>
      </c>
      <c r="T40" s="2131" t="s">
        <v>18643</v>
      </c>
      <c r="U40" s="2131" t="s">
        <v>18644</v>
      </c>
      <c r="V40" s="2135" t="s">
        <v>18645</v>
      </c>
    </row>
    <row r="41" spans="1:22" s="197" customFormat="1" ht="30">
      <c r="B41" s="460" t="s">
        <v>18646</v>
      </c>
      <c r="C41" s="2131">
        <v>14709.686759935961</v>
      </c>
      <c r="D41" s="2131">
        <v>8151.6050668320386</v>
      </c>
      <c r="E41" s="2135">
        <f>IFERROR(SUM(C41:D41),0)</f>
        <v>22861.291826768</v>
      </c>
      <c r="F41" s="106"/>
      <c r="G41" s="1041" t="s">
        <v>18647</v>
      </c>
      <c r="H41" s="261"/>
      <c r="I41" s="558"/>
      <c r="K41" s="886"/>
      <c r="L41" s="2343"/>
      <c r="M41" s="886"/>
      <c r="N41" s="1793"/>
      <c r="O41" s="1793"/>
      <c r="P41" s="1806"/>
      <c r="Q41" s="1806"/>
      <c r="R41" s="389"/>
      <c r="S41" s="460" t="s">
        <v>18646</v>
      </c>
      <c r="T41" s="2131" t="s">
        <v>3519</v>
      </c>
      <c r="U41" s="2131" t="s">
        <v>3521</v>
      </c>
      <c r="V41" s="2135" t="s">
        <v>3523</v>
      </c>
    </row>
    <row r="42" spans="1:22" s="197" customFormat="1" ht="30">
      <c r="B42" s="460" t="s">
        <v>18648</v>
      </c>
      <c r="C42" s="2131">
        <v>10898.87285993596</v>
      </c>
      <c r="D42" s="2131">
        <v>6029.9523668320389</v>
      </c>
      <c r="E42" s="2135">
        <f t="shared" si="15"/>
        <v>16928.825226768</v>
      </c>
      <c r="F42" s="106"/>
      <c r="G42" s="1041" t="s">
        <v>18649</v>
      </c>
      <c r="H42" s="261"/>
      <c r="I42" s="558"/>
      <c r="K42" s="886"/>
      <c r="L42" s="2343"/>
      <c r="M42" s="886"/>
      <c r="N42" s="1793"/>
      <c r="O42" s="1793"/>
      <c r="P42" s="1806"/>
      <c r="Q42" s="1806"/>
      <c r="R42" s="389"/>
      <c r="S42" s="460" t="s">
        <v>18648</v>
      </c>
      <c r="T42" s="2131" t="s">
        <v>3525</v>
      </c>
      <c r="U42" s="2131" t="s">
        <v>3527</v>
      </c>
      <c r="V42" s="2135" t="s">
        <v>3529</v>
      </c>
    </row>
    <row r="43" spans="1:22" s="197" customFormat="1">
      <c r="B43" s="460" t="s">
        <v>18650</v>
      </c>
      <c r="C43" s="2131">
        <v>0</v>
      </c>
      <c r="D43" s="2131">
        <v>0</v>
      </c>
      <c r="E43" s="2135">
        <f t="shared" si="15"/>
        <v>0</v>
      </c>
      <c r="F43" s="106"/>
      <c r="G43" s="1041" t="s">
        <v>18651</v>
      </c>
      <c r="H43" s="261"/>
      <c r="I43" s="558"/>
      <c r="K43" s="886"/>
      <c r="L43" s="2343"/>
      <c r="M43" s="886"/>
      <c r="N43" s="1793"/>
      <c r="O43" s="1793"/>
      <c r="P43" s="1806"/>
      <c r="Q43" s="1806"/>
      <c r="R43" s="389"/>
      <c r="S43" s="460" t="s">
        <v>18650</v>
      </c>
      <c r="T43" s="2131" t="s">
        <v>3531</v>
      </c>
      <c r="U43" s="2131" t="s">
        <v>3533</v>
      </c>
      <c r="V43" s="2135" t="s">
        <v>3535</v>
      </c>
    </row>
    <row r="44" spans="1:22" s="197" customFormat="1">
      <c r="B44" s="460" t="s">
        <v>18652</v>
      </c>
      <c r="C44" s="2131">
        <v>1292.8373786531295</v>
      </c>
      <c r="D44" s="2131">
        <v>7837.7293406092685</v>
      </c>
      <c r="E44" s="2135">
        <f t="shared" si="15"/>
        <v>9130.5667192623987</v>
      </c>
      <c r="F44" s="106"/>
      <c r="G44" s="1041" t="s">
        <v>18653</v>
      </c>
      <c r="H44" s="261"/>
      <c r="I44" s="558"/>
      <c r="K44" s="886"/>
      <c r="L44" s="2343"/>
      <c r="M44" s="886"/>
      <c r="N44" s="1793"/>
      <c r="O44" s="1793"/>
      <c r="P44" s="1806"/>
      <c r="Q44" s="1806"/>
      <c r="R44" s="389"/>
      <c r="S44" s="460"/>
      <c r="T44" s="2131" t="s">
        <v>3537</v>
      </c>
      <c r="U44" s="2131" t="s">
        <v>3539</v>
      </c>
      <c r="V44" s="2135" t="s">
        <v>3541</v>
      </c>
    </row>
    <row r="45" spans="1:22" s="197" customFormat="1">
      <c r="B45" s="460" t="s">
        <v>18654</v>
      </c>
      <c r="C45" s="2131">
        <v>38360.578803450211</v>
      </c>
      <c r="D45" s="2131">
        <v>10342.788720973889</v>
      </c>
      <c r="E45" s="2135">
        <f t="shared" si="15"/>
        <v>48703.367524424102</v>
      </c>
      <c r="F45" s="106"/>
      <c r="G45" s="1041" t="s">
        <v>18655</v>
      </c>
      <c r="H45" s="261"/>
      <c r="I45" s="558"/>
      <c r="K45" s="886"/>
      <c r="L45" s="2343"/>
      <c r="M45" s="886"/>
      <c r="N45" s="1793"/>
      <c r="O45" s="1793"/>
      <c r="P45" s="1806"/>
      <c r="Q45" s="1806"/>
      <c r="R45" s="389"/>
      <c r="S45" s="460" t="s">
        <v>18656</v>
      </c>
      <c r="T45" s="2131" t="s">
        <v>3543</v>
      </c>
      <c r="U45" s="2131" t="s">
        <v>3545</v>
      </c>
      <c r="V45" s="2135" t="s">
        <v>3547</v>
      </c>
    </row>
    <row r="46" spans="1:22" s="197" customFormat="1">
      <c r="B46" s="460" t="s">
        <v>18657</v>
      </c>
      <c r="C46" s="2131">
        <v>2577.1956384000005</v>
      </c>
      <c r="D46" s="2131">
        <v>4756.4263599999995</v>
      </c>
      <c r="E46" s="2135">
        <f t="shared" si="15"/>
        <v>7333.6219983999999</v>
      </c>
      <c r="F46" s="106"/>
      <c r="G46" s="1041" t="s">
        <v>18658</v>
      </c>
      <c r="H46" s="261"/>
      <c r="I46" s="558"/>
      <c r="K46" s="886"/>
      <c r="L46" s="2343"/>
      <c r="M46" s="886"/>
      <c r="N46" s="1793"/>
      <c r="O46" s="1793"/>
      <c r="P46" s="1806"/>
      <c r="Q46" s="1806"/>
      <c r="R46" s="389"/>
      <c r="S46" s="460" t="s">
        <v>18659</v>
      </c>
      <c r="T46" s="2131" t="s">
        <v>3549</v>
      </c>
      <c r="U46" s="2131" t="s">
        <v>3551</v>
      </c>
      <c r="V46" s="2135" t="s">
        <v>3553</v>
      </c>
    </row>
    <row r="47" spans="1:22" s="197" customFormat="1">
      <c r="B47" s="460" t="s">
        <v>18660</v>
      </c>
      <c r="C47" s="2478">
        <f>IFERROR(SUM(C39:C41, C43:C46),0)</f>
        <v>58041.057480439304</v>
      </c>
      <c r="D47" s="2478">
        <f>IFERROR(SUM(D39:D41, D43:D46),0)</f>
        <v>32189.308388415193</v>
      </c>
      <c r="E47" s="2479">
        <f>IFERROR(SUM(E39:E41, E43:E46),0)</f>
        <v>90230.365868854511</v>
      </c>
      <c r="F47" s="106"/>
      <c r="G47" s="1041" t="s">
        <v>18661</v>
      </c>
      <c r="H47" s="261"/>
      <c r="I47" s="558"/>
      <c r="K47" s="886"/>
      <c r="L47" s="1792"/>
      <c r="M47" s="886"/>
      <c r="N47" s="1793"/>
      <c r="O47" s="1793"/>
      <c r="P47" s="242"/>
      <c r="Q47" s="886"/>
      <c r="R47" s="389"/>
      <c r="S47" s="460" t="s">
        <v>18660</v>
      </c>
      <c r="T47" s="2478" t="s">
        <v>3555</v>
      </c>
      <c r="U47" s="2478" t="s">
        <v>3557</v>
      </c>
      <c r="V47" s="2479" t="s">
        <v>3559</v>
      </c>
    </row>
    <row r="48" spans="1:22" s="197" customFormat="1" ht="16.5" thickBot="1">
      <c r="B48" s="463" t="s">
        <v>18662</v>
      </c>
      <c r="C48" s="1787">
        <f>IFERROR(SUM(C39:C40, C42:C46),0)</f>
        <v>54230.243580439303</v>
      </c>
      <c r="D48" s="1787">
        <f>IFERROR(SUM(D39:D40, D42:D46),0)</f>
        <v>30067.655688415194</v>
      </c>
      <c r="E48" s="2480">
        <f>IFERROR(SUM(E39:E40, E42:E46),0)</f>
        <v>84297.899268854511</v>
      </c>
      <c r="F48" s="106"/>
      <c r="G48" s="1043" t="s">
        <v>18663</v>
      </c>
      <c r="H48" s="261"/>
      <c r="I48" s="560"/>
      <c r="K48" s="886"/>
      <c r="L48" s="1792"/>
      <c r="M48" s="886"/>
      <c r="N48" s="1793"/>
      <c r="O48" s="1793"/>
      <c r="P48" s="242"/>
      <c r="Q48" s="886"/>
      <c r="R48" s="389"/>
      <c r="S48" s="463" t="s">
        <v>18662</v>
      </c>
      <c r="T48" s="1787" t="s">
        <v>3561</v>
      </c>
      <c r="U48" s="1787" t="s">
        <v>3563</v>
      </c>
      <c r="V48" s="2480" t="s">
        <v>3565</v>
      </c>
    </row>
    <row r="49" spans="1:22" s="197" customFormat="1" ht="17.25" thickTop="1" thickBot="1">
      <c r="B49" s="365"/>
      <c r="C49" s="2349"/>
      <c r="D49" s="2349"/>
      <c r="E49" s="2350"/>
      <c r="F49" s="365"/>
      <c r="G49" s="365" t="s">
        <v>9921</v>
      </c>
      <c r="H49" s="261"/>
      <c r="I49" s="770"/>
      <c r="K49" s="886"/>
      <c r="L49" s="242"/>
      <c r="M49" s="886"/>
      <c r="N49" s="242"/>
      <c r="O49" s="242"/>
      <c r="P49" s="242"/>
      <c r="Q49" s="886"/>
      <c r="R49" s="389"/>
      <c r="S49" s="365"/>
      <c r="T49" s="2349"/>
      <c r="U49" s="2349"/>
      <c r="V49" s="2350"/>
    </row>
    <row r="50" spans="1:22" s="197" customFormat="1" ht="20.25" thickTop="1">
      <c r="A50" s="219"/>
      <c r="B50" s="451" t="s">
        <v>18664</v>
      </c>
      <c r="C50" s="2130">
        <v>57986.3594174393</v>
      </c>
      <c r="D50" s="2130">
        <v>32152.752814715193</v>
      </c>
      <c r="E50" s="2134">
        <f t="shared" ref="E50:E52" si="16">IFERROR(SUM(C50:D50),0)</f>
        <v>90139.112232154497</v>
      </c>
      <c r="F50" s="106"/>
      <c r="G50" s="1040" t="s">
        <v>18665</v>
      </c>
      <c r="H50" s="261"/>
      <c r="I50" s="283"/>
      <c r="J50" s="242"/>
      <c r="K50" s="886"/>
      <c r="L50" s="1792">
        <f t="shared" ref="L50:L52" si="17">IF( SUM( N50:P50 ) = 0, 0, $N$6 )</f>
        <v>0</v>
      </c>
      <c r="M50" s="886"/>
      <c r="N50" s="1793">
        <f t="shared" ref="N50:O52" si="18" xml:space="preserve"> IF( ISNUMBER(C50 ), 0, 1 )</f>
        <v>0</v>
      </c>
      <c r="O50" s="1793">
        <f t="shared" si="18"/>
        <v>0</v>
      </c>
      <c r="P50" s="242"/>
      <c r="Q50" s="886"/>
      <c r="R50" s="389"/>
      <c r="S50" s="451" t="s">
        <v>18664</v>
      </c>
      <c r="T50" s="2130" t="s">
        <v>18666</v>
      </c>
      <c r="U50" s="2130" t="s">
        <v>18667</v>
      </c>
      <c r="V50" s="2134" t="s">
        <v>18668</v>
      </c>
    </row>
    <row r="51" spans="1:22" s="197" customFormat="1" ht="19.5">
      <c r="A51" s="219"/>
      <c r="B51" s="460" t="s">
        <v>18669</v>
      </c>
      <c r="C51" s="2131">
        <v>15.374072</v>
      </c>
      <c r="D51" s="2131">
        <v>8.6899967</v>
      </c>
      <c r="E51" s="2135">
        <f t="shared" si="16"/>
        <v>24.0640687</v>
      </c>
      <c r="F51" s="106"/>
      <c r="G51" s="1041" t="s">
        <v>18670</v>
      </c>
      <c r="H51" s="261"/>
      <c r="I51" s="291"/>
      <c r="J51" s="242"/>
      <c r="K51" s="886"/>
      <c r="L51" s="1792">
        <f t="shared" si="17"/>
        <v>0</v>
      </c>
      <c r="M51" s="886"/>
      <c r="N51" s="1793">
        <f t="shared" si="18"/>
        <v>0</v>
      </c>
      <c r="O51" s="1793">
        <f t="shared" si="18"/>
        <v>0</v>
      </c>
      <c r="P51" s="242"/>
      <c r="Q51" s="886"/>
      <c r="R51" s="389"/>
      <c r="S51" s="460" t="s">
        <v>18669</v>
      </c>
      <c r="T51" s="2131" t="s">
        <v>18671</v>
      </c>
      <c r="U51" s="2131" t="s">
        <v>18672</v>
      </c>
      <c r="V51" s="2135" t="s">
        <v>18673</v>
      </c>
    </row>
    <row r="52" spans="1:22" s="197" customFormat="1" ht="19.5">
      <c r="A52" s="219"/>
      <c r="B52" s="460" t="s">
        <v>18674</v>
      </c>
      <c r="C52" s="2131">
        <v>39.323990999999999</v>
      </c>
      <c r="D52" s="2131">
        <v>27.865576999999998</v>
      </c>
      <c r="E52" s="2135">
        <f t="shared" si="16"/>
        <v>67.189567999999994</v>
      </c>
      <c r="F52" s="106"/>
      <c r="G52" s="1041" t="s">
        <v>18675</v>
      </c>
      <c r="H52" s="261"/>
      <c r="I52" s="291"/>
      <c r="J52" s="242"/>
      <c r="K52" s="886"/>
      <c r="L52" s="1792">
        <f t="shared" si="17"/>
        <v>0</v>
      </c>
      <c r="M52" s="886"/>
      <c r="N52" s="1793">
        <f t="shared" si="18"/>
        <v>0</v>
      </c>
      <c r="O52" s="1793">
        <f t="shared" si="18"/>
        <v>0</v>
      </c>
      <c r="P52" s="242"/>
      <c r="Q52" s="886"/>
      <c r="R52" s="389"/>
      <c r="S52" s="460" t="s">
        <v>18674</v>
      </c>
      <c r="T52" s="2131" t="s">
        <v>18676</v>
      </c>
      <c r="U52" s="2131" t="s">
        <v>18677</v>
      </c>
      <c r="V52" s="2135" t="s">
        <v>18678</v>
      </c>
    </row>
    <row r="53" spans="1:22" s="197" customFormat="1" ht="16.5" thickBot="1">
      <c r="B53" s="463" t="s">
        <v>18679</v>
      </c>
      <c r="C53" s="2132">
        <v>0</v>
      </c>
      <c r="D53" s="2132">
        <v>0</v>
      </c>
      <c r="E53" s="2136">
        <f>IFERROR(SUM(C53:D53),0)</f>
        <v>0</v>
      </c>
      <c r="F53" s="106"/>
      <c r="G53" s="1043" t="s">
        <v>18680</v>
      </c>
      <c r="H53" s="261"/>
      <c r="I53" s="302"/>
      <c r="K53" s="886"/>
      <c r="L53" s="1792"/>
      <c r="M53" s="886"/>
      <c r="N53" s="1793"/>
      <c r="O53" s="1793"/>
      <c r="P53" s="242"/>
      <c r="Q53" s="886"/>
      <c r="R53" s="389"/>
      <c r="S53" s="463" t="s">
        <v>18679</v>
      </c>
      <c r="T53" s="2132" t="s">
        <v>3567</v>
      </c>
      <c r="U53" s="2132" t="s">
        <v>3569</v>
      </c>
      <c r="V53" s="2136" t="s">
        <v>3571</v>
      </c>
    </row>
    <row r="54" spans="1:22" s="197" customFormat="1" ht="17.25" thickTop="1" thickBot="1">
      <c r="A54" s="219"/>
      <c r="B54" s="242"/>
      <c r="C54" s="2158"/>
      <c r="D54" s="2158"/>
      <c r="E54" s="2348"/>
      <c r="F54" s="242"/>
      <c r="G54" s="242" t="s">
        <v>9921</v>
      </c>
      <c r="H54" s="261"/>
      <c r="I54" s="242"/>
      <c r="J54" s="242"/>
      <c r="K54" s="886"/>
      <c r="L54" s="242"/>
      <c r="M54" s="886"/>
      <c r="N54" s="242"/>
      <c r="O54" s="242"/>
      <c r="P54" s="242"/>
      <c r="Q54" s="886"/>
      <c r="R54" s="389"/>
      <c r="S54" s="242"/>
      <c r="T54" s="2158"/>
      <c r="U54" s="2158"/>
      <c r="V54" s="2348"/>
    </row>
    <row r="55" spans="1:22" s="197" customFormat="1" ht="17.25" thickTop="1" thickBot="1">
      <c r="B55" s="393" t="s">
        <v>18681</v>
      </c>
      <c r="C55" s="2346"/>
      <c r="D55" s="2346"/>
      <c r="E55" s="2164"/>
      <c r="F55" s="106"/>
      <c r="G55" s="582" t="s">
        <v>9921</v>
      </c>
      <c r="H55" s="261"/>
      <c r="K55" s="886"/>
      <c r="L55" s="242"/>
      <c r="M55" s="886"/>
      <c r="N55" s="242"/>
      <c r="O55" s="242"/>
      <c r="P55" s="242"/>
      <c r="Q55" s="886"/>
      <c r="R55" s="389"/>
      <c r="S55" s="393" t="s">
        <v>18681</v>
      </c>
      <c r="T55" s="2346"/>
      <c r="U55" s="2346"/>
      <c r="V55" s="2164"/>
    </row>
    <row r="56" spans="1:22" s="197" customFormat="1" ht="16.5" thickTop="1">
      <c r="B56" s="451" t="s">
        <v>18682</v>
      </c>
      <c r="C56" s="2481">
        <f>IFERROR(SUM(C16+C30+C47),0)</f>
        <v>105925.6089484393</v>
      </c>
      <c r="D56" s="2481">
        <f>IFERROR(SUM(D16+D30+D47),0)</f>
        <v>124173.91848841522</v>
      </c>
      <c r="E56" s="2134">
        <f>IFERROR(SUM(C56:D56),0)</f>
        <v>230099.52743685452</v>
      </c>
      <c r="F56" s="106"/>
      <c r="G56" s="1040" t="s">
        <v>18683</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18682</v>
      </c>
      <c r="T56" s="2481" t="s">
        <v>18684</v>
      </c>
      <c r="U56" s="2481" t="s">
        <v>18685</v>
      </c>
      <c r="V56" s="2134" t="s">
        <v>18686</v>
      </c>
    </row>
    <row r="57" spans="1:22" s="197" customFormat="1" ht="16.5" thickBot="1">
      <c r="B57" s="463" t="s">
        <v>18687</v>
      </c>
      <c r="C57" s="2482">
        <f>IFERROR(SUM(C17+C31+C48),0)</f>
        <v>59828.180048439302</v>
      </c>
      <c r="D57" s="2482">
        <f>IFERROR(SUM(D17+D31+D48),0)</f>
        <v>69849.577688415186</v>
      </c>
      <c r="E57" s="2136">
        <f t="shared" ref="E57" si="21">IFERROR(SUM(C57:D57),0)</f>
        <v>129677.75773685449</v>
      </c>
      <c r="F57" s="242"/>
      <c r="G57" s="1043" t="s">
        <v>18688</v>
      </c>
      <c r="H57" s="261"/>
      <c r="I57" s="1794"/>
      <c r="K57" s="886"/>
      <c r="L57" s="1792">
        <f t="shared" si="19"/>
        <v>0</v>
      </c>
      <c r="M57" s="886"/>
      <c r="N57" s="1793">
        <f t="shared" si="20"/>
        <v>0</v>
      </c>
      <c r="O57" s="1793">
        <f t="shared" si="20"/>
        <v>0</v>
      </c>
      <c r="P57" s="242"/>
      <c r="Q57" s="886"/>
      <c r="R57" s="389"/>
      <c r="S57" s="463" t="s">
        <v>18687</v>
      </c>
      <c r="T57" s="2482" t="s">
        <v>18689</v>
      </c>
      <c r="U57" s="2482" t="s">
        <v>18690</v>
      </c>
      <c r="V57" s="2136" t="s">
        <v>18691</v>
      </c>
    </row>
    <row r="58" spans="1:22" s="197" customFormat="1" ht="17.25" thickTop="1" thickBot="1">
      <c r="A58" s="2351"/>
      <c r="B58" s="2348"/>
      <c r="C58" s="2158"/>
      <c r="D58" s="2158"/>
      <c r="E58" s="2348"/>
      <c r="F58" s="2348"/>
      <c r="G58" s="2348" t="s">
        <v>9921</v>
      </c>
      <c r="H58" s="261"/>
      <c r="I58" s="2348"/>
      <c r="J58" s="2348"/>
      <c r="K58" s="886"/>
      <c r="L58" s="242"/>
      <c r="M58" s="886"/>
      <c r="N58" s="242"/>
      <c r="O58" s="242"/>
      <c r="P58" s="242"/>
      <c r="Q58" s="886"/>
      <c r="R58" s="389"/>
      <c r="S58" s="2348"/>
      <c r="T58" s="2158"/>
      <c r="U58" s="2158"/>
      <c r="V58" s="2348"/>
    </row>
    <row r="59" spans="1:22" s="197" customFormat="1" ht="17.25" thickTop="1" thickBot="1">
      <c r="B59" s="1786" t="s">
        <v>18692</v>
      </c>
      <c r="C59" s="2158"/>
      <c r="D59" s="2158"/>
      <c r="E59" s="2348"/>
      <c r="F59" s="2348"/>
      <c r="G59" s="2348" t="s">
        <v>9921</v>
      </c>
      <c r="H59" s="261"/>
      <c r="I59" s="2348"/>
      <c r="K59" s="886"/>
      <c r="L59" s="242"/>
      <c r="M59" s="886"/>
      <c r="N59" s="242"/>
      <c r="O59" s="242"/>
      <c r="P59" s="242"/>
      <c r="Q59" s="886"/>
      <c r="R59" s="389"/>
      <c r="S59" s="1786" t="s">
        <v>18692</v>
      </c>
      <c r="T59" s="2158"/>
      <c r="U59" s="2158"/>
      <c r="V59" s="2348"/>
    </row>
    <row r="60" spans="1:22" s="197" customFormat="1" ht="16.5" thickTop="1">
      <c r="B60" s="1795" t="s">
        <v>18693</v>
      </c>
      <c r="C60" s="2483">
        <v>139.47035</v>
      </c>
      <c r="D60" s="2483">
        <v>12.075685999999999</v>
      </c>
      <c r="E60" s="2134">
        <f t="shared" ref="E60:E63" si="22">IFERROR(SUM(C60:D60),0)</f>
        <v>151.54603599999999</v>
      </c>
      <c r="F60" s="2348"/>
      <c r="G60" s="1040" t="s">
        <v>18694</v>
      </c>
      <c r="H60" s="261"/>
      <c r="I60" s="1796"/>
      <c r="K60" s="886"/>
      <c r="L60" s="1792">
        <f t="shared" ref="L60:L63" si="23">IF( SUM( N60:P60 ) = 0, 0, $N$6 )</f>
        <v>0</v>
      </c>
      <c r="M60" s="886"/>
      <c r="N60" s="242"/>
      <c r="O60" s="242"/>
      <c r="P60" s="1793">
        <f t="shared" ref="P60:P64" si="24" xml:space="preserve"> IF( ISNUMBER(E60 ), 0, 1 )</f>
        <v>0</v>
      </c>
      <c r="Q60" s="886"/>
      <c r="R60" s="389"/>
      <c r="S60" s="1795" t="s">
        <v>18693</v>
      </c>
      <c r="T60" s="2483" t="s">
        <v>18695</v>
      </c>
      <c r="U60" s="2483" t="s">
        <v>18696</v>
      </c>
      <c r="V60" s="2134" t="s">
        <v>18697</v>
      </c>
    </row>
    <row r="61" spans="1:22" s="197" customFormat="1">
      <c r="B61" s="1797" t="s">
        <v>18698</v>
      </c>
      <c r="C61" s="2484">
        <v>0</v>
      </c>
      <c r="D61" s="2484">
        <v>23874.489000000001</v>
      </c>
      <c r="E61" s="2135">
        <f t="shared" si="22"/>
        <v>23874.489000000001</v>
      </c>
      <c r="F61" s="2348"/>
      <c r="G61" s="1041" t="s">
        <v>18699</v>
      </c>
      <c r="H61" s="261"/>
      <c r="I61" s="1203"/>
      <c r="K61" s="886"/>
      <c r="L61" s="1792">
        <f t="shared" si="23"/>
        <v>0</v>
      </c>
      <c r="M61" s="886"/>
      <c r="N61" s="242"/>
      <c r="O61" s="242"/>
      <c r="P61" s="1793">
        <f t="shared" si="24"/>
        <v>0</v>
      </c>
      <c r="Q61" s="886"/>
      <c r="R61" s="389"/>
      <c r="S61" s="1797" t="s">
        <v>18698</v>
      </c>
      <c r="T61" s="2484" t="s">
        <v>18700</v>
      </c>
      <c r="U61" s="2484" t="s">
        <v>18701</v>
      </c>
      <c r="V61" s="2135" t="s">
        <v>18702</v>
      </c>
    </row>
    <row r="62" spans="1:22">
      <c r="B62" s="1797" t="s">
        <v>18703</v>
      </c>
      <c r="C62" s="2484">
        <v>0</v>
      </c>
      <c r="D62" s="2484">
        <v>0</v>
      </c>
      <c r="E62" s="2135">
        <f t="shared" si="22"/>
        <v>0</v>
      </c>
      <c r="G62" s="1041" t="s">
        <v>18704</v>
      </c>
      <c r="H62" s="261"/>
      <c r="I62" s="2485"/>
      <c r="J62" s="261"/>
      <c r="K62" s="886"/>
      <c r="M62" s="886"/>
      <c r="N62" s="241"/>
      <c r="O62" s="241"/>
      <c r="P62" s="241"/>
      <c r="Q62" s="241"/>
      <c r="R62" s="389"/>
      <c r="S62" s="2503" t="s">
        <v>18703</v>
      </c>
      <c r="T62" s="2484" t="s">
        <v>3573</v>
      </c>
      <c r="U62" s="2484" t="s">
        <v>3575</v>
      </c>
      <c r="V62" s="2135" t="s">
        <v>3577</v>
      </c>
    </row>
    <row r="63" spans="1:22" s="197" customFormat="1">
      <c r="B63" s="1797" t="s">
        <v>18705</v>
      </c>
      <c r="C63" s="2484">
        <v>0</v>
      </c>
      <c r="D63" s="2484">
        <v>0</v>
      </c>
      <c r="E63" s="2135">
        <f t="shared" si="22"/>
        <v>0</v>
      </c>
      <c r="F63" s="2348"/>
      <c r="G63" s="1041" t="s">
        <v>18706</v>
      </c>
      <c r="H63" s="261"/>
      <c r="I63" s="1203"/>
      <c r="K63" s="886"/>
      <c r="L63" s="1792">
        <f t="shared" si="23"/>
        <v>0</v>
      </c>
      <c r="M63" s="886"/>
      <c r="N63" s="242"/>
      <c r="O63" s="242"/>
      <c r="P63" s="1793">
        <f t="shared" si="24"/>
        <v>0</v>
      </c>
      <c r="Q63" s="886"/>
      <c r="R63" s="389"/>
      <c r="S63" s="1797" t="s">
        <v>18705</v>
      </c>
      <c r="T63" s="2484" t="s">
        <v>18707</v>
      </c>
      <c r="U63" s="2484" t="s">
        <v>18708</v>
      </c>
      <c r="V63" s="2135" t="s">
        <v>18709</v>
      </c>
    </row>
    <row r="64" spans="1:22" s="197" customFormat="1" ht="16.5" thickBot="1">
      <c r="B64" s="1798" t="s">
        <v>18710</v>
      </c>
      <c r="C64" s="2475">
        <f>IFERROR(SUM(C60:C63),0)</f>
        <v>139.47035</v>
      </c>
      <c r="D64" s="2475">
        <f>IFERROR(SUM(D60:D63),0)</f>
        <v>23886.564686000002</v>
      </c>
      <c r="E64" s="2136">
        <f>IFERROR(SUM(E60:E63),0)</f>
        <v>24026.035036000001</v>
      </c>
      <c r="F64" s="2348"/>
      <c r="G64" s="1043" t="s">
        <v>18711</v>
      </c>
      <c r="H64" s="261"/>
      <c r="I64" s="1794"/>
      <c r="K64" s="886"/>
      <c r="L64" s="242"/>
      <c r="M64" s="886"/>
      <c r="N64" s="242"/>
      <c r="O64" s="242"/>
      <c r="P64" s="1793">
        <f t="shared" si="24"/>
        <v>0</v>
      </c>
      <c r="Q64" s="886"/>
      <c r="R64" s="389"/>
      <c r="S64" s="1798" t="s">
        <v>18710</v>
      </c>
      <c r="T64" s="2475" t="s">
        <v>18712</v>
      </c>
      <c r="U64" s="2475" t="s">
        <v>18713</v>
      </c>
      <c r="V64" s="2136" t="s">
        <v>18714</v>
      </c>
    </row>
    <row r="65" spans="1:22" s="197" customFormat="1" ht="16.5" thickTop="1">
      <c r="B65" s="242"/>
      <c r="C65" s="2158"/>
      <c r="D65" s="2158"/>
      <c r="E65" s="2158"/>
      <c r="F65" s="2348"/>
      <c r="G65" s="174" t="s">
        <v>9921</v>
      </c>
      <c r="H65" s="261"/>
      <c r="I65" s="242"/>
      <c r="K65" s="886"/>
      <c r="L65" s="242"/>
      <c r="M65" s="886"/>
      <c r="N65" s="242"/>
      <c r="O65" s="242"/>
      <c r="P65" s="1793"/>
      <c r="Q65" s="886"/>
      <c r="R65" s="389"/>
      <c r="S65" s="242"/>
      <c r="T65" s="2158"/>
      <c r="U65" s="2158"/>
      <c r="V65" s="2158"/>
    </row>
    <row r="66" spans="1:22" s="197" customFormat="1" ht="16.5" thickBot="1">
      <c r="B66" s="242"/>
      <c r="C66" s="2158"/>
      <c r="D66" s="2158"/>
      <c r="E66" s="2158"/>
      <c r="F66" s="242"/>
      <c r="G66" s="242" t="s">
        <v>9921</v>
      </c>
      <c r="H66" s="261"/>
      <c r="I66" s="242"/>
      <c r="K66" s="886"/>
      <c r="L66" s="242"/>
      <c r="M66" s="886"/>
      <c r="N66" s="242"/>
      <c r="O66" s="242"/>
      <c r="P66" s="242"/>
      <c r="Q66" s="886"/>
      <c r="R66" s="389"/>
      <c r="S66" s="242"/>
      <c r="T66" s="2158"/>
      <c r="U66" s="2158"/>
      <c r="V66" s="2158"/>
    </row>
    <row r="67" spans="1:22" ht="17.25" thickTop="1" thickBot="1">
      <c r="A67" s="197"/>
      <c r="B67" s="1786" t="s">
        <v>18715</v>
      </c>
      <c r="C67" s="2158"/>
      <c r="D67" s="2158"/>
      <c r="E67" s="2352"/>
      <c r="F67" s="242"/>
      <c r="G67" s="242" t="s">
        <v>9921</v>
      </c>
      <c r="H67" s="261"/>
      <c r="I67" s="242"/>
      <c r="J67" s="197"/>
      <c r="K67" s="886"/>
      <c r="L67" s="242"/>
      <c r="M67" s="886"/>
      <c r="N67" s="242"/>
      <c r="O67" s="242"/>
      <c r="P67" s="242"/>
      <c r="Q67" s="886"/>
      <c r="R67" s="389"/>
      <c r="S67" s="1786" t="s">
        <v>18715</v>
      </c>
      <c r="T67" s="2158"/>
      <c r="U67" s="2158"/>
      <c r="V67" s="2352"/>
    </row>
    <row r="68" spans="1:22" ht="16.5" thickTop="1">
      <c r="A68" s="197"/>
      <c r="B68" s="451" t="s">
        <v>18716</v>
      </c>
      <c r="C68" s="2481">
        <f>IFERROR(C56-C64,0)</f>
        <v>105786.1385984393</v>
      </c>
      <c r="D68" s="2481">
        <f>IFERROR(D56-D64,0)</f>
        <v>100287.35380241522</v>
      </c>
      <c r="E68" s="2134">
        <f t="shared" ref="E68" si="25">IFERROR(SUM(C68:D68),0)</f>
        <v>206073.49240085453</v>
      </c>
      <c r="F68" s="242"/>
      <c r="G68" s="1040" t="s">
        <v>18717</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18716</v>
      </c>
      <c r="T68" s="2130" t="s">
        <v>18718</v>
      </c>
      <c r="U68" s="2130" t="s">
        <v>18719</v>
      </c>
      <c r="V68" s="2134" t="s">
        <v>18720</v>
      </c>
    </row>
    <row r="69" spans="1:22" ht="16.5" thickBot="1">
      <c r="A69" s="197"/>
      <c r="B69" s="463" t="s">
        <v>18721</v>
      </c>
      <c r="C69" s="2561">
        <f>IFERROR(C57,0)</f>
        <v>59828.180048439302</v>
      </c>
      <c r="D69" s="2561">
        <f>IFERROR(D57,0)</f>
        <v>69849.577688415186</v>
      </c>
      <c r="E69" s="2136">
        <f>IFERROR(SUM(C69:D69),0)</f>
        <v>129677.75773685449</v>
      </c>
      <c r="F69" s="242"/>
      <c r="G69" s="1043" t="s">
        <v>18722</v>
      </c>
      <c r="H69" s="261"/>
      <c r="I69" s="560"/>
      <c r="J69" s="261"/>
      <c r="K69" s="886"/>
      <c r="L69" s="1792">
        <f t="shared" si="26"/>
        <v>0</v>
      </c>
      <c r="M69" s="886"/>
      <c r="N69" s="1793">
        <f t="shared" si="27"/>
        <v>0</v>
      </c>
      <c r="O69" s="1793">
        <f t="shared" si="27"/>
        <v>0</v>
      </c>
      <c r="P69" s="242"/>
      <c r="Q69" s="886"/>
      <c r="R69" s="389"/>
      <c r="S69" s="463" t="s">
        <v>18721</v>
      </c>
      <c r="T69" s="2132" t="s">
        <v>18723</v>
      </c>
      <c r="U69" s="2132" t="s">
        <v>18724</v>
      </c>
      <c r="V69" s="2136" t="s">
        <v>18725</v>
      </c>
    </row>
    <row r="70" spans="1:22" ht="17.25" thickTop="1" thickBot="1">
      <c r="A70" s="197"/>
      <c r="B70" s="242"/>
      <c r="C70" s="2158"/>
      <c r="D70" s="2158"/>
      <c r="E70" s="2158"/>
      <c r="F70" s="242"/>
      <c r="G70" s="242" t="s">
        <v>9921</v>
      </c>
      <c r="H70" s="261"/>
      <c r="I70" s="242"/>
      <c r="K70" s="886"/>
      <c r="L70" s="242"/>
      <c r="M70" s="886"/>
      <c r="N70" s="242"/>
      <c r="O70" s="242"/>
      <c r="P70" s="242"/>
      <c r="Q70" s="886"/>
      <c r="R70" s="389"/>
      <c r="S70" s="242"/>
      <c r="T70" s="2158"/>
      <c r="U70" s="2158"/>
      <c r="V70" s="2158"/>
    </row>
    <row r="71" spans="1:22" ht="16.5" thickTop="1">
      <c r="B71" s="652" t="s">
        <v>7224</v>
      </c>
      <c r="C71" s="2159" t="s">
        <v>9397</v>
      </c>
      <c r="D71" s="2160" t="s">
        <v>9398</v>
      </c>
      <c r="E71" s="2158"/>
      <c r="F71" s="242"/>
      <c r="G71" s="242" t="s">
        <v>9921</v>
      </c>
      <c r="H71" s="261"/>
      <c r="I71" s="242"/>
      <c r="K71" s="886"/>
      <c r="L71" s="242"/>
      <c r="M71" s="886"/>
      <c r="N71" s="242"/>
      <c r="O71" s="242"/>
      <c r="P71" s="242"/>
      <c r="Q71" s="886"/>
      <c r="R71" s="389"/>
      <c r="S71" s="652" t="s">
        <v>7224</v>
      </c>
      <c r="T71" s="2159" t="s">
        <v>9397</v>
      </c>
      <c r="U71" s="2160" t="s">
        <v>9398</v>
      </c>
      <c r="V71" s="2158"/>
    </row>
    <row r="72" spans="1:22" ht="19.5">
      <c r="B72" s="429" t="s">
        <v>668</v>
      </c>
      <c r="C72" s="2499" t="s">
        <v>18726</v>
      </c>
      <c r="D72" s="2500" t="s">
        <v>18726</v>
      </c>
      <c r="E72" s="2158"/>
      <c r="F72" s="197"/>
      <c r="G72" s="197" t="s">
        <v>9921</v>
      </c>
      <c r="H72" s="261"/>
      <c r="K72" s="886"/>
      <c r="L72" s="242"/>
      <c r="M72" s="886"/>
      <c r="N72" s="242"/>
      <c r="O72" s="242"/>
      <c r="P72" s="242"/>
      <c r="Q72" s="886"/>
      <c r="R72" s="389"/>
      <c r="S72" s="429" t="s">
        <v>668</v>
      </c>
      <c r="T72" s="2499" t="s">
        <v>18726</v>
      </c>
      <c r="U72" s="2500" t="s">
        <v>18726</v>
      </c>
      <c r="V72" s="2158"/>
    </row>
    <row r="73" spans="1:22" ht="16.5" thickBot="1">
      <c r="B73" s="430" t="s">
        <v>670</v>
      </c>
      <c r="C73" s="2497">
        <v>3</v>
      </c>
      <c r="D73" s="2498">
        <v>3</v>
      </c>
      <c r="E73" s="2158"/>
      <c r="F73" s="197"/>
      <c r="G73" s="197" t="s">
        <v>9921</v>
      </c>
      <c r="H73" s="261"/>
      <c r="K73" s="886"/>
      <c r="L73" s="242"/>
      <c r="M73" s="886"/>
      <c r="N73" s="242"/>
      <c r="O73" s="242"/>
      <c r="P73" s="242"/>
      <c r="Q73" s="886"/>
      <c r="R73" s="389"/>
      <c r="S73" s="430" t="s">
        <v>670</v>
      </c>
      <c r="T73" s="2497">
        <v>3</v>
      </c>
      <c r="U73" s="2498">
        <v>3</v>
      </c>
      <c r="V73" s="2158"/>
    </row>
    <row r="74" spans="1:22" ht="17.25" thickTop="1" thickBot="1">
      <c r="B74" s="197"/>
      <c r="C74" s="2161"/>
      <c r="D74" s="2161"/>
      <c r="E74" s="2162"/>
      <c r="F74" s="197"/>
      <c r="G74" s="197" t="s">
        <v>9921</v>
      </c>
      <c r="H74" s="261"/>
      <c r="K74" s="886"/>
      <c r="L74" s="242"/>
      <c r="M74" s="886"/>
      <c r="N74" s="242"/>
      <c r="O74" s="242"/>
      <c r="P74" s="242"/>
      <c r="Q74" s="886"/>
      <c r="R74" s="389"/>
      <c r="S74" s="197"/>
      <c r="T74" s="2161"/>
      <c r="U74" s="2161"/>
      <c r="V74" s="2162"/>
    </row>
    <row r="75" spans="1:22" ht="17.25" thickTop="1" thickBot="1">
      <c r="B75" s="393" t="s">
        <v>18727</v>
      </c>
      <c r="C75" s="2162"/>
      <c r="D75" s="2162"/>
      <c r="E75" s="2162"/>
      <c r="F75" s="197"/>
      <c r="G75" s="197" t="s">
        <v>9921</v>
      </c>
      <c r="H75" s="261"/>
      <c r="K75" s="886"/>
      <c r="L75" s="242"/>
      <c r="M75" s="886"/>
      <c r="N75" s="242"/>
      <c r="O75" s="242"/>
      <c r="P75" s="242"/>
      <c r="Q75" s="886"/>
      <c r="R75" s="389"/>
      <c r="S75" s="393" t="s">
        <v>18727</v>
      </c>
      <c r="T75" s="2162"/>
      <c r="U75" s="2162"/>
      <c r="V75" s="2162"/>
    </row>
    <row r="76" spans="1:22" ht="16.5" thickTop="1">
      <c r="B76" s="1799" t="s">
        <v>18728</v>
      </c>
      <c r="C76" s="2133">
        <v>109.67885</v>
      </c>
      <c r="D76" s="2486"/>
      <c r="E76" s="2495"/>
      <c r="F76" s="197"/>
      <c r="G76" s="1040" t="s">
        <v>18729</v>
      </c>
      <c r="H76" s="261"/>
      <c r="I76" s="557"/>
      <c r="K76" s="886"/>
      <c r="L76" s="1792">
        <f t="shared" ref="L76:L77" si="28">IF( SUM( N76:P76 ) = 0, 0, $N$6 )</f>
        <v>0</v>
      </c>
      <c r="M76" s="886"/>
      <c r="N76" s="1793">
        <f t="shared" ref="N76" si="29" xml:space="preserve"> IF( ISNUMBER(C76 ), 0, 1 )</f>
        <v>0</v>
      </c>
      <c r="O76" s="242"/>
      <c r="P76" s="242"/>
      <c r="Q76" s="886"/>
      <c r="R76" s="389"/>
      <c r="S76" s="1799" t="s">
        <v>18728</v>
      </c>
      <c r="T76" s="2133" t="s">
        <v>18730</v>
      </c>
      <c r="U76" s="2486"/>
      <c r="V76" s="2495"/>
    </row>
    <row r="77" spans="1:22" ht="16.5" thickBot="1">
      <c r="B77" s="2487" t="s">
        <v>18731</v>
      </c>
      <c r="C77" s="2488"/>
      <c r="D77" s="2489">
        <v>287.46600000000001</v>
      </c>
      <c r="E77" s="2496"/>
      <c r="F77" s="197"/>
      <c r="G77" s="1043" t="s">
        <v>18732</v>
      </c>
      <c r="H77" s="261"/>
      <c r="I77" s="560"/>
      <c r="K77" s="886"/>
      <c r="L77" s="1792">
        <f t="shared" si="28"/>
        <v>0</v>
      </c>
      <c r="M77" s="886"/>
      <c r="N77" s="242"/>
      <c r="O77" s="1793">
        <f t="shared" ref="O77" si="30" xml:space="preserve"> IF( ISNUMBER(D77 ), 0, 1 )</f>
        <v>0</v>
      </c>
      <c r="P77" s="242"/>
      <c r="Q77" s="886"/>
      <c r="R77" s="389"/>
      <c r="S77" s="2487" t="s">
        <v>18731</v>
      </c>
      <c r="T77" s="2488"/>
      <c r="U77" s="2489" t="s">
        <v>18733</v>
      </c>
      <c r="V77" s="2496"/>
    </row>
    <row r="78" spans="1:22" ht="17.25" thickTop="1" thickBot="1">
      <c r="G78" s="224" t="s">
        <v>9921</v>
      </c>
      <c r="H78" s="261"/>
      <c r="K78" s="886"/>
      <c r="L78" s="260"/>
      <c r="M78" s="886"/>
      <c r="N78" s="260"/>
      <c r="O78" s="260"/>
      <c r="P78" s="260"/>
      <c r="Q78" s="260"/>
      <c r="R78" s="389"/>
      <c r="V78" s="1312"/>
    </row>
    <row r="79" spans="1:22" ht="16.5" thickTop="1">
      <c r="B79" s="652" t="s">
        <v>7224</v>
      </c>
      <c r="C79" s="2159" t="s">
        <v>9397</v>
      </c>
      <c r="D79" s="2159" t="s">
        <v>9398</v>
      </c>
      <c r="E79" s="671" t="s">
        <v>7445</v>
      </c>
      <c r="F79" s="242"/>
      <c r="G79" s="242" t="s">
        <v>9921</v>
      </c>
      <c r="H79" s="261"/>
      <c r="I79" s="242"/>
      <c r="K79" s="886"/>
      <c r="L79" s="242"/>
      <c r="M79" s="886"/>
      <c r="N79" s="242"/>
      <c r="O79" s="242"/>
      <c r="P79" s="242"/>
      <c r="Q79" s="886"/>
      <c r="R79" s="389"/>
      <c r="S79" s="652" t="s">
        <v>7224</v>
      </c>
      <c r="T79" s="2159" t="s">
        <v>9397</v>
      </c>
      <c r="U79" s="2159" t="s">
        <v>9398</v>
      </c>
      <c r="V79" s="671" t="s">
        <v>7445</v>
      </c>
    </row>
    <row r="80" spans="1:22" ht="19.5">
      <c r="B80" s="429" t="s">
        <v>668</v>
      </c>
      <c r="C80" s="427" t="s">
        <v>18540</v>
      </c>
      <c r="D80" s="427" t="s">
        <v>18540</v>
      </c>
      <c r="E80" s="428" t="s">
        <v>18540</v>
      </c>
      <c r="F80" s="197"/>
      <c r="G80" s="197" t="s">
        <v>9921</v>
      </c>
      <c r="H80" s="261"/>
      <c r="K80" s="886"/>
      <c r="L80" s="242"/>
      <c r="M80" s="886"/>
      <c r="N80" s="242"/>
      <c r="O80" s="242"/>
      <c r="P80" s="242"/>
      <c r="Q80" s="886"/>
      <c r="R80" s="389"/>
      <c r="S80" s="429" t="s">
        <v>668</v>
      </c>
      <c r="T80" s="427" t="s">
        <v>18540</v>
      </c>
      <c r="U80" s="427" t="s">
        <v>18540</v>
      </c>
      <c r="V80" s="428" t="s">
        <v>18540</v>
      </c>
    </row>
    <row r="81" spans="2:22" ht="16.5" thickBot="1">
      <c r="B81" s="430" t="s">
        <v>670</v>
      </c>
      <c r="C81" s="271">
        <v>3</v>
      </c>
      <c r="D81" s="271">
        <v>3</v>
      </c>
      <c r="E81" s="672">
        <v>3</v>
      </c>
      <c r="F81" s="197"/>
      <c r="G81" s="197" t="s">
        <v>9921</v>
      </c>
      <c r="H81" s="261"/>
      <c r="K81" s="886"/>
      <c r="L81" s="242"/>
      <c r="M81" s="886"/>
      <c r="N81" s="242"/>
      <c r="O81" s="242"/>
      <c r="P81" s="242"/>
      <c r="Q81" s="886"/>
      <c r="R81" s="389"/>
      <c r="S81" s="430" t="s">
        <v>670</v>
      </c>
      <c r="T81" s="271">
        <v>3</v>
      </c>
      <c r="U81" s="271">
        <v>3</v>
      </c>
      <c r="V81" s="672">
        <v>3</v>
      </c>
    </row>
    <row r="82" spans="2:22" ht="17.25" thickTop="1" thickBot="1">
      <c r="G82" s="224" t="s">
        <v>9921</v>
      </c>
      <c r="H82" s="261"/>
      <c r="K82" s="886"/>
      <c r="M82" s="886"/>
      <c r="R82" s="389"/>
      <c r="V82" s="1312"/>
    </row>
    <row r="83" spans="2:22" s="197" customFormat="1" ht="17.25" thickTop="1" thickBot="1">
      <c r="B83" s="393" t="s">
        <v>7742</v>
      </c>
      <c r="C83" s="2158"/>
      <c r="D83" s="2158"/>
      <c r="E83" s="2158"/>
      <c r="F83" s="2348"/>
      <c r="G83" s="174" t="s">
        <v>9921</v>
      </c>
      <c r="H83" s="261"/>
      <c r="I83" s="242"/>
      <c r="K83" s="886"/>
      <c r="L83" s="242"/>
      <c r="M83" s="886"/>
      <c r="N83" s="1806"/>
      <c r="O83" s="1806"/>
      <c r="P83" s="1793"/>
      <c r="Q83" s="1806"/>
      <c r="R83" s="389"/>
      <c r="S83" s="393" t="s">
        <v>7742</v>
      </c>
      <c r="T83" s="2158"/>
      <c r="U83" s="2158"/>
      <c r="V83" s="2158"/>
    </row>
    <row r="84" spans="2:22" s="197" customFormat="1" ht="17.25" thickTop="1" thickBot="1">
      <c r="B84" s="2490" t="s">
        <v>18734</v>
      </c>
      <c r="C84" s="2491">
        <v>0</v>
      </c>
      <c r="D84" s="2491">
        <v>0</v>
      </c>
      <c r="E84" s="2492">
        <f>IFERROR(SUM(C84:D84),0)</f>
        <v>0</v>
      </c>
      <c r="F84" s="2348"/>
      <c r="G84" s="1048" t="s">
        <v>18735</v>
      </c>
      <c r="H84" s="261"/>
      <c r="I84" s="1811"/>
      <c r="K84" s="886"/>
      <c r="L84" s="2501">
        <f>IF( SUM( N84:P84 ) = 0, 0, $N$6 )</f>
        <v>0</v>
      </c>
      <c r="M84" s="886"/>
      <c r="N84" s="1806"/>
      <c r="O84" s="1806"/>
      <c r="P84" s="1793">
        <f xml:space="preserve"> IF( ISNUMBER(E84 ), 0, 1 )</f>
        <v>0</v>
      </c>
      <c r="Q84" s="1806"/>
      <c r="R84" s="389"/>
      <c r="S84" s="2490" t="s">
        <v>18734</v>
      </c>
      <c r="T84" s="2491" t="s">
        <v>18736</v>
      </c>
      <c r="U84" s="2491" t="s">
        <v>18737</v>
      </c>
      <c r="V84" s="2492" t="s">
        <v>18738</v>
      </c>
    </row>
    <row r="85" spans="2:22" s="197" customFormat="1" ht="17.25" thickTop="1" thickBot="1">
      <c r="B85" s="242"/>
      <c r="C85" s="2158"/>
      <c r="D85" s="2158"/>
      <c r="E85" s="2472"/>
      <c r="F85" s="2348"/>
      <c r="G85" s="174"/>
      <c r="H85" s="261"/>
      <c r="I85" s="242"/>
      <c r="K85" s="886"/>
      <c r="L85" s="2501"/>
      <c r="M85" s="886"/>
      <c r="N85" s="1806"/>
      <c r="O85" s="1806"/>
      <c r="P85" s="1793"/>
      <c r="Q85" s="1806"/>
      <c r="R85" s="389"/>
      <c r="S85" s="242"/>
      <c r="T85" s="2158"/>
      <c r="U85" s="2158"/>
      <c r="V85" s="2472"/>
    </row>
    <row r="86" spans="2:22" s="197" customFormat="1" ht="16.5" thickTop="1">
      <c r="B86" s="2950" t="s">
        <v>7224</v>
      </c>
      <c r="C86" s="2947" t="s">
        <v>18739</v>
      </c>
      <c r="D86" s="2948"/>
      <c r="E86" s="2949"/>
      <c r="F86" s="2348"/>
      <c r="G86" s="174"/>
      <c r="H86" s="261"/>
      <c r="I86" s="242"/>
      <c r="K86" s="886"/>
      <c r="L86" s="2501"/>
      <c r="M86" s="886"/>
      <c r="N86" s="1806"/>
      <c r="O86" s="1806"/>
      <c r="P86" s="1793"/>
      <c r="Q86" s="1806"/>
      <c r="R86" s="389"/>
      <c r="S86" s="2950" t="s">
        <v>7224</v>
      </c>
      <c r="T86" s="2947" t="s">
        <v>18739</v>
      </c>
      <c r="U86" s="2948"/>
      <c r="V86" s="2949"/>
    </row>
    <row r="87" spans="2:22" s="197" customFormat="1">
      <c r="B87" s="2951"/>
      <c r="C87" s="2572" t="s">
        <v>9397</v>
      </c>
      <c r="D87" s="2572" t="s">
        <v>9398</v>
      </c>
      <c r="E87" s="2573" t="s">
        <v>7445</v>
      </c>
      <c r="F87" s="2348"/>
      <c r="G87" s="174"/>
      <c r="H87" s="261"/>
      <c r="I87" s="242"/>
      <c r="K87" s="886"/>
      <c r="L87" s="2501"/>
      <c r="M87" s="886"/>
      <c r="N87" s="1806"/>
      <c r="O87" s="1806"/>
      <c r="P87" s="1793"/>
      <c r="Q87" s="1806"/>
      <c r="R87" s="389"/>
      <c r="S87" s="2951"/>
      <c r="T87" s="2572" t="s">
        <v>9397</v>
      </c>
      <c r="U87" s="2572" t="s">
        <v>9398</v>
      </c>
      <c r="V87" s="2573" t="s">
        <v>7445</v>
      </c>
    </row>
    <row r="88" spans="2:22" s="197" customFormat="1" ht="19.5">
      <c r="B88" s="429" t="s">
        <v>668</v>
      </c>
      <c r="C88" s="427" t="s">
        <v>18540</v>
      </c>
      <c r="D88" s="427" t="s">
        <v>18540</v>
      </c>
      <c r="E88" s="428" t="s">
        <v>18540</v>
      </c>
      <c r="F88" s="2348"/>
      <c r="G88" s="174"/>
      <c r="H88" s="261"/>
      <c r="I88" s="242"/>
      <c r="K88" s="886"/>
      <c r="L88" s="2501"/>
      <c r="M88" s="886"/>
      <c r="N88" s="1806"/>
      <c r="O88" s="1806"/>
      <c r="P88" s="1793"/>
      <c r="Q88" s="1806"/>
      <c r="R88" s="389"/>
      <c r="S88" s="429" t="s">
        <v>668</v>
      </c>
      <c r="T88" s="427" t="s">
        <v>18540</v>
      </c>
      <c r="U88" s="427" t="s">
        <v>18540</v>
      </c>
      <c r="V88" s="428" t="s">
        <v>18540</v>
      </c>
    </row>
    <row r="89" spans="2:22" s="197" customFormat="1" ht="16.5" thickBot="1">
      <c r="B89" s="430" t="s">
        <v>670</v>
      </c>
      <c r="C89" s="271">
        <v>3</v>
      </c>
      <c r="D89" s="271">
        <v>3</v>
      </c>
      <c r="E89" s="672">
        <v>3</v>
      </c>
      <c r="F89" s="2348"/>
      <c r="G89" s="174"/>
      <c r="H89" s="261"/>
      <c r="I89" s="242"/>
      <c r="K89" s="886"/>
      <c r="L89" s="2501"/>
      <c r="M89" s="886"/>
      <c r="N89" s="1806"/>
      <c r="O89" s="1806"/>
      <c r="P89" s="1793"/>
      <c r="Q89" s="1806"/>
      <c r="R89" s="389"/>
      <c r="S89" s="430" t="s">
        <v>670</v>
      </c>
      <c r="T89" s="271">
        <v>3</v>
      </c>
      <c r="U89" s="271">
        <v>3</v>
      </c>
      <c r="V89" s="672">
        <v>3</v>
      </c>
    </row>
    <row r="90" spans="2:22" s="197" customFormat="1" ht="17.25" thickTop="1" thickBot="1">
      <c r="B90" s="242"/>
      <c r="C90" s="2158"/>
      <c r="D90" s="2158"/>
      <c r="E90" s="2472"/>
      <c r="F90" s="2348"/>
      <c r="G90" s="174" t="s">
        <v>9921</v>
      </c>
      <c r="H90" s="261"/>
      <c r="I90" s="242"/>
      <c r="K90" s="886"/>
      <c r="L90" s="2501"/>
      <c r="M90" s="886"/>
      <c r="N90" s="1806"/>
      <c r="O90" s="1806"/>
      <c r="P90" s="1793"/>
      <c r="Q90" s="1806"/>
      <c r="R90" s="389"/>
      <c r="S90" s="242"/>
      <c r="T90" s="2158"/>
      <c r="U90" s="2158"/>
      <c r="V90" s="2472"/>
    </row>
    <row r="91" spans="2:22" s="197" customFormat="1" ht="17.25" thickTop="1" thickBot="1">
      <c r="B91" s="1786" t="s">
        <v>18740</v>
      </c>
      <c r="G91" s="197" t="s">
        <v>9921</v>
      </c>
      <c r="H91" s="261"/>
      <c r="K91" s="886"/>
      <c r="L91" s="219"/>
      <c r="M91" s="886"/>
      <c r="N91" s="114"/>
      <c r="O91" s="114"/>
      <c r="P91" s="242"/>
      <c r="Q91" s="242"/>
      <c r="R91" s="389"/>
      <c r="S91" s="393" t="s">
        <v>18740</v>
      </c>
    </row>
    <row r="92" spans="2:22" s="197" customFormat="1" ht="17.25" thickTop="1" thickBot="1">
      <c r="B92" s="451" t="s">
        <v>18741</v>
      </c>
      <c r="C92" s="2130">
        <v>54231.47720575866</v>
      </c>
      <c r="D92" s="2130">
        <v>36972.948774924771</v>
      </c>
      <c r="E92" s="2575">
        <v>91204.425980683431</v>
      </c>
      <c r="F92" s="106"/>
      <c r="G92" s="1040" t="s">
        <v>18742</v>
      </c>
      <c r="H92" s="261"/>
      <c r="K92" s="886"/>
      <c r="L92" s="219"/>
      <c r="M92" s="886"/>
      <c r="N92" s="114"/>
      <c r="O92" s="114"/>
      <c r="P92" s="242"/>
      <c r="Q92" s="242"/>
      <c r="R92" s="389"/>
      <c r="S92" s="2493" t="s">
        <v>18741</v>
      </c>
      <c r="T92" s="2130" t="s">
        <v>3579</v>
      </c>
      <c r="U92" s="2130" t="s">
        <v>3581</v>
      </c>
      <c r="V92" s="2575" t="s">
        <v>3583</v>
      </c>
    </row>
    <row r="93" spans="2:22" ht="17.25" thickTop="1" thickBot="1">
      <c r="B93" s="463" t="s">
        <v>18743</v>
      </c>
      <c r="C93" s="2132">
        <v>57091.555111133355</v>
      </c>
      <c r="D93" s="2132">
        <v>38922.840596726077</v>
      </c>
      <c r="E93" s="2574">
        <v>96014.395707859425</v>
      </c>
      <c r="F93" s="106"/>
      <c r="G93" s="1043" t="s">
        <v>18744</v>
      </c>
      <c r="H93" s="261"/>
      <c r="I93" s="1811"/>
      <c r="J93" s="261"/>
      <c r="K93" s="886"/>
      <c r="M93" s="886"/>
      <c r="R93" s="389"/>
      <c r="S93" s="2493" t="s">
        <v>18743</v>
      </c>
      <c r="T93" s="2132" t="s">
        <v>3585</v>
      </c>
      <c r="U93" s="2132" t="s">
        <v>3587</v>
      </c>
      <c r="V93" s="2586" t="s">
        <v>3589</v>
      </c>
    </row>
    <row r="94" spans="2:22" ht="17.25" thickTop="1" thickBot="1">
      <c r="E94" s="224"/>
      <c r="G94" s="224" t="s">
        <v>9921</v>
      </c>
      <c r="H94" s="261"/>
      <c r="I94" s="261"/>
      <c r="J94" s="261"/>
      <c r="K94" s="886"/>
      <c r="M94" s="886"/>
      <c r="N94" s="241"/>
      <c r="O94" s="241"/>
      <c r="P94" s="241"/>
      <c r="Q94" s="241"/>
      <c r="R94" s="389"/>
    </row>
    <row r="95" spans="2:22" s="197" customFormat="1" ht="17.25" thickTop="1" thickBot="1">
      <c r="B95" s="1786" t="s">
        <v>18745</v>
      </c>
      <c r="G95" s="197" t="s">
        <v>9921</v>
      </c>
      <c r="H95" s="261"/>
      <c r="K95" s="886"/>
      <c r="L95" s="2501"/>
      <c r="M95" s="886"/>
      <c r="N95" s="1793"/>
      <c r="O95" s="1793"/>
      <c r="P95" s="1806"/>
      <c r="Q95" s="1806"/>
      <c r="R95" s="389"/>
      <c r="S95" s="393" t="s">
        <v>18745</v>
      </c>
    </row>
    <row r="96" spans="2:22" ht="17.25" thickTop="1" thickBot="1">
      <c r="B96" s="2493" t="s">
        <v>18745</v>
      </c>
      <c r="C96" s="2608">
        <v>68707</v>
      </c>
      <c r="D96" s="2608">
        <v>54680</v>
      </c>
      <c r="E96" s="2609">
        <v>123567</v>
      </c>
      <c r="F96" s="106"/>
      <c r="G96" s="1048" t="s">
        <v>18746</v>
      </c>
      <c r="H96" s="261"/>
      <c r="I96" s="1811"/>
      <c r="J96" s="261"/>
      <c r="K96" s="886"/>
      <c r="M96" s="886"/>
      <c r="N96" s="241"/>
      <c r="O96" s="241"/>
      <c r="P96" s="241"/>
      <c r="Q96" s="241"/>
      <c r="R96" s="389"/>
      <c r="S96" s="2493" t="s">
        <v>18747</v>
      </c>
      <c r="T96" s="2494" t="s">
        <v>3591</v>
      </c>
      <c r="U96" s="2494" t="s">
        <v>3593</v>
      </c>
      <c r="V96" s="2560" t="s">
        <v>3595</v>
      </c>
    </row>
    <row r="97" spans="8:18" ht="16.5"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ct:contentTypeSchema xmlns:ct="http://schemas.microsoft.com/office/2006/metadata/contentType" xmlns:ma="http://schemas.microsoft.com/office/2006/metadata/properties/metaAttributes" ct:_="" ma:_="" ma:contentTypeName="Document" ma:contentTypeID="0x010100EC5886E4DCF94545BB1705C1EB800A16" ma:contentTypeVersion="362" ma:contentTypeDescription="Create a new document." ma:contentTypeScope="" ma:versionID="f5d02f3d08ef57071307a505a8f179f8">
  <xsd:schema xmlns:xsd="http://www.w3.org/2001/XMLSchema" xmlns:xs="http://www.w3.org/2001/XMLSchema" xmlns:p="http://schemas.microsoft.com/office/2006/metadata/properties" xmlns:ns2="7192ae00-d4fd-49ae-a62e-bdd9baa466d2" xmlns:ns3="41dd862a-34a7-406e-8e13-39e0fe23b000" targetNamespace="http://schemas.microsoft.com/office/2006/metadata/properties" ma:root="true" ma:fieldsID="f6269de684b20a48b1d0a65f65c5df08" ns2:_="" ns3:_="">
    <xsd:import namespace="7192ae00-d4fd-49ae-a62e-bdd9baa466d2"/>
    <xsd:import namespace="41dd862a-34a7-406e-8e13-39e0fe23b00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92ae00-d4fd-49ae-a62e-bdd9baa466d2" elementFormDefault="qualified">
    <xsd:import namespace="http://schemas.microsoft.com/office/2006/documentManagement/types"/>
    <xsd:import namespace="http://schemas.microsoft.com/office/infopath/2007/PartnerControls"/>
    <xsd:element name="_dlc_DocId" ma:index="5" nillable="true" ma:displayName="Document ID Value" ma:description="The value of the document ID assigned to this item." ma:internalName="_dlc_DocId" ma:readOnly="true">
      <xsd:simpleType>
        <xsd:restriction base="dms:Text"/>
      </xsd:simpleType>
    </xsd:element>
    <xsd:element name="_dlc_DocIdUrl" ma:index="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7"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1dd862a-34a7-406e-8e13-39e0fe23b00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1079C5-9F56-4351-B994-BDB070C8199C}">
  <ds:schemaRefs>
    <ds:schemaRef ds:uri="7192ae00-d4fd-49ae-a62e-bdd9baa466d2"/>
    <ds:schemaRef ds:uri="http://www.w3.org/XML/1998/namespace"/>
    <ds:schemaRef ds:uri="http://purl.org/dc/dcmitype/"/>
    <ds:schemaRef ds:uri="http://schemas.microsoft.com/office/2006/documentManagement/types"/>
    <ds:schemaRef ds:uri="http://purl.org/dc/terms/"/>
    <ds:schemaRef ds:uri="http://schemas.microsoft.com/office/2006/metadata/properties"/>
    <ds:schemaRef ds:uri="41dd862a-34a7-406e-8e13-39e0fe23b000"/>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3.xml><?xml version="1.0" encoding="utf-8"?>
<ds:datastoreItem xmlns:ds="http://schemas.openxmlformats.org/officeDocument/2006/customXml" ds:itemID="{D45C9F3F-EC3D-4641-9354-888155042B2A}">
  <ds:schemaRefs>
    <ds:schemaRef ds:uri="http://schemas.microsoft.com/sharepoint/events"/>
  </ds:schemaRefs>
</ds:datastoreItem>
</file>

<file path=customXml/itemProps4.xml><?xml version="1.0" encoding="utf-8"?>
<ds:datastoreItem xmlns:ds="http://schemas.openxmlformats.org/officeDocument/2006/customXml" ds:itemID="{59DB8964-B3DB-423F-BD72-53CC1A500A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92ae00-d4fd-49ae-a62e-bdd9baa466d2"/>
    <ds:schemaRef ds:uri="41dd862a-34a7-406e-8e13-39e0fe23b0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2024-01-19T14:07:53Z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0x010100EC5886E4DCF94545BB1705C1EB800A16</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